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defaultThemeVersion="124226"/>
  <mc:AlternateContent xmlns:mc="http://schemas.openxmlformats.org/markup-compatibility/2006">
    <mc:Choice Requires="x15">
      <x15ac:absPath xmlns:x15ac="http://schemas.microsoft.com/office/spreadsheetml/2010/11/ac" url="C:\Users\a0499631\TI Drive\device\0-LM5125\Calc\version\"/>
    </mc:Choice>
  </mc:AlternateContent>
  <xr:revisionPtr revIDLastSave="0" documentId="13_ncr:20001_{CD703EE1-23AB-45AA-AD76-E82079B937C0}" xr6:coauthVersionLast="36" xr6:coauthVersionMax="36" xr10:uidLastSave="{00000000-0000-0000-0000-000000000000}"/>
  <workbookProtection workbookAlgorithmName="SHA-512" workbookHashValue="NukP4gQdg8Ga5K3FyP59FY7zYqbpwiHjAsAhYmoWFFEERfCcwvIWk1mfxPupAGjTfAvjA1iNv7ebStpYdqkxAQ==" workbookSaltValue="fqbrAalUyD3kGmpTaGX5tw==" workbookSpinCount="100000" lockStructure="1"/>
  <bookViews>
    <workbookView xWindow="0" yWindow="0" windowWidth="24720" windowHeight="12225" tabRatio="741" xr2:uid="{00000000-000D-0000-FFFF-FFFF00000000}"/>
  </bookViews>
  <sheets>
    <sheet name="Design Converter" sheetId="1" r:id="rId1"/>
    <sheet name="Variable_Management" sheetId="2" state="hidden" r:id="rId2"/>
    <sheet name="Loop_Modeling" sheetId="5" state="hidden" r:id="rId3"/>
    <sheet name="Eff_vs_IOUT" sheetId="4" state="hidden" r:id="rId4"/>
    <sheet name="Constants" sheetId="3" state="hidden" r:id="rId5"/>
    <sheet name="Lists" sheetId="7" state="hidden" r:id="rId6"/>
    <sheet name="Important Notice and Disclaimer" sheetId="6" r:id="rId7"/>
  </sheets>
  <definedNames>
    <definedName name="Acs">Constants!$B$36</definedName>
    <definedName name="Adc">Loop_Modeling!$B$38</definedName>
    <definedName name="Adc_ea">Loop_Modeling!$B$62</definedName>
    <definedName name="ADC_VINmin">Variable_Management!$B$212</definedName>
    <definedName name="CCOMP">Variable_Management!$B$277</definedName>
    <definedName name="CCOMP_Calc">Variable_Management!$B$276</definedName>
    <definedName name="CCOMP_calc_CCM">Variable_Management!$B$241</definedName>
    <definedName name="CCOMP_CALC_DCM">Variable_Management!$B$267</definedName>
    <definedName name="CHF">Variable_Management!$B$279</definedName>
    <definedName name="CHF_calc">Variable_Management!$B$278</definedName>
    <definedName name="CHF_CALC_CCM">Variable_Management!$B$242</definedName>
    <definedName name="CHF_CALC_DCM">Variable_Management!$B$268</definedName>
    <definedName name="CISS">Variable_Management!$B$140</definedName>
    <definedName name="Comp_calc_CCM">Variable_Management!$B$241</definedName>
    <definedName name="Cout">Variable_Management!$B$113</definedName>
    <definedName name="Cout_min">Variable_Management!$B$111</definedName>
    <definedName name="D_limit_max">Constants!$B$24</definedName>
    <definedName name="D_limit_min">Constants!$B$22</definedName>
    <definedName name="D_limit_nom">Constants!$B$23</definedName>
    <definedName name="DC_DCM_max">Variable_Management!$B$41</definedName>
    <definedName name="Dc_max_IC">Variable_Management!$B$25</definedName>
    <definedName name="Dc_max_ideal">Variable_Management!$A$24</definedName>
    <definedName name="DC_rip">Variable_Management!$B$34</definedName>
    <definedName name="Dc_rip_max">Variable_Management!$B$33</definedName>
    <definedName name="Dc_VIN_max">Variable_Management!$B$73</definedName>
    <definedName name="Dc_VIN_min">Variable_Management!$B$57</definedName>
    <definedName name="Dc_VIN_nom">Variable_Management!$B$65</definedName>
    <definedName name="DC_VIN_var_DCM">Loop_Modeling!$B$70</definedName>
    <definedName name="EFF_est">Variable_Management!$B$16</definedName>
    <definedName name="Eff_vs_IOUT">#REF!</definedName>
    <definedName name="fcross">Variable_Management!$B$272</definedName>
    <definedName name="fcross_est">Variable_Management!$B$271</definedName>
    <definedName name="fp_ea_est">Variable_Management!$B$234</definedName>
    <definedName name="Fsw">Variable_Management!$B$10</definedName>
    <definedName name="fz_ea_est">Variable_Management!$B$233</definedName>
    <definedName name="fz_rhp">Variable_Management!$B$221</definedName>
    <definedName name="GAIN">Variable_Management!$K$120</definedName>
    <definedName name="Gcomp">Constants!$B$35</definedName>
    <definedName name="Gea_mid_calc">Variable_Management!#REF!</definedName>
    <definedName name="gfs">Variable_Management!$B$295</definedName>
    <definedName name="GIMON">Constants!$B$64</definedName>
    <definedName name="gm_ea">Constants!$B$40</definedName>
    <definedName name="Gplant_fc_dB">Loop_Modeling!$AG$7</definedName>
    <definedName name="I_offset">Constants!$B$63</definedName>
    <definedName name="IIN_33">Variable_Management!$B$37</definedName>
    <definedName name="IL_avg_VIN_max">Variable_Management!$B$75</definedName>
    <definedName name="IL_avg_VIN_min">Variable_Management!$B$59</definedName>
    <definedName name="IL_avg_VIN_nom">Variable_Management!$B$67</definedName>
    <definedName name="IL_pk">Variable_Management!$B$96</definedName>
    <definedName name="IL_pk_max">Variable_Management!$B$97</definedName>
    <definedName name="ILp_VINmax">Variable_Management!$B$77</definedName>
    <definedName name="ILp_VINmin">Variable_Management!$B$61</definedName>
    <definedName name="ILp_VINnom">Variable_Management!$B$69</definedName>
    <definedName name="ILrip">Variable_Management!$B$32</definedName>
    <definedName name="ILrip_VINmax">Variable_Management!$B$76</definedName>
    <definedName name="ILrip_VINmin">Variable_Management!$B$60</definedName>
    <definedName name="ILrip_VINnom">Variable_Management!$B$68</definedName>
    <definedName name="IOUT">Variable_Management!$B$13</definedName>
    <definedName name="IOUT_VAR">Loop_Modeling!$B$17</definedName>
    <definedName name="Ipk_margin">Variable_Management!$B$80</definedName>
    <definedName name="Ipk_selected">Variable_Management!$B$82</definedName>
    <definedName name="IQ">Constants!$B$53</definedName>
    <definedName name="IRMS_COUT">Variable_Management!$B$112</definedName>
    <definedName name="Isl">Constants!#REF!</definedName>
    <definedName name="Iss">Constants!$B$43</definedName>
    <definedName name="Kd">Loop_Modeling!$B$36</definedName>
    <definedName name="Kd_VINmin">Variable_Management!$B$208</definedName>
    <definedName name="Kex">Loop_Modeling!$B$34</definedName>
    <definedName name="Kex_VINmin">Variable_Management!$B$206</definedName>
    <definedName name="Kfb">Variable_Management!$B$194</definedName>
    <definedName name="Kfb_high">Constants!#REF!</definedName>
    <definedName name="Kfb_low">Constants!#REF!</definedName>
    <definedName name="Km">Loop_Modeling!$B$35</definedName>
    <definedName name="Km_VINmin">Variable_Management!$B$207</definedName>
    <definedName name="Kslope">Variable_Management!#REF!</definedName>
    <definedName name="Lm">Variable_Management!$B$49</definedName>
    <definedName name="Lopt">Variable_Management!#REF!</definedName>
    <definedName name="Lopt_2">Variable_Management!$B$38</definedName>
    <definedName name="M_L_DCM">Variable_Management!$B$43</definedName>
    <definedName name="Np">'Design Converter'!$H$100</definedName>
    <definedName name="POUT">Variable_Management!$B$15</definedName>
    <definedName name="_xlnm.Print_Area" localSheetId="0">'Design Converter'!$A$1:$Z$136</definedName>
    <definedName name="Q">Loop_Modeling!$B$52</definedName>
    <definedName name="Q_VINmin">Variable_Management!$B$229</definedName>
    <definedName name="Qg_tot">Variable_Management!$B$290</definedName>
    <definedName name="Qg_tot_HS">Variable_Management!$B$307</definedName>
    <definedName name="Qgd">Variable_Management!$B$291</definedName>
    <definedName name="Qgs">Variable_Management!$B$292</definedName>
    <definedName name="Qrr">Variable_Management!$B$315</definedName>
    <definedName name="R_ATRK">Variable_Management!$B$18</definedName>
    <definedName name="R_cs">Variable_Management!$B$92</definedName>
    <definedName name="R_sl">Variable_Management!$B$93</definedName>
    <definedName name="RCOMP">Variable_Management!$B$275</definedName>
    <definedName name="RCOMP_Calc">Variable_Management!$B$274</definedName>
    <definedName name="Rcomp_calc_CCM">Variable_Management!$B$240</definedName>
    <definedName name="RCOMP_CALC_DCM">Variable_Management!$B$266</definedName>
    <definedName name="Rcs_max">Variable_Management!$B$85</definedName>
    <definedName name="Rcs_w_sl">Variable_Management!#REF!</definedName>
    <definedName name="Rcs_wo_sl">Variable_Management!$B$86</definedName>
    <definedName name="Rdcr">Variable_Management!$B$50</definedName>
    <definedName name="RDS_on">Variable_Management!$B$289</definedName>
    <definedName name="RDS_on_HS">Variable_Management!$B$306</definedName>
    <definedName name="Resr">Variable_Management!$B$114</definedName>
    <definedName name="RFBB">Variable_Management!$B$197</definedName>
    <definedName name="RFBB_calc">Variable_Management!#REF!</definedName>
    <definedName name="RFBT">Variable_Management!$B$196</definedName>
    <definedName name="Rg">Variable_Management!$B$141</definedName>
    <definedName name="Rg_int">Constants!$B$68</definedName>
    <definedName name="Rgate">Variable_Management!$B$293</definedName>
    <definedName name="Rmax">Variable_Management!#REF!</definedName>
    <definedName name="Rmax_high">Constants!#REF!</definedName>
    <definedName name="Rmax_low">Constants!#REF!</definedName>
    <definedName name="Rmin">Variable_Management!#REF!</definedName>
    <definedName name="Rmin_high">Constants!#REF!</definedName>
    <definedName name="Rmin_low">Constants!#REF!</definedName>
    <definedName name="ROUT">Variable_Management!$B$14</definedName>
    <definedName name="Rsl_int">Constants!#REF!</definedName>
    <definedName name="RT">Variable_Management!$B$11</definedName>
    <definedName name="Ruvlo_bottom_calc">Variable_Management!$B$177</definedName>
    <definedName name="Ruvlo_bottom_sel">Variable_Management!$B$178</definedName>
    <definedName name="Ruvlo_top_sel">Variable_Management!$B$176</definedName>
    <definedName name="Se_VINmin">Variable_Management!$B$225</definedName>
    <definedName name="Sn_VINmin">Variable_Management!$B$226</definedName>
    <definedName name="t_dead">Constants!$B$30</definedName>
    <definedName name="tf_sw">Variable_Management!$B$302</definedName>
    <definedName name="tr_sw">Variable_Management!$B$301</definedName>
    <definedName name="tss">Variable_Management!$B$185</definedName>
    <definedName name="UV_fall">Constants!$B$46</definedName>
    <definedName name="UV_I_hyst">Constants!$B$47</definedName>
    <definedName name="UV_rise">Constants!$B$45</definedName>
    <definedName name="V_ATRK">Variable_Management!$B$19</definedName>
    <definedName name="V_ILIM">Constants!$B$65</definedName>
    <definedName name="Vcc">Constants!$B$50</definedName>
    <definedName name="Vcl">Constants!$B$34</definedName>
    <definedName name="Vd_rect">Variable_Management!$B$316</definedName>
    <definedName name="Vgsth">Variable_Management!$B$142</definedName>
    <definedName name="VIN_33">Variable_Management!$B$35</definedName>
    <definedName name="VIN_max">Variable_Management!$B$9</definedName>
    <definedName name="VIN_min">Variable_Management!$B$7</definedName>
    <definedName name="VIN_nom">Variable_Management!$B$8</definedName>
    <definedName name="VIN_op_max">Constants!$B$57</definedName>
    <definedName name="VIN_op_min">Constants!$B$56</definedName>
    <definedName name="VIN_var">Variable_Management!$B$8</definedName>
    <definedName name="VOUT">Variable_Management!$B$12</definedName>
    <definedName name="VOUT_range">Variable_Management!$B$21</definedName>
    <definedName name="Vout_rip_sel">Variable_Management!$B$109</definedName>
    <definedName name="Vref">Constants!$B$39</definedName>
    <definedName name="Vsl">Constants!$B$32</definedName>
    <definedName name="Vth">Variable_Management!$B$296</definedName>
    <definedName name="VTRK">Variable_Management!$B$195</definedName>
    <definedName name="Vuvlo_off">Variable_Management!$B$171</definedName>
    <definedName name="Vuvlo_on">Variable_Management!$B$170</definedName>
    <definedName name="wp_lf">Loop_Modeling!$B$39</definedName>
    <definedName name="wp_lf_DCM">Loop_Modeling!$B$73</definedName>
    <definedName name="wp_lf_VINmin">Variable_Management!$B$214</definedName>
    <definedName name="wp0_ea">Loop_Modeling!$B$64</definedName>
    <definedName name="wp1_ea">Loop_Modeling!$B$65</definedName>
    <definedName name="wsl">Loop_Modeling!$B$51</definedName>
    <definedName name="wsl_VINmin">Variable_Management!$B$228</definedName>
    <definedName name="wz_ea">Loop_Modeling!$B$63</definedName>
    <definedName name="wz_esr">Loop_Modeling!$B$45</definedName>
    <definedName name="wz_esr_VINmin">Variable_Management!$B$217</definedName>
    <definedName name="wz_rhp">Loop_Modeling!$B$42</definedName>
    <definedName name="wz_RHP_VINmin">Variable_Management!$B$220</definedName>
    <definedName name="wz1_dcm">Loop_Modeling!$B$75</definedName>
    <definedName name="wz2_dcm">Loop_Modeling!$B$77</definedName>
  </definedNames>
  <calcPr calcId="191029"/>
  <fileRecoveryPr repairLoad="1"/>
</workbook>
</file>

<file path=xl/calcChain.xml><?xml version="1.0" encoding="utf-8"?>
<calcChain xmlns="http://schemas.openxmlformats.org/spreadsheetml/2006/main">
  <c r="AC20" i="5" l="1"/>
  <c r="AC21" i="5"/>
  <c r="AC22" i="5"/>
  <c r="AC23" i="5"/>
  <c r="AC24" i="5"/>
  <c r="AC25" i="5"/>
  <c r="AC26" i="5"/>
  <c r="AD26" i="5" s="1"/>
  <c r="AC27" i="5"/>
  <c r="AD27" i="5" s="1"/>
  <c r="AC28" i="5"/>
  <c r="AC29" i="5"/>
  <c r="AC30" i="5"/>
  <c r="AC31" i="5"/>
  <c r="AC32" i="5"/>
  <c r="AC33" i="5"/>
  <c r="AC34" i="5"/>
  <c r="AD34" i="5" s="1"/>
  <c r="AC35" i="5"/>
  <c r="AD35" i="5" s="1"/>
  <c r="AC36" i="5"/>
  <c r="AC37" i="5"/>
  <c r="AC38" i="5"/>
  <c r="AC39" i="5"/>
  <c r="AC40" i="5"/>
  <c r="AC41" i="5"/>
  <c r="AC42" i="5"/>
  <c r="AC43" i="5"/>
  <c r="AD43" i="5" s="1"/>
  <c r="AC44" i="5"/>
  <c r="AC45" i="5"/>
  <c r="AC46" i="5"/>
  <c r="AC47" i="5"/>
  <c r="AC48" i="5"/>
  <c r="AC49" i="5"/>
  <c r="AC50" i="5"/>
  <c r="AD50" i="5" s="1"/>
  <c r="AC51" i="5"/>
  <c r="AD51" i="5" s="1"/>
  <c r="AC52" i="5"/>
  <c r="AC53" i="5"/>
  <c r="AC54" i="5"/>
  <c r="AC55" i="5"/>
  <c r="AC56" i="5"/>
  <c r="AC57" i="5"/>
  <c r="AC58" i="5"/>
  <c r="AD58" i="5" s="1"/>
  <c r="AC59" i="5"/>
  <c r="AD59" i="5" s="1"/>
  <c r="AC60" i="5"/>
  <c r="AC61" i="5"/>
  <c r="AC62" i="5"/>
  <c r="AC63" i="5"/>
  <c r="AC64" i="5"/>
  <c r="AC65" i="5"/>
  <c r="AC66" i="5"/>
  <c r="AE66" i="5" s="1"/>
  <c r="AC67" i="5"/>
  <c r="AD67" i="5" s="1"/>
  <c r="AC68" i="5"/>
  <c r="AC69" i="5"/>
  <c r="AC70" i="5"/>
  <c r="AC71" i="5"/>
  <c r="AC72" i="5"/>
  <c r="AC73" i="5"/>
  <c r="AC74" i="5"/>
  <c r="AC75" i="5"/>
  <c r="AD75" i="5" s="1"/>
  <c r="AC76" i="5"/>
  <c r="AC77" i="5"/>
  <c r="AC78" i="5"/>
  <c r="AC79" i="5"/>
  <c r="AC80" i="5"/>
  <c r="AC81" i="5"/>
  <c r="AC82" i="5"/>
  <c r="AE82" i="5" s="1"/>
  <c r="AC83" i="5"/>
  <c r="AD83" i="5" s="1"/>
  <c r="AC84" i="5"/>
  <c r="AC85" i="5"/>
  <c r="AC86" i="5"/>
  <c r="AC87" i="5"/>
  <c r="AC88" i="5"/>
  <c r="AC89" i="5"/>
  <c r="AC90" i="5"/>
  <c r="AE90" i="5" s="1"/>
  <c r="AC91" i="5"/>
  <c r="AD91" i="5" s="1"/>
  <c r="AC92" i="5"/>
  <c r="AC93" i="5"/>
  <c r="AC94" i="5"/>
  <c r="AC95" i="5"/>
  <c r="AC96" i="5"/>
  <c r="AC97" i="5"/>
  <c r="AC98" i="5"/>
  <c r="AE98" i="5" s="1"/>
  <c r="AC99" i="5"/>
  <c r="AD99" i="5" s="1"/>
  <c r="AC100" i="5"/>
  <c r="AC101" i="5"/>
  <c r="AC102" i="5"/>
  <c r="AC103" i="5"/>
  <c r="AC104" i="5"/>
  <c r="AC105" i="5"/>
  <c r="AC106" i="5"/>
  <c r="AC107" i="5"/>
  <c r="AD107" i="5" s="1"/>
  <c r="AC108" i="5"/>
  <c r="AC109" i="5"/>
  <c r="AC110" i="5"/>
  <c r="AC111" i="5"/>
  <c r="AC112" i="5"/>
  <c r="AC113" i="5"/>
  <c r="AC114" i="5"/>
  <c r="AE114" i="5" s="1"/>
  <c r="AC115" i="5"/>
  <c r="AD115" i="5" s="1"/>
  <c r="AC116" i="5"/>
  <c r="AC117" i="5"/>
  <c r="AC118" i="5"/>
  <c r="AC119" i="5"/>
  <c r="AC120" i="5"/>
  <c r="AC121" i="5"/>
  <c r="AC122" i="5"/>
  <c r="AE122" i="5" s="1"/>
  <c r="AC123" i="5"/>
  <c r="AD123" i="5" s="1"/>
  <c r="AC124" i="5"/>
  <c r="AC125" i="5"/>
  <c r="AC126" i="5"/>
  <c r="AC127" i="5"/>
  <c r="AC128" i="5"/>
  <c r="AC129" i="5"/>
  <c r="AC130" i="5"/>
  <c r="AE130" i="5" s="1"/>
  <c r="AC131" i="5"/>
  <c r="AE131" i="5" s="1"/>
  <c r="AC132" i="5"/>
  <c r="AC133" i="5"/>
  <c r="AC134" i="5"/>
  <c r="AC135" i="5"/>
  <c r="AC136" i="5"/>
  <c r="AC137" i="5"/>
  <c r="AC138" i="5"/>
  <c r="AE138" i="5" s="1"/>
  <c r="AC139" i="5"/>
  <c r="AD139" i="5" s="1"/>
  <c r="AC140" i="5"/>
  <c r="AC141" i="5"/>
  <c r="AC142" i="5"/>
  <c r="AC143" i="5"/>
  <c r="AC144" i="5"/>
  <c r="AC145" i="5"/>
  <c r="AC146" i="5"/>
  <c r="AC147" i="5"/>
  <c r="AD147" i="5" s="1"/>
  <c r="AC148" i="5"/>
  <c r="AC149" i="5"/>
  <c r="AC150" i="5"/>
  <c r="AC151" i="5"/>
  <c r="AC152" i="5"/>
  <c r="AC153" i="5"/>
  <c r="AC154" i="5"/>
  <c r="AD154" i="5" s="1"/>
  <c r="AC155" i="5"/>
  <c r="AD155" i="5" s="1"/>
  <c r="AC156" i="5"/>
  <c r="AC157" i="5"/>
  <c r="AC158" i="5"/>
  <c r="AC159" i="5"/>
  <c r="AC160" i="5"/>
  <c r="AC161" i="5"/>
  <c r="AC162" i="5"/>
  <c r="AE162" i="5" s="1"/>
  <c r="AC163" i="5"/>
  <c r="AD163" i="5" s="1"/>
  <c r="AC164" i="5"/>
  <c r="AC165" i="5"/>
  <c r="AC166" i="5"/>
  <c r="AC167" i="5"/>
  <c r="AC168" i="5"/>
  <c r="AC169" i="5"/>
  <c r="AC170" i="5"/>
  <c r="AE170" i="5" s="1"/>
  <c r="AC171" i="5"/>
  <c r="AD171" i="5" s="1"/>
  <c r="AC172" i="5"/>
  <c r="AC173" i="5"/>
  <c r="AC174" i="5"/>
  <c r="AC175" i="5"/>
  <c r="AC176" i="5"/>
  <c r="AC177" i="5"/>
  <c r="AC178" i="5"/>
  <c r="AE178" i="5" s="1"/>
  <c r="AC179" i="5"/>
  <c r="AD179" i="5" s="1"/>
  <c r="AC180" i="5"/>
  <c r="AC181" i="5"/>
  <c r="AC182" i="5"/>
  <c r="AC183" i="5"/>
  <c r="AC184" i="5"/>
  <c r="AC185" i="5"/>
  <c r="AC186" i="5"/>
  <c r="AE186" i="5" s="1"/>
  <c r="AC187" i="5"/>
  <c r="AE187" i="5" s="1"/>
  <c r="AC188" i="5"/>
  <c r="AC189" i="5"/>
  <c r="AC190" i="5"/>
  <c r="AC191" i="5"/>
  <c r="AC192" i="5"/>
  <c r="AC193" i="5"/>
  <c r="AC194" i="5"/>
  <c r="AD194" i="5" s="1"/>
  <c r="AC195" i="5"/>
  <c r="AD195" i="5" s="1"/>
  <c r="AC196" i="5"/>
  <c r="AC197" i="5"/>
  <c r="AC198" i="5"/>
  <c r="AC199" i="5"/>
  <c r="AC200" i="5"/>
  <c r="AC201" i="5"/>
  <c r="AC202" i="5"/>
  <c r="AE202" i="5" s="1"/>
  <c r="AC203" i="5"/>
  <c r="AD203" i="5" s="1"/>
  <c r="AC204" i="5"/>
  <c r="AC205" i="5"/>
  <c r="AC206" i="5"/>
  <c r="AC207" i="5"/>
  <c r="AC208" i="5"/>
  <c r="AC209" i="5"/>
  <c r="AC210" i="5"/>
  <c r="AE210" i="5" s="1"/>
  <c r="AC211" i="5"/>
  <c r="AD211" i="5" s="1"/>
  <c r="AC212" i="5"/>
  <c r="AC213" i="5"/>
  <c r="AC214" i="5"/>
  <c r="AC215" i="5"/>
  <c r="AC216" i="5"/>
  <c r="AC217" i="5"/>
  <c r="AC218" i="5"/>
  <c r="AE218" i="5" s="1"/>
  <c r="AC219" i="5"/>
  <c r="AE219" i="5" s="1"/>
  <c r="AC220" i="5"/>
  <c r="AC221" i="5"/>
  <c r="AC222" i="5"/>
  <c r="AC223" i="5"/>
  <c r="AC224" i="5"/>
  <c r="AC225" i="5"/>
  <c r="AC226" i="5"/>
  <c r="AE226" i="5" s="1"/>
  <c r="AC227" i="5"/>
  <c r="AE227" i="5" s="1"/>
  <c r="AC228" i="5"/>
  <c r="AC229" i="5"/>
  <c r="AC230" i="5"/>
  <c r="AC231" i="5"/>
  <c r="AC232" i="5"/>
  <c r="AC233" i="5"/>
  <c r="AC234" i="5"/>
  <c r="AC235" i="5"/>
  <c r="AD235" i="5" s="1"/>
  <c r="AC236" i="5"/>
  <c r="AC237" i="5"/>
  <c r="AC238" i="5"/>
  <c r="AC239" i="5"/>
  <c r="AC240" i="5"/>
  <c r="AC241" i="5"/>
  <c r="AC242" i="5"/>
  <c r="AE242" i="5" s="1"/>
  <c r="AC243" i="5"/>
  <c r="AD243" i="5" s="1"/>
  <c r="AC244" i="5"/>
  <c r="AC245" i="5"/>
  <c r="AC246" i="5"/>
  <c r="AC247" i="5"/>
  <c r="AC248" i="5"/>
  <c r="AC249" i="5"/>
  <c r="AC250" i="5"/>
  <c r="AD250" i="5" s="1"/>
  <c r="AC251" i="5"/>
  <c r="AD251" i="5" s="1"/>
  <c r="AC252" i="5"/>
  <c r="AC253" i="5"/>
  <c r="AC254" i="5"/>
  <c r="AC255" i="5"/>
  <c r="AC256" i="5"/>
  <c r="AC257" i="5"/>
  <c r="AC258" i="5"/>
  <c r="AD258" i="5" s="1"/>
  <c r="AC259" i="5"/>
  <c r="AE259" i="5" s="1"/>
  <c r="AC260" i="5"/>
  <c r="AC261" i="5"/>
  <c r="AC262" i="5"/>
  <c r="AC263" i="5"/>
  <c r="AC264" i="5"/>
  <c r="AC265" i="5"/>
  <c r="AC266" i="5"/>
  <c r="AD266" i="5" s="1"/>
  <c r="AC267" i="5"/>
  <c r="AD267" i="5" s="1"/>
  <c r="AC268" i="5"/>
  <c r="AC269" i="5"/>
  <c r="AC270" i="5"/>
  <c r="AC271" i="5"/>
  <c r="AC272" i="5"/>
  <c r="AC273" i="5"/>
  <c r="AC274" i="5"/>
  <c r="AC275" i="5"/>
  <c r="AD275" i="5" s="1"/>
  <c r="AC276" i="5"/>
  <c r="AC277" i="5"/>
  <c r="AC278" i="5"/>
  <c r="AC279" i="5"/>
  <c r="AC280" i="5"/>
  <c r="AC281" i="5"/>
  <c r="AC282" i="5"/>
  <c r="AE282" i="5" s="1"/>
  <c r="AC283" i="5"/>
  <c r="AD283" i="5" s="1"/>
  <c r="AC284" i="5"/>
  <c r="AC285" i="5"/>
  <c r="AC286" i="5"/>
  <c r="AC287" i="5"/>
  <c r="AC288" i="5"/>
  <c r="AC289" i="5"/>
  <c r="AC290" i="5"/>
  <c r="AD290" i="5" s="1"/>
  <c r="AC291" i="5"/>
  <c r="AD291" i="5" s="1"/>
  <c r="AC292" i="5"/>
  <c r="AC293" i="5"/>
  <c r="AC294" i="5"/>
  <c r="AC295" i="5"/>
  <c r="AC296" i="5"/>
  <c r="AC297" i="5"/>
  <c r="AC298" i="5"/>
  <c r="AD298" i="5" s="1"/>
  <c r="AC299" i="5"/>
  <c r="AD299" i="5" s="1"/>
  <c r="AC300" i="5"/>
  <c r="AC301" i="5"/>
  <c r="AC302" i="5"/>
  <c r="AC303" i="5"/>
  <c r="AC304" i="5"/>
  <c r="AC305" i="5"/>
  <c r="AC306" i="5"/>
  <c r="AD306" i="5" s="1"/>
  <c r="AC307" i="5"/>
  <c r="AE307" i="5" s="1"/>
  <c r="AC308" i="5"/>
  <c r="AC309" i="5"/>
  <c r="AC310" i="5"/>
  <c r="AC311" i="5"/>
  <c r="AC312" i="5"/>
  <c r="AC313" i="5"/>
  <c r="AC314" i="5"/>
  <c r="AD314" i="5" s="1"/>
  <c r="AC315" i="5"/>
  <c r="AE315" i="5" s="1"/>
  <c r="AC316" i="5"/>
  <c r="AC317" i="5"/>
  <c r="AC318" i="5"/>
  <c r="AC319" i="5"/>
  <c r="AC320" i="5"/>
  <c r="AC321" i="5"/>
  <c r="AC322" i="5"/>
  <c r="AD322" i="5" s="1"/>
  <c r="AC323" i="5"/>
  <c r="AE323" i="5" s="1"/>
  <c r="AC324" i="5"/>
  <c r="AC325" i="5"/>
  <c r="AC326" i="5"/>
  <c r="AC327" i="5"/>
  <c r="AC328" i="5"/>
  <c r="AC329" i="5"/>
  <c r="AC330" i="5"/>
  <c r="AD330" i="5" s="1"/>
  <c r="AC331" i="5"/>
  <c r="AE331" i="5" s="1"/>
  <c r="AC332" i="5"/>
  <c r="AC333" i="5"/>
  <c r="AC334" i="5"/>
  <c r="AC335" i="5"/>
  <c r="AC336" i="5"/>
  <c r="AC337" i="5"/>
  <c r="AC338" i="5"/>
  <c r="AD338" i="5" s="1"/>
  <c r="AC339" i="5"/>
  <c r="AE339" i="5" s="1"/>
  <c r="AC340" i="5"/>
  <c r="AC341" i="5"/>
  <c r="AC342" i="5"/>
  <c r="AC343" i="5"/>
  <c r="AC344" i="5"/>
  <c r="AC345" i="5"/>
  <c r="AC346" i="5"/>
  <c r="AC347" i="5"/>
  <c r="AD347" i="5" s="1"/>
  <c r="AC348" i="5"/>
  <c r="AC349" i="5"/>
  <c r="AC350" i="5"/>
  <c r="AC351" i="5"/>
  <c r="AC352" i="5"/>
  <c r="AC353" i="5"/>
  <c r="AC354" i="5"/>
  <c r="AC355" i="5"/>
  <c r="AE355" i="5" s="1"/>
  <c r="AC356" i="5"/>
  <c r="AC357" i="5"/>
  <c r="AC358" i="5"/>
  <c r="AC359" i="5"/>
  <c r="AC360" i="5"/>
  <c r="AC361" i="5"/>
  <c r="AC362" i="5"/>
  <c r="AD362" i="5" s="1"/>
  <c r="AC363" i="5"/>
  <c r="AD363" i="5" s="1"/>
  <c r="AC364" i="5"/>
  <c r="AC365" i="5"/>
  <c r="AC366" i="5"/>
  <c r="AC367" i="5"/>
  <c r="AC368" i="5"/>
  <c r="AC369" i="5"/>
  <c r="AC370" i="5"/>
  <c r="AC371" i="5"/>
  <c r="AD371" i="5" s="1"/>
  <c r="AC372" i="5"/>
  <c r="AC373" i="5"/>
  <c r="AC374" i="5"/>
  <c r="AC375" i="5"/>
  <c r="AC376" i="5"/>
  <c r="AC377" i="5"/>
  <c r="AC378" i="5"/>
  <c r="AD378" i="5" s="1"/>
  <c r="AC379" i="5"/>
  <c r="AD379" i="5" s="1"/>
  <c r="AC380" i="5"/>
  <c r="AC381" i="5"/>
  <c r="AC382" i="5"/>
  <c r="AC383" i="5"/>
  <c r="AC384" i="5"/>
  <c r="AC385" i="5"/>
  <c r="AC386" i="5"/>
  <c r="AD386" i="5" s="1"/>
  <c r="AC387" i="5"/>
  <c r="AE387" i="5" s="1"/>
  <c r="AC388" i="5"/>
  <c r="AC389" i="5"/>
  <c r="AC390" i="5"/>
  <c r="AC391" i="5"/>
  <c r="AC392" i="5"/>
  <c r="AC393" i="5"/>
  <c r="AC394" i="5"/>
  <c r="AD394" i="5" s="1"/>
  <c r="AC395" i="5"/>
  <c r="AD395" i="5" s="1"/>
  <c r="AC396" i="5"/>
  <c r="AC397" i="5"/>
  <c r="AC398" i="5"/>
  <c r="AC399" i="5"/>
  <c r="AC400" i="5"/>
  <c r="AC401" i="5"/>
  <c r="AC402" i="5"/>
  <c r="AD402" i="5" s="1"/>
  <c r="AC403" i="5"/>
  <c r="AE403" i="5" s="1"/>
  <c r="AC404" i="5"/>
  <c r="AC405" i="5"/>
  <c r="AC406" i="5"/>
  <c r="AC407" i="5"/>
  <c r="AC408" i="5"/>
  <c r="AC409" i="5"/>
  <c r="AC410" i="5"/>
  <c r="AD410" i="5" s="1"/>
  <c r="AC411" i="5"/>
  <c r="AD411" i="5" s="1"/>
  <c r="AC412" i="5"/>
  <c r="AC413" i="5"/>
  <c r="AC414" i="5"/>
  <c r="AC415" i="5"/>
  <c r="AC416" i="5"/>
  <c r="AC417" i="5"/>
  <c r="AC418" i="5"/>
  <c r="AD418" i="5" s="1"/>
  <c r="AC419" i="5"/>
  <c r="AD419" i="5" s="1"/>
  <c r="AC420" i="5"/>
  <c r="AC421" i="5"/>
  <c r="AC422" i="5"/>
  <c r="AC423" i="5"/>
  <c r="AC424" i="5"/>
  <c r="AC425" i="5"/>
  <c r="AC426" i="5"/>
  <c r="AD426" i="5" s="1"/>
  <c r="AC427" i="5"/>
  <c r="AD427" i="5" s="1"/>
  <c r="AC428" i="5"/>
  <c r="AC429" i="5"/>
  <c r="AC430" i="5"/>
  <c r="AC431" i="5"/>
  <c r="AC432" i="5"/>
  <c r="AC433" i="5"/>
  <c r="AC434" i="5"/>
  <c r="AD434" i="5" s="1"/>
  <c r="AC435" i="5"/>
  <c r="AD435" i="5" s="1"/>
  <c r="AC436" i="5"/>
  <c r="AC437" i="5"/>
  <c r="AC438" i="5"/>
  <c r="AC439" i="5"/>
  <c r="AC440" i="5"/>
  <c r="AC441" i="5"/>
  <c r="AC442" i="5"/>
  <c r="AE442" i="5" s="1"/>
  <c r="AC443" i="5"/>
  <c r="AD443" i="5" s="1"/>
  <c r="AC444" i="5"/>
  <c r="AC445" i="5"/>
  <c r="AC446" i="5"/>
  <c r="AC447" i="5"/>
  <c r="AC448" i="5"/>
  <c r="AC449" i="5"/>
  <c r="AC450" i="5"/>
  <c r="AE450" i="5" s="1"/>
  <c r="AC451" i="5"/>
  <c r="AE451" i="5" s="1"/>
  <c r="AC452" i="5"/>
  <c r="AC453" i="5"/>
  <c r="AC454" i="5"/>
  <c r="AC455" i="5"/>
  <c r="AC456" i="5"/>
  <c r="AC457" i="5"/>
  <c r="AC458" i="5"/>
  <c r="AE458" i="5" s="1"/>
  <c r="AC459" i="5"/>
  <c r="AD459" i="5" s="1"/>
  <c r="AC460" i="5"/>
  <c r="AC461" i="5"/>
  <c r="AC462" i="5"/>
  <c r="AC463" i="5"/>
  <c r="AC464" i="5"/>
  <c r="AC465" i="5"/>
  <c r="AC466" i="5"/>
  <c r="AD466" i="5" s="1"/>
  <c r="AC467" i="5"/>
  <c r="AE467" i="5" s="1"/>
  <c r="AC468" i="5"/>
  <c r="AC469" i="5"/>
  <c r="AC470" i="5"/>
  <c r="AC471" i="5"/>
  <c r="AC472" i="5"/>
  <c r="AC473" i="5"/>
  <c r="AC474" i="5"/>
  <c r="AE474" i="5" s="1"/>
  <c r="AC475" i="5"/>
  <c r="AD475" i="5" s="1"/>
  <c r="AC476" i="5"/>
  <c r="AC477" i="5"/>
  <c r="AC478" i="5"/>
  <c r="AC479" i="5"/>
  <c r="AC480" i="5"/>
  <c r="AC481" i="5"/>
  <c r="AC482" i="5"/>
  <c r="AD482" i="5" s="1"/>
  <c r="AC483" i="5"/>
  <c r="AD483" i="5" s="1"/>
  <c r="AC484" i="5"/>
  <c r="AC485" i="5"/>
  <c r="AC486" i="5"/>
  <c r="AC487" i="5"/>
  <c r="AC488" i="5"/>
  <c r="AC489" i="5"/>
  <c r="AC490" i="5"/>
  <c r="AD490" i="5" s="1"/>
  <c r="AC491" i="5"/>
  <c r="AE491" i="5" s="1"/>
  <c r="AC492" i="5"/>
  <c r="AC493" i="5"/>
  <c r="AC494" i="5"/>
  <c r="AC495" i="5"/>
  <c r="AC496" i="5"/>
  <c r="AC497" i="5"/>
  <c r="AC498" i="5"/>
  <c r="AE498" i="5" s="1"/>
  <c r="AC499" i="5"/>
  <c r="AD499" i="5" s="1"/>
  <c r="AC500" i="5"/>
  <c r="AC501" i="5"/>
  <c r="AC502" i="5"/>
  <c r="AC503" i="5"/>
  <c r="AC504" i="5"/>
  <c r="AC505" i="5"/>
  <c r="AC506" i="5"/>
  <c r="AD506" i="5" s="1"/>
  <c r="AC507" i="5"/>
  <c r="AE507" i="5" s="1"/>
  <c r="AC508" i="5"/>
  <c r="AC509" i="5"/>
  <c r="AC510" i="5"/>
  <c r="AC511" i="5"/>
  <c r="AC512" i="5"/>
  <c r="AC513" i="5"/>
  <c r="AC514" i="5"/>
  <c r="AD514" i="5" s="1"/>
  <c r="AC515" i="5"/>
  <c r="AD515" i="5" s="1"/>
  <c r="AC516" i="5"/>
  <c r="AC517" i="5"/>
  <c r="AC518" i="5"/>
  <c r="AC519" i="5"/>
  <c r="AC520" i="5"/>
  <c r="AC521" i="5"/>
  <c r="AC522" i="5"/>
  <c r="AD522" i="5" s="1"/>
  <c r="AC523" i="5"/>
  <c r="AD523" i="5" s="1"/>
  <c r="AC524" i="5"/>
  <c r="AC525" i="5"/>
  <c r="AC526" i="5"/>
  <c r="AC527" i="5"/>
  <c r="AC528" i="5"/>
  <c r="AC529" i="5"/>
  <c r="AC530" i="5"/>
  <c r="AE530" i="5" s="1"/>
  <c r="AC531" i="5"/>
  <c r="AD531" i="5" s="1"/>
  <c r="AC532" i="5"/>
  <c r="AC533" i="5"/>
  <c r="AC534" i="5"/>
  <c r="AC535" i="5"/>
  <c r="AC536" i="5"/>
  <c r="AC537" i="5"/>
  <c r="AC538" i="5"/>
  <c r="AD538" i="5" s="1"/>
  <c r="AC539" i="5"/>
  <c r="AD539" i="5" s="1"/>
  <c r="AC540" i="5"/>
  <c r="AC541" i="5"/>
  <c r="AC542" i="5"/>
  <c r="AC543" i="5"/>
  <c r="AC544" i="5"/>
  <c r="AC545" i="5"/>
  <c r="AC546" i="5"/>
  <c r="AC547" i="5"/>
  <c r="AD547" i="5" s="1"/>
  <c r="AC548" i="5"/>
  <c r="AC549" i="5"/>
  <c r="AC550" i="5"/>
  <c r="AE550" i="5" s="1"/>
  <c r="AC551" i="5"/>
  <c r="AC552" i="5"/>
  <c r="AC553" i="5"/>
  <c r="AC554" i="5"/>
  <c r="AD554" i="5" s="1"/>
  <c r="AC555" i="5"/>
  <c r="AD555" i="5" s="1"/>
  <c r="AC556" i="5"/>
  <c r="AC557" i="5"/>
  <c r="AC558" i="5"/>
  <c r="AE558" i="5" s="1"/>
  <c r="AC559" i="5"/>
  <c r="AC560" i="5"/>
  <c r="AC19" i="5"/>
  <c r="AE19" i="5" s="1"/>
  <c r="AE30" i="5"/>
  <c r="AD36" i="5"/>
  <c r="AD38" i="5"/>
  <c r="AE46" i="5"/>
  <c r="AD52" i="5"/>
  <c r="AD54" i="5"/>
  <c r="AE62" i="5"/>
  <c r="AD68" i="5"/>
  <c r="AD70" i="5"/>
  <c r="AE78" i="5"/>
  <c r="AD84" i="5"/>
  <c r="AD86" i="5"/>
  <c r="AE94" i="5"/>
  <c r="AD100" i="5"/>
  <c r="AD102" i="5"/>
  <c r="AE110" i="5"/>
  <c r="AD116" i="5"/>
  <c r="AE118" i="5"/>
  <c r="AE126" i="5"/>
  <c r="AD132" i="5"/>
  <c r="AE134" i="5"/>
  <c r="AE142" i="5"/>
  <c r="AD148" i="5"/>
  <c r="AE150" i="5"/>
  <c r="AE158" i="5"/>
  <c r="AD164" i="5"/>
  <c r="AE166" i="5"/>
  <c r="AE174" i="5"/>
  <c r="AD180" i="5"/>
  <c r="AE182" i="5"/>
  <c r="AE190" i="5"/>
  <c r="AD196" i="5"/>
  <c r="AE198" i="5"/>
  <c r="AE206" i="5"/>
  <c r="AD212" i="5"/>
  <c r="AE214" i="5"/>
  <c r="AE222" i="5"/>
  <c r="AD228" i="5"/>
  <c r="AE230" i="5"/>
  <c r="AE238" i="5"/>
  <c r="AD244" i="5"/>
  <c r="AE246" i="5"/>
  <c r="AE254" i="5"/>
  <c r="AD260" i="5"/>
  <c r="AE262" i="5"/>
  <c r="AE270" i="5"/>
  <c r="AD276" i="5"/>
  <c r="AE278" i="5"/>
  <c r="AE286" i="5"/>
  <c r="AD292" i="5"/>
  <c r="AE294" i="5"/>
  <c r="AE302" i="5"/>
  <c r="AD308" i="5"/>
  <c r="AE310" i="5"/>
  <c r="AE318" i="5"/>
  <c r="AD324" i="5"/>
  <c r="AE326" i="5"/>
  <c r="AD332" i="5"/>
  <c r="AE334" i="5"/>
  <c r="AD340" i="5"/>
  <c r="AE342" i="5"/>
  <c r="AD348" i="5"/>
  <c r="AE350" i="5"/>
  <c r="AD356" i="5"/>
  <c r="AE358" i="5"/>
  <c r="AD364" i="5"/>
  <c r="AE366" i="5"/>
  <c r="AD372" i="5"/>
  <c r="AD374" i="5"/>
  <c r="AE382" i="5"/>
  <c r="AE390" i="5"/>
  <c r="AD396" i="5"/>
  <c r="AE398" i="5"/>
  <c r="AD404" i="5"/>
  <c r="AD406" i="5"/>
  <c r="AE414" i="5"/>
  <c r="AE422" i="5"/>
  <c r="AD428" i="5"/>
  <c r="AE430" i="5"/>
  <c r="AD436" i="5"/>
  <c r="AD438" i="5"/>
  <c r="AE446" i="5"/>
  <c r="AE454" i="5"/>
  <c r="AD460" i="5"/>
  <c r="AD462" i="5"/>
  <c r="AD468" i="5"/>
  <c r="AE470" i="5"/>
  <c r="AD476" i="5"/>
  <c r="AE478" i="5"/>
  <c r="AD484" i="5"/>
  <c r="AD486" i="5"/>
  <c r="AE492" i="5"/>
  <c r="AE494" i="5"/>
  <c r="AD500" i="5"/>
  <c r="AE502" i="5"/>
  <c r="AE508" i="5"/>
  <c r="AE510" i="5"/>
  <c r="AD516" i="5"/>
  <c r="AE518" i="5"/>
  <c r="AD524" i="5"/>
  <c r="AE526" i="5"/>
  <c r="AD532" i="5"/>
  <c r="AD534" i="5"/>
  <c r="AE540" i="5"/>
  <c r="AE542" i="5"/>
  <c r="AD548" i="5"/>
  <c r="AD20" i="5"/>
  <c r="AD21" i="5"/>
  <c r="AE22" i="5"/>
  <c r="AD22" i="5"/>
  <c r="AD23" i="5"/>
  <c r="AE23" i="5"/>
  <c r="AD24" i="5"/>
  <c r="AE24" i="5"/>
  <c r="AD28" i="5"/>
  <c r="AD29" i="5"/>
  <c r="AD31" i="5"/>
  <c r="AE31" i="5"/>
  <c r="AD32" i="5"/>
  <c r="AE32" i="5"/>
  <c r="AE35" i="5"/>
  <c r="AD37" i="5"/>
  <c r="AE38" i="5"/>
  <c r="AD39" i="5"/>
  <c r="AE39" i="5"/>
  <c r="AD40" i="5"/>
  <c r="AE40" i="5"/>
  <c r="AD42" i="5"/>
  <c r="AE42" i="5"/>
  <c r="AD44" i="5"/>
  <c r="AD45" i="5"/>
  <c r="AD47" i="5"/>
  <c r="AE47" i="5"/>
  <c r="AD48" i="5"/>
  <c r="AE48" i="5"/>
  <c r="AD53" i="5"/>
  <c r="AE54" i="5"/>
  <c r="AD55" i="5"/>
  <c r="AE55" i="5"/>
  <c r="AD56" i="5"/>
  <c r="AE56" i="5"/>
  <c r="AD60" i="5"/>
  <c r="AD61" i="5"/>
  <c r="AD63" i="5"/>
  <c r="AE63" i="5"/>
  <c r="AD64" i="5"/>
  <c r="AE64" i="5"/>
  <c r="AE67" i="5"/>
  <c r="AD69" i="5"/>
  <c r="AE70" i="5"/>
  <c r="AD71" i="5"/>
  <c r="AE71" i="5"/>
  <c r="AD72" i="5"/>
  <c r="AE72" i="5"/>
  <c r="AE74" i="5"/>
  <c r="AD74" i="5"/>
  <c r="AD76" i="5"/>
  <c r="AD77" i="5"/>
  <c r="AD79" i="5"/>
  <c r="AE79" i="5"/>
  <c r="AD80" i="5"/>
  <c r="AE80" i="5"/>
  <c r="AD85" i="5"/>
  <c r="AE86" i="5"/>
  <c r="AD87" i="5"/>
  <c r="AE87" i="5"/>
  <c r="AD88" i="5"/>
  <c r="AE88" i="5"/>
  <c r="AD92" i="5"/>
  <c r="AD93" i="5"/>
  <c r="AD95" i="5"/>
  <c r="AE95" i="5"/>
  <c r="AD96" i="5"/>
  <c r="AE96" i="5"/>
  <c r="AE99" i="5"/>
  <c r="AD101" i="5"/>
  <c r="AE102" i="5"/>
  <c r="AD103" i="5"/>
  <c r="AE103" i="5"/>
  <c r="AD104" i="5"/>
  <c r="AE104" i="5"/>
  <c r="AE106" i="5"/>
  <c r="AD106" i="5"/>
  <c r="AD108" i="5"/>
  <c r="AD109" i="5"/>
  <c r="AD111" i="5"/>
  <c r="AE111" i="5"/>
  <c r="AD112" i="5"/>
  <c r="AE112" i="5"/>
  <c r="AD117" i="5"/>
  <c r="AD119" i="5"/>
  <c r="AE119" i="5"/>
  <c r="AD120" i="5"/>
  <c r="AE120" i="5"/>
  <c r="AD124" i="5"/>
  <c r="AD125" i="5"/>
  <c r="AD127" i="5"/>
  <c r="AE127" i="5"/>
  <c r="AD128" i="5"/>
  <c r="AE128" i="5"/>
  <c r="AD133" i="5"/>
  <c r="AD135" i="5"/>
  <c r="AE135" i="5"/>
  <c r="AD136" i="5"/>
  <c r="AE136" i="5"/>
  <c r="AE139" i="5"/>
  <c r="AD140" i="5"/>
  <c r="AD141" i="5"/>
  <c r="AD143" i="5"/>
  <c r="AE143" i="5"/>
  <c r="AD144" i="5"/>
  <c r="AE144" i="5"/>
  <c r="AE146" i="5"/>
  <c r="AD146" i="5"/>
  <c r="AD149" i="5"/>
  <c r="AD151" i="5"/>
  <c r="AE151" i="5"/>
  <c r="AD152" i="5"/>
  <c r="AE152" i="5"/>
  <c r="AE154" i="5"/>
  <c r="AD156" i="5"/>
  <c r="AD157" i="5"/>
  <c r="AD159" i="5"/>
  <c r="AE159" i="5"/>
  <c r="AD160" i="5"/>
  <c r="AE160" i="5"/>
  <c r="AD165" i="5"/>
  <c r="AD167" i="5"/>
  <c r="AE167" i="5"/>
  <c r="AD168" i="5"/>
  <c r="AE168" i="5"/>
  <c r="AD172" i="5"/>
  <c r="AD173" i="5"/>
  <c r="AD175" i="5"/>
  <c r="AE175" i="5"/>
  <c r="AD176" i="5"/>
  <c r="AE176" i="5"/>
  <c r="AE179" i="5"/>
  <c r="AD181" i="5"/>
  <c r="AD183" i="5"/>
  <c r="AE183" i="5"/>
  <c r="AD184" i="5"/>
  <c r="AE184" i="5"/>
  <c r="AD186" i="5"/>
  <c r="AD187" i="5"/>
  <c r="AD188" i="5"/>
  <c r="AD189" i="5"/>
  <c r="AD191" i="5"/>
  <c r="AE191" i="5"/>
  <c r="AD192" i="5"/>
  <c r="AE192" i="5"/>
  <c r="AE194" i="5"/>
  <c r="AD197" i="5"/>
  <c r="AD199" i="5"/>
  <c r="AE199" i="5"/>
  <c r="AD200" i="5"/>
  <c r="AE200" i="5"/>
  <c r="AD204" i="5"/>
  <c r="AD205" i="5"/>
  <c r="AD207" i="5"/>
  <c r="AE207" i="5"/>
  <c r="AD208" i="5"/>
  <c r="AE208" i="5"/>
  <c r="AD213" i="5"/>
  <c r="AD215" i="5"/>
  <c r="AE215" i="5"/>
  <c r="AD216" i="5"/>
  <c r="AE216" i="5"/>
  <c r="AD220" i="5"/>
  <c r="AD221" i="5"/>
  <c r="AD223" i="5"/>
  <c r="AE223" i="5"/>
  <c r="AD224" i="5"/>
  <c r="AE224" i="5"/>
  <c r="AD226" i="5"/>
  <c r="AD227" i="5"/>
  <c r="AD229" i="5"/>
  <c r="AD231" i="5"/>
  <c r="AE231" i="5"/>
  <c r="AD232" i="5"/>
  <c r="AE232" i="5"/>
  <c r="AE234" i="5"/>
  <c r="AD234" i="5"/>
  <c r="AD236" i="5"/>
  <c r="AD237" i="5"/>
  <c r="AD239" i="5"/>
  <c r="AE239" i="5"/>
  <c r="AD240" i="5"/>
  <c r="AE240" i="5"/>
  <c r="AD245" i="5"/>
  <c r="AD247" i="5"/>
  <c r="AE247" i="5"/>
  <c r="AD248" i="5"/>
  <c r="AE248" i="5"/>
  <c r="AD252" i="5"/>
  <c r="AD253" i="5"/>
  <c r="AD255" i="5"/>
  <c r="AE255" i="5"/>
  <c r="AD256" i="5"/>
  <c r="AE256" i="5"/>
  <c r="AD261" i="5"/>
  <c r="AD263" i="5"/>
  <c r="AE263" i="5"/>
  <c r="AD264" i="5"/>
  <c r="AE264" i="5"/>
  <c r="AE267" i="5"/>
  <c r="AD268" i="5"/>
  <c r="AD269" i="5"/>
  <c r="AD271" i="5"/>
  <c r="AE271" i="5"/>
  <c r="AD272" i="5"/>
  <c r="AE272" i="5"/>
  <c r="AD274" i="5"/>
  <c r="AE274" i="5"/>
  <c r="AD277" i="5"/>
  <c r="AD279" i="5"/>
  <c r="AE279" i="5"/>
  <c r="AD280" i="5"/>
  <c r="AE280" i="5"/>
  <c r="AD282" i="5"/>
  <c r="AD284" i="5"/>
  <c r="AD285" i="5"/>
  <c r="AD287" i="5"/>
  <c r="AE287" i="5"/>
  <c r="AD288" i="5"/>
  <c r="AE288" i="5"/>
  <c r="AD293" i="5"/>
  <c r="AD295" i="5"/>
  <c r="AE295" i="5"/>
  <c r="AD296" i="5"/>
  <c r="AE296" i="5"/>
  <c r="AD300" i="5"/>
  <c r="AD303" i="5"/>
  <c r="AE303" i="5"/>
  <c r="AD304" i="5"/>
  <c r="AE304" i="5"/>
  <c r="AD311" i="5"/>
  <c r="AE311" i="5"/>
  <c r="AD312" i="5"/>
  <c r="AE312" i="5"/>
  <c r="AD316" i="5"/>
  <c r="AD318" i="5"/>
  <c r="AD319" i="5"/>
  <c r="AE319" i="5"/>
  <c r="AD320" i="5"/>
  <c r="AE320" i="5"/>
  <c r="AE322" i="5"/>
  <c r="AD323" i="5"/>
  <c r="AD327" i="5"/>
  <c r="AE327" i="5"/>
  <c r="AD328" i="5"/>
  <c r="AE328" i="5"/>
  <c r="AE330" i="5"/>
  <c r="AD331" i="5"/>
  <c r="AD335" i="5"/>
  <c r="AE335" i="5"/>
  <c r="AD336" i="5"/>
  <c r="AE336" i="5"/>
  <c r="AE338" i="5"/>
  <c r="AD339" i="5"/>
  <c r="AE341" i="5"/>
  <c r="AD343" i="5"/>
  <c r="AE343" i="5"/>
  <c r="AD344" i="5"/>
  <c r="AE344" i="5"/>
  <c r="AD346" i="5"/>
  <c r="AE346" i="5"/>
  <c r="AD349" i="5"/>
  <c r="AD351" i="5"/>
  <c r="AE351" i="5"/>
  <c r="AD352" i="5"/>
  <c r="AD354" i="5"/>
  <c r="AE354" i="5"/>
  <c r="AE356" i="5"/>
  <c r="AE357" i="5"/>
  <c r="AD357" i="5"/>
  <c r="AD359" i="5"/>
  <c r="AE359" i="5"/>
  <c r="AD360" i="5"/>
  <c r="AE360" i="5"/>
  <c r="AD361" i="5"/>
  <c r="AE365" i="5"/>
  <c r="AD365" i="5"/>
  <c r="AD366" i="5"/>
  <c r="AD367" i="5"/>
  <c r="AE367" i="5"/>
  <c r="AD368" i="5"/>
  <c r="AE368" i="5"/>
  <c r="AD369" i="5"/>
  <c r="AD370" i="5"/>
  <c r="AE370" i="5"/>
  <c r="AE373" i="5"/>
  <c r="AD373" i="5"/>
  <c r="AD375" i="5"/>
  <c r="AE375" i="5"/>
  <c r="AD376" i="5"/>
  <c r="AE376" i="5"/>
  <c r="AD377" i="5"/>
  <c r="AD380" i="5"/>
  <c r="AE381" i="5"/>
  <c r="AD381" i="5"/>
  <c r="AD383" i="5"/>
  <c r="AE383" i="5"/>
  <c r="AD384" i="5"/>
  <c r="AE384" i="5"/>
  <c r="AD385" i="5"/>
  <c r="AE386" i="5"/>
  <c r="AD387" i="5"/>
  <c r="AD388" i="5"/>
  <c r="AE389" i="5"/>
  <c r="AD389" i="5"/>
  <c r="AD391" i="5"/>
  <c r="AE391" i="5"/>
  <c r="AD392" i="5"/>
  <c r="AE392" i="5"/>
  <c r="AD393" i="5"/>
  <c r="AE397" i="5"/>
  <c r="AD397" i="5"/>
  <c r="AD398" i="5"/>
  <c r="AD399" i="5"/>
  <c r="AE399" i="5"/>
  <c r="AD400" i="5"/>
  <c r="AE400" i="5"/>
  <c r="AD401" i="5"/>
  <c r="AE402" i="5"/>
  <c r="AD403" i="5"/>
  <c r="AE405" i="5"/>
  <c r="AD405" i="5"/>
  <c r="AD407" i="5"/>
  <c r="AE407" i="5"/>
  <c r="AD408" i="5"/>
  <c r="AE408" i="5"/>
  <c r="AD409" i="5"/>
  <c r="AD412" i="5"/>
  <c r="AE413" i="5"/>
  <c r="AD413" i="5"/>
  <c r="AD415" i="5"/>
  <c r="AE415" i="5"/>
  <c r="AD416" i="5"/>
  <c r="AE416" i="5"/>
  <c r="AD417" i="5"/>
  <c r="AE419" i="5"/>
  <c r="AD420" i="5"/>
  <c r="AE421" i="5"/>
  <c r="AD421" i="5"/>
  <c r="AD423" i="5"/>
  <c r="AE423" i="5"/>
  <c r="AD424" i="5"/>
  <c r="AE424" i="5"/>
  <c r="AD425" i="5"/>
  <c r="AE429" i="5"/>
  <c r="AD429" i="5"/>
  <c r="AD430" i="5"/>
  <c r="AD431" i="5"/>
  <c r="AE431" i="5"/>
  <c r="AD432" i="5"/>
  <c r="AE432" i="5"/>
  <c r="AD433" i="5"/>
  <c r="AE435" i="5"/>
  <c r="AE437" i="5"/>
  <c r="AD437" i="5"/>
  <c r="AD439" i="5"/>
  <c r="AE439" i="5"/>
  <c r="AD440" i="5"/>
  <c r="AE440" i="5"/>
  <c r="AD441" i="5"/>
  <c r="AD442" i="5"/>
  <c r="AD444" i="5"/>
  <c r="AE445" i="5"/>
  <c r="AD445" i="5"/>
  <c r="AD447" i="5"/>
  <c r="AE447" i="5"/>
  <c r="AD448" i="5"/>
  <c r="AE448" i="5"/>
  <c r="AD449" i="5"/>
  <c r="AD452" i="5"/>
  <c r="AE453" i="5"/>
  <c r="AD453" i="5"/>
  <c r="AD455" i="5"/>
  <c r="AE455" i="5"/>
  <c r="AD456" i="5"/>
  <c r="AE456" i="5"/>
  <c r="AD457" i="5"/>
  <c r="AD458" i="5"/>
  <c r="AE461" i="5"/>
  <c r="AD461" i="5"/>
  <c r="AE462" i="5"/>
  <c r="AD463" i="5"/>
  <c r="AE463" i="5"/>
  <c r="AD464" i="5"/>
  <c r="AE464" i="5"/>
  <c r="AD465" i="5"/>
  <c r="AE469" i="5"/>
  <c r="AD469" i="5"/>
  <c r="AD470" i="5"/>
  <c r="AD471" i="5"/>
  <c r="AE471" i="5"/>
  <c r="AD472" i="5"/>
  <c r="AE472" i="5"/>
  <c r="AD473" i="5"/>
  <c r="AD474" i="5"/>
  <c r="AE477" i="5"/>
  <c r="AD477" i="5"/>
  <c r="AD479" i="5"/>
  <c r="AE479" i="5"/>
  <c r="AD480" i="5"/>
  <c r="AE480" i="5"/>
  <c r="AD481" i="5"/>
  <c r="AE485" i="5"/>
  <c r="AD485" i="5"/>
  <c r="AD487" i="5"/>
  <c r="AE487" i="5"/>
  <c r="AD488" i="5"/>
  <c r="AE488" i="5"/>
  <c r="AD489" i="5"/>
  <c r="AE490" i="5"/>
  <c r="AD491" i="5"/>
  <c r="AD492" i="5"/>
  <c r="AE493" i="5"/>
  <c r="AD493" i="5"/>
  <c r="AD495" i="5"/>
  <c r="AE495" i="5"/>
  <c r="AD496" i="5"/>
  <c r="AE496" i="5"/>
  <c r="AD497" i="5"/>
  <c r="AE500" i="5"/>
  <c r="AE501" i="5"/>
  <c r="AD501" i="5"/>
  <c r="AD503" i="5"/>
  <c r="AE503" i="5"/>
  <c r="AD504" i="5"/>
  <c r="AE504" i="5"/>
  <c r="AD505" i="5"/>
  <c r="AE506" i="5"/>
  <c r="AD507" i="5"/>
  <c r="AD508" i="5"/>
  <c r="AE509" i="5"/>
  <c r="AD509" i="5"/>
  <c r="AD511" i="5"/>
  <c r="AE511" i="5"/>
  <c r="AD512" i="5"/>
  <c r="AE512" i="5"/>
  <c r="AD513" i="5"/>
  <c r="AE516" i="5"/>
  <c r="AE517" i="5"/>
  <c r="AD517" i="5"/>
  <c r="AD519" i="5"/>
  <c r="AE519" i="5"/>
  <c r="AD520" i="5"/>
  <c r="AD521" i="5"/>
  <c r="AE523" i="5"/>
  <c r="AE525" i="5"/>
  <c r="AD525" i="5"/>
  <c r="AD526" i="5"/>
  <c r="AD527" i="5"/>
  <c r="AE527" i="5"/>
  <c r="AD528" i="5"/>
  <c r="AD529" i="5"/>
  <c r="AD530" i="5"/>
  <c r="AE533" i="5"/>
  <c r="AD533" i="5"/>
  <c r="AD535" i="5"/>
  <c r="AE535" i="5"/>
  <c r="AD536" i="5"/>
  <c r="AE536" i="5"/>
  <c r="AD537" i="5"/>
  <c r="AD540" i="5"/>
  <c r="AE541" i="5"/>
  <c r="AD541" i="5"/>
  <c r="AD543" i="5"/>
  <c r="AE543" i="5"/>
  <c r="AD544" i="5"/>
  <c r="AE544" i="5"/>
  <c r="AD545" i="5"/>
  <c r="AD546" i="5"/>
  <c r="AE546" i="5"/>
  <c r="AE548" i="5"/>
  <c r="AE549" i="5"/>
  <c r="AD549" i="5"/>
  <c r="AD551" i="5"/>
  <c r="AE551" i="5"/>
  <c r="AD552" i="5"/>
  <c r="AE552" i="5"/>
  <c r="AD553" i="5"/>
  <c r="AD556" i="5"/>
  <c r="AE557" i="5"/>
  <c r="AD557" i="5"/>
  <c r="AD559" i="5"/>
  <c r="AE559" i="5"/>
  <c r="AD560" i="5"/>
  <c r="AE555" i="5" l="1"/>
  <c r="AE539" i="5"/>
  <c r="AE522" i="5"/>
  <c r="AE483" i="5"/>
  <c r="AD467" i="5"/>
  <c r="AD451" i="5"/>
  <c r="AE434" i="5"/>
  <c r="AE418" i="5"/>
  <c r="AE363" i="5"/>
  <c r="AD315" i="5"/>
  <c r="AD307" i="5"/>
  <c r="AE299" i="5"/>
  <c r="AE266" i="5"/>
  <c r="AD259" i="5"/>
  <c r="AD219" i="5"/>
  <c r="AE211" i="5"/>
  <c r="AD178" i="5"/>
  <c r="AE171" i="5"/>
  <c r="AD138" i="5"/>
  <c r="AD131" i="5"/>
  <c r="AD98" i="5"/>
  <c r="AE91" i="5"/>
  <c r="AD66" i="5"/>
  <c r="AE59" i="5"/>
  <c r="AE34" i="5"/>
  <c r="AE27" i="5"/>
  <c r="AE515" i="5"/>
  <c r="AE499" i="5"/>
  <c r="AE466" i="5"/>
  <c r="AE395" i="5"/>
  <c r="AE379" i="5"/>
  <c r="AE314" i="5"/>
  <c r="AE306" i="5"/>
  <c r="AE291" i="5"/>
  <c r="AE258" i="5"/>
  <c r="AE251" i="5"/>
  <c r="AD218" i="5"/>
  <c r="AE163" i="5"/>
  <c r="AD130" i="5"/>
  <c r="AE123" i="5"/>
  <c r="AE554" i="5"/>
  <c r="AE538" i="5"/>
  <c r="AE482" i="5"/>
  <c r="AD450" i="5"/>
  <c r="AE427" i="5"/>
  <c r="AE411" i="5"/>
  <c r="AE362" i="5"/>
  <c r="AE298" i="5"/>
  <c r="AE243" i="5"/>
  <c r="AD210" i="5"/>
  <c r="AE203" i="5"/>
  <c r="AD170" i="5"/>
  <c r="AE115" i="5"/>
  <c r="AD90" i="5"/>
  <c r="AE83" i="5"/>
  <c r="AE58" i="5"/>
  <c r="AE51" i="5"/>
  <c r="AE26" i="5"/>
  <c r="AE514" i="5"/>
  <c r="AE459" i="5"/>
  <c r="AE394" i="5"/>
  <c r="AE378" i="5"/>
  <c r="AE290" i="5"/>
  <c r="AE283" i="5"/>
  <c r="AE250" i="5"/>
  <c r="AE195" i="5"/>
  <c r="AD162" i="5"/>
  <c r="AE155" i="5"/>
  <c r="AD122" i="5"/>
  <c r="AE531" i="5"/>
  <c r="AE475" i="5"/>
  <c r="AE443" i="5"/>
  <c r="AE547" i="5"/>
  <c r="AD498" i="5"/>
  <c r="AE426" i="5"/>
  <c r="AE410" i="5"/>
  <c r="AE371" i="5"/>
  <c r="AD355" i="5"/>
  <c r="AE347" i="5"/>
  <c r="AE275" i="5"/>
  <c r="AD242" i="5"/>
  <c r="AE235" i="5"/>
  <c r="AD202" i="5"/>
  <c r="AE147" i="5"/>
  <c r="AD114" i="5"/>
  <c r="AE107" i="5"/>
  <c r="AD82" i="5"/>
  <c r="AE75" i="5"/>
  <c r="AE50" i="5"/>
  <c r="AE43" i="5"/>
  <c r="AD478" i="5"/>
  <c r="AD294" i="5"/>
  <c r="AD278" i="5"/>
  <c r="AD262" i="5"/>
  <c r="AD246" i="5"/>
  <c r="AD230" i="5"/>
  <c r="AD214" i="5"/>
  <c r="AD198" i="5"/>
  <c r="AD182" i="5"/>
  <c r="AD166" i="5"/>
  <c r="AD150" i="5"/>
  <c r="AD134" i="5"/>
  <c r="AD118" i="5"/>
  <c r="AD334" i="5"/>
  <c r="AD542" i="5"/>
  <c r="AE486" i="5"/>
  <c r="AE460" i="5"/>
  <c r="AE438" i="5"/>
  <c r="AE406" i="5"/>
  <c r="AE374" i="5"/>
  <c r="AD350" i="5"/>
  <c r="AD310" i="5"/>
  <c r="AE534" i="5"/>
  <c r="AD494" i="5"/>
  <c r="AE524" i="5"/>
  <c r="AE468" i="5"/>
  <c r="AD446" i="5"/>
  <c r="AD414" i="5"/>
  <c r="AD382" i="5"/>
  <c r="AD510" i="5"/>
  <c r="AD222" i="5"/>
  <c r="AD206" i="5"/>
  <c r="AD190" i="5"/>
  <c r="AD174" i="5"/>
  <c r="AD158" i="5"/>
  <c r="AD142" i="5"/>
  <c r="AD126" i="5"/>
  <c r="AD110" i="5"/>
  <c r="AD94" i="5"/>
  <c r="AD78" i="5"/>
  <c r="AD62" i="5"/>
  <c r="AD46" i="5"/>
  <c r="AD30" i="5"/>
  <c r="AD550" i="5"/>
  <c r="AD502" i="5"/>
  <c r="AE476" i="5"/>
  <c r="AD326" i="5"/>
  <c r="AD286" i="5"/>
  <c r="AD270" i="5"/>
  <c r="AD254" i="5"/>
  <c r="AD238" i="5"/>
  <c r="AD558" i="5"/>
  <c r="AE532" i="5"/>
  <c r="AD518" i="5"/>
  <c r="AE484" i="5"/>
  <c r="AD454" i="5"/>
  <c r="AD422" i="5"/>
  <c r="AD390" i="5"/>
  <c r="AD358" i="5"/>
  <c r="AD302" i="5"/>
  <c r="AD19" i="5"/>
  <c r="AD41" i="5"/>
  <c r="AE41" i="5"/>
  <c r="AE520" i="5"/>
  <c r="AD289" i="5"/>
  <c r="AE289" i="5"/>
  <c r="AD201" i="5"/>
  <c r="AE201" i="5"/>
  <c r="AD137" i="5"/>
  <c r="AE137" i="5"/>
  <c r="AD73" i="5"/>
  <c r="AE73" i="5"/>
  <c r="AD129" i="5"/>
  <c r="AE129" i="5"/>
  <c r="AD33" i="5"/>
  <c r="AE33" i="5"/>
  <c r="AE560" i="5"/>
  <c r="AE528" i="5"/>
  <c r="AD301" i="5"/>
  <c r="AE301" i="5"/>
  <c r="AD297" i="5"/>
  <c r="AE297" i="5"/>
  <c r="AD209" i="5"/>
  <c r="AE209" i="5"/>
  <c r="AD145" i="5"/>
  <c r="AE145" i="5"/>
  <c r="AD81" i="5"/>
  <c r="AE81" i="5"/>
  <c r="AD193" i="5"/>
  <c r="AE193" i="5"/>
  <c r="AD57" i="5"/>
  <c r="AE57" i="5"/>
  <c r="AD309" i="5"/>
  <c r="AE309" i="5"/>
  <c r="AD305" i="5"/>
  <c r="AE305" i="5"/>
  <c r="AD217" i="5"/>
  <c r="AE217" i="5"/>
  <c r="AD153" i="5"/>
  <c r="AE153" i="5"/>
  <c r="AD89" i="5"/>
  <c r="AE89" i="5"/>
  <c r="AD65" i="5"/>
  <c r="AE65" i="5"/>
  <c r="AD342" i="5"/>
  <c r="AD317" i="5"/>
  <c r="AE317" i="5"/>
  <c r="AD313" i="5"/>
  <c r="AE313" i="5"/>
  <c r="AD225" i="5"/>
  <c r="AE225" i="5"/>
  <c r="AD161" i="5"/>
  <c r="AE161" i="5"/>
  <c r="AD97" i="5"/>
  <c r="AE97" i="5"/>
  <c r="AE452" i="5"/>
  <c r="AE444" i="5"/>
  <c r="AE436" i="5"/>
  <c r="AE428" i="5"/>
  <c r="AE420" i="5"/>
  <c r="AE412" i="5"/>
  <c r="AE404" i="5"/>
  <c r="AE396" i="5"/>
  <c r="AE388" i="5"/>
  <c r="AE380" i="5"/>
  <c r="AE372" i="5"/>
  <c r="AE364" i="5"/>
  <c r="AD353" i="5"/>
  <c r="AE353" i="5"/>
  <c r="AE349" i="5"/>
  <c r="AD325" i="5"/>
  <c r="AE325" i="5"/>
  <c r="AD321" i="5"/>
  <c r="AE321" i="5"/>
  <c r="AD233" i="5"/>
  <c r="AE233" i="5"/>
  <c r="AD169" i="5"/>
  <c r="AE169" i="5"/>
  <c r="AD105" i="5"/>
  <c r="AE105" i="5"/>
  <c r="AD281" i="5"/>
  <c r="AE281" i="5"/>
  <c r="AD49" i="5"/>
  <c r="AE49" i="5"/>
  <c r="AE556" i="5"/>
  <c r="AE553" i="5"/>
  <c r="AE545" i="5"/>
  <c r="AE537" i="5"/>
  <c r="AE529" i="5"/>
  <c r="AE521" i="5"/>
  <c r="AE513" i="5"/>
  <c r="AE505" i="5"/>
  <c r="AE497" i="5"/>
  <c r="AE489" i="5"/>
  <c r="AE481" i="5"/>
  <c r="AE473" i="5"/>
  <c r="AE465" i="5"/>
  <c r="AE457" i="5"/>
  <c r="AE449" i="5"/>
  <c r="AE441" i="5"/>
  <c r="AE433" i="5"/>
  <c r="AE425" i="5"/>
  <c r="AE417" i="5"/>
  <c r="AE409" i="5"/>
  <c r="AE401" i="5"/>
  <c r="AE393" i="5"/>
  <c r="AE385" i="5"/>
  <c r="AE377" i="5"/>
  <c r="AE369" i="5"/>
  <c r="AE361" i="5"/>
  <c r="AE352" i="5"/>
  <c r="AD341" i="5"/>
  <c r="AD333" i="5"/>
  <c r="AE333" i="5"/>
  <c r="AD329" i="5"/>
  <c r="AE329" i="5"/>
  <c r="AD241" i="5"/>
  <c r="AE241" i="5"/>
  <c r="AD177" i="5"/>
  <c r="AE177" i="5"/>
  <c r="AD113" i="5"/>
  <c r="AE113" i="5"/>
  <c r="AD345" i="5"/>
  <c r="AE345" i="5"/>
  <c r="AD337" i="5"/>
  <c r="AE337" i="5"/>
  <c r="AD273" i="5"/>
  <c r="AE273" i="5"/>
  <c r="AD265" i="5"/>
  <c r="AE265" i="5"/>
  <c r="AD257" i="5"/>
  <c r="AE257" i="5"/>
  <c r="AD249" i="5"/>
  <c r="AE249" i="5"/>
  <c r="AD185" i="5"/>
  <c r="AE185" i="5"/>
  <c r="AD121" i="5"/>
  <c r="AE121" i="5"/>
  <c r="AD25" i="5"/>
  <c r="AE25" i="5"/>
  <c r="AE293" i="5"/>
  <c r="AE285" i="5"/>
  <c r="AE277" i="5"/>
  <c r="AE269" i="5"/>
  <c r="AE261" i="5"/>
  <c r="AE253" i="5"/>
  <c r="AE245" i="5"/>
  <c r="AE237" i="5"/>
  <c r="AE229" i="5"/>
  <c r="AE221" i="5"/>
  <c r="AE213" i="5"/>
  <c r="AE205" i="5"/>
  <c r="AE197" i="5"/>
  <c r="AE189" i="5"/>
  <c r="AE181" i="5"/>
  <c r="AE173" i="5"/>
  <c r="AE165" i="5"/>
  <c r="AE157" i="5"/>
  <c r="AE149" i="5"/>
  <c r="AE141" i="5"/>
  <c r="AE133" i="5"/>
  <c r="AE125" i="5"/>
  <c r="AE117" i="5"/>
  <c r="AE109" i="5"/>
  <c r="AE101" i="5"/>
  <c r="AE93" i="5"/>
  <c r="AE85" i="5"/>
  <c r="AE77" i="5"/>
  <c r="AE69" i="5"/>
  <c r="AE61" i="5"/>
  <c r="AE53" i="5"/>
  <c r="AE45" i="5"/>
  <c r="AE37" i="5"/>
  <c r="AE29" i="5"/>
  <c r="AE21" i="5"/>
  <c r="AE348" i="5"/>
  <c r="AE340" i="5"/>
  <c r="AE332" i="5"/>
  <c r="AE324" i="5"/>
  <c r="AE316" i="5"/>
  <c r="AE308" i="5"/>
  <c r="AE300" i="5"/>
  <c r="AE292" i="5"/>
  <c r="AE284" i="5"/>
  <c r="AE276" i="5"/>
  <c r="AE268" i="5"/>
  <c r="AE260" i="5"/>
  <c r="AE252" i="5"/>
  <c r="AE244" i="5"/>
  <c r="AE236" i="5"/>
  <c r="AE228" i="5"/>
  <c r="AE220" i="5"/>
  <c r="AE212" i="5"/>
  <c r="AE204" i="5"/>
  <c r="AE196" i="5"/>
  <c r="AE188" i="5"/>
  <c r="AE180" i="5"/>
  <c r="AE172" i="5"/>
  <c r="AE164" i="5"/>
  <c r="AE156" i="5"/>
  <c r="AE148" i="5"/>
  <c r="AE140" i="5"/>
  <c r="AE132" i="5"/>
  <c r="AE124" i="5"/>
  <c r="AE116" i="5"/>
  <c r="AE108" i="5"/>
  <c r="AE100" i="5"/>
  <c r="AE92" i="5"/>
  <c r="AE84" i="5"/>
  <c r="AE76" i="5"/>
  <c r="AE68" i="5"/>
  <c r="AE60" i="5"/>
  <c r="AE52" i="5"/>
  <c r="AE44" i="5"/>
  <c r="AE36" i="5"/>
  <c r="AE28" i="5"/>
  <c r="AE20" i="5"/>
  <c r="B97" i="2"/>
  <c r="B96" i="2"/>
  <c r="O37" i="5"/>
  <c r="G174" i="2" l="1"/>
  <c r="B5" i="6" l="1"/>
  <c r="H100" i="1" l="1"/>
  <c r="B132" i="2"/>
  <c r="B135" i="2" l="1"/>
  <c r="B136" i="2" s="1"/>
  <c r="B160" i="2" l="1"/>
  <c r="B157" i="2" l="1"/>
  <c r="B161" i="2" s="1"/>
  <c r="B151" i="2"/>
  <c r="B155" i="2" s="1"/>
  <c r="B148" i="2"/>
  <c r="E161" i="2" l="1"/>
  <c r="B156" i="2"/>
  <c r="E74" i="1" s="1"/>
  <c r="D74" i="1"/>
  <c r="B149" i="2"/>
  <c r="B74" i="1" s="1"/>
  <c r="A74" i="1"/>
  <c r="B126" i="2"/>
  <c r="G74" i="1" l="1"/>
  <c r="B165" i="2"/>
  <c r="G72" i="1" s="1"/>
  <c r="B164" i="2"/>
  <c r="B163" i="2"/>
  <c r="B166" i="2"/>
  <c r="B162" i="2"/>
  <c r="H74" i="1" s="1"/>
  <c r="G71" i="1" l="1"/>
  <c r="B168" i="2"/>
  <c r="B167" i="2"/>
  <c r="H73" i="1" s="1"/>
  <c r="B142" i="2" l="1"/>
  <c r="B141" i="2"/>
  <c r="B140" i="2"/>
  <c r="B178" i="2"/>
  <c r="B133" i="2"/>
  <c r="B123" i="2"/>
  <c r="B129" i="2"/>
  <c r="B143" i="2" l="1"/>
  <c r="H63" i="1" s="1"/>
  <c r="B82" i="2" l="1"/>
  <c r="B30" i="3" l="1"/>
  <c r="B22" i="2" l="1"/>
  <c r="E1" i="1" l="1"/>
  <c r="B176" i="2" l="1"/>
  <c r="B180" i="2" s="1"/>
  <c r="B179" i="2" s="1"/>
  <c r="B47" i="3"/>
  <c r="B171" i="2"/>
  <c r="B170" i="2"/>
  <c r="B175" i="2" s="1"/>
  <c r="B174" i="2"/>
  <c r="B173" i="2"/>
  <c r="G175" i="2" s="1"/>
  <c r="B172" i="2"/>
  <c r="B177" i="2" l="1"/>
  <c r="H79" i="1"/>
  <c r="H83" i="1"/>
  <c r="H84" i="1"/>
  <c r="H81" i="1"/>
  <c r="B119" i="2"/>
  <c r="B80" i="2" l="1"/>
  <c r="B28" i="3" l="1"/>
  <c r="B43" i="3" l="1"/>
  <c r="B316" i="2" l="1"/>
  <c r="B315" i="2"/>
  <c r="B8" i="2"/>
  <c r="H92" i="1" s="1"/>
  <c r="B12" i="2"/>
  <c r="B7" i="2"/>
  <c r="B10" i="2"/>
  <c r="B11" i="2" s="1"/>
  <c r="H13" i="1" s="1"/>
  <c r="B18" i="3"/>
  <c r="B306" i="2"/>
  <c r="B296" i="2"/>
  <c r="B308" i="2"/>
  <c r="B309" i="2"/>
  <c r="B310" i="2"/>
  <c r="B313" i="2"/>
  <c r="B307" i="2"/>
  <c r="B314" i="2"/>
  <c r="B41" i="2"/>
  <c r="B40" i="3"/>
  <c r="B62" i="5" s="1"/>
  <c r="AV37" i="5" s="1"/>
  <c r="B29" i="5"/>
  <c r="B53" i="3"/>
  <c r="B183" i="2"/>
  <c r="B297" i="2"/>
  <c r="B293" i="2"/>
  <c r="B292" i="2"/>
  <c r="B291" i="2"/>
  <c r="B290" i="2"/>
  <c r="B289" i="2"/>
  <c r="B185" i="2"/>
  <c r="B272" i="2"/>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B30" i="5"/>
  <c r="B56" i="5"/>
  <c r="B57" i="5"/>
  <c r="B277" i="2"/>
  <c r="B279" i="2"/>
  <c r="B60" i="5" s="1"/>
  <c r="B275" i="2"/>
  <c r="B114" i="2"/>
  <c r="B98" i="2"/>
  <c r="B92" i="2"/>
  <c r="B26" i="5"/>
  <c r="B50" i="2"/>
  <c r="B32" i="2"/>
  <c r="B20" i="3"/>
  <c r="B16" i="3"/>
  <c r="B9" i="2"/>
  <c r="B12" i="5" s="1"/>
  <c r="B109" i="2"/>
  <c r="H94" i="1" l="1"/>
  <c r="B21" i="2"/>
  <c r="B232" i="2"/>
  <c r="B20" i="2"/>
  <c r="H43" i="1" s="1"/>
  <c r="B18" i="2"/>
  <c r="H42" i="1" s="1"/>
  <c r="B19" i="2"/>
  <c r="H41" i="1" s="1"/>
  <c r="B25" i="5"/>
  <c r="B19" i="5"/>
  <c r="O8" i="5"/>
  <c r="AC8" i="5" s="1"/>
  <c r="T8" i="4"/>
  <c r="AT8" i="4" s="1"/>
  <c r="B191" i="2"/>
  <c r="B257" i="2"/>
  <c r="O7" i="5"/>
  <c r="AC7" i="5" s="1"/>
  <c r="B25" i="3"/>
  <c r="B26" i="3" s="1"/>
  <c r="B25" i="2" s="1"/>
  <c r="H17" i="1" s="1"/>
  <c r="R15" i="4"/>
  <c r="B16" i="5"/>
  <c r="P15" i="5" s="1"/>
  <c r="B228" i="2"/>
  <c r="B13" i="5"/>
  <c r="B225" i="2"/>
  <c r="B48" i="5"/>
  <c r="B222" i="2"/>
  <c r="B51" i="5"/>
  <c r="M8" i="4"/>
  <c r="B259" i="2"/>
  <c r="B262" i="2" s="1"/>
  <c r="R121" i="4"/>
  <c r="R78" i="4"/>
  <c r="R119" i="4"/>
  <c r="R74" i="4"/>
  <c r="R150" i="4"/>
  <c r="R108" i="4"/>
  <c r="R58" i="4"/>
  <c r="R111" i="4"/>
  <c r="R143" i="4"/>
  <c r="R100" i="4"/>
  <c r="R37" i="4"/>
  <c r="R152" i="4"/>
  <c r="R140" i="4"/>
  <c r="R97" i="4"/>
  <c r="R21" i="4"/>
  <c r="R59" i="4"/>
  <c r="R132" i="4"/>
  <c r="R89" i="4"/>
  <c r="R129" i="4"/>
  <c r="R87" i="4"/>
  <c r="T62" i="4"/>
  <c r="AT62" i="4" s="1"/>
  <c r="B11" i="5"/>
  <c r="J49" i="5"/>
  <c r="O9" i="4"/>
  <c r="T56" i="4"/>
  <c r="AT56" i="4" s="1"/>
  <c r="T70" i="4"/>
  <c r="AT70" i="4" s="1"/>
  <c r="T12" i="4"/>
  <c r="AT12" i="4" s="1"/>
  <c r="T9" i="4"/>
  <c r="AT9" i="4" s="1"/>
  <c r="T59" i="4"/>
  <c r="AT59" i="4" s="1"/>
  <c r="R151" i="4"/>
  <c r="R142" i="4"/>
  <c r="R130" i="4"/>
  <c r="R120" i="4"/>
  <c r="R110" i="4"/>
  <c r="R98" i="4"/>
  <c r="R88" i="4"/>
  <c r="R76" i="4"/>
  <c r="R29" i="4"/>
  <c r="R7" i="4"/>
  <c r="R149" i="4"/>
  <c r="R138" i="4"/>
  <c r="R128" i="4"/>
  <c r="R118" i="4"/>
  <c r="R106" i="4"/>
  <c r="R96" i="4"/>
  <c r="R86" i="4"/>
  <c r="R157" i="4"/>
  <c r="R148" i="4"/>
  <c r="R137" i="4"/>
  <c r="R127" i="4"/>
  <c r="R116" i="4"/>
  <c r="R105" i="4"/>
  <c r="R95" i="4"/>
  <c r="R84" i="4"/>
  <c r="R64" i="4"/>
  <c r="R55" i="4"/>
  <c r="R10" i="4"/>
  <c r="R156" i="4"/>
  <c r="R146" i="4"/>
  <c r="R136" i="4"/>
  <c r="R126" i="4"/>
  <c r="R114" i="4"/>
  <c r="R104" i="4"/>
  <c r="R94" i="4"/>
  <c r="R82" i="4"/>
  <c r="R63" i="4"/>
  <c r="R54" i="4"/>
  <c r="R154" i="4"/>
  <c r="R145" i="4"/>
  <c r="R135" i="4"/>
  <c r="R124" i="4"/>
  <c r="R113" i="4"/>
  <c r="R103" i="4"/>
  <c r="R92" i="4"/>
  <c r="R80" i="4"/>
  <c r="R62" i="4"/>
  <c r="R51" i="4"/>
  <c r="R153" i="4"/>
  <c r="R144" i="4"/>
  <c r="R134" i="4"/>
  <c r="R122" i="4"/>
  <c r="R112" i="4"/>
  <c r="R102" i="4"/>
  <c r="R90" i="4"/>
  <c r="R79" i="4"/>
  <c r="R47" i="4"/>
  <c r="R50" i="4"/>
  <c r="R141" i="4"/>
  <c r="R133" i="4"/>
  <c r="R125" i="4"/>
  <c r="R117" i="4"/>
  <c r="R109" i="4"/>
  <c r="R101" i="4"/>
  <c r="R93" i="4"/>
  <c r="R85" i="4"/>
  <c r="R75" i="4"/>
  <c r="R46" i="4"/>
  <c r="R43" i="4"/>
  <c r="R155" i="4"/>
  <c r="R147" i="4"/>
  <c r="R139" i="4"/>
  <c r="R131" i="4"/>
  <c r="R123" i="4"/>
  <c r="R115" i="4"/>
  <c r="R107" i="4"/>
  <c r="R99" i="4"/>
  <c r="R91" i="4"/>
  <c r="R83" i="4"/>
  <c r="R42" i="4"/>
  <c r="T139" i="4"/>
  <c r="AT139" i="4" s="1"/>
  <c r="T122" i="4"/>
  <c r="AT122" i="4" s="1"/>
  <c r="T138" i="4"/>
  <c r="AT138" i="4" s="1"/>
  <c r="T123" i="4"/>
  <c r="AT123" i="4" s="1"/>
  <c r="T154" i="4"/>
  <c r="AT154" i="4" s="1"/>
  <c r="T151" i="4"/>
  <c r="AT151" i="4" s="1"/>
  <c r="T146" i="4"/>
  <c r="AT146" i="4" s="1"/>
  <c r="T143" i="4"/>
  <c r="AT143" i="4" s="1"/>
  <c r="T134" i="4"/>
  <c r="AT134" i="4" s="1"/>
  <c r="T127" i="4"/>
  <c r="AT127" i="4" s="1"/>
  <c r="T118" i="4"/>
  <c r="AT118" i="4" s="1"/>
  <c r="T100" i="4"/>
  <c r="AT100" i="4" s="1"/>
  <c r="T93" i="4"/>
  <c r="AT93" i="4" s="1"/>
  <c r="T46" i="4"/>
  <c r="AT46" i="4" s="1"/>
  <c r="T40" i="4"/>
  <c r="AT40" i="4" s="1"/>
  <c r="T22" i="4"/>
  <c r="AT22" i="4" s="1"/>
  <c r="T155" i="4"/>
  <c r="AT155" i="4" s="1"/>
  <c r="T150" i="4"/>
  <c r="AT150" i="4" s="1"/>
  <c r="T147" i="4"/>
  <c r="AT147" i="4" s="1"/>
  <c r="T109" i="4"/>
  <c r="AT109" i="4" s="1"/>
  <c r="T84" i="4"/>
  <c r="AT84" i="4" s="1"/>
  <c r="T80" i="4"/>
  <c r="AT80" i="4" s="1"/>
  <c r="T76" i="4"/>
  <c r="AT76" i="4" s="1"/>
  <c r="T43" i="4"/>
  <c r="AT43" i="4" s="1"/>
  <c r="T37" i="4"/>
  <c r="AT37" i="4" s="1"/>
  <c r="T19" i="4"/>
  <c r="AT19" i="4" s="1"/>
  <c r="T7" i="4"/>
  <c r="AT7" i="4" s="1"/>
  <c r="T132" i="4"/>
  <c r="AT132" i="4" s="1"/>
  <c r="T129" i="4"/>
  <c r="AT129" i="4" s="1"/>
  <c r="T116" i="4"/>
  <c r="AT116" i="4" s="1"/>
  <c r="T113" i="4"/>
  <c r="AT113" i="4" s="1"/>
  <c r="T107" i="4"/>
  <c r="AT107" i="4" s="1"/>
  <c r="T91" i="4"/>
  <c r="AT91" i="4" s="1"/>
  <c r="T74" i="4"/>
  <c r="AT74" i="4" s="1"/>
  <c r="T64" i="4"/>
  <c r="AT64" i="4" s="1"/>
  <c r="T51" i="4"/>
  <c r="AT51" i="4" s="1"/>
  <c r="T33" i="4"/>
  <c r="AT33" i="4" s="1"/>
  <c r="T141" i="4"/>
  <c r="AT141" i="4" s="1"/>
  <c r="T136" i="4"/>
  <c r="AT136" i="4" s="1"/>
  <c r="T125" i="4"/>
  <c r="AT125" i="4" s="1"/>
  <c r="T120" i="4"/>
  <c r="AT120" i="4" s="1"/>
  <c r="T102" i="4"/>
  <c r="AT102" i="4" s="1"/>
  <c r="T86" i="4"/>
  <c r="AT86" i="4" s="1"/>
  <c r="T67" i="4"/>
  <c r="AT67" i="4" s="1"/>
  <c r="T54" i="4"/>
  <c r="AT54" i="4" s="1"/>
  <c r="T48" i="4"/>
  <c r="AT48" i="4" s="1"/>
  <c r="T26" i="4"/>
  <c r="AT26" i="4" s="1"/>
  <c r="T15" i="4"/>
  <c r="AT15" i="4" s="1"/>
  <c r="B64" i="5"/>
  <c r="B10" i="5"/>
  <c r="B63" i="5"/>
  <c r="B58" i="5"/>
  <c r="B65" i="5"/>
  <c r="AZ37" i="5" s="1"/>
  <c r="T156" i="4"/>
  <c r="AT156" i="4" s="1"/>
  <c r="T152" i="4"/>
  <c r="AT152" i="4" s="1"/>
  <c r="T148" i="4"/>
  <c r="AT148" i="4" s="1"/>
  <c r="T144" i="4"/>
  <c r="AT144" i="4" s="1"/>
  <c r="T137" i="4"/>
  <c r="AT137" i="4" s="1"/>
  <c r="T135" i="4"/>
  <c r="AT135" i="4" s="1"/>
  <c r="T130" i="4"/>
  <c r="AT130" i="4" s="1"/>
  <c r="T128" i="4"/>
  <c r="AT128" i="4" s="1"/>
  <c r="T121" i="4"/>
  <c r="AT121" i="4" s="1"/>
  <c r="T119" i="4"/>
  <c r="AT119" i="4" s="1"/>
  <c r="T114" i="4"/>
  <c r="AT114" i="4" s="1"/>
  <c r="T112" i="4"/>
  <c r="AT112" i="4" s="1"/>
  <c r="T105" i="4"/>
  <c r="AT105" i="4" s="1"/>
  <c r="T103" i="4"/>
  <c r="AT103" i="4" s="1"/>
  <c r="T98" i="4"/>
  <c r="AT98" i="4" s="1"/>
  <c r="T96" i="4"/>
  <c r="AT96" i="4" s="1"/>
  <c r="T89" i="4"/>
  <c r="AT89" i="4" s="1"/>
  <c r="T87" i="4"/>
  <c r="AT87" i="4" s="1"/>
  <c r="T82" i="4"/>
  <c r="AT82" i="4" s="1"/>
  <c r="T78" i="4"/>
  <c r="AT78" i="4" s="1"/>
  <c r="T73" i="4"/>
  <c r="AT73" i="4" s="1"/>
  <c r="T66" i="4"/>
  <c r="AT66" i="4" s="1"/>
  <c r="T61" i="4"/>
  <c r="AT61" i="4" s="1"/>
  <c r="T53" i="4"/>
  <c r="AT53" i="4" s="1"/>
  <c r="T45" i="4"/>
  <c r="AT45" i="4" s="1"/>
  <c r="T39" i="4"/>
  <c r="AT39" i="4" s="1"/>
  <c r="T36" i="4"/>
  <c r="AT36" i="4" s="1"/>
  <c r="T32" i="4"/>
  <c r="AT32" i="4" s="1"/>
  <c r="T29" i="4"/>
  <c r="AT29" i="4" s="1"/>
  <c r="T25" i="4"/>
  <c r="AT25" i="4" s="1"/>
  <c r="T18" i="4"/>
  <c r="AT18" i="4" s="1"/>
  <c r="T14" i="4"/>
  <c r="AT14" i="4" s="1"/>
  <c r="T11" i="4"/>
  <c r="AT11" i="4" s="1"/>
  <c r="T157" i="4"/>
  <c r="AT157" i="4" s="1"/>
  <c r="T153" i="4"/>
  <c r="AT153" i="4" s="1"/>
  <c r="T149" i="4"/>
  <c r="AT149" i="4" s="1"/>
  <c r="T145" i="4"/>
  <c r="AT145" i="4" s="1"/>
  <c r="T142" i="4"/>
  <c r="AT142" i="4" s="1"/>
  <c r="T140" i="4"/>
  <c r="AT140" i="4" s="1"/>
  <c r="T133" i="4"/>
  <c r="AT133" i="4" s="1"/>
  <c r="T131" i="4"/>
  <c r="AT131" i="4" s="1"/>
  <c r="T126" i="4"/>
  <c r="AT126" i="4" s="1"/>
  <c r="T124" i="4"/>
  <c r="AT124" i="4" s="1"/>
  <c r="T117" i="4"/>
  <c r="AT117" i="4" s="1"/>
  <c r="T115" i="4"/>
  <c r="AT115" i="4" s="1"/>
  <c r="T110" i="4"/>
  <c r="AT110" i="4" s="1"/>
  <c r="T108" i="4"/>
  <c r="AT108" i="4" s="1"/>
  <c r="T101" i="4"/>
  <c r="AT101" i="4" s="1"/>
  <c r="T99" i="4"/>
  <c r="AT99" i="4" s="1"/>
  <c r="T94" i="4"/>
  <c r="AT94" i="4" s="1"/>
  <c r="T92" i="4"/>
  <c r="AT92" i="4" s="1"/>
  <c r="T85" i="4"/>
  <c r="AT85" i="4" s="1"/>
  <c r="T83" i="4"/>
  <c r="AT83" i="4" s="1"/>
  <c r="T81" i="4"/>
  <c r="AT81" i="4" s="1"/>
  <c r="T77" i="4"/>
  <c r="AT77" i="4" s="1"/>
  <c r="T75" i="4"/>
  <c r="AT75" i="4" s="1"/>
  <c r="T72" i="4"/>
  <c r="AT72" i="4" s="1"/>
  <c r="T69" i="4"/>
  <c r="AT69" i="4" s="1"/>
  <c r="T65" i="4"/>
  <c r="AT65" i="4" s="1"/>
  <c r="T63" i="4"/>
  <c r="AT63" i="4" s="1"/>
  <c r="T60" i="4"/>
  <c r="AT60" i="4" s="1"/>
  <c r="T58" i="4"/>
  <c r="AT58" i="4" s="1"/>
  <c r="T55" i="4"/>
  <c r="AT55" i="4" s="1"/>
  <c r="T52" i="4"/>
  <c r="AT52" i="4" s="1"/>
  <c r="T50" i="4"/>
  <c r="AT50" i="4" s="1"/>
  <c r="T47" i="4"/>
  <c r="AT47" i="4" s="1"/>
  <c r="T44" i="4"/>
  <c r="AT44" i="4" s="1"/>
  <c r="T42" i="4"/>
  <c r="AT42" i="4" s="1"/>
  <c r="T38" i="4"/>
  <c r="AT38" i="4" s="1"/>
  <c r="T35" i="4"/>
  <c r="AT35" i="4" s="1"/>
  <c r="T31" i="4"/>
  <c r="AT31" i="4" s="1"/>
  <c r="T28" i="4"/>
  <c r="AT28" i="4" s="1"/>
  <c r="T24" i="4"/>
  <c r="AT24" i="4" s="1"/>
  <c r="T21" i="4"/>
  <c r="AT21" i="4" s="1"/>
  <c r="T17" i="4"/>
  <c r="AT17" i="4" s="1"/>
  <c r="T111" i="4"/>
  <c r="AT111" i="4" s="1"/>
  <c r="T106" i="4"/>
  <c r="AT106" i="4" s="1"/>
  <c r="T104" i="4"/>
  <c r="AT104" i="4" s="1"/>
  <c r="T97" i="4"/>
  <c r="AT97" i="4" s="1"/>
  <c r="T95" i="4"/>
  <c r="AT95" i="4" s="1"/>
  <c r="T90" i="4"/>
  <c r="AT90" i="4" s="1"/>
  <c r="T88" i="4"/>
  <c r="AT88" i="4" s="1"/>
  <c r="T79" i="4"/>
  <c r="AT79" i="4" s="1"/>
  <c r="T71" i="4"/>
  <c r="AT71" i="4" s="1"/>
  <c r="T68" i="4"/>
  <c r="AT68" i="4" s="1"/>
  <c r="T57" i="4"/>
  <c r="AT57" i="4" s="1"/>
  <c r="T49" i="4"/>
  <c r="AT49" i="4" s="1"/>
  <c r="T41" i="4"/>
  <c r="AT41" i="4" s="1"/>
  <c r="T34" i="4"/>
  <c r="AT34" i="4" s="1"/>
  <c r="T30" i="4"/>
  <c r="AT30" i="4" s="1"/>
  <c r="T27" i="4"/>
  <c r="AT27" i="4" s="1"/>
  <c r="T23" i="4"/>
  <c r="AT23" i="4" s="1"/>
  <c r="T20" i="4"/>
  <c r="AT20" i="4" s="1"/>
  <c r="T16" i="4"/>
  <c r="AT16" i="4" s="1"/>
  <c r="T13" i="4"/>
  <c r="AT13" i="4" s="1"/>
  <c r="T10" i="4"/>
  <c r="AT10" i="4" s="1"/>
  <c r="R72" i="4"/>
  <c r="R70" i="4"/>
  <c r="R68" i="4"/>
  <c r="R66" i="4"/>
  <c r="R23" i="4"/>
  <c r="R71" i="4"/>
  <c r="R67" i="4"/>
  <c r="R31" i="4"/>
  <c r="R8" i="4"/>
  <c r="B34" i="2"/>
  <c r="B35" i="2" s="1"/>
  <c r="R38" i="4"/>
  <c r="R33" i="4"/>
  <c r="R25" i="4"/>
  <c r="R17" i="4"/>
  <c r="R12" i="4"/>
  <c r="R40" i="4"/>
  <c r="R35" i="4"/>
  <c r="R27" i="4"/>
  <c r="R19" i="4"/>
  <c r="K8" i="2"/>
  <c r="E30" i="2"/>
  <c r="B59" i="5"/>
  <c r="B198" i="2"/>
  <c r="R60" i="4"/>
  <c r="R56" i="4"/>
  <c r="R52" i="4"/>
  <c r="R48" i="4"/>
  <c r="R44" i="4"/>
  <c r="R36" i="4"/>
  <c r="R34" i="4"/>
  <c r="R32" i="4"/>
  <c r="R30" i="4"/>
  <c r="R13" i="4"/>
  <c r="R11" i="4"/>
  <c r="R9" i="4"/>
  <c r="R81" i="4"/>
  <c r="R77" i="4"/>
  <c r="R73" i="4"/>
  <c r="R69" i="4"/>
  <c r="R65" i="4"/>
  <c r="R61" i="4"/>
  <c r="R57" i="4"/>
  <c r="R53" i="4"/>
  <c r="R49" i="4"/>
  <c r="R45" i="4"/>
  <c r="R41" i="4"/>
  <c r="R39" i="4"/>
  <c r="R28" i="4"/>
  <c r="R26" i="4"/>
  <c r="R24" i="4"/>
  <c r="R22" i="4"/>
  <c r="R20" i="4"/>
  <c r="R18" i="4"/>
  <c r="R16" i="4"/>
  <c r="R14" i="4"/>
  <c r="B24" i="2"/>
  <c r="AS10" i="4"/>
  <c r="AS34" i="4"/>
  <c r="AS46" i="4"/>
  <c r="AS54" i="4"/>
  <c r="AS58" i="4"/>
  <c r="AS66" i="4"/>
  <c r="AS74" i="4"/>
  <c r="AS82" i="4"/>
  <c r="AS90" i="4"/>
  <c r="AS98" i="4"/>
  <c r="AS102" i="4"/>
  <c r="AS110" i="4"/>
  <c r="AS118" i="4"/>
  <c r="AS126" i="4"/>
  <c r="AS134" i="4"/>
  <c r="AS142" i="4"/>
  <c r="AS150" i="4"/>
  <c r="AS7" i="4"/>
  <c r="AS148" i="4"/>
  <c r="AS11" i="4"/>
  <c r="AS15" i="4"/>
  <c r="AS19" i="4"/>
  <c r="AS23" i="4"/>
  <c r="AS27" i="4"/>
  <c r="AS31" i="4"/>
  <c r="AS35" i="4"/>
  <c r="AS39" i="4"/>
  <c r="AS43" i="4"/>
  <c r="AS47" i="4"/>
  <c r="AS51" i="4"/>
  <c r="AS55" i="4"/>
  <c r="AS59" i="4"/>
  <c r="AS63" i="4"/>
  <c r="AS67" i="4"/>
  <c r="AS71" i="4"/>
  <c r="AS75" i="4"/>
  <c r="AS79" i="4"/>
  <c r="AS83" i="4"/>
  <c r="AS87" i="4"/>
  <c r="AS91" i="4"/>
  <c r="AS95" i="4"/>
  <c r="AS99" i="4"/>
  <c r="AS103" i="4"/>
  <c r="AS107" i="4"/>
  <c r="AS111" i="4"/>
  <c r="AS115" i="4"/>
  <c r="AS119" i="4"/>
  <c r="AS123" i="4"/>
  <c r="AS127" i="4"/>
  <c r="AS131" i="4"/>
  <c r="AS135" i="4"/>
  <c r="AS139" i="4"/>
  <c r="AS143" i="4"/>
  <c r="AS147" i="4"/>
  <c r="AS151" i="4"/>
  <c r="AS155" i="4"/>
  <c r="AS12" i="4"/>
  <c r="AS16" i="4"/>
  <c r="AS20" i="4"/>
  <c r="AS24" i="4"/>
  <c r="AS28" i="4"/>
  <c r="AS36" i="4"/>
  <c r="AS40" i="4"/>
  <c r="AS48" i="4"/>
  <c r="AS56" i="4"/>
  <c r="AS60" i="4"/>
  <c r="AS68" i="4"/>
  <c r="AS76" i="4"/>
  <c r="AS84" i="4"/>
  <c r="AS88" i="4"/>
  <c r="AS96" i="4"/>
  <c r="AS104" i="4"/>
  <c r="AS108" i="4"/>
  <c r="AS116" i="4"/>
  <c r="AS124" i="4"/>
  <c r="AS128" i="4"/>
  <c r="AS136" i="4"/>
  <c r="AS152" i="4"/>
  <c r="AS8" i="4"/>
  <c r="AS32" i="4"/>
  <c r="AS44" i="4"/>
  <c r="AS52" i="4"/>
  <c r="AS64" i="4"/>
  <c r="AS72" i="4"/>
  <c r="AS80" i="4"/>
  <c r="AS92" i="4"/>
  <c r="AS100" i="4"/>
  <c r="AS112" i="4"/>
  <c r="AS120" i="4"/>
  <c r="AS132" i="4"/>
  <c r="AS144" i="4"/>
  <c r="AS9" i="4"/>
  <c r="AS13" i="4"/>
  <c r="AS17" i="4"/>
  <c r="AS21" i="4"/>
  <c r="AS25" i="4"/>
  <c r="AS29" i="4"/>
  <c r="AS33" i="4"/>
  <c r="AS37" i="4"/>
  <c r="AS41" i="4"/>
  <c r="AS45" i="4"/>
  <c r="AS49" i="4"/>
  <c r="AS53" i="4"/>
  <c r="AS57" i="4"/>
  <c r="AS61" i="4"/>
  <c r="AS65" i="4"/>
  <c r="AS69" i="4"/>
  <c r="AS73" i="4"/>
  <c r="AS77" i="4"/>
  <c r="AS81" i="4"/>
  <c r="AS85" i="4"/>
  <c r="AS89" i="4"/>
  <c r="AS93" i="4"/>
  <c r="AS97" i="4"/>
  <c r="AS101" i="4"/>
  <c r="AS105" i="4"/>
  <c r="AS109" i="4"/>
  <c r="AS113" i="4"/>
  <c r="AS117" i="4"/>
  <c r="AS121" i="4"/>
  <c r="AS125" i="4"/>
  <c r="AS129" i="4"/>
  <c r="AS133" i="4"/>
  <c r="AS137" i="4"/>
  <c r="AS141" i="4"/>
  <c r="AS145" i="4"/>
  <c r="AS149" i="4"/>
  <c r="AS153" i="4"/>
  <c r="AS157" i="4"/>
  <c r="AS14" i="4"/>
  <c r="AS18" i="4"/>
  <c r="AS22" i="4"/>
  <c r="AS26" i="4"/>
  <c r="AS30" i="4"/>
  <c r="AS38" i="4"/>
  <c r="AS42" i="4"/>
  <c r="AS50" i="4"/>
  <c r="AS62" i="4"/>
  <c r="AS70" i="4"/>
  <c r="AS78" i="4"/>
  <c r="AS86" i="4"/>
  <c r="AS94" i="4"/>
  <c r="AS106" i="4"/>
  <c r="AS114" i="4"/>
  <c r="AS122" i="4"/>
  <c r="AS130" i="4"/>
  <c r="AS138" i="4"/>
  <c r="AS146" i="4"/>
  <c r="AS154" i="4"/>
  <c r="AS140" i="4"/>
  <c r="AS156" i="4"/>
  <c r="B27" i="2" l="1"/>
  <c r="G22" i="1" s="1"/>
  <c r="AE7" i="5"/>
  <c r="AD7" i="5"/>
  <c r="AD8" i="5"/>
  <c r="AE8" i="5"/>
  <c r="BC20" i="5"/>
  <c r="BC37" i="5"/>
  <c r="AW36" i="5"/>
  <c r="AX36" i="5" s="1"/>
  <c r="AW37" i="5"/>
  <c r="BA37" i="5"/>
  <c r="BB37" i="5"/>
  <c r="B186" i="2"/>
  <c r="H89" i="1" s="1"/>
  <c r="AZ7" i="5"/>
  <c r="BA7" i="5" s="1"/>
  <c r="AW29" i="5"/>
  <c r="AY29" i="5" s="1"/>
  <c r="AW142" i="5"/>
  <c r="AY142" i="5" s="1"/>
  <c r="AW96" i="5"/>
  <c r="AY96" i="5" s="1"/>
  <c r="AW270" i="5"/>
  <c r="AX270" i="5" s="1"/>
  <c r="AW33" i="5"/>
  <c r="AY33" i="5" s="1"/>
  <c r="AW46" i="5"/>
  <c r="AY46" i="5" s="1"/>
  <c r="AW273" i="5"/>
  <c r="AX273" i="5" s="1"/>
  <c r="AW41" i="5"/>
  <c r="AY41" i="5" s="1"/>
  <c r="AW299" i="5"/>
  <c r="AY299" i="5" s="1"/>
  <c r="AW286" i="5"/>
  <c r="AY286" i="5" s="1"/>
  <c r="AW283" i="5"/>
  <c r="AX283" i="5" s="1"/>
  <c r="AW159" i="5"/>
  <c r="AY159" i="5" s="1"/>
  <c r="AW229" i="5"/>
  <c r="AX229" i="5" s="1"/>
  <c r="AW190" i="5"/>
  <c r="AX190" i="5" s="1"/>
  <c r="AW177" i="5"/>
  <c r="AX177" i="5" s="1"/>
  <c r="AW291" i="5"/>
  <c r="AY291" i="5" s="1"/>
  <c r="AW238" i="5"/>
  <c r="AY238" i="5" s="1"/>
  <c r="AW84" i="5"/>
  <c r="AX84" i="5" s="1"/>
  <c r="AW89" i="5"/>
  <c r="AY89" i="5" s="1"/>
  <c r="AW246" i="5"/>
  <c r="AY246" i="5" s="1"/>
  <c r="AW7" i="5"/>
  <c r="AY7" i="5" s="1"/>
  <c r="AW44" i="5"/>
  <c r="AY44" i="5" s="1"/>
  <c r="AW328" i="5"/>
  <c r="AY328" i="5" s="1"/>
  <c r="AW314" i="5"/>
  <c r="AY314" i="5" s="1"/>
  <c r="AW221" i="5"/>
  <c r="AY221" i="5" s="1"/>
  <c r="AW176" i="5"/>
  <c r="AX176" i="5" s="1"/>
  <c r="AW131" i="5"/>
  <c r="AX131" i="5" s="1"/>
  <c r="AW118" i="5"/>
  <c r="AX118" i="5" s="1"/>
  <c r="AW79" i="5"/>
  <c r="AY79" i="5" s="1"/>
  <c r="AW23" i="5"/>
  <c r="AX23" i="5" s="1"/>
  <c r="AW335" i="5"/>
  <c r="AY335" i="5" s="1"/>
  <c r="AW297" i="5"/>
  <c r="AY297" i="5" s="1"/>
  <c r="AW280" i="5"/>
  <c r="AY280" i="5" s="1"/>
  <c r="AW181" i="5"/>
  <c r="AX181" i="5" s="1"/>
  <c r="AW28" i="5"/>
  <c r="AY28" i="5" s="1"/>
  <c r="AW316" i="5"/>
  <c r="AY316" i="5" s="1"/>
  <c r="AW301" i="5"/>
  <c r="AX301" i="5" s="1"/>
  <c r="AW195" i="5"/>
  <c r="AY195" i="5" s="1"/>
  <c r="AW199" i="5"/>
  <c r="AY199" i="5" s="1"/>
  <c r="AW187" i="5"/>
  <c r="AX187" i="5" s="1"/>
  <c r="AW92" i="5"/>
  <c r="AY92" i="5" s="1"/>
  <c r="AW103" i="5"/>
  <c r="AX103" i="5" s="1"/>
  <c r="AW65" i="5"/>
  <c r="AX65" i="5" s="1"/>
  <c r="AW307" i="5"/>
  <c r="AX307" i="5" s="1"/>
  <c r="AW282" i="5"/>
  <c r="AX282" i="5" s="1"/>
  <c r="AW249" i="5"/>
  <c r="AX249" i="5" s="1"/>
  <c r="AW173" i="5"/>
  <c r="AX173" i="5" s="1"/>
  <c r="AW38" i="5"/>
  <c r="AY38" i="5" s="1"/>
  <c r="AW32" i="5"/>
  <c r="AY32" i="5" s="1"/>
  <c r="AW276" i="5"/>
  <c r="AX276" i="5" s="1"/>
  <c r="AW257" i="5"/>
  <c r="AX257" i="5" s="1"/>
  <c r="AW211" i="5"/>
  <c r="AX211" i="5" s="1"/>
  <c r="AW160" i="5"/>
  <c r="AX160" i="5" s="1"/>
  <c r="AW135" i="5"/>
  <c r="AX135" i="5" s="1"/>
  <c r="AW141" i="5"/>
  <c r="AY141" i="5" s="1"/>
  <c r="AW78" i="5"/>
  <c r="AY78" i="5" s="1"/>
  <c r="AW25" i="5"/>
  <c r="AY25" i="5" s="1"/>
  <c r="AW259" i="5"/>
  <c r="AX259" i="5" s="1"/>
  <c r="AW205" i="5"/>
  <c r="AX205" i="5" s="1"/>
  <c r="AW248" i="5"/>
  <c r="AX248" i="5" s="1"/>
  <c r="AW21" i="5"/>
  <c r="AX21" i="5" s="1"/>
  <c r="AW153" i="5"/>
  <c r="AY153" i="5" s="1"/>
  <c r="AW54" i="5"/>
  <c r="AX54" i="5" s="1"/>
  <c r="AW24" i="5"/>
  <c r="AY24" i="5" s="1"/>
  <c r="AW250" i="5"/>
  <c r="AX250" i="5" s="1"/>
  <c r="AW251" i="5"/>
  <c r="AY251" i="5" s="1"/>
  <c r="AW164" i="5"/>
  <c r="AY164" i="5" s="1"/>
  <c r="AW133" i="5"/>
  <c r="AY133" i="5" s="1"/>
  <c r="AW110" i="5"/>
  <c r="AY110" i="5" s="1"/>
  <c r="AW121" i="5"/>
  <c r="AX121" i="5" s="1"/>
  <c r="AW55" i="5"/>
  <c r="AX55" i="5" s="1"/>
  <c r="AW47" i="5"/>
  <c r="AX47" i="5" s="1"/>
  <c r="AW200" i="5"/>
  <c r="AY200" i="5" s="1"/>
  <c r="AW322" i="5"/>
  <c r="AX322" i="5" s="1"/>
  <c r="AW234" i="5"/>
  <c r="AX234" i="5" s="1"/>
  <c r="AW175" i="5"/>
  <c r="AY175" i="5" s="1"/>
  <c r="AW93" i="5"/>
  <c r="AY93" i="5" s="1"/>
  <c r="AW271" i="5"/>
  <c r="AX271" i="5" s="1"/>
  <c r="AW243" i="5"/>
  <c r="AX243" i="5" s="1"/>
  <c r="AW53" i="5"/>
  <c r="AX53" i="5" s="1"/>
  <c r="AW42" i="5"/>
  <c r="AX42" i="5" s="1"/>
  <c r="AW210" i="5"/>
  <c r="AX210" i="5" s="1"/>
  <c r="AW240" i="5"/>
  <c r="AY240" i="5" s="1"/>
  <c r="AW239" i="5"/>
  <c r="AX239" i="5" s="1"/>
  <c r="AW182" i="5"/>
  <c r="AY182" i="5" s="1"/>
  <c r="AW139" i="5"/>
  <c r="AX139" i="5" s="1"/>
  <c r="AW100" i="5"/>
  <c r="AY100" i="5" s="1"/>
  <c r="AW69" i="5"/>
  <c r="AY69" i="5" s="1"/>
  <c r="AW34" i="5"/>
  <c r="AY34" i="5" s="1"/>
  <c r="AW327" i="5"/>
  <c r="AX327" i="5" s="1"/>
  <c r="AW312" i="5"/>
  <c r="AX312" i="5" s="1"/>
  <c r="AW189" i="5"/>
  <c r="AY189" i="5" s="1"/>
  <c r="AW30" i="5"/>
  <c r="AY30" i="5" s="1"/>
  <c r="AW237" i="5"/>
  <c r="AY237" i="5" s="1"/>
  <c r="AW324" i="5"/>
  <c r="AY324" i="5" s="1"/>
  <c r="AW233" i="5"/>
  <c r="AX233" i="5" s="1"/>
  <c r="AW218" i="5"/>
  <c r="AX218" i="5" s="1"/>
  <c r="AW165" i="5"/>
  <c r="AX165" i="5" s="1"/>
  <c r="AW130" i="5"/>
  <c r="AX130" i="5" s="1"/>
  <c r="AW91" i="5"/>
  <c r="AY91" i="5" s="1"/>
  <c r="AW66" i="5"/>
  <c r="AY66" i="5" s="1"/>
  <c r="AW39" i="5"/>
  <c r="AY39" i="5" s="1"/>
  <c r="AW311" i="5"/>
  <c r="AX311" i="5" s="1"/>
  <c r="AW295" i="5"/>
  <c r="AX295" i="5" s="1"/>
  <c r="AW111" i="5"/>
  <c r="AY111" i="5" s="1"/>
  <c r="AW126" i="5"/>
  <c r="AX126" i="5" s="1"/>
  <c r="BC290" i="5"/>
  <c r="BD290" i="5" s="1"/>
  <c r="AW115" i="5"/>
  <c r="AX115" i="5" s="1"/>
  <c r="AW87" i="5"/>
  <c r="AY87" i="5" s="1"/>
  <c r="AW52" i="5"/>
  <c r="AX52" i="5" s="1"/>
  <c r="AW265" i="5"/>
  <c r="AX265" i="5" s="1"/>
  <c r="AW224" i="5"/>
  <c r="AX224" i="5" s="1"/>
  <c r="AW172" i="5"/>
  <c r="AY172" i="5" s="1"/>
  <c r="AW150" i="5"/>
  <c r="AX150" i="5" s="1"/>
  <c r="AW71" i="5"/>
  <c r="AX71" i="5" s="1"/>
  <c r="AW90" i="5"/>
  <c r="AX90" i="5" s="1"/>
  <c r="AW51" i="5"/>
  <c r="AY51" i="5" s="1"/>
  <c r="AW255" i="5"/>
  <c r="AY255" i="5" s="1"/>
  <c r="AW209" i="5"/>
  <c r="AX209" i="5" s="1"/>
  <c r="AW157" i="5"/>
  <c r="AX157" i="5" s="1"/>
  <c r="AW129" i="5"/>
  <c r="AY129" i="5" s="1"/>
  <c r="AW136" i="5"/>
  <c r="AY136" i="5" s="1"/>
  <c r="AW77" i="5"/>
  <c r="AX77" i="5" s="1"/>
  <c r="AW31" i="5"/>
  <c r="AX31" i="5" s="1"/>
  <c r="AW138" i="5"/>
  <c r="AY138" i="5" s="1"/>
  <c r="AW83" i="5"/>
  <c r="AX83" i="5" s="1"/>
  <c r="AW22" i="5"/>
  <c r="AX22" i="5" s="1"/>
  <c r="AW8" i="5"/>
  <c r="AY8" i="5" s="1"/>
  <c r="AW230" i="5"/>
  <c r="AY230" i="5" s="1"/>
  <c r="AW215" i="5"/>
  <c r="AX215" i="5" s="1"/>
  <c r="AW163" i="5"/>
  <c r="AX163" i="5" s="1"/>
  <c r="AW122" i="5"/>
  <c r="AX122" i="5" s="1"/>
  <c r="AW88" i="5"/>
  <c r="AX88" i="5" s="1"/>
  <c r="AW63" i="5"/>
  <c r="AX63" i="5" s="1"/>
  <c r="AW217" i="5"/>
  <c r="AX217" i="5" s="1"/>
  <c r="AW154" i="5"/>
  <c r="AY154" i="5" s="1"/>
  <c r="AW128" i="5"/>
  <c r="AY128" i="5" s="1"/>
  <c r="AW109" i="5"/>
  <c r="AY109" i="5" s="1"/>
  <c r="AW75" i="5"/>
  <c r="AY75" i="5" s="1"/>
  <c r="AW20" i="5"/>
  <c r="AX20" i="5" s="1"/>
  <c r="AW191" i="5"/>
  <c r="AY191" i="5" s="1"/>
  <c r="AW198" i="5"/>
  <c r="AX198" i="5" s="1"/>
  <c r="AW183" i="5"/>
  <c r="AY183" i="5" s="1"/>
  <c r="AW156" i="5"/>
  <c r="AY156" i="5" s="1"/>
  <c r="AW102" i="5"/>
  <c r="AY102" i="5" s="1"/>
  <c r="AW62" i="5"/>
  <c r="AX62" i="5" s="1"/>
  <c r="BC24" i="5"/>
  <c r="BD24" i="5" s="1"/>
  <c r="BC173" i="5"/>
  <c r="BE173" i="5" s="1"/>
  <c r="BC66" i="5"/>
  <c r="BD66" i="5" s="1"/>
  <c r="BC303" i="5"/>
  <c r="BE303" i="5" s="1"/>
  <c r="BC60" i="5"/>
  <c r="BE60" i="5" s="1"/>
  <c r="AW43" i="5"/>
  <c r="AX43" i="5" s="1"/>
  <c r="BC139" i="5"/>
  <c r="BD139" i="5" s="1"/>
  <c r="BC126" i="5"/>
  <c r="BE126" i="5" s="1"/>
  <c r="BC194" i="5"/>
  <c r="BE194" i="5" s="1"/>
  <c r="BC299" i="5"/>
  <c r="BE299" i="5" s="1"/>
  <c r="AW56" i="5"/>
  <c r="AY56" i="5" s="1"/>
  <c r="BC171" i="5"/>
  <c r="BD171" i="5" s="1"/>
  <c r="BC324" i="5"/>
  <c r="BD324" i="5" s="1"/>
  <c r="BC23" i="5"/>
  <c r="BE23" i="5" s="1"/>
  <c r="BC211" i="5"/>
  <c r="BD211" i="5" s="1"/>
  <c r="AW64" i="5"/>
  <c r="AY64" i="5" s="1"/>
  <c r="BC265" i="5"/>
  <c r="BE265" i="5" s="1"/>
  <c r="BC164" i="5"/>
  <c r="BD164" i="5" s="1"/>
  <c r="BC27" i="5"/>
  <c r="BE27" i="5" s="1"/>
  <c r="BC121" i="5"/>
  <c r="BE121" i="5" s="1"/>
  <c r="BC249" i="5"/>
  <c r="BE249" i="5" s="1"/>
  <c r="BC116" i="5"/>
  <c r="BD116" i="5" s="1"/>
  <c r="BC40" i="5"/>
  <c r="BE40" i="5" s="1"/>
  <c r="BC184" i="5"/>
  <c r="BD184" i="5" s="1"/>
  <c r="BC95" i="5"/>
  <c r="BD95" i="5" s="1"/>
  <c r="BC305" i="5"/>
  <c r="BD305" i="5" s="1"/>
  <c r="BC148" i="5"/>
  <c r="BD148" i="5" s="1"/>
  <c r="BC50" i="5"/>
  <c r="BD50" i="5" s="1"/>
  <c r="BC278" i="5"/>
  <c r="BD278" i="5" s="1"/>
  <c r="BC127" i="5"/>
  <c r="BD127" i="5" s="1"/>
  <c r="BC393" i="5"/>
  <c r="BD393" i="5" s="1"/>
  <c r="BC196" i="5"/>
  <c r="BD196" i="5" s="1"/>
  <c r="BC59" i="5"/>
  <c r="BE59" i="5" s="1"/>
  <c r="BC318" i="5"/>
  <c r="BE318" i="5" s="1"/>
  <c r="BC135" i="5"/>
  <c r="BD135" i="5" s="1"/>
  <c r="BC246" i="5"/>
  <c r="BD246" i="5" s="1"/>
  <c r="BC296" i="5"/>
  <c r="BE296" i="5" s="1"/>
  <c r="BC123" i="5"/>
  <c r="BD123" i="5" s="1"/>
  <c r="BC218" i="5"/>
  <c r="BD218" i="5" s="1"/>
  <c r="BC190" i="5"/>
  <c r="BE190" i="5" s="1"/>
  <c r="BC55" i="5"/>
  <c r="BD55" i="5" s="1"/>
  <c r="BC264" i="5"/>
  <c r="BD264" i="5" s="1"/>
  <c r="BC140" i="5"/>
  <c r="BE140" i="5" s="1"/>
  <c r="BC152" i="5"/>
  <c r="BD152" i="5" s="1"/>
  <c r="BC220" i="5"/>
  <c r="BE220" i="5" s="1"/>
  <c r="BC110" i="5"/>
  <c r="BD110" i="5" s="1"/>
  <c r="BC315" i="5"/>
  <c r="BE315" i="5" s="1"/>
  <c r="BC158" i="5"/>
  <c r="BE158" i="5" s="1"/>
  <c r="BC35" i="5"/>
  <c r="BE35" i="5" s="1"/>
  <c r="BC200" i="5"/>
  <c r="BE200" i="5" s="1"/>
  <c r="BC98" i="5"/>
  <c r="BE98" i="5" s="1"/>
  <c r="BC312" i="5"/>
  <c r="BD312" i="5" s="1"/>
  <c r="BC161" i="5"/>
  <c r="BE161" i="5" s="1"/>
  <c r="BC91" i="5"/>
  <c r="BD91" i="5" s="1"/>
  <c r="BC255" i="5"/>
  <c r="BD255" i="5" s="1"/>
  <c r="BC150" i="5"/>
  <c r="BE150" i="5" s="1"/>
  <c r="BC22" i="5"/>
  <c r="BE22" i="5" s="1"/>
  <c r="BC212" i="5"/>
  <c r="BD212" i="5" s="1"/>
  <c r="BC69" i="5"/>
  <c r="BD69" i="5" s="1"/>
  <c r="AW49" i="5"/>
  <c r="AW61" i="5"/>
  <c r="AW27" i="5"/>
  <c r="AW45" i="5"/>
  <c r="AW57" i="5"/>
  <c r="AW58" i="5"/>
  <c r="AW70" i="5"/>
  <c r="AW81" i="5"/>
  <c r="AW97" i="5"/>
  <c r="AW82" i="5"/>
  <c r="AW113" i="5"/>
  <c r="AW143" i="5"/>
  <c r="AW148" i="5"/>
  <c r="AW119" i="5"/>
  <c r="AW146" i="5"/>
  <c r="AW144" i="5"/>
  <c r="AW178" i="5"/>
  <c r="AW149" i="5"/>
  <c r="AW184" i="5"/>
  <c r="AW162" i="5"/>
  <c r="AW194" i="5"/>
  <c r="AW193" i="5"/>
  <c r="AW245" i="5"/>
  <c r="AW216" i="5"/>
  <c r="AW166" i="5"/>
  <c r="AW222" i="5"/>
  <c r="AW214" i="5"/>
  <c r="AW260" i="5"/>
  <c r="AW287" i="5"/>
  <c r="AW315" i="5"/>
  <c r="AW219" i="5"/>
  <c r="AW278" i="5"/>
  <c r="AW304" i="5"/>
  <c r="AW117" i="5"/>
  <c r="AW261" i="5"/>
  <c r="AW285" i="5"/>
  <c r="AW303" i="5"/>
  <c r="AW336" i="5"/>
  <c r="AW345" i="5"/>
  <c r="AW356" i="5"/>
  <c r="AW284" i="5"/>
  <c r="AW341" i="5"/>
  <c r="AW378" i="5"/>
  <c r="AW397" i="5"/>
  <c r="AW403" i="5"/>
  <c r="AW421" i="5"/>
  <c r="AW436" i="5"/>
  <c r="AW262" i="5"/>
  <c r="AW321" i="5"/>
  <c r="AW340" i="5"/>
  <c r="AW368" i="5"/>
  <c r="AW386" i="5"/>
  <c r="AW396" i="5"/>
  <c r="AW410" i="5"/>
  <c r="AW347" i="5"/>
  <c r="AW360" i="5"/>
  <c r="AW375" i="5"/>
  <c r="AW402" i="5"/>
  <c r="AW417" i="5"/>
  <c r="AW275" i="5"/>
  <c r="AW346" i="5"/>
  <c r="AW412" i="5"/>
  <c r="AW438" i="5"/>
  <c r="AW451" i="5"/>
  <c r="AW487" i="5"/>
  <c r="AW494" i="5"/>
  <c r="AW510" i="5"/>
  <c r="AW530" i="5"/>
  <c r="AW370" i="5"/>
  <c r="AW425" i="5"/>
  <c r="AW447" i="5"/>
  <c r="AW460" i="5"/>
  <c r="AW483" i="5"/>
  <c r="AW496" i="5"/>
  <c r="AW516" i="5"/>
  <c r="AW337" i="5"/>
  <c r="AW439" i="5"/>
  <c r="AW459" i="5"/>
  <c r="AW474" i="5"/>
  <c r="AW486" i="5"/>
  <c r="AW507" i="5"/>
  <c r="AW525" i="5"/>
  <c r="AW548" i="5"/>
  <c r="AW553" i="5"/>
  <c r="AW380" i="5"/>
  <c r="AW473" i="5"/>
  <c r="AW492" i="5"/>
  <c r="AW40" i="5"/>
  <c r="AW60" i="5"/>
  <c r="AW59" i="5"/>
  <c r="AW73" i="5"/>
  <c r="AW86" i="5"/>
  <c r="AW98" i="5"/>
  <c r="AW85" i="5"/>
  <c r="AW114" i="5"/>
  <c r="AW145" i="5"/>
  <c r="AW151" i="5"/>
  <c r="AW120" i="5"/>
  <c r="AW152" i="5"/>
  <c r="AW147" i="5"/>
  <c r="AW179" i="5"/>
  <c r="AW161" i="5"/>
  <c r="AW95" i="5"/>
  <c r="AW167" i="5"/>
  <c r="AW197" i="5"/>
  <c r="AW208" i="5"/>
  <c r="AW247" i="5"/>
  <c r="AW220" i="5"/>
  <c r="AW188" i="5"/>
  <c r="AW225" i="5"/>
  <c r="AW228" i="5"/>
  <c r="AW263" i="5"/>
  <c r="AW293" i="5"/>
  <c r="AW320" i="5"/>
  <c r="AW241" i="5"/>
  <c r="AW279" i="5"/>
  <c r="AW308" i="5"/>
  <c r="AW196" i="5"/>
  <c r="AW264" i="5"/>
  <c r="AW288" i="5"/>
  <c r="AW313" i="5"/>
  <c r="AW338" i="5"/>
  <c r="AW348" i="5"/>
  <c r="AW359" i="5"/>
  <c r="AW290" i="5"/>
  <c r="AW364" i="5"/>
  <c r="AW382" i="5"/>
  <c r="AW398" i="5"/>
  <c r="AW406" i="5"/>
  <c r="AW424" i="5"/>
  <c r="AW437" i="5"/>
  <c r="AW267" i="5"/>
  <c r="AW326" i="5"/>
  <c r="AW355" i="5"/>
  <c r="AW372" i="5"/>
  <c r="AW387" i="5"/>
  <c r="AW405" i="5"/>
  <c r="AW202" i="5"/>
  <c r="AW351" i="5"/>
  <c r="AW361" i="5"/>
  <c r="AW383" i="5"/>
  <c r="AW404" i="5"/>
  <c r="AW418" i="5"/>
  <c r="AW305" i="5"/>
  <c r="AW350" i="5"/>
  <c r="AW419" i="5"/>
  <c r="AW443" i="5"/>
  <c r="AW466" i="5"/>
  <c r="AW488" i="5"/>
  <c r="AW499" i="5"/>
  <c r="AW513" i="5"/>
  <c r="AW294" i="5"/>
  <c r="AW384" i="5"/>
  <c r="AW48" i="5"/>
  <c r="AW67" i="5"/>
  <c r="AW26" i="5"/>
  <c r="AW72" i="5"/>
  <c r="AW94" i="5"/>
  <c r="AW105" i="5"/>
  <c r="AW101" i="5"/>
  <c r="AW127" i="5"/>
  <c r="AW104" i="5"/>
  <c r="AW99" i="5"/>
  <c r="AW134" i="5"/>
  <c r="AW116" i="5"/>
  <c r="AW158" i="5"/>
  <c r="AW112" i="5"/>
  <c r="AW169" i="5"/>
  <c r="AW140" i="5"/>
  <c r="AW185" i="5"/>
  <c r="AW201" i="5"/>
  <c r="AW223" i="5"/>
  <c r="AW192" i="5"/>
  <c r="AW232" i="5"/>
  <c r="AW212" i="5"/>
  <c r="AW235" i="5"/>
  <c r="AW252" i="5"/>
  <c r="AW274" i="5"/>
  <c r="AW306" i="5"/>
  <c r="AW332" i="5"/>
  <c r="AW258" i="5"/>
  <c r="AW289" i="5"/>
  <c r="AW319" i="5"/>
  <c r="AW244" i="5"/>
  <c r="AW269" i="5"/>
  <c r="AW296" i="5"/>
  <c r="AW318" i="5"/>
  <c r="AW342" i="5"/>
  <c r="AW349" i="5"/>
  <c r="AW174" i="5"/>
  <c r="AW310" i="5"/>
  <c r="AW366" i="5"/>
  <c r="AW388" i="5"/>
  <c r="AW400" i="5"/>
  <c r="AW415" i="5"/>
  <c r="AW429" i="5"/>
  <c r="AW180" i="5"/>
  <c r="AW268" i="5"/>
  <c r="AW329" i="5"/>
  <c r="AW362" i="5"/>
  <c r="AW376" i="5"/>
  <c r="AW391" i="5"/>
  <c r="AW407" i="5"/>
  <c r="AW317" i="5"/>
  <c r="AW352" i="5"/>
  <c r="AW369" i="5"/>
  <c r="AW385" i="5"/>
  <c r="AW411" i="5"/>
  <c r="AW168" i="5"/>
  <c r="AW334" i="5"/>
  <c r="AW371" i="5"/>
  <c r="AW427" i="5"/>
  <c r="AW445" i="5"/>
  <c r="AW469" i="5"/>
  <c r="AW489" i="5"/>
  <c r="AW502" i="5"/>
  <c r="AW518" i="5"/>
  <c r="AW331" i="5"/>
  <c r="AW408" i="5"/>
  <c r="AW435" i="5"/>
  <c r="AW456" i="5"/>
  <c r="AW472" i="5"/>
  <c r="AW490" i="5"/>
  <c r="AW501" i="5"/>
  <c r="AW272" i="5"/>
  <c r="AW399" i="5"/>
  <c r="AW453" i="5"/>
  <c r="AW468" i="5"/>
  <c r="AW478" i="5"/>
  <c r="AW504" i="5"/>
  <c r="AW514" i="5"/>
  <c r="AW543" i="5"/>
  <c r="AW550" i="5"/>
  <c r="AW559" i="5"/>
  <c r="AW416" i="5"/>
  <c r="AW479" i="5"/>
  <c r="AW509" i="5"/>
  <c r="AW50" i="5"/>
  <c r="AW74" i="5"/>
  <c r="AW124" i="5"/>
  <c r="AW171" i="5"/>
  <c r="AW186" i="5"/>
  <c r="AW242" i="5"/>
  <c r="AW277" i="5"/>
  <c r="AW292" i="5"/>
  <c r="AW300" i="5"/>
  <c r="AW231" i="5"/>
  <c r="AW401" i="5"/>
  <c r="AW298" i="5"/>
  <c r="AW393" i="5"/>
  <c r="AW373" i="5"/>
  <c r="AW344" i="5"/>
  <c r="AW481" i="5"/>
  <c r="AW357" i="5"/>
  <c r="AW448" i="5"/>
  <c r="AW485" i="5"/>
  <c r="AW517" i="5"/>
  <c r="AW452" i="5"/>
  <c r="AW477" i="5"/>
  <c r="AW512" i="5"/>
  <c r="AW549" i="5"/>
  <c r="AW392" i="5"/>
  <c r="AW506" i="5"/>
  <c r="AW539" i="5"/>
  <c r="AW554" i="5"/>
  <c r="AW465" i="5"/>
  <c r="AW526" i="5"/>
  <c r="AW555" i="5"/>
  <c r="AW358" i="5"/>
  <c r="AW395" i="5"/>
  <c r="AW430" i="5"/>
  <c r="AW467" i="5"/>
  <c r="AW537" i="5"/>
  <c r="AW440" i="5"/>
  <c r="AW500" i="5"/>
  <c r="AW534" i="5"/>
  <c r="AW68" i="5"/>
  <c r="AW107" i="5"/>
  <c r="AW106" i="5"/>
  <c r="AW125" i="5"/>
  <c r="AW206" i="5"/>
  <c r="AW213" i="5"/>
  <c r="AW309" i="5"/>
  <c r="AW325" i="5"/>
  <c r="AW323" i="5"/>
  <c r="AW330" i="5"/>
  <c r="AW420" i="5"/>
  <c r="AW333" i="5"/>
  <c r="AW409" i="5"/>
  <c r="AW390" i="5"/>
  <c r="AW379" i="5"/>
  <c r="AW493" i="5"/>
  <c r="AW422" i="5"/>
  <c r="AW458" i="5"/>
  <c r="AW491" i="5"/>
  <c r="AW302" i="5"/>
  <c r="AW457" i="5"/>
  <c r="AW480" i="5"/>
  <c r="AW524" i="5"/>
  <c r="AW551" i="5"/>
  <c r="AW463" i="5"/>
  <c r="AW520" i="5"/>
  <c r="AW541" i="5"/>
  <c r="AW441" i="5"/>
  <c r="AW484" i="5"/>
  <c r="AW533" i="5"/>
  <c r="AW532" i="5"/>
  <c r="AW365" i="5"/>
  <c r="AW413" i="5"/>
  <c r="AW432" i="5"/>
  <c r="AW511" i="5"/>
  <c r="AW556" i="5"/>
  <c r="AW446" i="5"/>
  <c r="AW503" i="5"/>
  <c r="AW538" i="5"/>
  <c r="AW80" i="5"/>
  <c r="AW108" i="5"/>
  <c r="AW137" i="5"/>
  <c r="AW170" i="5"/>
  <c r="AW227" i="5"/>
  <c r="AW236" i="5"/>
  <c r="AW203" i="5"/>
  <c r="AW253" i="5"/>
  <c r="AW343" i="5"/>
  <c r="AW374" i="5"/>
  <c r="AW433" i="5"/>
  <c r="AW367" i="5"/>
  <c r="AW339" i="5"/>
  <c r="AW414" i="5"/>
  <c r="AW431" i="5"/>
  <c r="AW508" i="5"/>
  <c r="AW434" i="5"/>
  <c r="AW464" i="5"/>
  <c r="AW497" i="5"/>
  <c r="AW363" i="5"/>
  <c r="AW462" i="5"/>
  <c r="AW498" i="5"/>
  <c r="AW531" i="5"/>
  <c r="AW557" i="5"/>
  <c r="AW476" i="5"/>
  <c r="AW528" i="5"/>
  <c r="AW542" i="5"/>
  <c r="AW444" i="5"/>
  <c r="AW495" i="5"/>
  <c r="AW545" i="5"/>
  <c r="AW536" i="5"/>
  <c r="AW377" i="5"/>
  <c r="AW426" i="5"/>
  <c r="AW454" i="5"/>
  <c r="AW523" i="5"/>
  <c r="AW558" i="5"/>
  <c r="AW449" i="5"/>
  <c r="AW521" i="5"/>
  <c r="AW544" i="5"/>
  <c r="AW76" i="5"/>
  <c r="AW207" i="5"/>
  <c r="AW354" i="5"/>
  <c r="AW353" i="5"/>
  <c r="AW442" i="5"/>
  <c r="AW471" i="5"/>
  <c r="AW482" i="5"/>
  <c r="AW519" i="5"/>
  <c r="AW428" i="5"/>
  <c r="AW470" i="5"/>
  <c r="AW35" i="5"/>
  <c r="AW281" i="5"/>
  <c r="AW522" i="5"/>
  <c r="AW204" i="5"/>
  <c r="AW389" i="5"/>
  <c r="AW132" i="5"/>
  <c r="AW254" i="5"/>
  <c r="AW394" i="5"/>
  <c r="AW256" i="5"/>
  <c r="AW475" i="5"/>
  <c r="AW505" i="5"/>
  <c r="AW535" i="5"/>
  <c r="AW552" i="5"/>
  <c r="AW461" i="5"/>
  <c r="AW527" i="5"/>
  <c r="AW123" i="5"/>
  <c r="AW266" i="5"/>
  <c r="AW226" i="5"/>
  <c r="AW450" i="5"/>
  <c r="AW515" i="5"/>
  <c r="AW546" i="5"/>
  <c r="AW547" i="5"/>
  <c r="AW540" i="5"/>
  <c r="AW529" i="5"/>
  <c r="AW19" i="5"/>
  <c r="AW155" i="5"/>
  <c r="AW381" i="5"/>
  <c r="AW423" i="5"/>
  <c r="AW455" i="5"/>
  <c r="AW560" i="5"/>
  <c r="BC7" i="5"/>
  <c r="BE7" i="5" s="1"/>
  <c r="BC344" i="5"/>
  <c r="BD344" i="5" s="1"/>
  <c r="BC302" i="5"/>
  <c r="BD302" i="5" s="1"/>
  <c r="BC227" i="5"/>
  <c r="BE227" i="5" s="1"/>
  <c r="BC256" i="5"/>
  <c r="BE256" i="5" s="1"/>
  <c r="BC282" i="5"/>
  <c r="BD282" i="5" s="1"/>
  <c r="BC240" i="5"/>
  <c r="BD240" i="5" s="1"/>
  <c r="BC235" i="5"/>
  <c r="BE235" i="5" s="1"/>
  <c r="BC236" i="5"/>
  <c r="BE236" i="5" s="1"/>
  <c r="BC118" i="5"/>
  <c r="BD118" i="5" s="1"/>
  <c r="BC115" i="5"/>
  <c r="BD115" i="5" s="1"/>
  <c r="BC169" i="5"/>
  <c r="BD169" i="5" s="1"/>
  <c r="BC107" i="5"/>
  <c r="BE107" i="5" s="1"/>
  <c r="BC111" i="5"/>
  <c r="BD111" i="5" s="1"/>
  <c r="BC103" i="5"/>
  <c r="BD103" i="5" s="1"/>
  <c r="BC83" i="5"/>
  <c r="BD83" i="5" s="1"/>
  <c r="BC53" i="5"/>
  <c r="BD53" i="5" s="1"/>
  <c r="BC39" i="5"/>
  <c r="BD39" i="5" s="1"/>
  <c r="BC38" i="5"/>
  <c r="BE38" i="5" s="1"/>
  <c r="BC8" i="5"/>
  <c r="BD8" i="5" s="1"/>
  <c r="BC373" i="5"/>
  <c r="BE373" i="5" s="1"/>
  <c r="BC351" i="5"/>
  <c r="BE351" i="5" s="1"/>
  <c r="BC309" i="5"/>
  <c r="BE309" i="5" s="1"/>
  <c r="BC241" i="5"/>
  <c r="BD241" i="5" s="1"/>
  <c r="BC269" i="5"/>
  <c r="BD269" i="5" s="1"/>
  <c r="BC288" i="5"/>
  <c r="BE288" i="5" s="1"/>
  <c r="BC191" i="5"/>
  <c r="BE191" i="5" s="1"/>
  <c r="BC242" i="5"/>
  <c r="BE242" i="5" s="1"/>
  <c r="BC179" i="5"/>
  <c r="BD179" i="5" s="1"/>
  <c r="BC136" i="5"/>
  <c r="BD136" i="5" s="1"/>
  <c r="BC134" i="5"/>
  <c r="BE134" i="5" s="1"/>
  <c r="BC177" i="5"/>
  <c r="BD177" i="5" s="1"/>
  <c r="BC119" i="5"/>
  <c r="BE119" i="5" s="1"/>
  <c r="BC117" i="5"/>
  <c r="BE117" i="5" s="1"/>
  <c r="BC94" i="5"/>
  <c r="BD94" i="5" s="1"/>
  <c r="BC89" i="5"/>
  <c r="BE89" i="5" s="1"/>
  <c r="BC75" i="5"/>
  <c r="BE75" i="5" s="1"/>
  <c r="BC52" i="5"/>
  <c r="BD52" i="5" s="1"/>
  <c r="BC44" i="5"/>
  <c r="BD44" i="5" s="1"/>
  <c r="BC34" i="5"/>
  <c r="BD34" i="5" s="1"/>
  <c r="BC206" i="5"/>
  <c r="BE206" i="5" s="1"/>
  <c r="BC314" i="5"/>
  <c r="BD314" i="5" s="1"/>
  <c r="BC251" i="5"/>
  <c r="BD251" i="5" s="1"/>
  <c r="BC284" i="5"/>
  <c r="BD284" i="5" s="1"/>
  <c r="BC300" i="5"/>
  <c r="BE300" i="5" s="1"/>
  <c r="BC223" i="5"/>
  <c r="BD223" i="5" s="1"/>
  <c r="BC178" i="5"/>
  <c r="BD178" i="5" s="1"/>
  <c r="BC195" i="5"/>
  <c r="BD195" i="5" s="1"/>
  <c r="BC174" i="5"/>
  <c r="BE174" i="5" s="1"/>
  <c r="BC156" i="5"/>
  <c r="BD156" i="5" s="1"/>
  <c r="BC141" i="5"/>
  <c r="BE141" i="5" s="1"/>
  <c r="BC137" i="5"/>
  <c r="BD137" i="5" s="1"/>
  <c r="BC125" i="5"/>
  <c r="BE125" i="5" s="1"/>
  <c r="BC114" i="5"/>
  <c r="BE114" i="5" s="1"/>
  <c r="BC92" i="5"/>
  <c r="BE92" i="5" s="1"/>
  <c r="BC47" i="5"/>
  <c r="BE47" i="5" s="1"/>
  <c r="BC51" i="5"/>
  <c r="BE51" i="5" s="1"/>
  <c r="BC32" i="5"/>
  <c r="BD32" i="5" s="1"/>
  <c r="BC45" i="5"/>
  <c r="BD45" i="5" s="1"/>
  <c r="BC326" i="5"/>
  <c r="BD326" i="5" s="1"/>
  <c r="BC274" i="5"/>
  <c r="BE274" i="5" s="1"/>
  <c r="BC219" i="5"/>
  <c r="BD219" i="5" s="1"/>
  <c r="BC197" i="5"/>
  <c r="BE197" i="5" s="1"/>
  <c r="BC132" i="5"/>
  <c r="BE132" i="5" s="1"/>
  <c r="BC81" i="5"/>
  <c r="BE81" i="5" s="1"/>
  <c r="BC80" i="5"/>
  <c r="BE80" i="5" s="1"/>
  <c r="BC70" i="5"/>
  <c r="BE70" i="5" s="1"/>
  <c r="BC68" i="5"/>
  <c r="BD68" i="5" s="1"/>
  <c r="BC43" i="5"/>
  <c r="BD43" i="5" s="1"/>
  <c r="O12" i="5"/>
  <c r="BC352" i="5"/>
  <c r="BD352" i="5" s="1"/>
  <c r="BC339" i="5"/>
  <c r="BE339" i="5" s="1"/>
  <c r="BC295" i="5"/>
  <c r="BD295" i="5" s="1"/>
  <c r="BC188" i="5"/>
  <c r="BE188" i="5" s="1"/>
  <c r="BC247" i="5"/>
  <c r="BD247" i="5" s="1"/>
  <c r="BC279" i="5"/>
  <c r="BE279" i="5" s="1"/>
  <c r="BC237" i="5"/>
  <c r="BD237" i="5" s="1"/>
  <c r="BC226" i="5"/>
  <c r="BE226" i="5" s="1"/>
  <c r="BC230" i="5"/>
  <c r="BD230" i="5" s="1"/>
  <c r="BC201" i="5"/>
  <c r="BD201" i="5" s="1"/>
  <c r="BC180" i="5"/>
  <c r="BE180" i="5" s="1"/>
  <c r="BC163" i="5"/>
  <c r="BD163" i="5" s="1"/>
  <c r="BC154" i="5"/>
  <c r="BE154" i="5" s="1"/>
  <c r="BC100" i="5"/>
  <c r="BD100" i="5" s="1"/>
  <c r="BC86" i="5"/>
  <c r="BD86" i="5" s="1"/>
  <c r="BC84" i="5"/>
  <c r="BD84" i="5" s="1"/>
  <c r="BC78" i="5"/>
  <c r="BD78" i="5" s="1"/>
  <c r="BC21" i="5"/>
  <c r="BD21" i="5" s="1"/>
  <c r="BC30" i="5"/>
  <c r="BD30" i="5" s="1"/>
  <c r="BC369" i="5"/>
  <c r="BE369" i="5" s="1"/>
  <c r="BC346" i="5"/>
  <c r="BE346" i="5" s="1"/>
  <c r="BC306" i="5"/>
  <c r="BD306" i="5" s="1"/>
  <c r="BC232" i="5"/>
  <c r="BE232" i="5" s="1"/>
  <c r="BC262" i="5"/>
  <c r="BD262" i="5" s="1"/>
  <c r="BC285" i="5"/>
  <c r="BD285" i="5" s="1"/>
  <c r="BC189" i="5"/>
  <c r="BD189" i="5" s="1"/>
  <c r="BC238" i="5"/>
  <c r="BE238" i="5" s="1"/>
  <c r="BC243" i="5"/>
  <c r="BD243" i="5" s="1"/>
  <c r="BC130" i="5"/>
  <c r="BD130" i="5" s="1"/>
  <c r="BC122" i="5"/>
  <c r="BE122" i="5" s="1"/>
  <c r="BC175" i="5"/>
  <c r="BD175" i="5" s="1"/>
  <c r="BC113" i="5"/>
  <c r="BD113" i="5" s="1"/>
  <c r="BC112" i="5"/>
  <c r="BE112" i="5" s="1"/>
  <c r="BC109" i="5"/>
  <c r="BD109" i="5" s="1"/>
  <c r="BC88" i="5"/>
  <c r="BE88" i="5" s="1"/>
  <c r="BC71" i="5"/>
  <c r="BD71" i="5" s="1"/>
  <c r="BC48" i="5"/>
  <c r="BE48" i="5" s="1"/>
  <c r="BC41" i="5"/>
  <c r="BE41" i="5" s="1"/>
  <c r="BC29" i="5"/>
  <c r="BD29" i="5" s="1"/>
  <c r="BC332" i="5"/>
  <c r="BD332" i="5" s="1"/>
  <c r="BC283" i="5"/>
  <c r="BE283" i="5" s="1"/>
  <c r="BC157" i="5"/>
  <c r="BE157" i="5" s="1"/>
  <c r="BC231" i="5"/>
  <c r="BD231" i="5" s="1"/>
  <c r="BC221" i="5"/>
  <c r="BE221" i="5" s="1"/>
  <c r="BC172" i="5"/>
  <c r="BE172" i="5" s="1"/>
  <c r="BC147" i="5"/>
  <c r="BD147" i="5" s="1"/>
  <c r="BC105" i="5"/>
  <c r="BD105" i="5" s="1"/>
  <c r="BC322" i="5"/>
  <c r="BD322" i="5" s="1"/>
  <c r="BC263" i="5"/>
  <c r="BD263" i="5" s="1"/>
  <c r="BC298" i="5"/>
  <c r="BD298" i="5" s="1"/>
  <c r="BC313" i="5"/>
  <c r="BD313" i="5" s="1"/>
  <c r="BC261" i="5"/>
  <c r="BE261" i="5" s="1"/>
  <c r="BC199" i="5"/>
  <c r="BE199" i="5" s="1"/>
  <c r="BC210" i="5"/>
  <c r="BD210" i="5" s="1"/>
  <c r="BC208" i="5"/>
  <c r="BD208" i="5" s="1"/>
  <c r="BC168" i="5"/>
  <c r="BD168" i="5" s="1"/>
  <c r="BC159" i="5"/>
  <c r="BD159" i="5" s="1"/>
  <c r="BC145" i="5"/>
  <c r="BD145" i="5" s="1"/>
  <c r="BC133" i="5"/>
  <c r="BD133" i="5" s="1"/>
  <c r="BC131" i="5"/>
  <c r="BD131" i="5" s="1"/>
  <c r="BC97" i="5"/>
  <c r="BD97" i="5" s="1"/>
  <c r="BC65" i="5"/>
  <c r="BE65" i="5" s="1"/>
  <c r="BC61" i="5"/>
  <c r="BE61" i="5" s="1"/>
  <c r="BC56" i="5"/>
  <c r="BE56" i="5" s="1"/>
  <c r="BC26" i="5"/>
  <c r="BD26" i="5" s="1"/>
  <c r="BC411" i="5"/>
  <c r="BE411" i="5" s="1"/>
  <c r="BC316" i="5"/>
  <c r="BD316" i="5" s="1"/>
  <c r="BC329" i="5"/>
  <c r="BD329" i="5" s="1"/>
  <c r="BC268" i="5"/>
  <c r="BE268" i="5" s="1"/>
  <c r="BC317" i="5"/>
  <c r="BE317" i="5" s="1"/>
  <c r="BC323" i="5"/>
  <c r="BD323" i="5" s="1"/>
  <c r="BC266" i="5"/>
  <c r="BE266" i="5" s="1"/>
  <c r="BC202" i="5"/>
  <c r="BE202" i="5" s="1"/>
  <c r="BC214" i="5"/>
  <c r="BE214" i="5" s="1"/>
  <c r="BC213" i="5"/>
  <c r="BE213" i="5" s="1"/>
  <c r="BC183" i="5"/>
  <c r="BE183" i="5" s="1"/>
  <c r="BC166" i="5"/>
  <c r="BD166" i="5" s="1"/>
  <c r="BC101" i="5"/>
  <c r="BD101" i="5" s="1"/>
  <c r="BC138" i="5"/>
  <c r="BD138" i="5" s="1"/>
  <c r="BC144" i="5"/>
  <c r="BD144" i="5" s="1"/>
  <c r="BC74" i="5"/>
  <c r="BD74" i="5" s="1"/>
  <c r="BC76" i="5"/>
  <c r="BE76" i="5" s="1"/>
  <c r="BC54" i="5"/>
  <c r="BE54" i="5" s="1"/>
  <c r="BC64" i="5"/>
  <c r="BE64" i="5" s="1"/>
  <c r="BC31" i="5"/>
  <c r="BE31" i="5" s="1"/>
  <c r="BC338" i="5"/>
  <c r="BD338" i="5" s="1"/>
  <c r="BC337" i="5"/>
  <c r="BD337" i="5" s="1"/>
  <c r="BC287" i="5"/>
  <c r="BD287" i="5" s="1"/>
  <c r="BC331" i="5"/>
  <c r="BD331" i="5" s="1"/>
  <c r="BC207" i="5"/>
  <c r="BD207" i="5" s="1"/>
  <c r="BC276" i="5"/>
  <c r="BD276" i="5" s="1"/>
  <c r="BC234" i="5"/>
  <c r="BE234" i="5" s="1"/>
  <c r="BC222" i="5"/>
  <c r="BD222" i="5" s="1"/>
  <c r="BC225" i="5"/>
  <c r="BD225" i="5" s="1"/>
  <c r="BC198" i="5"/>
  <c r="BE198" i="5" s="1"/>
  <c r="BC176" i="5"/>
  <c r="BD176" i="5" s="1"/>
  <c r="BC160" i="5"/>
  <c r="BD160" i="5" s="1"/>
  <c r="BC149" i="5"/>
  <c r="BE149" i="5" s="1"/>
  <c r="BC85" i="5"/>
  <c r="BE85" i="5" s="1"/>
  <c r="BC108" i="5"/>
  <c r="BD108" i="5" s="1"/>
  <c r="BC82" i="5"/>
  <c r="BD82" i="5" s="1"/>
  <c r="BC72" i="5"/>
  <c r="BD72" i="5" s="1"/>
  <c r="BC73" i="5"/>
  <c r="BD73" i="5" s="1"/>
  <c r="B195" i="2"/>
  <c r="BC25" i="5"/>
  <c r="BC42" i="5"/>
  <c r="BC58" i="5"/>
  <c r="BC62" i="5"/>
  <c r="BC96" i="5"/>
  <c r="BC129" i="5"/>
  <c r="BC128" i="5"/>
  <c r="BC142" i="5"/>
  <c r="BC153" i="5"/>
  <c r="BC162" i="5"/>
  <c r="BC205" i="5"/>
  <c r="BC204" i="5"/>
  <c r="BC186" i="5"/>
  <c r="BC259" i="5"/>
  <c r="BC307" i="5"/>
  <c r="BC294" i="5"/>
  <c r="BC257" i="5"/>
  <c r="BC320" i="5"/>
  <c r="BC358" i="5"/>
  <c r="BC335" i="5"/>
  <c r="BC383" i="5"/>
  <c r="BC410" i="5"/>
  <c r="BC428" i="5"/>
  <c r="BC440" i="5"/>
  <c r="BC277" i="5"/>
  <c r="BC345" i="5"/>
  <c r="BC361" i="5"/>
  <c r="BC375" i="5"/>
  <c r="BC386" i="5"/>
  <c r="BC399" i="5"/>
  <c r="BC417" i="5"/>
  <c r="BC245" i="5"/>
  <c r="BC280" i="5"/>
  <c r="BC333" i="5"/>
  <c r="BC342" i="5"/>
  <c r="BC364" i="5"/>
  <c r="BC378" i="5"/>
  <c r="BC398" i="5"/>
  <c r="BC416" i="5"/>
  <c r="BC368" i="5"/>
  <c r="BC452" i="5"/>
  <c r="BC460" i="5"/>
  <c r="BC478" i="5"/>
  <c r="BC504" i="5"/>
  <c r="BC531" i="5"/>
  <c r="BC382" i="5"/>
  <c r="BC403" i="5"/>
  <c r="BC429" i="5"/>
  <c r="BC461" i="5"/>
  <c r="BC468" i="5"/>
  <c r="BC480" i="5"/>
  <c r="BC507" i="5"/>
  <c r="BC516" i="5"/>
  <c r="BC353" i="5"/>
  <c r="BC405" i="5"/>
  <c r="BC441" i="5"/>
  <c r="BC453" i="5"/>
  <c r="BC466" i="5"/>
  <c r="BC479" i="5"/>
  <c r="BC488" i="5"/>
  <c r="BC494" i="5"/>
  <c r="BC502" i="5"/>
  <c r="BC509" i="5"/>
  <c r="BC522" i="5"/>
  <c r="BC545" i="5"/>
  <c r="BC229" i="5"/>
  <c r="BC425" i="5"/>
  <c r="BC513" i="5"/>
  <c r="BC529" i="5"/>
  <c r="BC548" i="5"/>
  <c r="BC558" i="5"/>
  <c r="BC448" i="5"/>
  <c r="BC544" i="5"/>
  <c r="BC407" i="5"/>
  <c r="BC501" i="5"/>
  <c r="BC541" i="5"/>
  <c r="BC559" i="5"/>
  <c r="BC464" i="5"/>
  <c r="BC19" i="5"/>
  <c r="BC67" i="5"/>
  <c r="BC57" i="5"/>
  <c r="BC77" i="5"/>
  <c r="BC102" i="5"/>
  <c r="BC151" i="5"/>
  <c r="BC146" i="5"/>
  <c r="BC104" i="5"/>
  <c r="BC170" i="5"/>
  <c r="BC187" i="5"/>
  <c r="BC216" i="5"/>
  <c r="BC217" i="5"/>
  <c r="BC215" i="5"/>
  <c r="BC271" i="5"/>
  <c r="BC327" i="5"/>
  <c r="BC321" i="5"/>
  <c r="BC275" i="5"/>
  <c r="BC330" i="5"/>
  <c r="BC224" i="5"/>
  <c r="BC360" i="5"/>
  <c r="BC385" i="5"/>
  <c r="BC414" i="5"/>
  <c r="BC431" i="5"/>
  <c r="BC250" i="5"/>
  <c r="BC293" i="5"/>
  <c r="BC350" i="5"/>
  <c r="BC363" i="5"/>
  <c r="BC377" i="5"/>
  <c r="BC389" i="5"/>
  <c r="BC402" i="5"/>
  <c r="BC418" i="5"/>
  <c r="BC254" i="5"/>
  <c r="BC286" i="5"/>
  <c r="BC336" i="5"/>
  <c r="BC348" i="5"/>
  <c r="BC366" i="5"/>
  <c r="BC379" i="5"/>
  <c r="BC400" i="5"/>
  <c r="BC311" i="5"/>
  <c r="BC401" i="5"/>
  <c r="BC457" i="5"/>
  <c r="BC471" i="5"/>
  <c r="BC490" i="5"/>
  <c r="BC515" i="5"/>
  <c r="BC532" i="5"/>
  <c r="BC391" i="5"/>
  <c r="BC412" i="5"/>
  <c r="BC439" i="5"/>
  <c r="BC462" i="5"/>
  <c r="BC470" i="5"/>
  <c r="BC484" i="5"/>
  <c r="BC511" i="5"/>
  <c r="BC519" i="5"/>
  <c r="BC381" i="5"/>
  <c r="BC430" i="5"/>
  <c r="BC443" i="5"/>
  <c r="BC454" i="5"/>
  <c r="BC469" i="5"/>
  <c r="BC482" i="5"/>
  <c r="BC489" i="5"/>
  <c r="BC495" i="5"/>
  <c r="BC503" i="5"/>
  <c r="BC510" i="5"/>
  <c r="BC523" i="5"/>
  <c r="BC554" i="5"/>
  <c r="BC297" i="5"/>
  <c r="BC449" i="5"/>
  <c r="BC517" i="5"/>
  <c r="BC534" i="5"/>
  <c r="BC553" i="5"/>
  <c r="BC433" i="5"/>
  <c r="BC524" i="5"/>
  <c r="BC549" i="5"/>
  <c r="BC424" i="5"/>
  <c r="BC528" i="5"/>
  <c r="BC542" i="5"/>
  <c r="BC372" i="5"/>
  <c r="BC483" i="5"/>
  <c r="BC33" i="5"/>
  <c r="BC28" i="5"/>
  <c r="BC49" i="5"/>
  <c r="BC93" i="5"/>
  <c r="BC87" i="5"/>
  <c r="BC106" i="5"/>
  <c r="BC155" i="5"/>
  <c r="BC167" i="5"/>
  <c r="BC185" i="5"/>
  <c r="BC203" i="5"/>
  <c r="BC233" i="5"/>
  <c r="BC228" i="5"/>
  <c r="BC239" i="5"/>
  <c r="BC281" i="5"/>
  <c r="BC253" i="5"/>
  <c r="BC192" i="5"/>
  <c r="BC301" i="5"/>
  <c r="BC343" i="5"/>
  <c r="BC258" i="5"/>
  <c r="BC367" i="5"/>
  <c r="BC404" i="5"/>
  <c r="BC420" i="5"/>
  <c r="BC435" i="5"/>
  <c r="BC252" i="5"/>
  <c r="BC304" i="5"/>
  <c r="BC356" i="5"/>
  <c r="BC365" i="5"/>
  <c r="BC380" i="5"/>
  <c r="BC390" i="5"/>
  <c r="BC408" i="5"/>
  <c r="BC419" i="5"/>
  <c r="BC267" i="5"/>
  <c r="BC289" i="5"/>
  <c r="BC340" i="5"/>
  <c r="BC349" i="5"/>
  <c r="BC371" i="5"/>
  <c r="BC388" i="5"/>
  <c r="BC406" i="5"/>
  <c r="BC354" i="5"/>
  <c r="BC422" i="5"/>
  <c r="BC458" i="5"/>
  <c r="BC472" i="5"/>
  <c r="BC496" i="5"/>
  <c r="BC525" i="5"/>
  <c r="BC270" i="5"/>
  <c r="BC394" i="5"/>
  <c r="BC426" i="5"/>
  <c r="BC446" i="5"/>
  <c r="BC465" i="5"/>
  <c r="BC474" i="5"/>
  <c r="BC498" i="5"/>
  <c r="BC512" i="5"/>
  <c r="BC308" i="5"/>
  <c r="BC387" i="5"/>
  <c r="BC432" i="5"/>
  <c r="BC444" i="5"/>
  <c r="BC455" i="5"/>
  <c r="BC473" i="5"/>
  <c r="BC486" i="5"/>
  <c r="BC492" i="5"/>
  <c r="BC499" i="5"/>
  <c r="BC505" i="5"/>
  <c r="BC518" i="5"/>
  <c r="BC530" i="5"/>
  <c r="BC555" i="5"/>
  <c r="BC328" i="5"/>
  <c r="BC456" i="5"/>
  <c r="BC521" i="5"/>
  <c r="BC536" i="5"/>
  <c r="BC557" i="5"/>
  <c r="BC437" i="5"/>
  <c r="BC538" i="5"/>
  <c r="BC550" i="5"/>
  <c r="BC481" i="5"/>
  <c r="BC533" i="5"/>
  <c r="BC547" i="5"/>
  <c r="BC438" i="5"/>
  <c r="BC537" i="5"/>
  <c r="BC36" i="5"/>
  <c r="BC46" i="5"/>
  <c r="BC63" i="5"/>
  <c r="BC79" i="5"/>
  <c r="BC90" i="5"/>
  <c r="BC99" i="5"/>
  <c r="BC120" i="5"/>
  <c r="BC124" i="5"/>
  <c r="BC181" i="5"/>
  <c r="BC143" i="5"/>
  <c r="BC165" i="5"/>
  <c r="BC182" i="5"/>
  <c r="BC244" i="5"/>
  <c r="BC193" i="5"/>
  <c r="BC291" i="5"/>
  <c r="BC272" i="5"/>
  <c r="BC248" i="5"/>
  <c r="BC310" i="5"/>
  <c r="BC357" i="5"/>
  <c r="BC319" i="5"/>
  <c r="BC376" i="5"/>
  <c r="BC409" i="5"/>
  <c r="BC423" i="5"/>
  <c r="BC436" i="5"/>
  <c r="BC260" i="5"/>
  <c r="BC334" i="5"/>
  <c r="BC359" i="5"/>
  <c r="BC370" i="5"/>
  <c r="BC384" i="5"/>
  <c r="BC392" i="5"/>
  <c r="BC413" i="5"/>
  <c r="BC209" i="5"/>
  <c r="BC273" i="5"/>
  <c r="BC292" i="5"/>
  <c r="BC341" i="5"/>
  <c r="BC355" i="5"/>
  <c r="BC374" i="5"/>
  <c r="BC395" i="5"/>
  <c r="BC415" i="5"/>
  <c r="BC362" i="5"/>
  <c r="BC442" i="5"/>
  <c r="BC459" i="5"/>
  <c r="BC475" i="5"/>
  <c r="BC497" i="5"/>
  <c r="BC526" i="5"/>
  <c r="BC325" i="5"/>
  <c r="BC397" i="5"/>
  <c r="BC427" i="5"/>
  <c r="BC447" i="5"/>
  <c r="BC467" i="5"/>
  <c r="BC477" i="5"/>
  <c r="BC506" i="5"/>
  <c r="BC514" i="5"/>
  <c r="BC347" i="5"/>
  <c r="BC396" i="5"/>
  <c r="BC434" i="5"/>
  <c r="BC451" i="5"/>
  <c r="BC463" i="5"/>
  <c r="BC476" i="5"/>
  <c r="BC487" i="5"/>
  <c r="BC493" i="5"/>
  <c r="BC500" i="5"/>
  <c r="BC508" i="5"/>
  <c r="BC520" i="5"/>
  <c r="BC539" i="5"/>
  <c r="BC556" i="5"/>
  <c r="BC421" i="5"/>
  <c r="BC485" i="5"/>
  <c r="BC527" i="5"/>
  <c r="BC540" i="5"/>
  <c r="BC560" i="5"/>
  <c r="BC445" i="5"/>
  <c r="BC543" i="5"/>
  <c r="BC551" i="5"/>
  <c r="BC491" i="5"/>
  <c r="BC535" i="5"/>
  <c r="BC552" i="5"/>
  <c r="BC450" i="5"/>
  <c r="BC546" i="5"/>
  <c r="AZ26" i="5"/>
  <c r="AZ48" i="5"/>
  <c r="AZ33" i="5"/>
  <c r="AZ46" i="5"/>
  <c r="AZ32" i="5"/>
  <c r="AZ45" i="5"/>
  <c r="AZ34" i="5"/>
  <c r="AZ59" i="5"/>
  <c r="AZ36" i="5"/>
  <c r="AZ54" i="5"/>
  <c r="AZ65" i="5"/>
  <c r="AZ40" i="5"/>
  <c r="AZ58" i="5"/>
  <c r="AZ83" i="5"/>
  <c r="AZ70" i="5"/>
  <c r="AZ81" i="5"/>
  <c r="AZ99" i="5"/>
  <c r="AZ84" i="5"/>
  <c r="AZ95" i="5"/>
  <c r="AZ107" i="5"/>
  <c r="AZ111" i="5"/>
  <c r="AZ120" i="5"/>
  <c r="AZ135" i="5"/>
  <c r="AZ152" i="5"/>
  <c r="AZ115" i="5"/>
  <c r="AZ130" i="5"/>
  <c r="AZ141" i="5"/>
  <c r="AZ157" i="5"/>
  <c r="AZ102" i="5"/>
  <c r="AZ114" i="5"/>
  <c r="AZ131" i="5"/>
  <c r="AZ147" i="5"/>
  <c r="AZ155" i="5"/>
  <c r="AZ164" i="5"/>
  <c r="AZ176" i="5"/>
  <c r="AZ156" i="5"/>
  <c r="AZ183" i="5"/>
  <c r="AZ170" i="5"/>
  <c r="AZ188" i="5"/>
  <c r="AZ205" i="5"/>
  <c r="AZ148" i="5"/>
  <c r="AZ195" i="5"/>
  <c r="AZ214" i="5"/>
  <c r="AZ226" i="5"/>
  <c r="AZ240" i="5"/>
  <c r="AZ197" i="5"/>
  <c r="AZ231" i="5"/>
  <c r="AZ169" i="5"/>
  <c r="AZ187" i="5"/>
  <c r="AZ198" i="5"/>
  <c r="AZ216" i="5"/>
  <c r="AZ224" i="5"/>
  <c r="AZ241" i="5"/>
  <c r="AZ233" i="5"/>
  <c r="AZ253" i="5"/>
  <c r="AZ272" i="5"/>
  <c r="AZ294" i="5"/>
  <c r="AZ310" i="5"/>
  <c r="AZ329" i="5"/>
  <c r="AZ225" i="5"/>
  <c r="AZ251" i="5"/>
  <c r="AZ263" i="5"/>
  <c r="AZ280" i="5"/>
  <c r="AZ295" i="5"/>
  <c r="AZ312" i="5"/>
  <c r="AZ322" i="5"/>
  <c r="AZ213" i="5"/>
  <c r="AZ252" i="5"/>
  <c r="AZ270" i="5"/>
  <c r="AZ282" i="5"/>
  <c r="AZ297" i="5"/>
  <c r="AZ311" i="5"/>
  <c r="AZ328" i="5"/>
  <c r="AZ347" i="5"/>
  <c r="AZ246" i="5"/>
  <c r="AZ313" i="5"/>
  <c r="AZ345" i="5"/>
  <c r="AZ357" i="5"/>
  <c r="AZ370" i="5"/>
  <c r="AZ380" i="5"/>
  <c r="AZ392" i="5"/>
  <c r="AZ413" i="5"/>
  <c r="AZ427" i="5"/>
  <c r="AZ271" i="5"/>
  <c r="AZ341" i="5"/>
  <c r="O13" i="5"/>
  <c r="AC13" i="5" s="1"/>
  <c r="AZ22" i="5"/>
  <c r="AZ31" i="5"/>
  <c r="AZ20" i="5"/>
  <c r="AZ38" i="5"/>
  <c r="AZ21" i="5"/>
  <c r="AZ35" i="5"/>
  <c r="AZ52" i="5"/>
  <c r="AZ51" i="5"/>
  <c r="AZ61" i="5"/>
  <c r="AZ47" i="5"/>
  <c r="AZ56" i="5"/>
  <c r="AZ71" i="5"/>
  <c r="AZ60" i="5"/>
  <c r="AZ68" i="5"/>
  <c r="AZ88" i="5"/>
  <c r="AZ72" i="5"/>
  <c r="AZ85" i="5"/>
  <c r="AZ101" i="5"/>
  <c r="AZ89" i="5"/>
  <c r="AZ96" i="5"/>
  <c r="AZ97" i="5"/>
  <c r="AZ112" i="5"/>
  <c r="AZ125" i="5"/>
  <c r="AZ138" i="5"/>
  <c r="AZ158" i="5"/>
  <c r="AZ116" i="5"/>
  <c r="AZ132" i="5"/>
  <c r="AZ143" i="5"/>
  <c r="AZ64" i="5"/>
  <c r="AZ105" i="5"/>
  <c r="AZ121" i="5"/>
  <c r="AZ133" i="5"/>
  <c r="AZ150" i="5"/>
  <c r="AZ113" i="5"/>
  <c r="AZ166" i="5"/>
  <c r="AZ180" i="5"/>
  <c r="AZ173" i="5"/>
  <c r="AZ119" i="5"/>
  <c r="AZ171" i="5"/>
  <c r="AZ191" i="5"/>
  <c r="AZ207" i="5"/>
  <c r="AZ160" i="5"/>
  <c r="AZ203" i="5"/>
  <c r="AZ217" i="5"/>
  <c r="AZ228" i="5"/>
  <c r="AZ242" i="5"/>
  <c r="AZ199" i="5"/>
  <c r="AZ234" i="5"/>
  <c r="AZ172" i="5"/>
  <c r="AZ189" i="5"/>
  <c r="AZ201" i="5"/>
  <c r="AZ218" i="5"/>
  <c r="AZ227" i="5"/>
  <c r="AZ163" i="5"/>
  <c r="AZ236" i="5"/>
  <c r="AZ256" i="5"/>
  <c r="AZ278" i="5"/>
  <c r="AZ298" i="5"/>
  <c r="AZ317" i="5"/>
  <c r="AZ330" i="5"/>
  <c r="AZ230" i="5"/>
  <c r="AZ254" i="5"/>
  <c r="AZ265" i="5"/>
  <c r="AZ283" i="5"/>
  <c r="AZ301" i="5"/>
  <c r="AZ314" i="5"/>
  <c r="AZ324" i="5"/>
  <c r="AZ221" i="5"/>
  <c r="AZ258" i="5"/>
  <c r="AZ273" i="5"/>
  <c r="AZ286" i="5"/>
  <c r="AZ299" i="5"/>
  <c r="AZ316" i="5"/>
  <c r="AZ333" i="5"/>
  <c r="AZ353" i="5"/>
  <c r="AZ281" i="5"/>
  <c r="AZ327" i="5"/>
  <c r="AZ346" i="5"/>
  <c r="AZ359" i="5"/>
  <c r="AZ371" i="5"/>
  <c r="AZ384" i="5"/>
  <c r="AZ399" i="5"/>
  <c r="AZ416" i="5"/>
  <c r="AZ8" i="5"/>
  <c r="AZ23" i="5"/>
  <c r="AZ29" i="5"/>
  <c r="AZ41" i="5"/>
  <c r="AZ24" i="5"/>
  <c r="AZ39" i="5"/>
  <c r="AZ63" i="5"/>
  <c r="AZ53" i="5"/>
  <c r="AZ66" i="5"/>
  <c r="AZ49" i="5"/>
  <c r="AZ57" i="5"/>
  <c r="AZ75" i="5"/>
  <c r="AZ76" i="5"/>
  <c r="AZ73" i="5"/>
  <c r="AZ91" i="5"/>
  <c r="AZ82" i="5"/>
  <c r="AZ93" i="5"/>
  <c r="AZ104" i="5"/>
  <c r="AZ90" i="5"/>
  <c r="AZ98" i="5"/>
  <c r="AZ103" i="5"/>
  <c r="AZ117" i="5"/>
  <c r="AZ126" i="5"/>
  <c r="AZ146" i="5"/>
  <c r="AZ161" i="5"/>
  <c r="AZ122" i="5"/>
  <c r="AZ134" i="5"/>
  <c r="AZ145" i="5"/>
  <c r="AZ80" i="5"/>
  <c r="AZ108" i="5"/>
  <c r="AZ123" i="5"/>
  <c r="AZ140" i="5"/>
  <c r="AZ151" i="5"/>
  <c r="AZ139" i="5"/>
  <c r="AZ168" i="5"/>
  <c r="AZ185" i="5"/>
  <c r="AZ178" i="5"/>
  <c r="AZ137" i="5"/>
  <c r="AZ182" i="5"/>
  <c r="AZ196" i="5"/>
  <c r="AZ124" i="5"/>
  <c r="AZ162" i="5"/>
  <c r="AZ204" i="5"/>
  <c r="AZ219" i="5"/>
  <c r="AZ235" i="5"/>
  <c r="AZ244" i="5"/>
  <c r="AZ202" i="5"/>
  <c r="AZ237" i="5"/>
  <c r="AZ175" i="5"/>
  <c r="AZ192" i="5"/>
  <c r="AZ206" i="5"/>
  <c r="AZ220" i="5"/>
  <c r="AZ229" i="5"/>
  <c r="AZ208" i="5"/>
  <c r="AZ243" i="5"/>
  <c r="AZ262" i="5"/>
  <c r="AZ284" i="5"/>
  <c r="AZ302" i="5"/>
  <c r="AZ321" i="5"/>
  <c r="AZ331" i="5"/>
  <c r="AZ248" i="5"/>
  <c r="AZ255" i="5"/>
  <c r="AZ268" i="5"/>
  <c r="AZ287" i="5"/>
  <c r="AZ306" i="5"/>
  <c r="AZ315" i="5"/>
  <c r="AZ332" i="5"/>
  <c r="AZ245" i="5"/>
  <c r="AZ260" i="5"/>
  <c r="AZ276" i="5"/>
  <c r="AZ289" i="5"/>
  <c r="AZ304" i="5"/>
  <c r="AZ319" i="5"/>
  <c r="AZ334" i="5"/>
  <c r="AZ355" i="5"/>
  <c r="AZ296" i="5"/>
  <c r="AZ337" i="5"/>
  <c r="AZ350" i="5"/>
  <c r="AZ363" i="5"/>
  <c r="AZ377" i="5"/>
  <c r="AZ389" i="5"/>
  <c r="AZ408" i="5"/>
  <c r="AZ419" i="5"/>
  <c r="AZ434" i="5"/>
  <c r="AZ25" i="5"/>
  <c r="AZ43" i="5"/>
  <c r="AZ30" i="5"/>
  <c r="AZ44" i="5"/>
  <c r="AZ28" i="5"/>
  <c r="AZ42" i="5"/>
  <c r="AZ69" i="5"/>
  <c r="AZ55" i="5"/>
  <c r="AZ27" i="5"/>
  <c r="AZ50" i="5"/>
  <c r="AZ62" i="5"/>
  <c r="AZ79" i="5"/>
  <c r="AZ77" i="5"/>
  <c r="AZ74" i="5"/>
  <c r="AZ67" i="5"/>
  <c r="AZ78" i="5"/>
  <c r="AZ94" i="5"/>
  <c r="AZ109" i="5"/>
  <c r="AZ92" i="5"/>
  <c r="AZ100" i="5"/>
  <c r="AZ106" i="5"/>
  <c r="AZ118" i="5"/>
  <c r="AZ128" i="5"/>
  <c r="AZ149" i="5"/>
  <c r="AZ87" i="5"/>
  <c r="AZ127" i="5"/>
  <c r="AZ136" i="5"/>
  <c r="AZ153" i="5"/>
  <c r="AZ86" i="5"/>
  <c r="AZ110" i="5"/>
  <c r="AZ129" i="5"/>
  <c r="AZ144" i="5"/>
  <c r="AZ154" i="5"/>
  <c r="AZ159" i="5"/>
  <c r="AZ174" i="5"/>
  <c r="AZ186" i="5"/>
  <c r="AZ179" i="5"/>
  <c r="AZ165" i="5"/>
  <c r="AZ184" i="5"/>
  <c r="AZ200" i="5"/>
  <c r="AZ142" i="5"/>
  <c r="AZ194" i="5"/>
  <c r="AZ210" i="5"/>
  <c r="AZ222" i="5"/>
  <c r="AZ238" i="5"/>
  <c r="AZ167" i="5"/>
  <c r="AZ215" i="5"/>
  <c r="AZ239" i="5"/>
  <c r="AZ181" i="5"/>
  <c r="AZ193" i="5"/>
  <c r="AZ209" i="5"/>
  <c r="AZ223" i="5"/>
  <c r="AZ232" i="5"/>
  <c r="AZ211" i="5"/>
  <c r="AZ247" i="5"/>
  <c r="AZ269" i="5"/>
  <c r="AZ290" i="5"/>
  <c r="AZ305" i="5"/>
  <c r="AZ326" i="5"/>
  <c r="AZ177" i="5"/>
  <c r="AZ249" i="5"/>
  <c r="AZ257" i="5"/>
  <c r="AZ275" i="5"/>
  <c r="AZ293" i="5"/>
  <c r="AZ309" i="5"/>
  <c r="AZ320" i="5"/>
  <c r="AZ190" i="5"/>
  <c r="AZ250" i="5"/>
  <c r="AZ267" i="5"/>
  <c r="AZ277" i="5"/>
  <c r="AZ292" i="5"/>
  <c r="AZ308" i="5"/>
  <c r="AZ325" i="5"/>
  <c r="AZ340" i="5"/>
  <c r="AZ212" i="5"/>
  <c r="AZ307" i="5"/>
  <c r="AZ344" i="5"/>
  <c r="AZ356" i="5"/>
  <c r="AZ365" i="5"/>
  <c r="AZ379" i="5"/>
  <c r="AZ390" i="5"/>
  <c r="AZ412" i="5"/>
  <c r="AZ426" i="5"/>
  <c r="AZ318" i="5"/>
  <c r="AZ349" i="5"/>
  <c r="AZ366" i="5"/>
  <c r="AZ394" i="5"/>
  <c r="AZ406" i="5"/>
  <c r="AZ264" i="5"/>
  <c r="AZ343" i="5"/>
  <c r="AZ376" i="5"/>
  <c r="AZ387" i="5"/>
  <c r="AZ401" i="5"/>
  <c r="AZ409" i="5"/>
  <c r="AZ385" i="5"/>
  <c r="AZ440" i="5"/>
  <c r="AZ461" i="5"/>
  <c r="AZ476" i="5"/>
  <c r="AZ482" i="5"/>
  <c r="AZ500" i="5"/>
  <c r="AZ512" i="5"/>
  <c r="AZ288" i="5"/>
  <c r="AZ418" i="5"/>
  <c r="AZ441" i="5"/>
  <c r="AZ451" i="5"/>
  <c r="AZ466" i="5"/>
  <c r="AZ487" i="5"/>
  <c r="AZ494" i="5"/>
  <c r="AZ508" i="5"/>
  <c r="AZ518" i="5"/>
  <c r="AZ335" i="5"/>
  <c r="AZ393" i="5"/>
  <c r="AZ417" i="5"/>
  <c r="AZ425" i="5"/>
  <c r="AZ442" i="5"/>
  <c r="AZ458" i="5"/>
  <c r="AZ483" i="5"/>
  <c r="AZ496" i="5"/>
  <c r="AZ527" i="5"/>
  <c r="AZ538" i="5"/>
  <c r="AZ547" i="5"/>
  <c r="AZ279" i="5"/>
  <c r="AZ423" i="5"/>
  <c r="AZ532" i="5"/>
  <c r="AZ556" i="5"/>
  <c r="AZ516" i="5"/>
  <c r="AZ535" i="5"/>
  <c r="AZ551" i="5"/>
  <c r="AZ383" i="5"/>
  <c r="AZ475" i="5"/>
  <c r="AZ504" i="5"/>
  <c r="AZ555" i="5"/>
  <c r="AZ497" i="5"/>
  <c r="AZ543" i="5"/>
  <c r="AZ432" i="5"/>
  <c r="AZ336" i="5"/>
  <c r="AZ354" i="5"/>
  <c r="AZ374" i="5"/>
  <c r="AZ395" i="5"/>
  <c r="AZ415" i="5"/>
  <c r="AZ300" i="5"/>
  <c r="AZ362" i="5"/>
  <c r="AZ381" i="5"/>
  <c r="AZ391" i="5"/>
  <c r="AZ403" i="5"/>
  <c r="AZ410" i="5"/>
  <c r="AZ428" i="5"/>
  <c r="AZ444" i="5"/>
  <c r="AZ465" i="5"/>
  <c r="AZ477" i="5"/>
  <c r="AZ484" i="5"/>
  <c r="AZ505" i="5"/>
  <c r="AZ519" i="5"/>
  <c r="AZ361" i="5"/>
  <c r="AZ431" i="5"/>
  <c r="AZ443" i="5"/>
  <c r="AZ454" i="5"/>
  <c r="AZ469" i="5"/>
  <c r="AZ488" i="5"/>
  <c r="AZ499" i="5"/>
  <c r="AZ509" i="5"/>
  <c r="AZ520" i="5"/>
  <c r="AZ339" i="5"/>
  <c r="AZ402" i="5"/>
  <c r="AZ421" i="5"/>
  <c r="AZ433" i="5"/>
  <c r="AZ445" i="5"/>
  <c r="AZ460" i="5"/>
  <c r="AZ485" i="5"/>
  <c r="AZ501" i="5"/>
  <c r="AZ533" i="5"/>
  <c r="AZ540" i="5"/>
  <c r="AZ552" i="5"/>
  <c r="AZ285" i="5"/>
  <c r="AZ452" i="5"/>
  <c r="AZ549" i="5"/>
  <c r="AZ369" i="5"/>
  <c r="AZ522" i="5"/>
  <c r="AZ539" i="5"/>
  <c r="AZ554" i="5"/>
  <c r="AZ447" i="5"/>
  <c r="AZ478" i="5"/>
  <c r="AZ515" i="5"/>
  <c r="AZ557" i="5"/>
  <c r="AZ507" i="5"/>
  <c r="AZ545" i="5"/>
  <c r="AZ439" i="5"/>
  <c r="AZ342" i="5"/>
  <c r="AZ358" i="5"/>
  <c r="AZ378" i="5"/>
  <c r="AZ398" i="5"/>
  <c r="AZ420" i="5"/>
  <c r="AZ303" i="5"/>
  <c r="AZ368" i="5"/>
  <c r="AZ382" i="5"/>
  <c r="AZ396" i="5"/>
  <c r="AZ405" i="5"/>
  <c r="AZ338" i="5"/>
  <c r="AZ429" i="5"/>
  <c r="AZ446" i="5"/>
  <c r="AZ467" i="5"/>
  <c r="AZ479" i="5"/>
  <c r="AZ492" i="5"/>
  <c r="AZ506" i="5"/>
  <c r="AZ523" i="5"/>
  <c r="AZ367" i="5"/>
  <c r="AZ436" i="5"/>
  <c r="AZ449" i="5"/>
  <c r="AZ455" i="5"/>
  <c r="AZ473" i="5"/>
  <c r="AZ489" i="5"/>
  <c r="AZ502" i="5"/>
  <c r="AZ510" i="5"/>
  <c r="AZ521" i="5"/>
  <c r="AZ351" i="5"/>
  <c r="AZ411" i="5"/>
  <c r="AZ422" i="5"/>
  <c r="AZ435" i="5"/>
  <c r="AZ448" i="5"/>
  <c r="AZ464" i="5"/>
  <c r="AZ490" i="5"/>
  <c r="AZ517" i="5"/>
  <c r="AZ534" i="5"/>
  <c r="AZ542" i="5"/>
  <c r="AZ558" i="5"/>
  <c r="AZ291" i="5"/>
  <c r="AZ459" i="5"/>
  <c r="AZ550" i="5"/>
  <c r="AZ462" i="5"/>
  <c r="AZ528" i="5"/>
  <c r="AZ541" i="5"/>
  <c r="AZ548" i="5"/>
  <c r="AZ457" i="5"/>
  <c r="AZ486" i="5"/>
  <c r="AZ525" i="5"/>
  <c r="AZ360" i="5"/>
  <c r="AZ514" i="5"/>
  <c r="AZ553" i="5"/>
  <c r="AZ388" i="5"/>
  <c r="AZ372" i="5"/>
  <c r="AZ352" i="5"/>
  <c r="AZ480" i="5"/>
  <c r="AZ373" i="5"/>
  <c r="AZ481" i="5"/>
  <c r="AZ266" i="5"/>
  <c r="AZ437" i="5"/>
  <c r="AZ526" i="5"/>
  <c r="AZ404" i="5"/>
  <c r="AZ530" i="5"/>
  <c r="AZ498" i="5"/>
  <c r="AZ19" i="5"/>
  <c r="AZ274" i="5"/>
  <c r="AZ400" i="5"/>
  <c r="AZ386" i="5"/>
  <c r="AZ430" i="5"/>
  <c r="AZ495" i="5"/>
  <c r="AZ438" i="5"/>
  <c r="AZ493" i="5"/>
  <c r="AZ375" i="5"/>
  <c r="AZ456" i="5"/>
  <c r="AZ536" i="5"/>
  <c r="AZ524" i="5"/>
  <c r="AZ546" i="5"/>
  <c r="AZ531" i="5"/>
  <c r="AZ348" i="5"/>
  <c r="AZ259" i="5"/>
  <c r="AZ397" i="5"/>
  <c r="AZ453" i="5"/>
  <c r="AZ511" i="5"/>
  <c r="AZ450" i="5"/>
  <c r="AZ503" i="5"/>
  <c r="AZ414" i="5"/>
  <c r="AZ472" i="5"/>
  <c r="AZ544" i="5"/>
  <c r="AZ559" i="5"/>
  <c r="AZ560" i="5"/>
  <c r="AZ474" i="5"/>
  <c r="AZ470" i="5"/>
  <c r="AZ424" i="5"/>
  <c r="AZ471" i="5"/>
  <c r="AZ364" i="5"/>
  <c r="AZ537" i="5"/>
  <c r="AZ491" i="5"/>
  <c r="AZ529" i="5"/>
  <c r="AZ323" i="5"/>
  <c r="AZ463" i="5"/>
  <c r="AZ261" i="5"/>
  <c r="AZ407" i="5"/>
  <c r="AZ513" i="5"/>
  <c r="AZ468" i="5"/>
  <c r="BD20" i="5"/>
  <c r="BE20" i="5"/>
  <c r="H18" i="1"/>
  <c r="AY36" i="5" l="1"/>
  <c r="BC12" i="5"/>
  <c r="AC12" i="5"/>
  <c r="AD13" i="5"/>
  <c r="AE13" i="5"/>
  <c r="BD27" i="5"/>
  <c r="BF37" i="5"/>
  <c r="AX37" i="5"/>
  <c r="AY37" i="5"/>
  <c r="BE37" i="5"/>
  <c r="BD37" i="5"/>
  <c r="BD23" i="5"/>
  <c r="BE116" i="5"/>
  <c r="BD265" i="5"/>
  <c r="BD7" i="5"/>
  <c r="BE312" i="5"/>
  <c r="BD81" i="5"/>
  <c r="BD119" i="5"/>
  <c r="BE118" i="5"/>
  <c r="BD296" i="5"/>
  <c r="BB7" i="5"/>
  <c r="BD303" i="5"/>
  <c r="BE135" i="5"/>
  <c r="BD288" i="5"/>
  <c r="BD261" i="5"/>
  <c r="BE139" i="5"/>
  <c r="BE94" i="5"/>
  <c r="BE91" i="5"/>
  <c r="BE123" i="5"/>
  <c r="BD173" i="5"/>
  <c r="BD158" i="5"/>
  <c r="BD75" i="5"/>
  <c r="BE24" i="5"/>
  <c r="BE138" i="5"/>
  <c r="BD256" i="5"/>
  <c r="AX41" i="5"/>
  <c r="BD121" i="5"/>
  <c r="BE246" i="5"/>
  <c r="BD60" i="5"/>
  <c r="BE55" i="5"/>
  <c r="BE95" i="5"/>
  <c r="BD98" i="5"/>
  <c r="AX100" i="5"/>
  <c r="BD198" i="5"/>
  <c r="AX286" i="5"/>
  <c r="BE39" i="5"/>
  <c r="AX299" i="5"/>
  <c r="AX78" i="5"/>
  <c r="BE212" i="5"/>
  <c r="BD299" i="5"/>
  <c r="BD221" i="5"/>
  <c r="BE156" i="5"/>
  <c r="BE344" i="5"/>
  <c r="BE243" i="5"/>
  <c r="AX129" i="5"/>
  <c r="BD48" i="5"/>
  <c r="BD183" i="5"/>
  <c r="BD117" i="5"/>
  <c r="BD234" i="5"/>
  <c r="BE163" i="5"/>
  <c r="BE329" i="5"/>
  <c r="BD188" i="5"/>
  <c r="BE131" i="5"/>
  <c r="BD80" i="5"/>
  <c r="AX191" i="5"/>
  <c r="AY295" i="5"/>
  <c r="AX324" i="5"/>
  <c r="BD190" i="5"/>
  <c r="AY209" i="5"/>
  <c r="AY187" i="5"/>
  <c r="AY217" i="5"/>
  <c r="AX195" i="5"/>
  <c r="AX314" i="5"/>
  <c r="BE290" i="5"/>
  <c r="AX69" i="5"/>
  <c r="BD174" i="5"/>
  <c r="AY47" i="5"/>
  <c r="AX44" i="5"/>
  <c r="AY121" i="5"/>
  <c r="BE53" i="5"/>
  <c r="AY177" i="5"/>
  <c r="AY273" i="5"/>
  <c r="BD238" i="5"/>
  <c r="BD180" i="5"/>
  <c r="AY135" i="5"/>
  <c r="AX39" i="5"/>
  <c r="AY139" i="5"/>
  <c r="BD373" i="5"/>
  <c r="AX159" i="5"/>
  <c r="AY65" i="5"/>
  <c r="BE43" i="5"/>
  <c r="AX230" i="5"/>
  <c r="BE86" i="5"/>
  <c r="BE264" i="5"/>
  <c r="BE305" i="5"/>
  <c r="BE83" i="5"/>
  <c r="AX182" i="5"/>
  <c r="AX237" i="5"/>
  <c r="BD35" i="5"/>
  <c r="BD59" i="5"/>
  <c r="BD132" i="5"/>
  <c r="AY271" i="5"/>
  <c r="AY312" i="5"/>
  <c r="BD220" i="5"/>
  <c r="AX138" i="5"/>
  <c r="AY218" i="5"/>
  <c r="AY23" i="5"/>
  <c r="AX142" i="5"/>
  <c r="AY250" i="5"/>
  <c r="BE324" i="5"/>
  <c r="AX87" i="5"/>
  <c r="AY131" i="5"/>
  <c r="AY84" i="5"/>
  <c r="AY270" i="5"/>
  <c r="AY54" i="5"/>
  <c r="AX291" i="5"/>
  <c r="BE108" i="5"/>
  <c r="BE71" i="5"/>
  <c r="BE115" i="5"/>
  <c r="AY243" i="5"/>
  <c r="BE32" i="5"/>
  <c r="AX335" i="5"/>
  <c r="AX133" i="5"/>
  <c r="BD369" i="5"/>
  <c r="BE69" i="5"/>
  <c r="BD64" i="5"/>
  <c r="BE314" i="5"/>
  <c r="AY239" i="5"/>
  <c r="AY257" i="5"/>
  <c r="AY173" i="5"/>
  <c r="AX246" i="5"/>
  <c r="AY77" i="5"/>
  <c r="BE110" i="5"/>
  <c r="BD92" i="5"/>
  <c r="BD107" i="5"/>
  <c r="BE263" i="5"/>
  <c r="BE184" i="5"/>
  <c r="BE127" i="5"/>
  <c r="AX91" i="5"/>
  <c r="BE44" i="5"/>
  <c r="AY165" i="5"/>
  <c r="AY211" i="5"/>
  <c r="BD274" i="5"/>
  <c r="AX102" i="5"/>
  <c r="BD283" i="5"/>
  <c r="BD22" i="5"/>
  <c r="BD194" i="5"/>
  <c r="AY115" i="5"/>
  <c r="BE179" i="5"/>
  <c r="AX172" i="5"/>
  <c r="BE323" i="5"/>
  <c r="AY53" i="5"/>
  <c r="AX156" i="5"/>
  <c r="AX238" i="5"/>
  <c r="AX316" i="5"/>
  <c r="BD140" i="5"/>
  <c r="AX153" i="5"/>
  <c r="AX297" i="5"/>
  <c r="AX38" i="5"/>
  <c r="AY249" i="5"/>
  <c r="BE148" i="5"/>
  <c r="AY181" i="5"/>
  <c r="AX29" i="5"/>
  <c r="AY103" i="5"/>
  <c r="AX24" i="5"/>
  <c r="AY52" i="5"/>
  <c r="AX110" i="5"/>
  <c r="BE50" i="5"/>
  <c r="BE152" i="5"/>
  <c r="BE171" i="5"/>
  <c r="AX7" i="5"/>
  <c r="AY205" i="5"/>
  <c r="AY234" i="5"/>
  <c r="AY160" i="5"/>
  <c r="AX34" i="5"/>
  <c r="AX66" i="5"/>
  <c r="AX111" i="5"/>
  <c r="AY301" i="5"/>
  <c r="AX46" i="5"/>
  <c r="BE78" i="5"/>
  <c r="BE240" i="5"/>
  <c r="AY42" i="5"/>
  <c r="AY163" i="5"/>
  <c r="BE29" i="5"/>
  <c r="AX128" i="5"/>
  <c r="BE26" i="5"/>
  <c r="AY233" i="5"/>
  <c r="AY283" i="5"/>
  <c r="AX280" i="5"/>
  <c r="AX200" i="5"/>
  <c r="BE160" i="5"/>
  <c r="BE237" i="5"/>
  <c r="AX96" i="5"/>
  <c r="BD300" i="5"/>
  <c r="AX221" i="5"/>
  <c r="BD112" i="5"/>
  <c r="BE208" i="5"/>
  <c r="BE352" i="5"/>
  <c r="AX32" i="5"/>
  <c r="BE74" i="5"/>
  <c r="BD232" i="5"/>
  <c r="AX25" i="5"/>
  <c r="BD309" i="5"/>
  <c r="AY71" i="5"/>
  <c r="AX92" i="5"/>
  <c r="AY248" i="5"/>
  <c r="AX189" i="5"/>
  <c r="AY307" i="5"/>
  <c r="AX175" i="5"/>
  <c r="AX51" i="5"/>
  <c r="AY229" i="5"/>
  <c r="AY118" i="5"/>
  <c r="BE66" i="5"/>
  <c r="BD206" i="5"/>
  <c r="AY21" i="5"/>
  <c r="AX30" i="5"/>
  <c r="AY190" i="5"/>
  <c r="BD200" i="5"/>
  <c r="BE30" i="5"/>
  <c r="AX79" i="5"/>
  <c r="BE269" i="5"/>
  <c r="AY88" i="5"/>
  <c r="BD318" i="5"/>
  <c r="BD236" i="5"/>
  <c r="AX93" i="5"/>
  <c r="AX33" i="5"/>
  <c r="BE164" i="5"/>
  <c r="BE295" i="5"/>
  <c r="AY282" i="5"/>
  <c r="BD51" i="5"/>
  <c r="BE337" i="5"/>
  <c r="BE73" i="5"/>
  <c r="BE159" i="5"/>
  <c r="AX75" i="5"/>
  <c r="BD197" i="5"/>
  <c r="AX89" i="5"/>
  <c r="BE178" i="5"/>
  <c r="BD125" i="5"/>
  <c r="AX164" i="5"/>
  <c r="AY130" i="5"/>
  <c r="BD202" i="5"/>
  <c r="BE175" i="5"/>
  <c r="BE230" i="5"/>
  <c r="BD134" i="5"/>
  <c r="AX240" i="5"/>
  <c r="BE103" i="5"/>
  <c r="BE285" i="5"/>
  <c r="BE331" i="5"/>
  <c r="AX28" i="5"/>
  <c r="BD61" i="5"/>
  <c r="AX141" i="5"/>
  <c r="AX199" i="5"/>
  <c r="AY55" i="5"/>
  <c r="AY22" i="5"/>
  <c r="AY311" i="5"/>
  <c r="AX328" i="5"/>
  <c r="AX183" i="5"/>
  <c r="AY265" i="5"/>
  <c r="BE211" i="5"/>
  <c r="BD56" i="5"/>
  <c r="BE84" i="5"/>
  <c r="AX136" i="5"/>
  <c r="AY327" i="5"/>
  <c r="AY210" i="5"/>
  <c r="AY259" i="5"/>
  <c r="AY322" i="5"/>
  <c r="AX251" i="5"/>
  <c r="AY62" i="5"/>
  <c r="BE393" i="5"/>
  <c r="BE136" i="5"/>
  <c r="AX109" i="5"/>
  <c r="AY176" i="5"/>
  <c r="AY215" i="5"/>
  <c r="AY126" i="5"/>
  <c r="AY150" i="5"/>
  <c r="AY276" i="5"/>
  <c r="BE168" i="5"/>
  <c r="BD154" i="5"/>
  <c r="BE166" i="5"/>
  <c r="BE130" i="5"/>
  <c r="BE45" i="5"/>
  <c r="BD172" i="5"/>
  <c r="BD191" i="5"/>
  <c r="BE247" i="5"/>
  <c r="BD346" i="5"/>
  <c r="BE278" i="5"/>
  <c r="BE137" i="5"/>
  <c r="BD161" i="5"/>
  <c r="BD249" i="5"/>
  <c r="AX8" i="5"/>
  <c r="AY157" i="5"/>
  <c r="AY224" i="5"/>
  <c r="AX154" i="5"/>
  <c r="AY43" i="5"/>
  <c r="AY20" i="5"/>
  <c r="AY122" i="5"/>
  <c r="AY31" i="5"/>
  <c r="AY90" i="5"/>
  <c r="BE177" i="5"/>
  <c r="AX255" i="5"/>
  <c r="AY63" i="5"/>
  <c r="AY198" i="5"/>
  <c r="AY83" i="5"/>
  <c r="AX56" i="5"/>
  <c r="BE68" i="5"/>
  <c r="BE8" i="5"/>
  <c r="BE255" i="5"/>
  <c r="BD40" i="5"/>
  <c r="BE284" i="5"/>
  <c r="BD89" i="5"/>
  <c r="BD315" i="5"/>
  <c r="BE326" i="5"/>
  <c r="BE169" i="5"/>
  <c r="BD126" i="5"/>
  <c r="BE218" i="5"/>
  <c r="BD242" i="5"/>
  <c r="BD227" i="5"/>
  <c r="AX64" i="5"/>
  <c r="BD268" i="5"/>
  <c r="BE97" i="5"/>
  <c r="BD199" i="5"/>
  <c r="BD141" i="5"/>
  <c r="BE196" i="5"/>
  <c r="BE222" i="5"/>
  <c r="BD31" i="5"/>
  <c r="BE251" i="5"/>
  <c r="BD70" i="5"/>
  <c r="BE82" i="5"/>
  <c r="BD150" i="5"/>
  <c r="BE302" i="5"/>
  <c r="BD38" i="5"/>
  <c r="BE322" i="5"/>
  <c r="BD114" i="5"/>
  <c r="BE111" i="5"/>
  <c r="BD226" i="5"/>
  <c r="AY61" i="5"/>
  <c r="AX61" i="5"/>
  <c r="BE176" i="5"/>
  <c r="BE52" i="5"/>
  <c r="AY49" i="5"/>
  <c r="AX49" i="5"/>
  <c r="BE282" i="5"/>
  <c r="BE287" i="5"/>
  <c r="BE113" i="5"/>
  <c r="AW12" i="5"/>
  <c r="AX12" i="5" s="1"/>
  <c r="BE332" i="5"/>
  <c r="BE144" i="5"/>
  <c r="BD351" i="5"/>
  <c r="AZ12" i="5"/>
  <c r="BB12" i="5" s="1"/>
  <c r="BD266" i="5"/>
  <c r="BE223" i="5"/>
  <c r="BE262" i="5"/>
  <c r="BE219" i="5"/>
  <c r="AX560" i="5"/>
  <c r="AY560" i="5"/>
  <c r="AY475" i="5"/>
  <c r="AX475" i="5"/>
  <c r="AY431" i="5"/>
  <c r="AX431" i="5"/>
  <c r="AY119" i="5"/>
  <c r="AX119" i="5"/>
  <c r="AY455" i="5"/>
  <c r="AX455" i="5"/>
  <c r="AX19" i="5"/>
  <c r="AY19" i="5"/>
  <c r="AY546" i="5"/>
  <c r="AX546" i="5"/>
  <c r="AY266" i="5"/>
  <c r="AX266" i="5"/>
  <c r="AX552" i="5"/>
  <c r="AY552" i="5"/>
  <c r="AX256" i="5"/>
  <c r="AY256" i="5"/>
  <c r="AY389" i="5"/>
  <c r="AX389" i="5"/>
  <c r="AX35" i="5"/>
  <c r="AY35" i="5"/>
  <c r="AY482" i="5"/>
  <c r="AX482" i="5"/>
  <c r="AX354" i="5"/>
  <c r="AY354" i="5"/>
  <c r="AY521" i="5"/>
  <c r="AX521" i="5"/>
  <c r="AX454" i="5"/>
  <c r="AY454" i="5"/>
  <c r="AX545" i="5"/>
  <c r="AY545" i="5"/>
  <c r="AY528" i="5"/>
  <c r="AX528" i="5"/>
  <c r="AY498" i="5"/>
  <c r="AX498" i="5"/>
  <c r="AY464" i="5"/>
  <c r="AX464" i="5"/>
  <c r="AX414" i="5"/>
  <c r="AY414" i="5"/>
  <c r="AY374" i="5"/>
  <c r="AX374" i="5"/>
  <c r="AY236" i="5"/>
  <c r="AX236" i="5"/>
  <c r="AY108" i="5"/>
  <c r="AX108" i="5"/>
  <c r="AY446" i="5"/>
  <c r="AX446" i="5"/>
  <c r="AX413" i="5"/>
  <c r="AY413" i="5"/>
  <c r="AX484" i="5"/>
  <c r="AY484" i="5"/>
  <c r="AX463" i="5"/>
  <c r="AY463" i="5"/>
  <c r="AX457" i="5"/>
  <c r="AY457" i="5"/>
  <c r="AX422" i="5"/>
  <c r="AY422" i="5"/>
  <c r="AY409" i="5"/>
  <c r="AX409" i="5"/>
  <c r="AY323" i="5"/>
  <c r="AX323" i="5"/>
  <c r="AY206" i="5"/>
  <c r="AX206" i="5"/>
  <c r="AX68" i="5"/>
  <c r="AY68" i="5"/>
  <c r="AX537" i="5"/>
  <c r="AY537" i="5"/>
  <c r="AX358" i="5"/>
  <c r="AY358" i="5"/>
  <c r="AY554" i="5"/>
  <c r="AX554" i="5"/>
  <c r="AY549" i="5"/>
  <c r="AX549" i="5"/>
  <c r="AY517" i="5"/>
  <c r="AX517" i="5"/>
  <c r="AY481" i="5"/>
  <c r="AX481" i="5"/>
  <c r="AX298" i="5"/>
  <c r="AY298" i="5"/>
  <c r="AY292" i="5"/>
  <c r="AX292" i="5"/>
  <c r="AY171" i="5"/>
  <c r="AX171" i="5"/>
  <c r="AX509" i="5"/>
  <c r="AY509" i="5"/>
  <c r="AY550" i="5"/>
  <c r="AX550" i="5"/>
  <c r="AX478" i="5"/>
  <c r="AY478" i="5"/>
  <c r="AX272" i="5"/>
  <c r="AY272" i="5"/>
  <c r="AX456" i="5"/>
  <c r="AY456" i="5"/>
  <c r="AX518" i="5"/>
  <c r="AY518" i="5"/>
  <c r="AX445" i="5"/>
  <c r="AY445" i="5"/>
  <c r="AY168" i="5"/>
  <c r="AX168" i="5"/>
  <c r="AX352" i="5"/>
  <c r="AY352" i="5"/>
  <c r="AY376" i="5"/>
  <c r="AX376" i="5"/>
  <c r="AX180" i="5"/>
  <c r="AY180" i="5"/>
  <c r="AY388" i="5"/>
  <c r="AX388" i="5"/>
  <c r="AX349" i="5"/>
  <c r="AY349" i="5"/>
  <c r="AX269" i="5"/>
  <c r="AY269" i="5"/>
  <c r="AX258" i="5"/>
  <c r="AY258" i="5"/>
  <c r="AX252" i="5"/>
  <c r="AY252" i="5"/>
  <c r="AY192" i="5"/>
  <c r="AX192" i="5"/>
  <c r="AY140" i="5"/>
  <c r="AX140" i="5"/>
  <c r="AX116" i="5"/>
  <c r="AY116" i="5"/>
  <c r="AX127" i="5"/>
  <c r="AY127" i="5"/>
  <c r="AX72" i="5"/>
  <c r="AY72" i="5"/>
  <c r="AY384" i="5"/>
  <c r="AX384" i="5"/>
  <c r="AX488" i="5"/>
  <c r="AY488" i="5"/>
  <c r="AY350" i="5"/>
  <c r="AX350" i="5"/>
  <c r="AY383" i="5"/>
  <c r="AX383" i="5"/>
  <c r="AY405" i="5"/>
  <c r="AX405" i="5"/>
  <c r="AY326" i="5"/>
  <c r="AX326" i="5"/>
  <c r="AY406" i="5"/>
  <c r="AX406" i="5"/>
  <c r="AX290" i="5"/>
  <c r="AY290" i="5"/>
  <c r="AY313" i="5"/>
  <c r="AX313" i="5"/>
  <c r="AY308" i="5"/>
  <c r="AX308" i="5"/>
  <c r="AX293" i="5"/>
  <c r="AY293" i="5"/>
  <c r="AX188" i="5"/>
  <c r="AY188" i="5"/>
  <c r="AY197" i="5"/>
  <c r="AX197" i="5"/>
  <c r="AY179" i="5"/>
  <c r="AX179" i="5"/>
  <c r="AY151" i="5"/>
  <c r="AX151" i="5"/>
  <c r="AY98" i="5"/>
  <c r="AX98" i="5"/>
  <c r="AX60" i="5"/>
  <c r="AY60" i="5"/>
  <c r="AX380" i="5"/>
  <c r="AY380" i="5"/>
  <c r="AY507" i="5"/>
  <c r="AX507" i="5"/>
  <c r="AY439" i="5"/>
  <c r="AX439" i="5"/>
  <c r="AX483" i="5"/>
  <c r="AY483" i="5"/>
  <c r="AY370" i="5"/>
  <c r="AX370" i="5"/>
  <c r="AX487" i="5"/>
  <c r="AY487" i="5"/>
  <c r="AY346" i="5"/>
  <c r="AX346" i="5"/>
  <c r="AX375" i="5"/>
  <c r="AY375" i="5"/>
  <c r="AY396" i="5"/>
  <c r="AX396" i="5"/>
  <c r="AY321" i="5"/>
  <c r="AX321" i="5"/>
  <c r="AY403" i="5"/>
  <c r="AX403" i="5"/>
  <c r="AX284" i="5"/>
  <c r="AY284" i="5"/>
  <c r="AY303" i="5"/>
  <c r="AX303" i="5"/>
  <c r="AX304" i="5"/>
  <c r="AY304" i="5"/>
  <c r="AY287" i="5"/>
  <c r="AX287" i="5"/>
  <c r="AY166" i="5"/>
  <c r="AX166" i="5"/>
  <c r="AX194" i="5"/>
  <c r="AY194" i="5"/>
  <c r="AY178" i="5"/>
  <c r="AX178" i="5"/>
  <c r="AY148" i="5"/>
  <c r="AX148" i="5"/>
  <c r="AY97" i="5"/>
  <c r="AX97" i="5"/>
  <c r="AX57" i="5"/>
  <c r="AY57" i="5"/>
  <c r="AY155" i="5"/>
  <c r="AX155" i="5"/>
  <c r="AX226" i="5"/>
  <c r="AY226" i="5"/>
  <c r="AX132" i="5"/>
  <c r="AY132" i="5"/>
  <c r="AY519" i="5"/>
  <c r="AX519" i="5"/>
  <c r="AX544" i="5"/>
  <c r="AY544" i="5"/>
  <c r="AY536" i="5"/>
  <c r="AX536" i="5"/>
  <c r="AY531" i="5"/>
  <c r="AX531" i="5"/>
  <c r="AY433" i="5"/>
  <c r="AX433" i="5"/>
  <c r="AX137" i="5"/>
  <c r="AY137" i="5"/>
  <c r="AX432" i="5"/>
  <c r="AY432" i="5"/>
  <c r="AY520" i="5"/>
  <c r="AX520" i="5"/>
  <c r="AX458" i="5"/>
  <c r="AY458" i="5"/>
  <c r="AX330" i="5"/>
  <c r="AY330" i="5"/>
  <c r="AX107" i="5"/>
  <c r="AY107" i="5"/>
  <c r="AY395" i="5"/>
  <c r="AX395" i="5"/>
  <c r="AY392" i="5"/>
  <c r="AX392" i="5"/>
  <c r="AX357" i="5"/>
  <c r="AY357" i="5"/>
  <c r="AY300" i="5"/>
  <c r="AX300" i="5"/>
  <c r="AX50" i="5"/>
  <c r="AY50" i="5"/>
  <c r="AY504" i="5"/>
  <c r="AX504" i="5"/>
  <c r="AY472" i="5"/>
  <c r="AX472" i="5"/>
  <c r="AY469" i="5"/>
  <c r="AX469" i="5"/>
  <c r="AY369" i="5"/>
  <c r="AX369" i="5"/>
  <c r="AY268" i="5"/>
  <c r="AX268" i="5"/>
  <c r="AX174" i="5"/>
  <c r="AY174" i="5"/>
  <c r="AX289" i="5"/>
  <c r="AY289" i="5"/>
  <c r="AX232" i="5"/>
  <c r="AY232" i="5"/>
  <c r="AY158" i="5"/>
  <c r="AX158" i="5"/>
  <c r="AY94" i="5"/>
  <c r="AX94" i="5"/>
  <c r="AX499" i="5"/>
  <c r="AY499" i="5"/>
  <c r="AY404" i="5"/>
  <c r="AX404" i="5"/>
  <c r="AY355" i="5"/>
  <c r="AX355" i="5"/>
  <c r="AY364" i="5"/>
  <c r="AX364" i="5"/>
  <c r="AX196" i="5"/>
  <c r="AY196" i="5"/>
  <c r="AY225" i="5"/>
  <c r="AX225" i="5"/>
  <c r="AX161" i="5"/>
  <c r="AY161" i="5"/>
  <c r="AY85" i="5"/>
  <c r="AX85" i="5"/>
  <c r="AX473" i="5"/>
  <c r="AY473" i="5"/>
  <c r="AX459" i="5"/>
  <c r="AY459" i="5"/>
  <c r="AX425" i="5"/>
  <c r="AY425" i="5"/>
  <c r="AY412" i="5"/>
  <c r="AX412" i="5"/>
  <c r="AY410" i="5"/>
  <c r="AX410" i="5"/>
  <c r="AY421" i="5"/>
  <c r="AX421" i="5"/>
  <c r="AY117" i="5"/>
  <c r="AX117" i="5"/>
  <c r="AY315" i="5"/>
  <c r="AX315" i="5"/>
  <c r="AX193" i="5"/>
  <c r="AY193" i="5"/>
  <c r="AX82" i="5"/>
  <c r="AY82" i="5"/>
  <c r="AY423" i="5"/>
  <c r="AX423" i="5"/>
  <c r="AY529" i="5"/>
  <c r="AX529" i="5"/>
  <c r="AX515" i="5"/>
  <c r="AY515" i="5"/>
  <c r="AY123" i="5"/>
  <c r="AX123" i="5"/>
  <c r="AY535" i="5"/>
  <c r="AX535" i="5"/>
  <c r="AX394" i="5"/>
  <c r="AY394" i="5"/>
  <c r="AY204" i="5"/>
  <c r="AX204" i="5"/>
  <c r="AY470" i="5"/>
  <c r="AX470" i="5"/>
  <c r="AX471" i="5"/>
  <c r="AY471" i="5"/>
  <c r="AY207" i="5"/>
  <c r="AX207" i="5"/>
  <c r="AX449" i="5"/>
  <c r="AY449" i="5"/>
  <c r="AY426" i="5"/>
  <c r="AX426" i="5"/>
  <c r="AY495" i="5"/>
  <c r="AX495" i="5"/>
  <c r="AY476" i="5"/>
  <c r="AX476" i="5"/>
  <c r="AY462" i="5"/>
  <c r="AX462" i="5"/>
  <c r="AY434" i="5"/>
  <c r="AX434" i="5"/>
  <c r="AY339" i="5"/>
  <c r="AX339" i="5"/>
  <c r="AY343" i="5"/>
  <c r="AX343" i="5"/>
  <c r="AY227" i="5"/>
  <c r="AX227" i="5"/>
  <c r="AX80" i="5"/>
  <c r="AY80" i="5"/>
  <c r="AX556" i="5"/>
  <c r="AY556" i="5"/>
  <c r="AX365" i="5"/>
  <c r="AY365" i="5"/>
  <c r="AY441" i="5"/>
  <c r="AX441" i="5"/>
  <c r="AX551" i="5"/>
  <c r="AY551" i="5"/>
  <c r="AY302" i="5"/>
  <c r="AX302" i="5"/>
  <c r="AX493" i="5"/>
  <c r="AY493" i="5"/>
  <c r="AX333" i="5"/>
  <c r="AY333" i="5"/>
  <c r="AX325" i="5"/>
  <c r="AY325" i="5"/>
  <c r="AX125" i="5"/>
  <c r="AY125" i="5"/>
  <c r="AX534" i="5"/>
  <c r="AY534" i="5"/>
  <c r="AX467" i="5"/>
  <c r="AY467" i="5"/>
  <c r="AY555" i="5"/>
  <c r="AX555" i="5"/>
  <c r="AY539" i="5"/>
  <c r="AX539" i="5"/>
  <c r="AY512" i="5"/>
  <c r="AX512" i="5"/>
  <c r="AY485" i="5"/>
  <c r="AX485" i="5"/>
  <c r="AX344" i="5"/>
  <c r="AY344" i="5"/>
  <c r="AX401" i="5"/>
  <c r="AY401" i="5"/>
  <c r="AY277" i="5"/>
  <c r="AX277" i="5"/>
  <c r="AX124" i="5"/>
  <c r="AY124" i="5"/>
  <c r="AY479" i="5"/>
  <c r="AX479" i="5"/>
  <c r="AX543" i="5"/>
  <c r="AY543" i="5"/>
  <c r="AY468" i="5"/>
  <c r="AX468" i="5"/>
  <c r="AY501" i="5"/>
  <c r="AX501" i="5"/>
  <c r="AY435" i="5"/>
  <c r="AX435" i="5"/>
  <c r="AY502" i="5"/>
  <c r="AX502" i="5"/>
  <c r="AY427" i="5"/>
  <c r="AX427" i="5"/>
  <c r="AY411" i="5"/>
  <c r="AX411" i="5"/>
  <c r="AY317" i="5"/>
  <c r="AX317" i="5"/>
  <c r="AX362" i="5"/>
  <c r="AY362" i="5"/>
  <c r="AY429" i="5"/>
  <c r="AX429" i="5"/>
  <c r="AY366" i="5"/>
  <c r="AX366" i="5"/>
  <c r="AY342" i="5"/>
  <c r="AX342" i="5"/>
  <c r="AX244" i="5"/>
  <c r="AY244" i="5"/>
  <c r="AY332" i="5"/>
  <c r="AX332" i="5"/>
  <c r="AX235" i="5"/>
  <c r="AY235" i="5"/>
  <c r="AY223" i="5"/>
  <c r="AX223" i="5"/>
  <c r="AX169" i="5"/>
  <c r="AY169" i="5"/>
  <c r="AY134" i="5"/>
  <c r="AX134" i="5"/>
  <c r="AY101" i="5"/>
  <c r="AX101" i="5"/>
  <c r="AY26" i="5"/>
  <c r="AX26" i="5"/>
  <c r="AY294" i="5"/>
  <c r="AX294" i="5"/>
  <c r="AY466" i="5"/>
  <c r="AX466" i="5"/>
  <c r="AX305" i="5"/>
  <c r="AY305" i="5"/>
  <c r="AY361" i="5"/>
  <c r="AX361" i="5"/>
  <c r="AY387" i="5"/>
  <c r="AX387" i="5"/>
  <c r="AX267" i="5"/>
  <c r="AY267" i="5"/>
  <c r="AY398" i="5"/>
  <c r="AX398" i="5"/>
  <c r="AY359" i="5"/>
  <c r="AX359" i="5"/>
  <c r="AX288" i="5"/>
  <c r="AY288" i="5"/>
  <c r="AX279" i="5"/>
  <c r="AY279" i="5"/>
  <c r="AX263" i="5"/>
  <c r="AY263" i="5"/>
  <c r="AX220" i="5"/>
  <c r="AY220" i="5"/>
  <c r="AX167" i="5"/>
  <c r="AY167" i="5"/>
  <c r="AY147" i="5"/>
  <c r="AX147" i="5"/>
  <c r="AY145" i="5"/>
  <c r="AX145" i="5"/>
  <c r="AX86" i="5"/>
  <c r="AY86" i="5"/>
  <c r="AX40" i="5"/>
  <c r="AY40" i="5"/>
  <c r="AY553" i="5"/>
  <c r="AX553" i="5"/>
  <c r="AY486" i="5"/>
  <c r="AX486" i="5"/>
  <c r="AY337" i="5"/>
  <c r="AX337" i="5"/>
  <c r="AY460" i="5"/>
  <c r="AX460" i="5"/>
  <c r="AX530" i="5"/>
  <c r="AY530" i="5"/>
  <c r="AX451" i="5"/>
  <c r="AY451" i="5"/>
  <c r="AY275" i="5"/>
  <c r="AX275" i="5"/>
  <c r="AX360" i="5"/>
  <c r="AY360" i="5"/>
  <c r="AX386" i="5"/>
  <c r="AY386" i="5"/>
  <c r="AY262" i="5"/>
  <c r="AX262" i="5"/>
  <c r="AX397" i="5"/>
  <c r="AY397" i="5"/>
  <c r="AX356" i="5"/>
  <c r="AY356" i="5"/>
  <c r="AY285" i="5"/>
  <c r="AX285" i="5"/>
  <c r="AY278" i="5"/>
  <c r="AX278" i="5"/>
  <c r="AX260" i="5"/>
  <c r="AY260" i="5"/>
  <c r="AY216" i="5"/>
  <c r="AX216" i="5"/>
  <c r="AX162" i="5"/>
  <c r="AY162" i="5"/>
  <c r="AX144" i="5"/>
  <c r="AY144" i="5"/>
  <c r="AY143" i="5"/>
  <c r="AX143" i="5"/>
  <c r="AX81" i="5"/>
  <c r="AY81" i="5"/>
  <c r="AX45" i="5"/>
  <c r="AY45" i="5"/>
  <c r="AY547" i="5"/>
  <c r="AX547" i="5"/>
  <c r="AY461" i="5"/>
  <c r="AX461" i="5"/>
  <c r="AX281" i="5"/>
  <c r="AY281" i="5"/>
  <c r="AX353" i="5"/>
  <c r="AY353" i="5"/>
  <c r="AY523" i="5"/>
  <c r="AX523" i="5"/>
  <c r="AY542" i="5"/>
  <c r="AX542" i="5"/>
  <c r="AY497" i="5"/>
  <c r="AX497" i="5"/>
  <c r="AX203" i="5"/>
  <c r="AY203" i="5"/>
  <c r="AX503" i="5"/>
  <c r="AY503" i="5"/>
  <c r="AX533" i="5"/>
  <c r="AY533" i="5"/>
  <c r="AY480" i="5"/>
  <c r="AX480" i="5"/>
  <c r="AX390" i="5"/>
  <c r="AY390" i="5"/>
  <c r="AX213" i="5"/>
  <c r="AY213" i="5"/>
  <c r="AY440" i="5"/>
  <c r="AX440" i="5"/>
  <c r="AY465" i="5"/>
  <c r="AX465" i="5"/>
  <c r="AX452" i="5"/>
  <c r="AY452" i="5"/>
  <c r="AY393" i="5"/>
  <c r="AX393" i="5"/>
  <c r="AX186" i="5"/>
  <c r="AY186" i="5"/>
  <c r="AY559" i="5"/>
  <c r="AX559" i="5"/>
  <c r="AX399" i="5"/>
  <c r="AY399" i="5"/>
  <c r="AY331" i="5"/>
  <c r="AX331" i="5"/>
  <c r="AX334" i="5"/>
  <c r="AY334" i="5"/>
  <c r="AX391" i="5"/>
  <c r="AY391" i="5"/>
  <c r="AY400" i="5"/>
  <c r="AX400" i="5"/>
  <c r="AY296" i="5"/>
  <c r="AX296" i="5"/>
  <c r="AX274" i="5"/>
  <c r="AY274" i="5"/>
  <c r="AY185" i="5"/>
  <c r="AX185" i="5"/>
  <c r="AY104" i="5"/>
  <c r="AX104" i="5"/>
  <c r="AX48" i="5"/>
  <c r="AY48" i="5"/>
  <c r="AY419" i="5"/>
  <c r="AX419" i="5"/>
  <c r="AX202" i="5"/>
  <c r="AY202" i="5"/>
  <c r="AY424" i="5"/>
  <c r="AX424" i="5"/>
  <c r="AY338" i="5"/>
  <c r="AX338" i="5"/>
  <c r="AY320" i="5"/>
  <c r="AX320" i="5"/>
  <c r="AX208" i="5"/>
  <c r="AY208" i="5"/>
  <c r="AY120" i="5"/>
  <c r="AX120" i="5"/>
  <c r="AY59" i="5"/>
  <c r="AX59" i="5"/>
  <c r="AY525" i="5"/>
  <c r="AX525" i="5"/>
  <c r="AY496" i="5"/>
  <c r="AX496" i="5"/>
  <c r="AY494" i="5"/>
  <c r="AX494" i="5"/>
  <c r="AY402" i="5"/>
  <c r="AX402" i="5"/>
  <c r="AY340" i="5"/>
  <c r="AX340" i="5"/>
  <c r="AY341" i="5"/>
  <c r="AX341" i="5"/>
  <c r="AY336" i="5"/>
  <c r="AX336" i="5"/>
  <c r="AX222" i="5"/>
  <c r="AY222" i="5"/>
  <c r="AX149" i="5"/>
  <c r="AY149" i="5"/>
  <c r="AY58" i="5"/>
  <c r="AX58" i="5"/>
  <c r="AX381" i="5"/>
  <c r="AY381" i="5"/>
  <c r="AY540" i="5"/>
  <c r="AX540" i="5"/>
  <c r="AY450" i="5"/>
  <c r="AX450" i="5"/>
  <c r="AY527" i="5"/>
  <c r="AX527" i="5"/>
  <c r="AY505" i="5"/>
  <c r="AX505" i="5"/>
  <c r="AY254" i="5"/>
  <c r="AX254" i="5"/>
  <c r="AY522" i="5"/>
  <c r="AX522" i="5"/>
  <c r="AY428" i="5"/>
  <c r="AX428" i="5"/>
  <c r="AY442" i="5"/>
  <c r="AX442" i="5"/>
  <c r="AY76" i="5"/>
  <c r="AX76" i="5"/>
  <c r="AX558" i="5"/>
  <c r="AY558" i="5"/>
  <c r="AX377" i="5"/>
  <c r="AY377" i="5"/>
  <c r="AY444" i="5"/>
  <c r="AX444" i="5"/>
  <c r="AX557" i="5"/>
  <c r="AY557" i="5"/>
  <c r="AY363" i="5"/>
  <c r="AX363" i="5"/>
  <c r="AX508" i="5"/>
  <c r="AY508" i="5"/>
  <c r="AY367" i="5"/>
  <c r="AX367" i="5"/>
  <c r="AY253" i="5"/>
  <c r="AX253" i="5"/>
  <c r="AX170" i="5"/>
  <c r="AY170" i="5"/>
  <c r="AX538" i="5"/>
  <c r="AY538" i="5"/>
  <c r="AX511" i="5"/>
  <c r="AY511" i="5"/>
  <c r="AY532" i="5"/>
  <c r="AX532" i="5"/>
  <c r="AX541" i="5"/>
  <c r="AY541" i="5"/>
  <c r="AY524" i="5"/>
  <c r="AX524" i="5"/>
  <c r="AY491" i="5"/>
  <c r="AX491" i="5"/>
  <c r="AX379" i="5"/>
  <c r="AY379" i="5"/>
  <c r="AX420" i="5"/>
  <c r="AY420" i="5"/>
  <c r="AX309" i="5"/>
  <c r="AY309" i="5"/>
  <c r="AY106" i="5"/>
  <c r="AX106" i="5"/>
  <c r="AX500" i="5"/>
  <c r="AY500" i="5"/>
  <c r="AY430" i="5"/>
  <c r="AX430" i="5"/>
  <c r="AX526" i="5"/>
  <c r="AY526" i="5"/>
  <c r="AX506" i="5"/>
  <c r="AY506" i="5"/>
  <c r="AY477" i="5"/>
  <c r="AX477" i="5"/>
  <c r="AY448" i="5"/>
  <c r="AX448" i="5"/>
  <c r="AY373" i="5"/>
  <c r="AX373" i="5"/>
  <c r="AY231" i="5"/>
  <c r="AX231" i="5"/>
  <c r="AX242" i="5"/>
  <c r="AY242" i="5"/>
  <c r="AX74" i="5"/>
  <c r="AY74" i="5"/>
  <c r="AX416" i="5"/>
  <c r="AY416" i="5"/>
  <c r="AX514" i="5"/>
  <c r="AY514" i="5"/>
  <c r="AX453" i="5"/>
  <c r="AY453" i="5"/>
  <c r="AX490" i="5"/>
  <c r="AY490" i="5"/>
  <c r="AX408" i="5"/>
  <c r="AY408" i="5"/>
  <c r="AX489" i="5"/>
  <c r="AY489" i="5"/>
  <c r="AX371" i="5"/>
  <c r="AY371" i="5"/>
  <c r="AX385" i="5"/>
  <c r="AY385" i="5"/>
  <c r="AX407" i="5"/>
  <c r="AY407" i="5"/>
  <c r="AY329" i="5"/>
  <c r="AX329" i="5"/>
  <c r="AY415" i="5"/>
  <c r="AX415" i="5"/>
  <c r="AY310" i="5"/>
  <c r="AX310" i="5"/>
  <c r="AX318" i="5"/>
  <c r="AY318" i="5"/>
  <c r="AY319" i="5"/>
  <c r="AX319" i="5"/>
  <c r="AX306" i="5"/>
  <c r="AY306" i="5"/>
  <c r="AX212" i="5"/>
  <c r="AY212" i="5"/>
  <c r="AY201" i="5"/>
  <c r="AX201" i="5"/>
  <c r="AY112" i="5"/>
  <c r="AX112" i="5"/>
  <c r="AX99" i="5"/>
  <c r="AY99" i="5"/>
  <c r="AY105" i="5"/>
  <c r="AX105" i="5"/>
  <c r="AX67" i="5"/>
  <c r="AY67" i="5"/>
  <c r="AY513" i="5"/>
  <c r="AX513" i="5"/>
  <c r="AY443" i="5"/>
  <c r="AX443" i="5"/>
  <c r="AY418" i="5"/>
  <c r="AX418" i="5"/>
  <c r="AY351" i="5"/>
  <c r="AX351" i="5"/>
  <c r="AY372" i="5"/>
  <c r="AX372" i="5"/>
  <c r="AY437" i="5"/>
  <c r="AX437" i="5"/>
  <c r="AY382" i="5"/>
  <c r="AX382" i="5"/>
  <c r="AY348" i="5"/>
  <c r="AX348" i="5"/>
  <c r="AY264" i="5"/>
  <c r="AX264" i="5"/>
  <c r="AX241" i="5"/>
  <c r="AY241" i="5"/>
  <c r="AY228" i="5"/>
  <c r="AX228" i="5"/>
  <c r="AX247" i="5"/>
  <c r="AY247" i="5"/>
  <c r="AY95" i="5"/>
  <c r="AX95" i="5"/>
  <c r="AX152" i="5"/>
  <c r="AY152" i="5"/>
  <c r="AX114" i="5"/>
  <c r="AY114" i="5"/>
  <c r="AX73" i="5"/>
  <c r="AY73" i="5"/>
  <c r="AX492" i="5"/>
  <c r="AY492" i="5"/>
  <c r="AY548" i="5"/>
  <c r="AX548" i="5"/>
  <c r="AY474" i="5"/>
  <c r="AX474" i="5"/>
  <c r="AY516" i="5"/>
  <c r="AX516" i="5"/>
  <c r="AY447" i="5"/>
  <c r="AX447" i="5"/>
  <c r="AY510" i="5"/>
  <c r="AX510" i="5"/>
  <c r="AY438" i="5"/>
  <c r="AX438" i="5"/>
  <c r="AY417" i="5"/>
  <c r="AX417" i="5"/>
  <c r="AY347" i="5"/>
  <c r="AX347" i="5"/>
  <c r="AX368" i="5"/>
  <c r="AY368" i="5"/>
  <c r="AY436" i="5"/>
  <c r="AX436" i="5"/>
  <c r="AY378" i="5"/>
  <c r="AX378" i="5"/>
  <c r="AY345" i="5"/>
  <c r="AX345" i="5"/>
  <c r="AY261" i="5"/>
  <c r="AX261" i="5"/>
  <c r="AY219" i="5"/>
  <c r="AX219" i="5"/>
  <c r="AY214" i="5"/>
  <c r="AX214" i="5"/>
  <c r="AX245" i="5"/>
  <c r="AY245" i="5"/>
  <c r="AX184" i="5"/>
  <c r="AY184" i="5"/>
  <c r="AX146" i="5"/>
  <c r="AY146" i="5"/>
  <c r="AX113" i="5"/>
  <c r="AY113" i="5"/>
  <c r="AX70" i="5"/>
  <c r="AY70" i="5"/>
  <c r="AX27" i="5"/>
  <c r="AY27" i="5"/>
  <c r="BD85" i="5"/>
  <c r="BE276" i="5"/>
  <c r="BD54" i="5"/>
  <c r="BD213" i="5"/>
  <c r="BE316" i="5"/>
  <c r="BE133" i="5"/>
  <c r="BE313" i="5"/>
  <c r="BE105" i="5"/>
  <c r="BD88" i="5"/>
  <c r="BE231" i="5"/>
  <c r="BD235" i="5"/>
  <c r="BE109" i="5"/>
  <c r="BE21" i="5"/>
  <c r="BE201" i="5"/>
  <c r="BD339" i="5"/>
  <c r="BE195" i="5"/>
  <c r="BE34" i="5"/>
  <c r="BE241" i="5"/>
  <c r="BE72" i="5"/>
  <c r="BD149" i="5"/>
  <c r="BE225" i="5"/>
  <c r="BE207" i="5"/>
  <c r="BE338" i="5"/>
  <c r="BD76" i="5"/>
  <c r="BE101" i="5"/>
  <c r="BD214" i="5"/>
  <c r="BD317" i="5"/>
  <c r="BD411" i="5"/>
  <c r="BD65" i="5"/>
  <c r="BE145" i="5"/>
  <c r="BE210" i="5"/>
  <c r="BE298" i="5"/>
  <c r="BD41" i="5"/>
  <c r="BD122" i="5"/>
  <c r="BE189" i="5"/>
  <c r="BE306" i="5"/>
  <c r="BE100" i="5"/>
  <c r="BD279" i="5"/>
  <c r="BE147" i="5"/>
  <c r="BD157" i="5"/>
  <c r="BD47" i="5"/>
  <c r="AV31" i="5"/>
  <c r="BF31" i="5" s="1"/>
  <c r="AV466" i="5"/>
  <c r="BF466" i="5" s="1"/>
  <c r="AV417" i="5"/>
  <c r="BF417" i="5" s="1"/>
  <c r="AV422" i="5"/>
  <c r="BF422" i="5" s="1"/>
  <c r="AV497" i="5"/>
  <c r="BF497" i="5" s="1"/>
  <c r="AV449" i="5"/>
  <c r="BF449" i="5" s="1"/>
  <c r="AV405" i="5"/>
  <c r="BF405" i="5" s="1"/>
  <c r="AV492" i="5"/>
  <c r="BF492" i="5" s="1"/>
  <c r="AV264" i="5"/>
  <c r="BF264" i="5" s="1"/>
  <c r="BH264" i="5" s="1"/>
  <c r="AV26" i="5"/>
  <c r="BF26" i="5" s="1"/>
  <c r="AV12" i="5"/>
  <c r="AV287" i="5"/>
  <c r="BF287" i="5" s="1"/>
  <c r="BH287" i="5" s="1"/>
  <c r="AV339" i="5"/>
  <c r="BF339" i="5" s="1"/>
  <c r="AV446" i="5"/>
  <c r="BF446" i="5" s="1"/>
  <c r="AV91" i="5"/>
  <c r="BF91" i="5" s="1"/>
  <c r="AV161" i="5"/>
  <c r="BF161" i="5" s="1"/>
  <c r="AV484" i="5"/>
  <c r="BF484" i="5" s="1"/>
  <c r="AV310" i="5"/>
  <c r="BF310" i="5" s="1"/>
  <c r="AV50" i="5"/>
  <c r="BF50" i="5" s="1"/>
  <c r="AV435" i="5"/>
  <c r="BF435" i="5" s="1"/>
  <c r="AV210" i="5"/>
  <c r="BF210" i="5" s="1"/>
  <c r="BH210" i="5" s="1"/>
  <c r="AV71" i="5"/>
  <c r="BF71" i="5" s="1"/>
  <c r="BH71" i="5" s="1"/>
  <c r="AV177" i="5"/>
  <c r="BF177" i="5" s="1"/>
  <c r="AV540" i="5"/>
  <c r="BF540" i="5" s="1"/>
  <c r="AV511" i="5"/>
  <c r="BF511" i="5" s="1"/>
  <c r="AV444" i="5"/>
  <c r="BF444" i="5" s="1"/>
  <c r="AV548" i="5"/>
  <c r="BF548" i="5" s="1"/>
  <c r="AV319" i="5"/>
  <c r="BF319" i="5" s="1"/>
  <c r="AV455" i="5"/>
  <c r="BF455" i="5" s="1"/>
  <c r="AV128" i="5"/>
  <c r="BF128" i="5" s="1"/>
  <c r="AV528" i="5"/>
  <c r="BF528" i="5" s="1"/>
  <c r="AV434" i="5"/>
  <c r="BF434" i="5" s="1"/>
  <c r="AV205" i="5"/>
  <c r="BF205" i="5" s="1"/>
  <c r="AV538" i="5"/>
  <c r="BF538" i="5" s="1"/>
  <c r="AV452" i="5"/>
  <c r="BF452" i="5" s="1"/>
  <c r="AV265" i="5"/>
  <c r="BF265" i="5" s="1"/>
  <c r="AV64" i="5"/>
  <c r="BF64" i="5" s="1"/>
  <c r="BH64" i="5" s="1"/>
  <c r="AV114" i="5"/>
  <c r="BF114" i="5" s="1"/>
  <c r="BG114" i="5" s="1"/>
  <c r="AV11" i="5"/>
  <c r="AV514" i="5"/>
  <c r="BF514" i="5" s="1"/>
  <c r="AV382" i="5"/>
  <c r="BF382" i="5" s="1"/>
  <c r="AV373" i="5"/>
  <c r="BF373" i="5" s="1"/>
  <c r="AV500" i="5"/>
  <c r="BF500" i="5" s="1"/>
  <c r="AV258" i="5"/>
  <c r="BF258" i="5" s="1"/>
  <c r="AV426" i="5"/>
  <c r="BF426" i="5" s="1"/>
  <c r="AV54" i="5"/>
  <c r="BF54" i="5" s="1"/>
  <c r="AV429" i="5"/>
  <c r="BF429" i="5" s="1"/>
  <c r="AV439" i="5"/>
  <c r="BF439" i="5" s="1"/>
  <c r="AV208" i="5"/>
  <c r="BF208" i="5" s="1"/>
  <c r="AV240" i="5"/>
  <c r="BF240" i="5" s="1"/>
  <c r="AV550" i="5"/>
  <c r="BF550" i="5" s="1"/>
  <c r="AV506" i="5"/>
  <c r="BF506" i="5" s="1"/>
  <c r="AV496" i="5"/>
  <c r="BF496" i="5" s="1"/>
  <c r="AV350" i="5"/>
  <c r="BF350" i="5" s="1"/>
  <c r="AV159" i="5"/>
  <c r="BF159" i="5" s="1"/>
  <c r="AV33" i="5"/>
  <c r="BF33" i="5" s="1"/>
  <c r="AV164" i="5"/>
  <c r="BF164" i="5" s="1"/>
  <c r="BH164" i="5" s="1"/>
  <c r="AV292" i="5"/>
  <c r="BF292" i="5" s="1"/>
  <c r="AV252" i="5"/>
  <c r="BF252" i="5" s="1"/>
  <c r="AV418" i="5"/>
  <c r="BF418" i="5" s="1"/>
  <c r="AV43" i="5"/>
  <c r="BF43" i="5" s="1"/>
  <c r="BG43" i="5" s="1"/>
  <c r="AV120" i="5"/>
  <c r="BF120" i="5" s="1"/>
  <c r="AV219" i="5"/>
  <c r="BF219" i="5" s="1"/>
  <c r="BG219" i="5" s="1"/>
  <c r="AV290" i="5"/>
  <c r="BF290" i="5" s="1"/>
  <c r="AV315" i="5"/>
  <c r="BF315" i="5" s="1"/>
  <c r="BH315" i="5" s="1"/>
  <c r="AV442" i="5"/>
  <c r="BF442" i="5" s="1"/>
  <c r="AV156" i="5"/>
  <c r="BF156" i="5" s="1"/>
  <c r="AV21" i="5"/>
  <c r="BF21" i="5" s="1"/>
  <c r="BH21" i="5" s="1"/>
  <c r="AV154" i="5"/>
  <c r="BF154" i="5" s="1"/>
  <c r="AV505" i="5"/>
  <c r="BF505" i="5" s="1"/>
  <c r="AV197" i="5"/>
  <c r="BF197" i="5" s="1"/>
  <c r="AV524" i="5"/>
  <c r="BF524" i="5" s="1"/>
  <c r="AV390" i="5"/>
  <c r="BF390" i="5" s="1"/>
  <c r="AV359" i="5"/>
  <c r="BF359" i="5" s="1"/>
  <c r="AV101" i="5"/>
  <c r="BF101" i="5" s="1"/>
  <c r="AV200" i="5"/>
  <c r="BF200" i="5" s="1"/>
  <c r="AV199" i="5"/>
  <c r="BF199" i="5" s="1"/>
  <c r="AV146" i="5"/>
  <c r="BF146" i="5" s="1"/>
  <c r="AV212" i="5"/>
  <c r="BF212" i="5" s="1"/>
  <c r="AV55" i="5"/>
  <c r="BF55" i="5" s="1"/>
  <c r="BG55" i="5" s="1"/>
  <c r="AV460" i="5"/>
  <c r="BF460" i="5" s="1"/>
  <c r="AV109" i="5"/>
  <c r="BF109" i="5" s="1"/>
  <c r="AV365" i="5"/>
  <c r="BF365" i="5" s="1"/>
  <c r="AV28" i="5"/>
  <c r="BF28" i="5" s="1"/>
  <c r="AV179" i="5"/>
  <c r="BF179" i="5" s="1"/>
  <c r="AV467" i="5"/>
  <c r="BF467" i="5" s="1"/>
  <c r="AV180" i="5"/>
  <c r="BF180" i="5" s="1"/>
  <c r="BH180" i="5" s="1"/>
  <c r="AV398" i="5"/>
  <c r="BF398" i="5" s="1"/>
  <c r="AV207" i="5"/>
  <c r="BF207" i="5" s="1"/>
  <c r="AV428" i="5"/>
  <c r="BF428" i="5" s="1"/>
  <c r="AV488" i="5"/>
  <c r="BF488" i="5" s="1"/>
  <c r="AV306" i="5"/>
  <c r="BF306" i="5" s="1"/>
  <c r="BG306" i="5" s="1"/>
  <c r="AV98" i="5"/>
  <c r="BF98" i="5" s="1"/>
  <c r="BH98" i="5" s="1"/>
  <c r="AV512" i="5"/>
  <c r="BF512" i="5" s="1"/>
  <c r="AV304" i="5"/>
  <c r="BF304" i="5" s="1"/>
  <c r="AV46" i="5"/>
  <c r="BF46" i="5" s="1"/>
  <c r="AV202" i="5"/>
  <c r="BF202" i="5" s="1"/>
  <c r="AV337" i="5"/>
  <c r="BF337" i="5" s="1"/>
  <c r="BG337" i="5" s="1"/>
  <c r="AV228" i="5"/>
  <c r="BF228" i="5" s="1"/>
  <c r="AV552" i="5"/>
  <c r="BF552" i="5" s="1"/>
  <c r="AV157" i="5"/>
  <c r="BF157" i="5" s="1"/>
  <c r="AV355" i="5"/>
  <c r="BF355" i="5" s="1"/>
  <c r="AV508" i="5"/>
  <c r="BF508" i="5" s="1"/>
  <c r="AV515" i="5"/>
  <c r="BF515" i="5" s="1"/>
  <c r="AV215" i="5"/>
  <c r="BF215" i="5" s="1"/>
  <c r="AV29" i="5"/>
  <c r="BF29" i="5" s="1"/>
  <c r="AV454" i="5"/>
  <c r="BF454" i="5" s="1"/>
  <c r="AV402" i="5"/>
  <c r="BF402" i="5" s="1"/>
  <c r="AV222" i="5"/>
  <c r="BF222" i="5" s="1"/>
  <c r="BH222" i="5" s="1"/>
  <c r="AV84" i="5"/>
  <c r="BF84" i="5" s="1"/>
  <c r="BH84" i="5" s="1"/>
  <c r="AV225" i="5"/>
  <c r="BF225" i="5" s="1"/>
  <c r="AV302" i="5"/>
  <c r="BF302" i="5" s="1"/>
  <c r="AV380" i="5"/>
  <c r="BF380" i="5" s="1"/>
  <c r="AV86" i="5"/>
  <c r="BF86" i="5" s="1"/>
  <c r="BH86" i="5" s="1"/>
  <c r="AV230" i="5"/>
  <c r="BF230" i="5" s="1"/>
  <c r="BG230" i="5" s="1"/>
  <c r="AV358" i="5"/>
  <c r="BF358" i="5" s="1"/>
  <c r="AV371" i="5"/>
  <c r="BF371" i="5" s="1"/>
  <c r="AV149" i="5"/>
  <c r="BF149" i="5" s="1"/>
  <c r="AV192" i="5"/>
  <c r="BF192" i="5" s="1"/>
  <c r="AV85" i="5"/>
  <c r="BF85" i="5" s="1"/>
  <c r="AV22" i="5"/>
  <c r="BF22" i="5" s="1"/>
  <c r="BG22" i="5" s="1"/>
  <c r="AV234" i="5"/>
  <c r="BF234" i="5" s="1"/>
  <c r="BG234" i="5" s="1"/>
  <c r="AV254" i="5"/>
  <c r="BF254" i="5" s="1"/>
  <c r="AV403" i="5"/>
  <c r="BF403" i="5" s="1"/>
  <c r="AV106" i="5"/>
  <c r="BF106" i="5" s="1"/>
  <c r="AV178" i="5"/>
  <c r="BF178" i="5" s="1"/>
  <c r="AV259" i="5"/>
  <c r="BF259" i="5" s="1"/>
  <c r="AV368" i="5"/>
  <c r="BF368" i="5" s="1"/>
  <c r="AV384" i="5"/>
  <c r="BF384" i="5" s="1"/>
  <c r="AV143" i="5"/>
  <c r="BF143" i="5" s="1"/>
  <c r="AV66" i="5"/>
  <c r="BF66" i="5" s="1"/>
  <c r="BH66" i="5" s="1"/>
  <c r="AV122" i="5"/>
  <c r="BF122" i="5" s="1"/>
  <c r="BG122" i="5" s="1"/>
  <c r="AV99" i="5"/>
  <c r="BF99" i="5" s="1"/>
  <c r="AV36" i="5"/>
  <c r="BF36" i="5" s="1"/>
  <c r="AV267" i="5"/>
  <c r="BF267" i="5" s="1"/>
  <c r="AV283" i="5"/>
  <c r="BF283" i="5" s="1"/>
  <c r="BG283" i="5" s="1"/>
  <c r="AV425" i="5"/>
  <c r="BF425" i="5" s="1"/>
  <c r="AV148" i="5"/>
  <c r="BF148" i="5" s="1"/>
  <c r="AV195" i="5"/>
  <c r="BF195" i="5" s="1"/>
  <c r="BG195" i="5" s="1"/>
  <c r="AV271" i="5"/>
  <c r="BF271" i="5" s="1"/>
  <c r="AV386" i="5"/>
  <c r="BF386" i="5" s="1"/>
  <c r="AV399" i="5"/>
  <c r="BF399" i="5" s="1"/>
  <c r="AV115" i="5"/>
  <c r="BF115" i="5" s="1"/>
  <c r="BH115" i="5" s="1"/>
  <c r="AV47" i="5"/>
  <c r="BF47" i="5" s="1"/>
  <c r="AV184" i="5"/>
  <c r="BF184" i="5" s="1"/>
  <c r="AV100" i="5"/>
  <c r="BF100" i="5" s="1"/>
  <c r="BH100" i="5" s="1"/>
  <c r="AV45" i="5"/>
  <c r="BF45" i="5" s="1"/>
  <c r="BG45" i="5" s="1"/>
  <c r="AV303" i="5"/>
  <c r="BF303" i="5" s="1"/>
  <c r="AV409" i="5"/>
  <c r="BF409" i="5" s="1"/>
  <c r="AV336" i="5"/>
  <c r="BF336" i="5" s="1"/>
  <c r="AV96" i="5"/>
  <c r="BF96" i="5" s="1"/>
  <c r="AV216" i="5"/>
  <c r="BF216" i="5" s="1"/>
  <c r="AV327" i="5"/>
  <c r="BF327" i="5" s="1"/>
  <c r="AV324" i="5"/>
  <c r="BF324" i="5" s="1"/>
  <c r="AV357" i="5"/>
  <c r="BF357" i="5" s="1"/>
  <c r="AV182" i="5"/>
  <c r="BF182" i="5" s="1"/>
  <c r="AV78" i="5"/>
  <c r="BF78" i="5" s="1"/>
  <c r="BH78" i="5" s="1"/>
  <c r="AV172" i="5"/>
  <c r="BF172" i="5" s="1"/>
  <c r="AV142" i="5"/>
  <c r="BF142" i="5" s="1"/>
  <c r="AV522" i="5"/>
  <c r="BF522" i="5" s="1"/>
  <c r="AV366" i="5"/>
  <c r="BF366" i="5" s="1"/>
  <c r="AV165" i="5"/>
  <c r="BF165" i="5" s="1"/>
  <c r="AV322" i="5"/>
  <c r="BF322" i="5" s="1"/>
  <c r="AV110" i="5"/>
  <c r="BF110" i="5" s="1"/>
  <c r="AV464" i="5"/>
  <c r="BF464" i="5" s="1"/>
  <c r="AV51" i="5"/>
  <c r="BF51" i="5" s="1"/>
  <c r="BG51" i="5" s="1"/>
  <c r="AV471" i="5"/>
  <c r="BF471" i="5" s="1"/>
  <c r="AV438" i="5"/>
  <c r="BF438" i="5" s="1"/>
  <c r="AV556" i="5"/>
  <c r="BF556" i="5" s="1"/>
  <c r="AV479" i="5"/>
  <c r="BF479" i="5" s="1"/>
  <c r="AV489" i="5"/>
  <c r="BF489" i="5" s="1"/>
  <c r="AV389" i="5"/>
  <c r="BF389" i="5" s="1"/>
  <c r="AV558" i="5"/>
  <c r="BF558" i="5" s="1"/>
  <c r="AV342" i="5"/>
  <c r="BF342" i="5" s="1"/>
  <c r="AV56" i="5"/>
  <c r="BF56" i="5" s="1"/>
  <c r="AV13" i="5"/>
  <c r="AV256" i="5"/>
  <c r="BF256" i="5" s="1"/>
  <c r="AV547" i="5"/>
  <c r="BF547" i="5" s="1"/>
  <c r="AV223" i="5"/>
  <c r="BF223" i="5" s="1"/>
  <c r="BH223" i="5" s="1"/>
  <c r="AV81" i="5"/>
  <c r="BF81" i="5" s="1"/>
  <c r="AV313" i="5"/>
  <c r="BF313" i="5" s="1"/>
  <c r="AV473" i="5"/>
  <c r="BF473" i="5" s="1"/>
  <c r="AV340" i="5"/>
  <c r="BF340" i="5" s="1"/>
  <c r="AV27" i="5"/>
  <c r="BF27" i="5" s="1"/>
  <c r="BG27" i="5" s="1"/>
  <c r="AV516" i="5"/>
  <c r="BF516" i="5" s="1"/>
  <c r="AV139" i="5"/>
  <c r="BF139" i="5" s="1"/>
  <c r="AV93" i="5"/>
  <c r="BF93" i="5" s="1"/>
  <c r="AV430" i="5"/>
  <c r="BF430" i="5" s="1"/>
  <c r="AV494" i="5"/>
  <c r="BF494" i="5" s="1"/>
  <c r="AV551" i="5"/>
  <c r="BF551" i="5" s="1"/>
  <c r="AV485" i="5"/>
  <c r="BF485" i="5" s="1"/>
  <c r="AV23" i="5"/>
  <c r="BF23" i="5" s="1"/>
  <c r="BH23" i="5" s="1"/>
  <c r="AV227" i="5"/>
  <c r="BF227" i="5" s="1"/>
  <c r="AV519" i="5"/>
  <c r="BF519" i="5" s="1"/>
  <c r="AV397" i="5"/>
  <c r="BF397" i="5" s="1"/>
  <c r="AV299" i="5"/>
  <c r="BF299" i="5" s="1"/>
  <c r="BG299" i="5" s="1"/>
  <c r="AV443" i="5"/>
  <c r="BF443" i="5" s="1"/>
  <c r="AV498" i="5"/>
  <c r="BF498" i="5" s="1"/>
  <c r="AV407" i="5"/>
  <c r="BF407" i="5" s="1"/>
  <c r="AV111" i="5"/>
  <c r="BF111" i="5" s="1"/>
  <c r="AV116" i="5"/>
  <c r="BF116" i="5" s="1"/>
  <c r="AV231" i="5"/>
  <c r="BF231" i="5" s="1"/>
  <c r="BH231" i="5" s="1"/>
  <c r="AV367" i="5"/>
  <c r="BF367" i="5" s="1"/>
  <c r="AV388" i="5"/>
  <c r="BF388" i="5" s="1"/>
  <c r="AV123" i="5"/>
  <c r="BF123" i="5" s="1"/>
  <c r="AV282" i="5"/>
  <c r="BF282" i="5" s="1"/>
  <c r="AV354" i="5"/>
  <c r="BF354" i="5" s="1"/>
  <c r="AV348" i="5"/>
  <c r="BF348" i="5" s="1"/>
  <c r="AV57" i="5"/>
  <c r="BF57" i="5" s="1"/>
  <c r="AV152" i="5"/>
  <c r="BF152" i="5" s="1"/>
  <c r="AV97" i="5"/>
  <c r="BF97" i="5" s="1"/>
  <c r="BH97" i="5" s="1"/>
  <c r="AV201" i="5"/>
  <c r="BF201" i="5" s="1"/>
  <c r="AV321" i="5"/>
  <c r="BF321" i="5" s="1"/>
  <c r="AV361" i="5"/>
  <c r="BF361" i="5" s="1"/>
  <c r="AV472" i="5"/>
  <c r="BF472" i="5" s="1"/>
  <c r="AV140" i="5"/>
  <c r="BF140" i="5" s="1"/>
  <c r="AV238" i="5"/>
  <c r="BF238" i="5" s="1"/>
  <c r="AV198" i="5"/>
  <c r="BF198" i="5" s="1"/>
  <c r="BG198" i="5" s="1"/>
  <c r="AV193" i="5"/>
  <c r="BF193" i="5" s="1"/>
  <c r="AV394" i="5"/>
  <c r="BF394" i="5" s="1"/>
  <c r="AV131" i="5"/>
  <c r="BF131" i="5" s="1"/>
  <c r="AV25" i="5"/>
  <c r="BF25" i="5" s="1"/>
  <c r="AV141" i="5"/>
  <c r="BF141" i="5" s="1"/>
  <c r="BG141" i="5" s="1"/>
  <c r="AV48" i="5"/>
  <c r="BF48" i="5" s="1"/>
  <c r="BG48" i="5" s="1"/>
  <c r="AV266" i="5"/>
  <c r="BF266" i="5" s="1"/>
  <c r="AV331" i="5"/>
  <c r="BF331" i="5" s="1"/>
  <c r="AV383" i="5"/>
  <c r="BF383" i="5" s="1"/>
  <c r="AV490" i="5"/>
  <c r="BF490" i="5" s="1"/>
  <c r="AV155" i="5"/>
  <c r="BF155" i="5" s="1"/>
  <c r="AV194" i="5"/>
  <c r="BF194" i="5" s="1"/>
  <c r="AV247" i="5"/>
  <c r="BF247" i="5" s="1"/>
  <c r="AV257" i="5"/>
  <c r="BF257" i="5" s="1"/>
  <c r="AV406" i="5"/>
  <c r="BF406" i="5" s="1"/>
  <c r="AV117" i="5"/>
  <c r="BF117" i="5" s="1"/>
  <c r="AV40" i="5"/>
  <c r="BF40" i="5" s="1"/>
  <c r="AV121" i="5"/>
  <c r="BF121" i="5" s="1"/>
  <c r="AV75" i="5"/>
  <c r="BF75" i="5" s="1"/>
  <c r="BG75" i="5" s="1"/>
  <c r="AV214" i="5"/>
  <c r="BF214" i="5" s="1"/>
  <c r="BH214" i="5" s="1"/>
  <c r="AV284" i="5"/>
  <c r="BF284" i="5" s="1"/>
  <c r="AV312" i="5"/>
  <c r="BF312" i="5" s="1"/>
  <c r="AV436" i="5"/>
  <c r="BF436" i="5" s="1"/>
  <c r="AV102" i="5"/>
  <c r="BF102" i="5" s="1"/>
  <c r="AV217" i="5"/>
  <c r="BF217" i="5" s="1"/>
  <c r="AV291" i="5"/>
  <c r="BF291" i="5" s="1"/>
  <c r="AV396" i="5"/>
  <c r="BF396" i="5" s="1"/>
  <c r="AV416" i="5"/>
  <c r="BF416" i="5" s="1"/>
  <c r="AV88" i="5"/>
  <c r="BF88" i="5" s="1"/>
  <c r="AV65" i="5"/>
  <c r="BF65" i="5" s="1"/>
  <c r="BG65" i="5" s="1"/>
  <c r="AV169" i="5"/>
  <c r="BF169" i="5" s="1"/>
  <c r="AV83" i="5"/>
  <c r="BF83" i="5" s="1"/>
  <c r="BG83" i="5" s="1"/>
  <c r="AV445" i="5"/>
  <c r="BF445" i="5" s="1"/>
  <c r="AV504" i="5"/>
  <c r="BF504" i="5" s="1"/>
  <c r="AV493" i="5"/>
  <c r="BF493" i="5" s="1"/>
  <c r="AV135" i="5"/>
  <c r="BF135" i="5" s="1"/>
  <c r="AV235" i="5"/>
  <c r="BF235" i="5" s="1"/>
  <c r="AV468" i="5"/>
  <c r="BF468" i="5" s="1"/>
  <c r="AV241" i="5"/>
  <c r="BF241" i="5" s="1"/>
  <c r="AV333" i="5"/>
  <c r="BF333" i="5" s="1"/>
  <c r="AV539" i="5"/>
  <c r="BF539" i="5" s="1"/>
  <c r="AV408" i="5"/>
  <c r="BF408" i="5" s="1"/>
  <c r="AV502" i="5"/>
  <c r="BF502" i="5" s="1"/>
  <c r="AV459" i="5"/>
  <c r="BF459" i="5" s="1"/>
  <c r="AV431" i="5"/>
  <c r="BF431" i="5" s="1"/>
  <c r="AV173" i="5"/>
  <c r="BF173" i="5" s="1"/>
  <c r="AV534" i="5"/>
  <c r="BF534" i="5" s="1"/>
  <c r="AV250" i="5"/>
  <c r="BF250" i="5" s="1"/>
  <c r="AV535" i="5"/>
  <c r="BF535" i="5" s="1"/>
  <c r="AV463" i="5"/>
  <c r="BF463" i="5" s="1"/>
  <c r="AV82" i="5"/>
  <c r="BF82" i="5" s="1"/>
  <c r="BG82" i="5" s="1"/>
  <c r="AV423" i="5"/>
  <c r="BF423" i="5" s="1"/>
  <c r="AV63" i="5"/>
  <c r="BF63" i="5" s="1"/>
  <c r="AV253" i="5"/>
  <c r="BF253" i="5" s="1"/>
  <c r="AV456" i="5"/>
  <c r="BF456" i="5" s="1"/>
  <c r="AV183" i="5"/>
  <c r="BF183" i="5" s="1"/>
  <c r="AV118" i="5"/>
  <c r="BF118" i="5" s="1"/>
  <c r="AV138" i="5"/>
  <c r="BF138" i="5" s="1"/>
  <c r="AV308" i="5"/>
  <c r="BF308" i="5" s="1"/>
  <c r="AV334" i="5"/>
  <c r="BF334" i="5" s="1"/>
  <c r="AV181" i="5"/>
  <c r="BF181" i="5" s="1"/>
  <c r="AV305" i="5"/>
  <c r="BF305" i="5" s="1"/>
  <c r="BH305" i="5" s="1"/>
  <c r="AV458" i="5"/>
  <c r="BF458" i="5" s="1"/>
  <c r="AV211" i="5"/>
  <c r="BF211" i="5" s="1"/>
  <c r="AV53" i="5"/>
  <c r="BF53" i="5" s="1"/>
  <c r="BG53" i="5" s="1"/>
  <c r="AV301" i="5"/>
  <c r="BF301" i="5" s="1"/>
  <c r="AV60" i="5"/>
  <c r="BF60" i="5" s="1"/>
  <c r="AV246" i="5"/>
  <c r="BF246" i="5" s="1"/>
  <c r="BG246" i="5" s="1"/>
  <c r="AV369" i="5"/>
  <c r="BF369" i="5" s="1"/>
  <c r="BH369" i="5" s="1"/>
  <c r="AV104" i="5"/>
  <c r="BF104" i="5" s="1"/>
  <c r="AV133" i="5"/>
  <c r="BF133" i="5" s="1"/>
  <c r="BG133" i="5" s="1"/>
  <c r="AV279" i="5"/>
  <c r="BF279" i="5" s="1"/>
  <c r="AV404" i="5"/>
  <c r="BF404" i="5" s="1"/>
  <c r="AV127" i="5"/>
  <c r="BF127" i="5" s="1"/>
  <c r="BG127" i="5" s="1"/>
  <c r="AV268" i="5"/>
  <c r="BF268" i="5" s="1"/>
  <c r="AV433" i="5"/>
  <c r="BF433" i="5" s="1"/>
  <c r="AV42" i="5"/>
  <c r="BF42" i="5" s="1"/>
  <c r="AV35" i="5"/>
  <c r="BF35" i="5" s="1"/>
  <c r="BH35" i="5" s="1"/>
  <c r="AV320" i="5"/>
  <c r="BF320" i="5" s="1"/>
  <c r="AV410" i="5"/>
  <c r="BF410" i="5" s="1"/>
  <c r="AV124" i="5"/>
  <c r="BF124" i="5" s="1"/>
  <c r="AV326" i="5"/>
  <c r="BF326" i="5" s="1"/>
  <c r="AV39" i="5"/>
  <c r="BF39" i="5" s="1"/>
  <c r="AV103" i="5"/>
  <c r="BF103" i="5" s="1"/>
  <c r="BG103" i="5" s="1"/>
  <c r="AV391" i="5"/>
  <c r="BF391" i="5" s="1"/>
  <c r="AV220" i="5"/>
  <c r="BF220" i="5" s="1"/>
  <c r="AV518" i="5"/>
  <c r="BF518" i="5" s="1"/>
  <c r="AV343" i="5"/>
  <c r="BF343" i="5" s="1"/>
  <c r="AV381" i="5"/>
  <c r="BF381" i="5" s="1"/>
  <c r="AV105" i="5"/>
  <c r="BF105" i="5" s="1"/>
  <c r="AV134" i="5"/>
  <c r="BF134" i="5" s="1"/>
  <c r="AV349" i="5"/>
  <c r="BF349" i="5" s="1"/>
  <c r="AV125" i="5"/>
  <c r="BF125" i="5" s="1"/>
  <c r="AV196" i="5"/>
  <c r="BF196" i="5" s="1"/>
  <c r="AV176" i="5"/>
  <c r="BF176" i="5" s="1"/>
  <c r="AV542" i="5"/>
  <c r="BF542" i="5" s="1"/>
  <c r="AV170" i="5"/>
  <c r="BF170" i="5" s="1"/>
  <c r="AV483" i="5"/>
  <c r="BF483" i="5" s="1"/>
  <c r="AV332" i="5"/>
  <c r="BF332" i="5" s="1"/>
  <c r="AV187" i="5"/>
  <c r="BF187" i="5" s="1"/>
  <c r="AV224" i="5"/>
  <c r="BF224" i="5" s="1"/>
  <c r="AV448" i="5"/>
  <c r="BF448" i="5" s="1"/>
  <c r="AV24" i="5"/>
  <c r="BF24" i="5" s="1"/>
  <c r="AV364" i="5"/>
  <c r="BF364" i="5" s="1"/>
  <c r="AV527" i="5"/>
  <c r="BF527" i="5" s="1"/>
  <c r="AV520" i="5"/>
  <c r="BF520" i="5" s="1"/>
  <c r="AV32" i="5"/>
  <c r="BF32" i="5" s="1"/>
  <c r="AV531" i="5"/>
  <c r="BF531" i="5" s="1"/>
  <c r="AV513" i="5"/>
  <c r="BF513" i="5" s="1"/>
  <c r="AV377" i="5"/>
  <c r="BF377" i="5" s="1"/>
  <c r="AV507" i="5"/>
  <c r="BF507" i="5" s="1"/>
  <c r="AV144" i="5"/>
  <c r="BF144" i="5" s="1"/>
  <c r="BG144" i="5" s="1"/>
  <c r="AV263" i="5"/>
  <c r="BF263" i="5" s="1"/>
  <c r="BH263" i="5" s="1"/>
  <c r="AV34" i="5"/>
  <c r="BF34" i="5" s="1"/>
  <c r="BG34" i="5" s="1"/>
  <c r="AV323" i="5"/>
  <c r="BF323" i="5" s="1"/>
  <c r="AV38" i="5"/>
  <c r="BF38" i="5" s="1"/>
  <c r="BG38" i="5" s="1"/>
  <c r="AV307" i="5"/>
  <c r="BF307" i="5" s="1"/>
  <c r="AV163" i="5"/>
  <c r="BF163" i="5" s="1"/>
  <c r="BG163" i="5" s="1"/>
  <c r="AV112" i="5"/>
  <c r="BF112" i="5" s="1"/>
  <c r="BH112" i="5" s="1"/>
  <c r="AV269" i="5"/>
  <c r="BF269" i="5" s="1"/>
  <c r="BH269" i="5" s="1"/>
  <c r="AV395" i="5"/>
  <c r="BF395" i="5" s="1"/>
  <c r="AV204" i="5"/>
  <c r="BF204" i="5" s="1"/>
  <c r="AV255" i="5"/>
  <c r="BF255" i="5" s="1"/>
  <c r="AV162" i="5"/>
  <c r="BF162" i="5" s="1"/>
  <c r="AV168" i="5"/>
  <c r="BF168" i="5" s="1"/>
  <c r="BG168" i="5" s="1"/>
  <c r="AV62" i="5"/>
  <c r="BF62" i="5" s="1"/>
  <c r="AV393" i="5"/>
  <c r="BF393" i="5" s="1"/>
  <c r="BG393" i="5" s="1"/>
  <c r="AV79" i="5"/>
  <c r="BF79" i="5" s="1"/>
  <c r="AV311" i="5"/>
  <c r="BF311" i="5" s="1"/>
  <c r="AV335" i="5"/>
  <c r="BF335" i="5" s="1"/>
  <c r="AV74" i="5"/>
  <c r="BF74" i="5" s="1"/>
  <c r="AV160" i="5"/>
  <c r="BF160" i="5" s="1"/>
  <c r="AV171" i="5"/>
  <c r="BF171" i="5" s="1"/>
  <c r="AV370" i="5"/>
  <c r="BF370" i="5" s="1"/>
  <c r="AV175" i="5"/>
  <c r="BF175" i="5" s="1"/>
  <c r="BH175" i="5" s="1"/>
  <c r="AV341" i="5"/>
  <c r="BF341" i="5" s="1"/>
  <c r="AV174" i="5"/>
  <c r="BF174" i="5" s="1"/>
  <c r="AV158" i="5"/>
  <c r="BF158" i="5" s="1"/>
  <c r="BH158" i="5" s="1"/>
  <c r="AV58" i="5"/>
  <c r="BF58" i="5" s="1"/>
  <c r="AV206" i="5"/>
  <c r="BF206" i="5" s="1"/>
  <c r="AV486" i="5"/>
  <c r="BF486" i="5" s="1"/>
  <c r="AV376" i="5"/>
  <c r="BF376" i="5" s="1"/>
  <c r="AV378" i="5"/>
  <c r="BF378" i="5" s="1"/>
  <c r="AV530" i="5"/>
  <c r="BF530" i="5" s="1"/>
  <c r="AV153" i="5"/>
  <c r="BF153" i="5" s="1"/>
  <c r="AV526" i="5"/>
  <c r="BF526" i="5" s="1"/>
  <c r="AV328" i="5"/>
  <c r="BF328" i="5" s="1"/>
  <c r="AV461" i="5"/>
  <c r="BF461" i="5" s="1"/>
  <c r="AV20" i="5"/>
  <c r="BF20" i="5" s="1"/>
  <c r="AV451" i="5"/>
  <c r="BF451" i="5" s="1"/>
  <c r="AV145" i="5"/>
  <c r="BF145" i="5" s="1"/>
  <c r="AV441" i="5"/>
  <c r="BF441" i="5" s="1"/>
  <c r="AV69" i="5"/>
  <c r="BF69" i="5" s="1"/>
  <c r="AV274" i="5"/>
  <c r="BF274" i="5" s="1"/>
  <c r="AV237" i="5"/>
  <c r="BF237" i="5" s="1"/>
  <c r="BG237" i="5" s="1"/>
  <c r="AV147" i="5"/>
  <c r="BF147" i="5" s="1"/>
  <c r="AV346" i="5"/>
  <c r="BF346" i="5" s="1"/>
  <c r="AV475" i="5"/>
  <c r="BF475" i="5" s="1"/>
  <c r="AV30" i="5"/>
  <c r="BF30" i="5" s="1"/>
  <c r="AV203" i="5"/>
  <c r="BF203" i="5" s="1"/>
  <c r="AV107" i="5"/>
  <c r="BF107" i="5" s="1"/>
  <c r="AV457" i="5"/>
  <c r="BF457" i="5" s="1"/>
  <c r="AV419" i="5"/>
  <c r="BF419" i="5" s="1"/>
  <c r="AV517" i="5"/>
  <c r="BF517" i="5" s="1"/>
  <c r="AV420" i="5"/>
  <c r="BF420" i="5" s="1"/>
  <c r="AV248" i="5"/>
  <c r="BF248" i="5" s="1"/>
  <c r="AV544" i="5"/>
  <c r="BF544" i="5" s="1"/>
  <c r="AV213" i="5"/>
  <c r="BF213" i="5" s="1"/>
  <c r="AV330" i="5"/>
  <c r="BF330" i="5" s="1"/>
  <c r="AV374" i="5"/>
  <c r="BF374" i="5" s="1"/>
  <c r="AV229" i="5"/>
  <c r="BF229" i="5" s="1"/>
  <c r="AV411" i="5"/>
  <c r="BF411" i="5" s="1"/>
  <c r="AV72" i="5"/>
  <c r="BF72" i="5" s="1"/>
  <c r="AV297" i="5"/>
  <c r="BF297" i="5" s="1"/>
  <c r="AV61" i="5"/>
  <c r="BF61" i="5" s="1"/>
  <c r="BG61" i="5" s="1"/>
  <c r="AV413" i="5"/>
  <c r="BF413" i="5" s="1"/>
  <c r="AV277" i="5"/>
  <c r="BF277" i="5" s="1"/>
  <c r="AV44" i="5"/>
  <c r="BF44" i="5" s="1"/>
  <c r="BG44" i="5" s="1"/>
  <c r="AV270" i="5"/>
  <c r="BF270" i="5" s="1"/>
  <c r="AV95" i="5"/>
  <c r="BF95" i="5" s="1"/>
  <c r="AV482" i="5"/>
  <c r="BF482" i="5" s="1"/>
  <c r="AV529" i="5"/>
  <c r="BF529" i="5" s="1"/>
  <c r="AV151" i="5"/>
  <c r="BF151" i="5" s="1"/>
  <c r="AV67" i="5"/>
  <c r="BF67" i="5" s="1"/>
  <c r="AV167" i="5"/>
  <c r="BF167" i="5" s="1"/>
  <c r="AV375" i="5"/>
  <c r="BF375" i="5" s="1"/>
  <c r="AV314" i="5"/>
  <c r="BF314" i="5" s="1"/>
  <c r="AV300" i="5"/>
  <c r="BF300" i="5" s="1"/>
  <c r="BH300" i="5" s="1"/>
  <c r="AV166" i="5"/>
  <c r="BF166" i="5" s="1"/>
  <c r="BH166" i="5" s="1"/>
  <c r="AV76" i="5"/>
  <c r="BF76" i="5" s="1"/>
  <c r="AV41" i="5"/>
  <c r="BF41" i="5" s="1"/>
  <c r="BG41" i="5" s="1"/>
  <c r="AV347" i="5"/>
  <c r="BF347" i="5" s="1"/>
  <c r="AV325" i="5"/>
  <c r="BF325" i="5" s="1"/>
  <c r="AV137" i="5"/>
  <c r="BF137" i="5" s="1"/>
  <c r="AV189" i="5"/>
  <c r="BF189" i="5" s="1"/>
  <c r="AV352" i="5"/>
  <c r="BF352" i="5" s="1"/>
  <c r="BH352" i="5" s="1"/>
  <c r="AV295" i="5"/>
  <c r="BF295" i="5" s="1"/>
  <c r="AV244" i="5"/>
  <c r="BF244" i="5" s="1"/>
  <c r="AV474" i="5"/>
  <c r="BF474" i="5" s="1"/>
  <c r="AV119" i="5"/>
  <c r="BF119" i="5" s="1"/>
  <c r="BG119" i="5" s="1"/>
  <c r="AV338" i="5"/>
  <c r="BF338" i="5" s="1"/>
  <c r="BG338" i="5" s="1"/>
  <c r="AV239" i="5"/>
  <c r="BF239" i="5" s="1"/>
  <c r="AV89" i="5"/>
  <c r="BF89" i="5" s="1"/>
  <c r="AV260" i="5"/>
  <c r="BF260" i="5" s="1"/>
  <c r="AV278" i="5"/>
  <c r="BF278" i="5" s="1"/>
  <c r="BG278" i="5" s="1"/>
  <c r="AV232" i="5"/>
  <c r="BF232" i="5" s="1"/>
  <c r="AV52" i="5"/>
  <c r="BF52" i="5" s="1"/>
  <c r="AV77" i="5"/>
  <c r="BF77" i="5" s="1"/>
  <c r="AV249" i="5"/>
  <c r="BF249" i="5" s="1"/>
  <c r="AV288" i="5"/>
  <c r="BF288" i="5" s="1"/>
  <c r="AV186" i="5"/>
  <c r="BF186" i="5" s="1"/>
  <c r="AV130" i="5"/>
  <c r="BF130" i="5" s="1"/>
  <c r="BH130" i="5" s="1"/>
  <c r="AV49" i="5"/>
  <c r="BF49" i="5" s="1"/>
  <c r="AV385" i="5"/>
  <c r="BF385" i="5" s="1"/>
  <c r="AV480" i="5"/>
  <c r="BF480" i="5" s="1"/>
  <c r="AV316" i="5"/>
  <c r="BF316" i="5" s="1"/>
  <c r="BG316" i="5" s="1"/>
  <c r="AV87" i="5"/>
  <c r="BF87" i="5" s="1"/>
  <c r="AV465" i="5"/>
  <c r="BF465" i="5" s="1"/>
  <c r="AV363" i="5"/>
  <c r="BF363" i="5" s="1"/>
  <c r="AV424" i="5"/>
  <c r="BF424" i="5" s="1"/>
  <c r="AV281" i="5"/>
  <c r="BF281" i="5" s="1"/>
  <c r="AV537" i="5"/>
  <c r="BF537" i="5" s="1"/>
  <c r="BG537" i="5" s="1"/>
  <c r="AV275" i="5"/>
  <c r="BF275" i="5" s="1"/>
  <c r="AV372" i="5"/>
  <c r="BF372" i="5" s="1"/>
  <c r="AV129" i="5"/>
  <c r="BF129" i="5" s="1"/>
  <c r="AV427" i="5"/>
  <c r="BF427" i="5" s="1"/>
  <c r="AV108" i="5"/>
  <c r="BF108" i="5" s="1"/>
  <c r="AV421" i="5"/>
  <c r="BF421" i="5" s="1"/>
  <c r="AV543" i="5"/>
  <c r="BF543" i="5" s="1"/>
  <c r="BH543" i="5" s="1"/>
  <c r="AV7" i="5"/>
  <c r="BF7" i="5" s="1"/>
  <c r="BG7" i="5" s="1"/>
  <c r="AV555" i="5"/>
  <c r="BF555" i="5" s="1"/>
  <c r="BH555" i="5" s="1"/>
  <c r="AV509" i="5"/>
  <c r="BF509" i="5" s="1"/>
  <c r="AV491" i="5"/>
  <c r="BF491" i="5" s="1"/>
  <c r="AV440" i="5"/>
  <c r="BF440" i="5" s="1"/>
  <c r="AV94" i="5"/>
  <c r="BF94" i="5" s="1"/>
  <c r="BG94" i="5" s="1"/>
  <c r="AV437" i="5"/>
  <c r="BF437" i="5" s="1"/>
  <c r="AV285" i="5"/>
  <c r="BF285" i="5" s="1"/>
  <c r="AV545" i="5"/>
  <c r="BF545" i="5" s="1"/>
  <c r="AV549" i="5"/>
  <c r="BF549" i="5" s="1"/>
  <c r="BH549" i="5" s="1"/>
  <c r="AV136" i="5"/>
  <c r="BF136" i="5" s="1"/>
  <c r="AV296" i="5"/>
  <c r="BF296" i="5" s="1"/>
  <c r="BG296" i="5" s="1"/>
  <c r="AV262" i="5"/>
  <c r="BF262" i="5" s="1"/>
  <c r="BH262" i="5" s="1"/>
  <c r="AV245" i="5"/>
  <c r="BF245" i="5" s="1"/>
  <c r="BG245" i="5" s="1"/>
  <c r="AV289" i="5"/>
  <c r="BF289" i="5" s="1"/>
  <c r="AV280" i="5"/>
  <c r="BF280" i="5" s="1"/>
  <c r="AV59" i="5"/>
  <c r="BF59" i="5" s="1"/>
  <c r="BH59" i="5" s="1"/>
  <c r="AV190" i="5"/>
  <c r="BF190" i="5" s="1"/>
  <c r="AV559" i="5"/>
  <c r="BF559" i="5" s="1"/>
  <c r="AV226" i="5"/>
  <c r="BF226" i="5" s="1"/>
  <c r="AV309" i="5"/>
  <c r="BF309" i="5" s="1"/>
  <c r="AV185" i="5"/>
  <c r="BF185" i="5" s="1"/>
  <c r="AV379" i="5"/>
  <c r="BF379" i="5" s="1"/>
  <c r="AV242" i="5"/>
  <c r="BF242" i="5" s="1"/>
  <c r="AV553" i="5"/>
  <c r="BF553" i="5" s="1"/>
  <c r="AV362" i="5"/>
  <c r="BF362" i="5" s="1"/>
  <c r="AV150" i="5"/>
  <c r="BF150" i="5" s="1"/>
  <c r="AV525" i="5"/>
  <c r="BF525" i="5" s="1"/>
  <c r="AV345" i="5"/>
  <c r="BF345" i="5" s="1"/>
  <c r="AV92" i="5"/>
  <c r="BF92" i="5" s="1"/>
  <c r="AV298" i="5"/>
  <c r="BF298" i="5" s="1"/>
  <c r="AV191" i="5"/>
  <c r="BF191" i="5" s="1"/>
  <c r="BH191" i="5" s="1"/>
  <c r="AV462" i="5"/>
  <c r="BF462" i="5" s="1"/>
  <c r="BG462" i="5" s="1"/>
  <c r="AV432" i="5"/>
  <c r="BF432" i="5" s="1"/>
  <c r="AV412" i="5"/>
  <c r="BF412" i="5" s="1"/>
  <c r="AV521" i="5"/>
  <c r="BF521" i="5" s="1"/>
  <c r="BG521" i="5" s="1"/>
  <c r="AV353" i="5"/>
  <c r="BF353" i="5" s="1"/>
  <c r="AV401" i="5"/>
  <c r="BF401" i="5" s="1"/>
  <c r="AV90" i="5"/>
  <c r="BF90" i="5" s="1"/>
  <c r="AV453" i="5"/>
  <c r="BF453" i="5" s="1"/>
  <c r="BG453" i="5" s="1"/>
  <c r="AV450" i="5"/>
  <c r="BF450" i="5" s="1"/>
  <c r="AV360" i="5"/>
  <c r="BF360" i="5" s="1"/>
  <c r="AV344" i="5"/>
  <c r="BF344" i="5" s="1"/>
  <c r="BH344" i="5" s="1"/>
  <c r="AV392" i="5"/>
  <c r="BF392" i="5" s="1"/>
  <c r="AV251" i="5"/>
  <c r="BF251" i="5" s="1"/>
  <c r="AV510" i="5"/>
  <c r="BF510" i="5" s="1"/>
  <c r="AV560" i="5"/>
  <c r="BF560" i="5" s="1"/>
  <c r="BH560" i="5" s="1"/>
  <c r="AV536" i="5"/>
  <c r="BF536" i="5" s="1"/>
  <c r="BG536" i="5" s="1"/>
  <c r="AV476" i="5"/>
  <c r="BF476" i="5" s="1"/>
  <c r="AV477" i="5"/>
  <c r="BF477" i="5" s="1"/>
  <c r="AV503" i="5"/>
  <c r="BF503" i="5" s="1"/>
  <c r="AV469" i="5"/>
  <c r="BF469" i="5" s="1"/>
  <c r="BG469" i="5" s="1"/>
  <c r="AV10" i="5"/>
  <c r="AV70" i="5"/>
  <c r="BF70" i="5" s="1"/>
  <c r="BG70" i="5" s="1"/>
  <c r="AV209" i="5"/>
  <c r="BF209" i="5" s="1"/>
  <c r="AV400" i="5"/>
  <c r="BF400" i="5" s="1"/>
  <c r="AV233" i="5"/>
  <c r="BF233" i="5" s="1"/>
  <c r="AV415" i="5"/>
  <c r="BF415" i="5" s="1"/>
  <c r="AV80" i="5"/>
  <c r="BF80" i="5" s="1"/>
  <c r="AV294" i="5"/>
  <c r="BF294" i="5" s="1"/>
  <c r="AV73" i="5"/>
  <c r="BF73" i="5" s="1"/>
  <c r="AV113" i="5"/>
  <c r="BF113" i="5" s="1"/>
  <c r="BG113" i="5" s="1"/>
  <c r="AV533" i="5"/>
  <c r="BF533" i="5" s="1"/>
  <c r="BG533" i="5" s="1"/>
  <c r="AV478" i="5"/>
  <c r="BF478" i="5" s="1"/>
  <c r="AV9" i="5"/>
  <c r="AV218" i="5"/>
  <c r="BF218" i="5" s="1"/>
  <c r="AV132" i="5"/>
  <c r="BF132" i="5" s="1"/>
  <c r="AV557" i="5"/>
  <c r="BF557" i="5" s="1"/>
  <c r="AV293" i="5"/>
  <c r="BF293" i="5" s="1"/>
  <c r="AV501" i="5"/>
  <c r="BF501" i="5" s="1"/>
  <c r="AV126" i="5"/>
  <c r="BF126" i="5" s="1"/>
  <c r="AV499" i="5"/>
  <c r="BF499" i="5" s="1"/>
  <c r="AV541" i="5"/>
  <c r="BF541" i="5" s="1"/>
  <c r="AV481" i="5"/>
  <c r="BF481" i="5" s="1"/>
  <c r="BG481" i="5" s="1"/>
  <c r="AV236" i="5"/>
  <c r="BF236" i="5" s="1"/>
  <c r="BG236" i="5" s="1"/>
  <c r="AV554" i="5"/>
  <c r="BF554" i="5" s="1"/>
  <c r="AV286" i="5"/>
  <c r="BF286" i="5" s="1"/>
  <c r="AV273" i="5"/>
  <c r="BF273" i="5" s="1"/>
  <c r="AV487" i="5"/>
  <c r="BF487" i="5" s="1"/>
  <c r="AV470" i="5"/>
  <c r="BF470" i="5" s="1"/>
  <c r="BH470" i="5" s="1"/>
  <c r="AV68" i="5"/>
  <c r="BF68" i="5" s="1"/>
  <c r="AV221" i="5"/>
  <c r="BF221" i="5" s="1"/>
  <c r="BH221" i="5" s="1"/>
  <c r="AV317" i="5"/>
  <c r="BF317" i="5" s="1"/>
  <c r="AV8" i="5"/>
  <c r="BF8" i="5" s="1"/>
  <c r="BG8" i="5" s="1"/>
  <c r="AV329" i="5"/>
  <c r="BF329" i="5" s="1"/>
  <c r="BH329" i="5" s="1"/>
  <c r="AV447" i="5"/>
  <c r="BF447" i="5" s="1"/>
  <c r="AV351" i="5"/>
  <c r="BF351" i="5" s="1"/>
  <c r="AV532" i="5"/>
  <c r="BF532" i="5" s="1"/>
  <c r="AV546" i="5"/>
  <c r="BF546" i="5" s="1"/>
  <c r="AV414" i="5"/>
  <c r="BF414" i="5" s="1"/>
  <c r="AV387" i="5"/>
  <c r="BF387" i="5" s="1"/>
  <c r="AV318" i="5"/>
  <c r="BF318" i="5" s="1"/>
  <c r="AV272" i="5"/>
  <c r="BF272" i="5" s="1"/>
  <c r="AV523" i="5"/>
  <c r="BF523" i="5" s="1"/>
  <c r="AV188" i="5"/>
  <c r="BF188" i="5" s="1"/>
  <c r="BH188" i="5" s="1"/>
  <c r="AV495" i="5"/>
  <c r="BF495" i="5" s="1"/>
  <c r="BH495" i="5" s="1"/>
  <c r="AV276" i="5"/>
  <c r="BF276" i="5" s="1"/>
  <c r="AV356" i="5"/>
  <c r="BF356" i="5" s="1"/>
  <c r="BG356" i="5" s="1"/>
  <c r="AV243" i="5"/>
  <c r="BF243" i="5" s="1"/>
  <c r="AV261" i="5"/>
  <c r="BF261" i="5" s="1"/>
  <c r="AV19" i="5"/>
  <c r="BF19" i="5" s="1"/>
  <c r="BE552" i="5"/>
  <c r="BD552" i="5"/>
  <c r="BE539" i="5"/>
  <c r="BD539" i="5"/>
  <c r="BD514" i="5"/>
  <c r="BE514" i="5"/>
  <c r="BD273" i="5"/>
  <c r="BE273" i="5"/>
  <c r="BE376" i="5"/>
  <c r="BD376" i="5"/>
  <c r="BD90" i="5"/>
  <c r="BE90" i="5"/>
  <c r="BE456" i="5"/>
  <c r="BD456" i="5"/>
  <c r="BD498" i="5"/>
  <c r="BE498" i="5"/>
  <c r="BD349" i="5"/>
  <c r="BE349" i="5"/>
  <c r="BD258" i="5"/>
  <c r="BE258" i="5"/>
  <c r="BE155" i="5"/>
  <c r="BD155" i="5"/>
  <c r="BD534" i="5"/>
  <c r="BE534" i="5"/>
  <c r="BD519" i="5"/>
  <c r="BE519" i="5"/>
  <c r="BD379" i="5"/>
  <c r="BE379" i="5"/>
  <c r="BD385" i="5"/>
  <c r="BE385" i="5"/>
  <c r="BE170" i="5"/>
  <c r="BD170" i="5"/>
  <c r="BE513" i="5"/>
  <c r="BD513" i="5"/>
  <c r="BE441" i="5"/>
  <c r="BD441" i="5"/>
  <c r="BD204" i="5"/>
  <c r="BE204" i="5"/>
  <c r="BD535" i="5"/>
  <c r="BE535" i="5"/>
  <c r="BD445" i="5"/>
  <c r="BE445" i="5"/>
  <c r="BD485" i="5"/>
  <c r="BE485" i="5"/>
  <c r="BD520" i="5"/>
  <c r="BE520" i="5"/>
  <c r="BE487" i="5"/>
  <c r="BD487" i="5"/>
  <c r="BE434" i="5"/>
  <c r="BD434" i="5"/>
  <c r="BD506" i="5"/>
  <c r="BE506" i="5"/>
  <c r="BD427" i="5"/>
  <c r="BE427" i="5"/>
  <c r="BE497" i="5"/>
  <c r="BD497" i="5"/>
  <c r="BD362" i="5"/>
  <c r="BE362" i="5"/>
  <c r="BE355" i="5"/>
  <c r="BD355" i="5"/>
  <c r="BD209" i="5"/>
  <c r="BE209" i="5"/>
  <c r="BE370" i="5"/>
  <c r="BD370" i="5"/>
  <c r="BD436" i="5"/>
  <c r="BE436" i="5"/>
  <c r="BE319" i="5"/>
  <c r="BD319" i="5"/>
  <c r="BE272" i="5"/>
  <c r="BD272" i="5"/>
  <c r="BE182" i="5"/>
  <c r="BD182" i="5"/>
  <c r="BE124" i="5"/>
  <c r="BD124" i="5"/>
  <c r="BD79" i="5"/>
  <c r="BE79" i="5"/>
  <c r="BE537" i="5"/>
  <c r="BD537" i="5"/>
  <c r="BD481" i="5"/>
  <c r="BE481" i="5"/>
  <c r="BD557" i="5"/>
  <c r="BE557" i="5"/>
  <c r="BD328" i="5"/>
  <c r="BE328" i="5"/>
  <c r="BE505" i="5"/>
  <c r="BD505" i="5"/>
  <c r="BE473" i="5"/>
  <c r="BD473" i="5"/>
  <c r="BD387" i="5"/>
  <c r="BE387" i="5"/>
  <c r="BE474" i="5"/>
  <c r="BD474" i="5"/>
  <c r="BE394" i="5"/>
  <c r="BD394" i="5"/>
  <c r="BD472" i="5"/>
  <c r="BE472" i="5"/>
  <c r="BE406" i="5"/>
  <c r="BD406" i="5"/>
  <c r="BE340" i="5"/>
  <c r="BD340" i="5"/>
  <c r="BD408" i="5"/>
  <c r="BE408" i="5"/>
  <c r="BD356" i="5"/>
  <c r="BE356" i="5"/>
  <c r="BD420" i="5"/>
  <c r="BE420" i="5"/>
  <c r="BD343" i="5"/>
  <c r="BE343" i="5"/>
  <c r="BE281" i="5"/>
  <c r="BD281" i="5"/>
  <c r="BE203" i="5"/>
  <c r="BD203" i="5"/>
  <c r="BD106" i="5"/>
  <c r="BE106" i="5"/>
  <c r="BD28" i="5"/>
  <c r="BE28" i="5"/>
  <c r="BE542" i="5"/>
  <c r="BD542" i="5"/>
  <c r="BE524" i="5"/>
  <c r="BD524" i="5"/>
  <c r="BE517" i="5"/>
  <c r="BD517" i="5"/>
  <c r="BE523" i="5"/>
  <c r="BD523" i="5"/>
  <c r="BE489" i="5"/>
  <c r="BD489" i="5"/>
  <c r="BE443" i="5"/>
  <c r="BD443" i="5"/>
  <c r="BD511" i="5"/>
  <c r="BE511" i="5"/>
  <c r="BD439" i="5"/>
  <c r="BE439" i="5"/>
  <c r="BD515" i="5"/>
  <c r="BE515" i="5"/>
  <c r="BD401" i="5"/>
  <c r="BE401" i="5"/>
  <c r="BE366" i="5"/>
  <c r="BD366" i="5"/>
  <c r="BD254" i="5"/>
  <c r="BE254" i="5"/>
  <c r="BD377" i="5"/>
  <c r="BE377" i="5"/>
  <c r="BD250" i="5"/>
  <c r="BE250" i="5"/>
  <c r="BE360" i="5"/>
  <c r="BD360" i="5"/>
  <c r="BE321" i="5"/>
  <c r="BD321" i="5"/>
  <c r="BD217" i="5"/>
  <c r="BE217" i="5"/>
  <c r="BD104" i="5"/>
  <c r="BE104" i="5"/>
  <c r="BE77" i="5"/>
  <c r="BD77" i="5"/>
  <c r="BD19" i="5"/>
  <c r="BE19" i="5"/>
  <c r="BE501" i="5"/>
  <c r="BD501" i="5"/>
  <c r="BD558" i="5"/>
  <c r="BE558" i="5"/>
  <c r="BE425" i="5"/>
  <c r="BD425" i="5"/>
  <c r="BE509" i="5"/>
  <c r="BD509" i="5"/>
  <c r="BE479" i="5"/>
  <c r="BD479" i="5"/>
  <c r="BD405" i="5"/>
  <c r="BE405" i="5"/>
  <c r="BE480" i="5"/>
  <c r="BD480" i="5"/>
  <c r="BD403" i="5"/>
  <c r="BE403" i="5"/>
  <c r="BD478" i="5"/>
  <c r="BE478" i="5"/>
  <c r="BE416" i="5"/>
  <c r="BD416" i="5"/>
  <c r="BD342" i="5"/>
  <c r="BE342" i="5"/>
  <c r="BE417" i="5"/>
  <c r="BD417" i="5"/>
  <c r="BE361" i="5"/>
  <c r="BD361" i="5"/>
  <c r="BD428" i="5"/>
  <c r="BE428" i="5"/>
  <c r="BD358" i="5"/>
  <c r="BE358" i="5"/>
  <c r="BE307" i="5"/>
  <c r="BD307" i="5"/>
  <c r="BD205" i="5"/>
  <c r="BE205" i="5"/>
  <c r="BE128" i="5"/>
  <c r="BD128" i="5"/>
  <c r="BE58" i="5"/>
  <c r="BD58" i="5"/>
  <c r="BD543" i="5"/>
  <c r="BE543" i="5"/>
  <c r="BD493" i="5"/>
  <c r="BE493" i="5"/>
  <c r="BE447" i="5"/>
  <c r="BD447" i="5"/>
  <c r="BD442" i="5"/>
  <c r="BE442" i="5"/>
  <c r="BD260" i="5"/>
  <c r="BE260" i="5"/>
  <c r="BD244" i="5"/>
  <c r="BE244" i="5"/>
  <c r="BD36" i="5"/>
  <c r="BE36" i="5"/>
  <c r="BD437" i="5"/>
  <c r="BE437" i="5"/>
  <c r="BE486" i="5"/>
  <c r="BD486" i="5"/>
  <c r="BE426" i="5"/>
  <c r="BD426" i="5"/>
  <c r="BD354" i="5"/>
  <c r="BE354" i="5"/>
  <c r="BD365" i="5"/>
  <c r="BE365" i="5"/>
  <c r="BE253" i="5"/>
  <c r="BD253" i="5"/>
  <c r="BD49" i="5"/>
  <c r="BE49" i="5"/>
  <c r="BD549" i="5"/>
  <c r="BE549" i="5"/>
  <c r="BD495" i="5"/>
  <c r="BE495" i="5"/>
  <c r="BE462" i="5"/>
  <c r="BD462" i="5"/>
  <c r="BE457" i="5"/>
  <c r="BD457" i="5"/>
  <c r="BD389" i="5"/>
  <c r="BE389" i="5"/>
  <c r="BD275" i="5"/>
  <c r="BE275" i="5"/>
  <c r="BE102" i="5"/>
  <c r="BD102" i="5"/>
  <c r="BE541" i="5"/>
  <c r="BD541" i="5"/>
  <c r="BD522" i="5"/>
  <c r="BE522" i="5"/>
  <c r="BD507" i="5"/>
  <c r="BE507" i="5"/>
  <c r="BE504" i="5"/>
  <c r="BD504" i="5"/>
  <c r="BD364" i="5"/>
  <c r="BE364" i="5"/>
  <c r="BE375" i="5"/>
  <c r="BD375" i="5"/>
  <c r="BE294" i="5"/>
  <c r="BD294" i="5"/>
  <c r="BE142" i="5"/>
  <c r="BD142" i="5"/>
  <c r="BD546" i="5"/>
  <c r="BE546" i="5"/>
  <c r="BE491" i="5"/>
  <c r="BD491" i="5"/>
  <c r="BD560" i="5"/>
  <c r="BE560" i="5"/>
  <c r="BD421" i="5"/>
  <c r="BE421" i="5"/>
  <c r="BD508" i="5"/>
  <c r="BE508" i="5"/>
  <c r="BE476" i="5"/>
  <c r="BD476" i="5"/>
  <c r="BD396" i="5"/>
  <c r="BE396" i="5"/>
  <c r="BE477" i="5"/>
  <c r="BD477" i="5"/>
  <c r="BD397" i="5"/>
  <c r="BE397" i="5"/>
  <c r="BD475" i="5"/>
  <c r="BE475" i="5"/>
  <c r="BD415" i="5"/>
  <c r="BE415" i="5"/>
  <c r="BD341" i="5"/>
  <c r="BE341" i="5"/>
  <c r="BE413" i="5"/>
  <c r="BD413" i="5"/>
  <c r="BD359" i="5"/>
  <c r="BE359" i="5"/>
  <c r="BE423" i="5"/>
  <c r="BD423" i="5"/>
  <c r="BD357" i="5"/>
  <c r="BE357" i="5"/>
  <c r="BE291" i="5"/>
  <c r="BD291" i="5"/>
  <c r="BE165" i="5"/>
  <c r="BD165" i="5"/>
  <c r="BD120" i="5"/>
  <c r="BE120" i="5"/>
  <c r="BD63" i="5"/>
  <c r="BE63" i="5"/>
  <c r="BE438" i="5"/>
  <c r="BD438" i="5"/>
  <c r="BD550" i="5"/>
  <c r="BE550" i="5"/>
  <c r="BD536" i="5"/>
  <c r="BE536" i="5"/>
  <c r="BD555" i="5"/>
  <c r="BE555" i="5"/>
  <c r="BE499" i="5"/>
  <c r="BD499" i="5"/>
  <c r="BD455" i="5"/>
  <c r="BE455" i="5"/>
  <c r="BE308" i="5"/>
  <c r="BD308" i="5"/>
  <c r="BD465" i="5"/>
  <c r="BE465" i="5"/>
  <c r="BE270" i="5"/>
  <c r="BD270" i="5"/>
  <c r="BD458" i="5"/>
  <c r="BE458" i="5"/>
  <c r="BE388" i="5"/>
  <c r="BD388" i="5"/>
  <c r="BD289" i="5"/>
  <c r="BE289" i="5"/>
  <c r="BE390" i="5"/>
  <c r="BD390" i="5"/>
  <c r="BD304" i="5"/>
  <c r="BE304" i="5"/>
  <c r="BE404" i="5"/>
  <c r="BD404" i="5"/>
  <c r="BE301" i="5"/>
  <c r="BD301" i="5"/>
  <c r="BE239" i="5"/>
  <c r="BD239" i="5"/>
  <c r="BE185" i="5"/>
  <c r="BD185" i="5"/>
  <c r="BD87" i="5"/>
  <c r="BE87" i="5"/>
  <c r="BD33" i="5"/>
  <c r="BE33" i="5"/>
  <c r="BD528" i="5"/>
  <c r="BE528" i="5"/>
  <c r="BE433" i="5"/>
  <c r="BD433" i="5"/>
  <c r="BE449" i="5"/>
  <c r="BD449" i="5"/>
  <c r="BE510" i="5"/>
  <c r="BD510" i="5"/>
  <c r="BD482" i="5"/>
  <c r="BE482" i="5"/>
  <c r="BE430" i="5"/>
  <c r="BD430" i="5"/>
  <c r="BE484" i="5"/>
  <c r="BD484" i="5"/>
  <c r="BE412" i="5"/>
  <c r="BD412" i="5"/>
  <c r="BD490" i="5"/>
  <c r="BE490" i="5"/>
  <c r="BD311" i="5"/>
  <c r="BE311" i="5"/>
  <c r="BE348" i="5"/>
  <c r="BD348" i="5"/>
  <c r="BE418" i="5"/>
  <c r="BD418" i="5"/>
  <c r="BD363" i="5"/>
  <c r="BE363" i="5"/>
  <c r="BD431" i="5"/>
  <c r="BE431" i="5"/>
  <c r="BE224" i="5"/>
  <c r="BD224" i="5"/>
  <c r="BE327" i="5"/>
  <c r="BD327" i="5"/>
  <c r="BD216" i="5"/>
  <c r="BE216" i="5"/>
  <c r="BD146" i="5"/>
  <c r="BE146" i="5"/>
  <c r="BD57" i="5"/>
  <c r="BE57" i="5"/>
  <c r="BE464" i="5"/>
  <c r="BD464" i="5"/>
  <c r="BD407" i="5"/>
  <c r="BE407" i="5"/>
  <c r="BE548" i="5"/>
  <c r="BD548" i="5"/>
  <c r="BD229" i="5"/>
  <c r="BE229" i="5"/>
  <c r="BE502" i="5"/>
  <c r="BD502" i="5"/>
  <c r="BD466" i="5"/>
  <c r="BE466" i="5"/>
  <c r="BE353" i="5"/>
  <c r="BD353" i="5"/>
  <c r="BE468" i="5"/>
  <c r="BD468" i="5"/>
  <c r="BD382" i="5"/>
  <c r="BE382" i="5"/>
  <c r="BE460" i="5"/>
  <c r="BD460" i="5"/>
  <c r="BE398" i="5"/>
  <c r="BD398" i="5"/>
  <c r="BE333" i="5"/>
  <c r="BD333" i="5"/>
  <c r="BD399" i="5"/>
  <c r="BE399" i="5"/>
  <c r="BE345" i="5"/>
  <c r="BD345" i="5"/>
  <c r="BD410" i="5"/>
  <c r="BE410" i="5"/>
  <c r="BD320" i="5"/>
  <c r="BE320" i="5"/>
  <c r="BE259" i="5"/>
  <c r="BD259" i="5"/>
  <c r="BE162" i="5"/>
  <c r="BD162" i="5"/>
  <c r="BE129" i="5"/>
  <c r="BD129" i="5"/>
  <c r="BE42" i="5"/>
  <c r="BD42" i="5"/>
  <c r="BD527" i="5"/>
  <c r="BE527" i="5"/>
  <c r="BD451" i="5"/>
  <c r="BE451" i="5"/>
  <c r="BD526" i="5"/>
  <c r="BE526" i="5"/>
  <c r="BD374" i="5"/>
  <c r="BE374" i="5"/>
  <c r="BD384" i="5"/>
  <c r="BE384" i="5"/>
  <c r="BD248" i="5"/>
  <c r="BE248" i="5"/>
  <c r="BE181" i="5"/>
  <c r="BD181" i="5"/>
  <c r="BD533" i="5"/>
  <c r="BE533" i="5"/>
  <c r="BE518" i="5"/>
  <c r="BD518" i="5"/>
  <c r="BE432" i="5"/>
  <c r="BD432" i="5"/>
  <c r="BD496" i="5"/>
  <c r="BE496" i="5"/>
  <c r="BE419" i="5"/>
  <c r="BD419" i="5"/>
  <c r="BD435" i="5"/>
  <c r="BE435" i="5"/>
  <c r="BE233" i="5"/>
  <c r="BD233" i="5"/>
  <c r="BD372" i="5"/>
  <c r="BE372" i="5"/>
  <c r="BE554" i="5"/>
  <c r="BD554" i="5"/>
  <c r="BE454" i="5"/>
  <c r="BD454" i="5"/>
  <c r="BE532" i="5"/>
  <c r="BD532" i="5"/>
  <c r="BE286" i="5"/>
  <c r="BD286" i="5"/>
  <c r="BD293" i="5"/>
  <c r="BE293" i="5"/>
  <c r="BE215" i="5"/>
  <c r="BD215" i="5"/>
  <c r="BE448" i="5"/>
  <c r="BD448" i="5"/>
  <c r="BE488" i="5"/>
  <c r="BD488" i="5"/>
  <c r="BE429" i="5"/>
  <c r="BD429" i="5"/>
  <c r="BD368" i="5"/>
  <c r="BE368" i="5"/>
  <c r="BD245" i="5"/>
  <c r="BE245" i="5"/>
  <c r="BE440" i="5"/>
  <c r="BD440" i="5"/>
  <c r="BE335" i="5"/>
  <c r="BD335" i="5"/>
  <c r="BD62" i="5"/>
  <c r="BE62" i="5"/>
  <c r="BE450" i="5"/>
  <c r="BD450" i="5"/>
  <c r="BE551" i="5"/>
  <c r="BD551" i="5"/>
  <c r="BE540" i="5"/>
  <c r="BD540" i="5"/>
  <c r="BE556" i="5"/>
  <c r="BD556" i="5"/>
  <c r="BE500" i="5"/>
  <c r="BD500" i="5"/>
  <c r="BE463" i="5"/>
  <c r="BD463" i="5"/>
  <c r="BE347" i="5"/>
  <c r="BD347" i="5"/>
  <c r="BE467" i="5"/>
  <c r="BD467" i="5"/>
  <c r="BD325" i="5"/>
  <c r="BE325" i="5"/>
  <c r="BE459" i="5"/>
  <c r="BD459" i="5"/>
  <c r="BE395" i="5"/>
  <c r="BD395" i="5"/>
  <c r="BD292" i="5"/>
  <c r="BE292" i="5"/>
  <c r="BD392" i="5"/>
  <c r="BE392" i="5"/>
  <c r="BD334" i="5"/>
  <c r="BE334" i="5"/>
  <c r="BE409" i="5"/>
  <c r="BD409" i="5"/>
  <c r="BE310" i="5"/>
  <c r="BD310" i="5"/>
  <c r="BD193" i="5"/>
  <c r="BE193" i="5"/>
  <c r="BE143" i="5"/>
  <c r="BD143" i="5"/>
  <c r="BD99" i="5"/>
  <c r="BE99" i="5"/>
  <c r="BD46" i="5"/>
  <c r="BE46" i="5"/>
  <c r="BD547" i="5"/>
  <c r="BE547" i="5"/>
  <c r="BE538" i="5"/>
  <c r="BD538" i="5"/>
  <c r="BD521" i="5"/>
  <c r="BE521" i="5"/>
  <c r="BE530" i="5"/>
  <c r="BD530" i="5"/>
  <c r="BD492" i="5"/>
  <c r="BE492" i="5"/>
  <c r="BE444" i="5"/>
  <c r="BD444" i="5"/>
  <c r="BD512" i="5"/>
  <c r="BE512" i="5"/>
  <c r="BD446" i="5"/>
  <c r="BE446" i="5"/>
  <c r="BE525" i="5"/>
  <c r="BD525" i="5"/>
  <c r="BD422" i="5"/>
  <c r="BE422" i="5"/>
  <c r="BD371" i="5"/>
  <c r="BE371" i="5"/>
  <c r="BE267" i="5"/>
  <c r="BD267" i="5"/>
  <c r="BE380" i="5"/>
  <c r="BD380" i="5"/>
  <c r="BE252" i="5"/>
  <c r="BD252" i="5"/>
  <c r="BE367" i="5"/>
  <c r="BD367" i="5"/>
  <c r="BE192" i="5"/>
  <c r="BD192" i="5"/>
  <c r="BE228" i="5"/>
  <c r="BD228" i="5"/>
  <c r="BD167" i="5"/>
  <c r="BE167" i="5"/>
  <c r="BE93" i="5"/>
  <c r="BD93" i="5"/>
  <c r="BE483" i="5"/>
  <c r="BD483" i="5"/>
  <c r="BD424" i="5"/>
  <c r="BE424" i="5"/>
  <c r="BE553" i="5"/>
  <c r="BD553" i="5"/>
  <c r="BD297" i="5"/>
  <c r="BE297" i="5"/>
  <c r="BD503" i="5"/>
  <c r="BE503" i="5"/>
  <c r="BE469" i="5"/>
  <c r="BD469" i="5"/>
  <c r="BE381" i="5"/>
  <c r="BD381" i="5"/>
  <c r="BD470" i="5"/>
  <c r="BE470" i="5"/>
  <c r="BE391" i="5"/>
  <c r="BD391" i="5"/>
  <c r="BE471" i="5"/>
  <c r="BD471" i="5"/>
  <c r="BE400" i="5"/>
  <c r="BD400" i="5"/>
  <c r="BD336" i="5"/>
  <c r="BE336" i="5"/>
  <c r="BE402" i="5"/>
  <c r="BD402" i="5"/>
  <c r="BD350" i="5"/>
  <c r="BE350" i="5"/>
  <c r="BE414" i="5"/>
  <c r="BD414" i="5"/>
  <c r="BE330" i="5"/>
  <c r="BD330" i="5"/>
  <c r="BD271" i="5"/>
  <c r="BE271" i="5"/>
  <c r="BD187" i="5"/>
  <c r="BE187" i="5"/>
  <c r="BE151" i="5"/>
  <c r="BD151" i="5"/>
  <c r="BD67" i="5"/>
  <c r="BE67" i="5"/>
  <c r="BE559" i="5"/>
  <c r="BD559" i="5"/>
  <c r="BE544" i="5"/>
  <c r="BD544" i="5"/>
  <c r="BE529" i="5"/>
  <c r="BD529" i="5"/>
  <c r="BD545" i="5"/>
  <c r="BE545" i="5"/>
  <c r="BE494" i="5"/>
  <c r="BD494" i="5"/>
  <c r="BE453" i="5"/>
  <c r="BD453" i="5"/>
  <c r="BE516" i="5"/>
  <c r="BD516" i="5"/>
  <c r="BD461" i="5"/>
  <c r="BE461" i="5"/>
  <c r="BE531" i="5"/>
  <c r="BD531" i="5"/>
  <c r="BD452" i="5"/>
  <c r="BE452" i="5"/>
  <c r="BD378" i="5"/>
  <c r="BE378" i="5"/>
  <c r="BE280" i="5"/>
  <c r="BD280" i="5"/>
  <c r="BD386" i="5"/>
  <c r="BE386" i="5"/>
  <c r="BE277" i="5"/>
  <c r="BD277" i="5"/>
  <c r="BE383" i="5"/>
  <c r="BD383" i="5"/>
  <c r="BD257" i="5"/>
  <c r="BE257" i="5"/>
  <c r="BD186" i="5"/>
  <c r="BE186" i="5"/>
  <c r="BE153" i="5"/>
  <c r="BD153" i="5"/>
  <c r="BD96" i="5"/>
  <c r="BE96" i="5"/>
  <c r="BD25" i="5"/>
  <c r="BE25" i="5"/>
  <c r="BB364" i="5"/>
  <c r="BA364" i="5"/>
  <c r="BB511" i="5"/>
  <c r="BA511" i="5"/>
  <c r="BB438" i="5"/>
  <c r="BA438" i="5"/>
  <c r="BB530" i="5"/>
  <c r="BA530" i="5"/>
  <c r="BB514" i="5"/>
  <c r="BA514" i="5"/>
  <c r="BA558" i="5"/>
  <c r="BB558" i="5"/>
  <c r="BA510" i="5"/>
  <c r="BB510" i="5"/>
  <c r="BB523" i="5"/>
  <c r="BA523" i="5"/>
  <c r="BA303" i="5"/>
  <c r="BB303" i="5"/>
  <c r="BB447" i="5"/>
  <c r="BA447" i="5"/>
  <c r="BB421" i="5"/>
  <c r="BA421" i="5"/>
  <c r="BA454" i="5"/>
  <c r="BB454" i="5"/>
  <c r="BA403" i="5"/>
  <c r="BB403" i="5"/>
  <c r="BA497" i="5"/>
  <c r="BB497" i="5"/>
  <c r="BB547" i="5"/>
  <c r="BA547" i="5"/>
  <c r="BA417" i="5"/>
  <c r="BB417" i="5"/>
  <c r="BB512" i="5"/>
  <c r="BA512" i="5"/>
  <c r="BA264" i="5"/>
  <c r="BB264" i="5"/>
  <c r="BA344" i="5"/>
  <c r="BB344" i="5"/>
  <c r="BA267" i="5"/>
  <c r="BB267" i="5"/>
  <c r="BA232" i="5"/>
  <c r="BB232" i="5"/>
  <c r="BA142" i="5"/>
  <c r="BB142" i="5"/>
  <c r="BA86" i="5"/>
  <c r="BB86" i="5"/>
  <c r="BA94" i="5"/>
  <c r="BB94" i="5"/>
  <c r="BA27" i="5"/>
  <c r="BB27" i="5"/>
  <c r="BA389" i="5"/>
  <c r="BB389" i="5"/>
  <c r="BB260" i="5"/>
  <c r="BA260" i="5"/>
  <c r="BA284" i="5"/>
  <c r="BB284" i="5"/>
  <c r="BA175" i="5"/>
  <c r="BB175" i="5"/>
  <c r="BB151" i="5"/>
  <c r="BA151" i="5"/>
  <c r="BB103" i="5"/>
  <c r="BA103" i="5"/>
  <c r="BB66" i="5"/>
  <c r="BA66" i="5"/>
  <c r="BB384" i="5"/>
  <c r="BA384" i="5"/>
  <c r="BB316" i="5"/>
  <c r="BA316" i="5"/>
  <c r="BB230" i="5"/>
  <c r="BA230" i="5"/>
  <c r="BA172" i="5"/>
  <c r="BB172" i="5"/>
  <c r="BB173" i="5"/>
  <c r="BA173" i="5"/>
  <c r="BA64" i="5"/>
  <c r="BB64" i="5"/>
  <c r="BB97" i="5"/>
  <c r="BA97" i="5"/>
  <c r="BA60" i="5"/>
  <c r="BB60" i="5"/>
  <c r="BB61" i="5"/>
  <c r="BA61" i="5"/>
  <c r="BB21" i="5"/>
  <c r="BA21" i="5"/>
  <c r="BB22" i="5"/>
  <c r="BA22" i="5"/>
  <c r="BB427" i="5"/>
  <c r="BA427" i="5"/>
  <c r="BA370" i="5"/>
  <c r="BB370" i="5"/>
  <c r="BB297" i="5"/>
  <c r="BA297" i="5"/>
  <c r="BA280" i="5"/>
  <c r="BB280" i="5"/>
  <c r="BB329" i="5"/>
  <c r="BA329" i="5"/>
  <c r="BA253" i="5"/>
  <c r="BB253" i="5"/>
  <c r="BB216" i="5"/>
  <c r="BA216" i="5"/>
  <c r="BA231" i="5"/>
  <c r="BB231" i="5"/>
  <c r="BB214" i="5"/>
  <c r="BA214" i="5"/>
  <c r="BB188" i="5"/>
  <c r="BA188" i="5"/>
  <c r="BB176" i="5"/>
  <c r="BA176" i="5"/>
  <c r="BA131" i="5"/>
  <c r="BB131" i="5"/>
  <c r="BB141" i="5"/>
  <c r="BA141" i="5"/>
  <c r="BA135" i="5"/>
  <c r="BB135" i="5"/>
  <c r="BB95" i="5"/>
  <c r="BA95" i="5"/>
  <c r="BA70" i="5"/>
  <c r="BB70" i="5"/>
  <c r="BB65" i="5"/>
  <c r="BA65" i="5"/>
  <c r="BA34" i="5"/>
  <c r="BB34" i="5"/>
  <c r="BA33" i="5"/>
  <c r="BB33" i="5"/>
  <c r="BA407" i="5"/>
  <c r="BB407" i="5"/>
  <c r="BB529" i="5"/>
  <c r="BA529" i="5"/>
  <c r="BB471" i="5"/>
  <c r="BA471" i="5"/>
  <c r="BB560" i="5"/>
  <c r="BA560" i="5"/>
  <c r="BA414" i="5"/>
  <c r="BB414" i="5"/>
  <c r="BB453" i="5"/>
  <c r="BA453" i="5"/>
  <c r="BA531" i="5"/>
  <c r="BB531" i="5"/>
  <c r="BA456" i="5"/>
  <c r="BB456" i="5"/>
  <c r="BA495" i="5"/>
  <c r="BB495" i="5"/>
  <c r="BB274" i="5"/>
  <c r="BA274" i="5"/>
  <c r="BB404" i="5"/>
  <c r="BA404" i="5"/>
  <c r="BA481" i="5"/>
  <c r="BB481" i="5"/>
  <c r="BA372" i="5"/>
  <c r="BB372" i="5"/>
  <c r="BB360" i="5"/>
  <c r="BA360" i="5"/>
  <c r="BB548" i="5"/>
  <c r="BA548" i="5"/>
  <c r="BA550" i="5"/>
  <c r="BB550" i="5"/>
  <c r="BB542" i="5"/>
  <c r="BA542" i="5"/>
  <c r="BA464" i="5"/>
  <c r="BB464" i="5"/>
  <c r="BA411" i="5"/>
  <c r="BB411" i="5"/>
  <c r="BB502" i="5"/>
  <c r="BA502" i="5"/>
  <c r="BA449" i="5"/>
  <c r="BB449" i="5"/>
  <c r="BB506" i="5"/>
  <c r="BA506" i="5"/>
  <c r="BB446" i="5"/>
  <c r="BA446" i="5"/>
  <c r="BA396" i="5"/>
  <c r="BB396" i="5"/>
  <c r="BA420" i="5"/>
  <c r="BB420" i="5"/>
  <c r="BA342" i="5"/>
  <c r="BB342" i="5"/>
  <c r="BB557" i="5"/>
  <c r="BA557" i="5"/>
  <c r="BB554" i="5"/>
  <c r="BA554" i="5"/>
  <c r="BA549" i="5"/>
  <c r="BB549" i="5"/>
  <c r="BB540" i="5"/>
  <c r="BA540" i="5"/>
  <c r="BB460" i="5"/>
  <c r="BA460" i="5"/>
  <c r="BA402" i="5"/>
  <c r="BB402" i="5"/>
  <c r="BA499" i="5"/>
  <c r="BB499" i="5"/>
  <c r="BA443" i="5"/>
  <c r="BB443" i="5"/>
  <c r="BA505" i="5"/>
  <c r="BB505" i="5"/>
  <c r="BA444" i="5"/>
  <c r="BB444" i="5"/>
  <c r="BA391" i="5"/>
  <c r="BB391" i="5"/>
  <c r="BA415" i="5"/>
  <c r="BB415" i="5"/>
  <c r="BA336" i="5"/>
  <c r="BB336" i="5"/>
  <c r="BB555" i="5"/>
  <c r="BA555" i="5"/>
  <c r="BB551" i="5"/>
  <c r="BA551" i="5"/>
  <c r="BA532" i="5"/>
  <c r="BB532" i="5"/>
  <c r="BB538" i="5"/>
  <c r="BA538" i="5"/>
  <c r="BB458" i="5"/>
  <c r="BA458" i="5"/>
  <c r="BA393" i="5"/>
  <c r="BB393" i="5"/>
  <c r="BA494" i="5"/>
  <c r="BB494" i="5"/>
  <c r="BA441" i="5"/>
  <c r="BB441" i="5"/>
  <c r="BA500" i="5"/>
  <c r="BB500" i="5"/>
  <c r="BA440" i="5"/>
  <c r="BB440" i="5"/>
  <c r="BA387" i="5"/>
  <c r="BB387" i="5"/>
  <c r="BA406" i="5"/>
  <c r="BB406" i="5"/>
  <c r="BB318" i="5"/>
  <c r="BA318" i="5"/>
  <c r="BA379" i="5"/>
  <c r="BB379" i="5"/>
  <c r="BB307" i="5"/>
  <c r="BA307" i="5"/>
  <c r="BA308" i="5"/>
  <c r="BB308" i="5"/>
  <c r="BA250" i="5"/>
  <c r="BB250" i="5"/>
  <c r="BB293" i="5"/>
  <c r="BA293" i="5"/>
  <c r="BA177" i="5"/>
  <c r="BB177" i="5"/>
  <c r="BA269" i="5"/>
  <c r="BB269" i="5"/>
  <c r="BA223" i="5"/>
  <c r="BB223" i="5"/>
  <c r="BA239" i="5"/>
  <c r="BB239" i="5"/>
  <c r="BA222" i="5"/>
  <c r="BB222" i="5"/>
  <c r="BA200" i="5"/>
  <c r="BB200" i="5"/>
  <c r="BB186" i="5"/>
  <c r="BA186" i="5"/>
  <c r="BB144" i="5"/>
  <c r="BA144" i="5"/>
  <c r="BA153" i="5"/>
  <c r="BB153" i="5"/>
  <c r="BA149" i="5"/>
  <c r="BB149" i="5"/>
  <c r="BA100" i="5"/>
  <c r="BB100" i="5"/>
  <c r="BA78" i="5"/>
  <c r="BB78" i="5"/>
  <c r="BA79" i="5"/>
  <c r="BB79" i="5"/>
  <c r="BA55" i="5"/>
  <c r="BB55" i="5"/>
  <c r="BA44" i="5"/>
  <c r="BB44" i="5"/>
  <c r="BB434" i="5"/>
  <c r="BA434" i="5"/>
  <c r="BB377" i="5"/>
  <c r="BA377" i="5"/>
  <c r="BA296" i="5"/>
  <c r="BB296" i="5"/>
  <c r="BB304" i="5"/>
  <c r="BA304" i="5"/>
  <c r="BA245" i="5"/>
  <c r="BB245" i="5"/>
  <c r="BB287" i="5"/>
  <c r="BA287" i="5"/>
  <c r="BB331" i="5"/>
  <c r="BA331" i="5"/>
  <c r="BA262" i="5"/>
  <c r="BB262" i="5"/>
  <c r="BB220" i="5"/>
  <c r="BA220" i="5"/>
  <c r="BB237" i="5"/>
  <c r="BA237" i="5"/>
  <c r="BB219" i="5"/>
  <c r="BA219" i="5"/>
  <c r="BB196" i="5"/>
  <c r="BA196" i="5"/>
  <c r="BB185" i="5"/>
  <c r="BA185" i="5"/>
  <c r="BB140" i="5"/>
  <c r="BA140" i="5"/>
  <c r="BA145" i="5"/>
  <c r="BB145" i="5"/>
  <c r="BA146" i="5"/>
  <c r="BB146" i="5"/>
  <c r="BA98" i="5"/>
  <c r="BB98" i="5"/>
  <c r="BB82" i="5"/>
  <c r="BA82" i="5"/>
  <c r="BB75" i="5"/>
  <c r="BA75" i="5"/>
  <c r="BB53" i="5"/>
  <c r="BA53" i="5"/>
  <c r="BB41" i="5"/>
  <c r="BA41" i="5"/>
  <c r="BB8" i="5"/>
  <c r="BA8" i="5"/>
  <c r="BA371" i="5"/>
  <c r="BB371" i="5"/>
  <c r="BA281" i="5"/>
  <c r="BB281" i="5"/>
  <c r="BB299" i="5"/>
  <c r="BA299" i="5"/>
  <c r="BA221" i="5"/>
  <c r="BB221" i="5"/>
  <c r="BB283" i="5"/>
  <c r="BA283" i="5"/>
  <c r="BA330" i="5"/>
  <c r="BB330" i="5"/>
  <c r="BA256" i="5"/>
  <c r="BB256" i="5"/>
  <c r="BB218" i="5"/>
  <c r="BA218" i="5"/>
  <c r="BB234" i="5"/>
  <c r="BA234" i="5"/>
  <c r="BA217" i="5"/>
  <c r="BB217" i="5"/>
  <c r="BA191" i="5"/>
  <c r="BB191" i="5"/>
  <c r="BB180" i="5"/>
  <c r="BA180" i="5"/>
  <c r="BA133" i="5"/>
  <c r="BB133" i="5"/>
  <c r="BA143" i="5"/>
  <c r="BB143" i="5"/>
  <c r="BA138" i="5"/>
  <c r="BB138" i="5"/>
  <c r="BA96" i="5"/>
  <c r="BB96" i="5"/>
  <c r="BA72" i="5"/>
  <c r="BB72" i="5"/>
  <c r="BA71" i="5"/>
  <c r="BB71" i="5"/>
  <c r="BA51" i="5"/>
  <c r="BB51" i="5"/>
  <c r="BA38" i="5"/>
  <c r="BB38" i="5"/>
  <c r="AW13" i="5"/>
  <c r="BC13" i="5"/>
  <c r="AZ13" i="5"/>
  <c r="BB413" i="5"/>
  <c r="BA413" i="5"/>
  <c r="BB357" i="5"/>
  <c r="BA357" i="5"/>
  <c r="BA347" i="5"/>
  <c r="BB347" i="5"/>
  <c r="BB282" i="5"/>
  <c r="BA282" i="5"/>
  <c r="BA322" i="5"/>
  <c r="BB322" i="5"/>
  <c r="BA263" i="5"/>
  <c r="BB263" i="5"/>
  <c r="BB310" i="5"/>
  <c r="BA310" i="5"/>
  <c r="BA233" i="5"/>
  <c r="BB233" i="5"/>
  <c r="BA198" i="5"/>
  <c r="BB198" i="5"/>
  <c r="BB197" i="5"/>
  <c r="BA197" i="5"/>
  <c r="BB195" i="5"/>
  <c r="BA195" i="5"/>
  <c r="BB170" i="5"/>
  <c r="BA170" i="5"/>
  <c r="BB164" i="5"/>
  <c r="BA164" i="5"/>
  <c r="BA114" i="5"/>
  <c r="BB114" i="5"/>
  <c r="BB130" i="5"/>
  <c r="BA130" i="5"/>
  <c r="BA120" i="5"/>
  <c r="BB120" i="5"/>
  <c r="BA84" i="5"/>
  <c r="BB84" i="5"/>
  <c r="BA83" i="5"/>
  <c r="BB83" i="5"/>
  <c r="BA54" i="5"/>
  <c r="BB54" i="5"/>
  <c r="BA45" i="5"/>
  <c r="BB45" i="5"/>
  <c r="BA48" i="5"/>
  <c r="BB48" i="5"/>
  <c r="BB513" i="5"/>
  <c r="BA513" i="5"/>
  <c r="BB474" i="5"/>
  <c r="BA474" i="5"/>
  <c r="BB536" i="5"/>
  <c r="BA536" i="5"/>
  <c r="BA266" i="5"/>
  <c r="BB266" i="5"/>
  <c r="BA462" i="5"/>
  <c r="BB462" i="5"/>
  <c r="BB422" i="5"/>
  <c r="BA422" i="5"/>
  <c r="BB467" i="5"/>
  <c r="BA467" i="5"/>
  <c r="BB507" i="5"/>
  <c r="BA507" i="5"/>
  <c r="BB552" i="5"/>
  <c r="BA552" i="5"/>
  <c r="BB519" i="5"/>
  <c r="BA519" i="5"/>
  <c r="BB300" i="5"/>
  <c r="BA300" i="5"/>
  <c r="BB556" i="5"/>
  <c r="BA556" i="5"/>
  <c r="BA508" i="5"/>
  <c r="BB508" i="5"/>
  <c r="BA401" i="5"/>
  <c r="BB401" i="5"/>
  <c r="BA390" i="5"/>
  <c r="BB390" i="5"/>
  <c r="BB309" i="5"/>
  <c r="BA309" i="5"/>
  <c r="BA181" i="5"/>
  <c r="BB181" i="5"/>
  <c r="BA179" i="5"/>
  <c r="BB179" i="5"/>
  <c r="BA106" i="5"/>
  <c r="BB106" i="5"/>
  <c r="BB28" i="5"/>
  <c r="BA28" i="5"/>
  <c r="BA319" i="5"/>
  <c r="BB319" i="5"/>
  <c r="BB248" i="5"/>
  <c r="BA248" i="5"/>
  <c r="BA235" i="5"/>
  <c r="BB235" i="5"/>
  <c r="BB80" i="5"/>
  <c r="BA80" i="5"/>
  <c r="BB93" i="5"/>
  <c r="BA93" i="5"/>
  <c r="BB23" i="5"/>
  <c r="BA23" i="5"/>
  <c r="BA258" i="5"/>
  <c r="BB258" i="5"/>
  <c r="BB227" i="5"/>
  <c r="BA227" i="5"/>
  <c r="BB207" i="5"/>
  <c r="BA207" i="5"/>
  <c r="BB246" i="5"/>
  <c r="BA246" i="5"/>
  <c r="BB261" i="5"/>
  <c r="BA261" i="5"/>
  <c r="BA491" i="5"/>
  <c r="BB491" i="5"/>
  <c r="BB424" i="5"/>
  <c r="BA424" i="5"/>
  <c r="BB559" i="5"/>
  <c r="BA559" i="5"/>
  <c r="BB503" i="5"/>
  <c r="BA503" i="5"/>
  <c r="BA397" i="5"/>
  <c r="BB397" i="5"/>
  <c r="BA546" i="5"/>
  <c r="BB546" i="5"/>
  <c r="BA375" i="5"/>
  <c r="BB375" i="5"/>
  <c r="BA430" i="5"/>
  <c r="BB430" i="5"/>
  <c r="BA19" i="5"/>
  <c r="BB19" i="5"/>
  <c r="BA526" i="5"/>
  <c r="BB526" i="5"/>
  <c r="BA373" i="5"/>
  <c r="BB373" i="5"/>
  <c r="BB388" i="5"/>
  <c r="BA388" i="5"/>
  <c r="BB525" i="5"/>
  <c r="BA525" i="5"/>
  <c r="BA541" i="5"/>
  <c r="BB541" i="5"/>
  <c r="BB459" i="5"/>
  <c r="BA459" i="5"/>
  <c r="BB534" i="5"/>
  <c r="BA534" i="5"/>
  <c r="BB448" i="5"/>
  <c r="BA448" i="5"/>
  <c r="BB351" i="5"/>
  <c r="BA351" i="5"/>
  <c r="BB489" i="5"/>
  <c r="BA489" i="5"/>
  <c r="BB436" i="5"/>
  <c r="BA436" i="5"/>
  <c r="BB492" i="5"/>
  <c r="BA492" i="5"/>
  <c r="BB429" i="5"/>
  <c r="BA429" i="5"/>
  <c r="BB382" i="5"/>
  <c r="BA382" i="5"/>
  <c r="BA398" i="5"/>
  <c r="BB398" i="5"/>
  <c r="BA439" i="5"/>
  <c r="BB439" i="5"/>
  <c r="BA515" i="5"/>
  <c r="BB515" i="5"/>
  <c r="BB539" i="5"/>
  <c r="BA539" i="5"/>
  <c r="BA452" i="5"/>
  <c r="BB452" i="5"/>
  <c r="BA533" i="5"/>
  <c r="BB533" i="5"/>
  <c r="BA445" i="5"/>
  <c r="BB445" i="5"/>
  <c r="BA339" i="5"/>
  <c r="BB339" i="5"/>
  <c r="BA488" i="5"/>
  <c r="BB488" i="5"/>
  <c r="BA431" i="5"/>
  <c r="BB431" i="5"/>
  <c r="BA484" i="5"/>
  <c r="BB484" i="5"/>
  <c r="BB428" i="5"/>
  <c r="BA428" i="5"/>
  <c r="BB381" i="5"/>
  <c r="BA381" i="5"/>
  <c r="BA395" i="5"/>
  <c r="BB395" i="5"/>
  <c r="BA432" i="5"/>
  <c r="BB432" i="5"/>
  <c r="BA504" i="5"/>
  <c r="BB504" i="5"/>
  <c r="BA535" i="5"/>
  <c r="BB535" i="5"/>
  <c r="BA423" i="5"/>
  <c r="BB423" i="5"/>
  <c r="BA527" i="5"/>
  <c r="BB527" i="5"/>
  <c r="BA442" i="5"/>
  <c r="BB442" i="5"/>
  <c r="BA335" i="5"/>
  <c r="BB335" i="5"/>
  <c r="BA487" i="5"/>
  <c r="BB487" i="5"/>
  <c r="BB418" i="5"/>
  <c r="BA418" i="5"/>
  <c r="BA482" i="5"/>
  <c r="BB482" i="5"/>
  <c r="BA385" i="5"/>
  <c r="BB385" i="5"/>
  <c r="BA376" i="5"/>
  <c r="BB376" i="5"/>
  <c r="BA394" i="5"/>
  <c r="BB394" i="5"/>
  <c r="BA426" i="5"/>
  <c r="BB426" i="5"/>
  <c r="BA365" i="5"/>
  <c r="BB365" i="5"/>
  <c r="BA212" i="5"/>
  <c r="BB212" i="5"/>
  <c r="BB292" i="5"/>
  <c r="BA292" i="5"/>
  <c r="BB190" i="5"/>
  <c r="BA190" i="5"/>
  <c r="BA275" i="5"/>
  <c r="BB275" i="5"/>
  <c r="BA326" i="5"/>
  <c r="BB326" i="5"/>
  <c r="BB247" i="5"/>
  <c r="BA247" i="5"/>
  <c r="BB209" i="5"/>
  <c r="BA209" i="5"/>
  <c r="BB215" i="5"/>
  <c r="BA215" i="5"/>
  <c r="BB210" i="5"/>
  <c r="BA210" i="5"/>
  <c r="BA184" i="5"/>
  <c r="BB184" i="5"/>
  <c r="BA174" i="5"/>
  <c r="BB174" i="5"/>
  <c r="BB129" i="5"/>
  <c r="BA129" i="5"/>
  <c r="BB136" i="5"/>
  <c r="BA136" i="5"/>
  <c r="BA128" i="5"/>
  <c r="BB128" i="5"/>
  <c r="BA92" i="5"/>
  <c r="BB92" i="5"/>
  <c r="BA67" i="5"/>
  <c r="BB67" i="5"/>
  <c r="BB62" i="5"/>
  <c r="BA62" i="5"/>
  <c r="BA69" i="5"/>
  <c r="BB69" i="5"/>
  <c r="BA30" i="5"/>
  <c r="BB30" i="5"/>
  <c r="BB419" i="5"/>
  <c r="BA419" i="5"/>
  <c r="BB363" i="5"/>
  <c r="BA363" i="5"/>
  <c r="BB355" i="5"/>
  <c r="BA355" i="5"/>
  <c r="BA289" i="5"/>
  <c r="BB289" i="5"/>
  <c r="BB332" i="5"/>
  <c r="BA332" i="5"/>
  <c r="BA268" i="5"/>
  <c r="BB268" i="5"/>
  <c r="BA321" i="5"/>
  <c r="BB321" i="5"/>
  <c r="BB243" i="5"/>
  <c r="BA243" i="5"/>
  <c r="BB206" i="5"/>
  <c r="BA206" i="5"/>
  <c r="BB202" i="5"/>
  <c r="BA202" i="5"/>
  <c r="BB204" i="5"/>
  <c r="BA204" i="5"/>
  <c r="BA182" i="5"/>
  <c r="BB182" i="5"/>
  <c r="BB168" i="5"/>
  <c r="BA168" i="5"/>
  <c r="BB123" i="5"/>
  <c r="BA123" i="5"/>
  <c r="BB134" i="5"/>
  <c r="BA134" i="5"/>
  <c r="BA126" i="5"/>
  <c r="BB126" i="5"/>
  <c r="BB90" i="5"/>
  <c r="BA90" i="5"/>
  <c r="BA91" i="5"/>
  <c r="BB91" i="5"/>
  <c r="BB57" i="5"/>
  <c r="BA57" i="5"/>
  <c r="BB63" i="5"/>
  <c r="BA63" i="5"/>
  <c r="BB29" i="5"/>
  <c r="BA29" i="5"/>
  <c r="BB416" i="5"/>
  <c r="BA416" i="5"/>
  <c r="BB359" i="5"/>
  <c r="BA359" i="5"/>
  <c r="BA353" i="5"/>
  <c r="BB353" i="5"/>
  <c r="BA286" i="5"/>
  <c r="BB286" i="5"/>
  <c r="BA324" i="5"/>
  <c r="BB324" i="5"/>
  <c r="BA265" i="5"/>
  <c r="BB265" i="5"/>
  <c r="BA317" i="5"/>
  <c r="BB317" i="5"/>
  <c r="BB236" i="5"/>
  <c r="BA236" i="5"/>
  <c r="BA201" i="5"/>
  <c r="BB201" i="5"/>
  <c r="BB199" i="5"/>
  <c r="BA199" i="5"/>
  <c r="BB203" i="5"/>
  <c r="BA203" i="5"/>
  <c r="BB171" i="5"/>
  <c r="BA171" i="5"/>
  <c r="BB166" i="5"/>
  <c r="BA166" i="5"/>
  <c r="BA121" i="5"/>
  <c r="BB121" i="5"/>
  <c r="BB132" i="5"/>
  <c r="BA132" i="5"/>
  <c r="BB125" i="5"/>
  <c r="BA125" i="5"/>
  <c r="BA89" i="5"/>
  <c r="BB89" i="5"/>
  <c r="BA88" i="5"/>
  <c r="BB88" i="5"/>
  <c r="BB56" i="5"/>
  <c r="BA56" i="5"/>
  <c r="BA52" i="5"/>
  <c r="BB52" i="5"/>
  <c r="BB20" i="5"/>
  <c r="BA20" i="5"/>
  <c r="BB341" i="5"/>
  <c r="BA341" i="5"/>
  <c r="BA392" i="5"/>
  <c r="BB392" i="5"/>
  <c r="BB345" i="5"/>
  <c r="BA345" i="5"/>
  <c r="BB328" i="5"/>
  <c r="BA328" i="5"/>
  <c r="BA270" i="5"/>
  <c r="BB270" i="5"/>
  <c r="BB312" i="5"/>
  <c r="BA312" i="5"/>
  <c r="BB251" i="5"/>
  <c r="BA251" i="5"/>
  <c r="BB294" i="5"/>
  <c r="BA294" i="5"/>
  <c r="BA241" i="5"/>
  <c r="BB241" i="5"/>
  <c r="BA187" i="5"/>
  <c r="BB187" i="5"/>
  <c r="BA240" i="5"/>
  <c r="BB240" i="5"/>
  <c r="BB148" i="5"/>
  <c r="BA148" i="5"/>
  <c r="BA183" i="5"/>
  <c r="BB183" i="5"/>
  <c r="BA155" i="5"/>
  <c r="BB155" i="5"/>
  <c r="BA102" i="5"/>
  <c r="BB102" i="5"/>
  <c r="BA115" i="5"/>
  <c r="BB115" i="5"/>
  <c r="BA111" i="5"/>
  <c r="BB111" i="5"/>
  <c r="BA99" i="5"/>
  <c r="BB99" i="5"/>
  <c r="BA58" i="5"/>
  <c r="BB58" i="5"/>
  <c r="BB36" i="5"/>
  <c r="BA36" i="5"/>
  <c r="BB32" i="5"/>
  <c r="BA32" i="5"/>
  <c r="BA26" i="5"/>
  <c r="BB26" i="5"/>
  <c r="BA323" i="5"/>
  <c r="BB323" i="5"/>
  <c r="BA472" i="5"/>
  <c r="BB472" i="5"/>
  <c r="BA348" i="5"/>
  <c r="BB348" i="5"/>
  <c r="BA400" i="5"/>
  <c r="BB400" i="5"/>
  <c r="BB352" i="5"/>
  <c r="BA352" i="5"/>
  <c r="BB457" i="5"/>
  <c r="BA457" i="5"/>
  <c r="BB490" i="5"/>
  <c r="BA490" i="5"/>
  <c r="BB455" i="5"/>
  <c r="BA455" i="5"/>
  <c r="BB405" i="5"/>
  <c r="BA405" i="5"/>
  <c r="BB358" i="5"/>
  <c r="BA358" i="5"/>
  <c r="BA369" i="5"/>
  <c r="BB369" i="5"/>
  <c r="BA485" i="5"/>
  <c r="BB485" i="5"/>
  <c r="BA509" i="5"/>
  <c r="BB509" i="5"/>
  <c r="BA465" i="5"/>
  <c r="BB465" i="5"/>
  <c r="BB354" i="5"/>
  <c r="BA354" i="5"/>
  <c r="BA383" i="5"/>
  <c r="BB383" i="5"/>
  <c r="BA483" i="5"/>
  <c r="BB483" i="5"/>
  <c r="BA451" i="5"/>
  <c r="BB451" i="5"/>
  <c r="BA461" i="5"/>
  <c r="BB461" i="5"/>
  <c r="BB349" i="5"/>
  <c r="BA349" i="5"/>
  <c r="BA325" i="5"/>
  <c r="BB325" i="5"/>
  <c r="BB249" i="5"/>
  <c r="BA249" i="5"/>
  <c r="BB290" i="5"/>
  <c r="BA290" i="5"/>
  <c r="BB238" i="5"/>
  <c r="BA238" i="5"/>
  <c r="BB154" i="5"/>
  <c r="BA154" i="5"/>
  <c r="BA87" i="5"/>
  <c r="BB87" i="5"/>
  <c r="BA77" i="5"/>
  <c r="BB77" i="5"/>
  <c r="BB25" i="5"/>
  <c r="BA25" i="5"/>
  <c r="BB337" i="5"/>
  <c r="BA337" i="5"/>
  <c r="BA306" i="5"/>
  <c r="BB306" i="5"/>
  <c r="BB229" i="5"/>
  <c r="BA229" i="5"/>
  <c r="BB124" i="5"/>
  <c r="BA124" i="5"/>
  <c r="BA178" i="5"/>
  <c r="BB178" i="5"/>
  <c r="BB161" i="5"/>
  <c r="BA161" i="5"/>
  <c r="BB76" i="5"/>
  <c r="BA76" i="5"/>
  <c r="BB24" i="5"/>
  <c r="BA24" i="5"/>
  <c r="BB327" i="5"/>
  <c r="BA327" i="5"/>
  <c r="BA301" i="5"/>
  <c r="BB301" i="5"/>
  <c r="BB278" i="5"/>
  <c r="BA278" i="5"/>
  <c r="BB228" i="5"/>
  <c r="BA228" i="5"/>
  <c r="BB150" i="5"/>
  <c r="BA150" i="5"/>
  <c r="BB158" i="5"/>
  <c r="BA158" i="5"/>
  <c r="BB85" i="5"/>
  <c r="BA85" i="5"/>
  <c r="BA213" i="5"/>
  <c r="BB213" i="5"/>
  <c r="BA468" i="5"/>
  <c r="BB468" i="5"/>
  <c r="BB463" i="5"/>
  <c r="BA463" i="5"/>
  <c r="BA537" i="5"/>
  <c r="BB537" i="5"/>
  <c r="BB470" i="5"/>
  <c r="BA470" i="5"/>
  <c r="BB544" i="5"/>
  <c r="BA544" i="5"/>
  <c r="BB450" i="5"/>
  <c r="BA450" i="5"/>
  <c r="BA259" i="5"/>
  <c r="BB259" i="5"/>
  <c r="BA524" i="5"/>
  <c r="BB524" i="5"/>
  <c r="BB493" i="5"/>
  <c r="BA493" i="5"/>
  <c r="BA386" i="5"/>
  <c r="BB386" i="5"/>
  <c r="BB498" i="5"/>
  <c r="BA498" i="5"/>
  <c r="BB437" i="5"/>
  <c r="BA437" i="5"/>
  <c r="BA480" i="5"/>
  <c r="BB480" i="5"/>
  <c r="BB553" i="5"/>
  <c r="BA553" i="5"/>
  <c r="BA486" i="5"/>
  <c r="BB486" i="5"/>
  <c r="BB528" i="5"/>
  <c r="BA528" i="5"/>
  <c r="BB291" i="5"/>
  <c r="BA291" i="5"/>
  <c r="BA517" i="5"/>
  <c r="BB517" i="5"/>
  <c r="BA435" i="5"/>
  <c r="BB435" i="5"/>
  <c r="BA521" i="5"/>
  <c r="BB521" i="5"/>
  <c r="BB473" i="5"/>
  <c r="BA473" i="5"/>
  <c r="BA367" i="5"/>
  <c r="BB367" i="5"/>
  <c r="BA479" i="5"/>
  <c r="BB479" i="5"/>
  <c r="BB338" i="5"/>
  <c r="BA338" i="5"/>
  <c r="BA368" i="5"/>
  <c r="BB368" i="5"/>
  <c r="BA378" i="5"/>
  <c r="BB378" i="5"/>
  <c r="BB545" i="5"/>
  <c r="BA545" i="5"/>
  <c r="BB478" i="5"/>
  <c r="BA478" i="5"/>
  <c r="BA522" i="5"/>
  <c r="BB522" i="5"/>
  <c r="BA285" i="5"/>
  <c r="BB285" i="5"/>
  <c r="BB501" i="5"/>
  <c r="BA501" i="5"/>
  <c r="BB433" i="5"/>
  <c r="BA433" i="5"/>
  <c r="BB520" i="5"/>
  <c r="BA520" i="5"/>
  <c r="BB469" i="5"/>
  <c r="BA469" i="5"/>
  <c r="BA361" i="5"/>
  <c r="BB361" i="5"/>
  <c r="BB477" i="5"/>
  <c r="BA477" i="5"/>
  <c r="BB410" i="5"/>
  <c r="BA410" i="5"/>
  <c r="BB362" i="5"/>
  <c r="BA362" i="5"/>
  <c r="BA374" i="5"/>
  <c r="BB374" i="5"/>
  <c r="BB543" i="5"/>
  <c r="BA543" i="5"/>
  <c r="BB475" i="5"/>
  <c r="BA475" i="5"/>
  <c r="BA516" i="5"/>
  <c r="BB516" i="5"/>
  <c r="BB279" i="5"/>
  <c r="BA279" i="5"/>
  <c r="BB496" i="5"/>
  <c r="BA496" i="5"/>
  <c r="BA425" i="5"/>
  <c r="BB425" i="5"/>
  <c r="BB518" i="5"/>
  <c r="BA518" i="5"/>
  <c r="BA466" i="5"/>
  <c r="BB466" i="5"/>
  <c r="BB288" i="5"/>
  <c r="BA288" i="5"/>
  <c r="BA476" i="5"/>
  <c r="BB476" i="5"/>
  <c r="BA409" i="5"/>
  <c r="BB409" i="5"/>
  <c r="BB343" i="5"/>
  <c r="BA343" i="5"/>
  <c r="BA366" i="5"/>
  <c r="BB366" i="5"/>
  <c r="BA412" i="5"/>
  <c r="BB412" i="5"/>
  <c r="BA356" i="5"/>
  <c r="BB356" i="5"/>
  <c r="BA340" i="5"/>
  <c r="BB340" i="5"/>
  <c r="BA277" i="5"/>
  <c r="BB277" i="5"/>
  <c r="BB320" i="5"/>
  <c r="BA320" i="5"/>
  <c r="BB257" i="5"/>
  <c r="BA257" i="5"/>
  <c r="BB305" i="5"/>
  <c r="BA305" i="5"/>
  <c r="BA211" i="5"/>
  <c r="BB211" i="5"/>
  <c r="BA193" i="5"/>
  <c r="BB193" i="5"/>
  <c r="BA167" i="5"/>
  <c r="BB167" i="5"/>
  <c r="BA194" i="5"/>
  <c r="BB194" i="5"/>
  <c r="BA165" i="5"/>
  <c r="BB165" i="5"/>
  <c r="BA159" i="5"/>
  <c r="BB159" i="5"/>
  <c r="BA110" i="5"/>
  <c r="BB110" i="5"/>
  <c r="BA127" i="5"/>
  <c r="BB127" i="5"/>
  <c r="BA118" i="5"/>
  <c r="BB118" i="5"/>
  <c r="BA109" i="5"/>
  <c r="BB109" i="5"/>
  <c r="BA74" i="5"/>
  <c r="BB74" i="5"/>
  <c r="BA50" i="5"/>
  <c r="BB50" i="5"/>
  <c r="BA42" i="5"/>
  <c r="BB42" i="5"/>
  <c r="BA43" i="5"/>
  <c r="BB43" i="5"/>
  <c r="BA408" i="5"/>
  <c r="BB408" i="5"/>
  <c r="BA350" i="5"/>
  <c r="BB350" i="5"/>
  <c r="BB334" i="5"/>
  <c r="BA334" i="5"/>
  <c r="BB276" i="5"/>
  <c r="BA276" i="5"/>
  <c r="BA315" i="5"/>
  <c r="BB315" i="5"/>
  <c r="BB255" i="5"/>
  <c r="BA255" i="5"/>
  <c r="BA302" i="5"/>
  <c r="BB302" i="5"/>
  <c r="BA208" i="5"/>
  <c r="BB208" i="5"/>
  <c r="BA192" i="5"/>
  <c r="BB192" i="5"/>
  <c r="BA244" i="5"/>
  <c r="BB244" i="5"/>
  <c r="BA162" i="5"/>
  <c r="BB162" i="5"/>
  <c r="BB137" i="5"/>
  <c r="BA137" i="5"/>
  <c r="BA139" i="5"/>
  <c r="BB139" i="5"/>
  <c r="BA108" i="5"/>
  <c r="BB108" i="5"/>
  <c r="BB122" i="5"/>
  <c r="BA122" i="5"/>
  <c r="BB117" i="5"/>
  <c r="BA117" i="5"/>
  <c r="BB104" i="5"/>
  <c r="BA104" i="5"/>
  <c r="BB73" i="5"/>
  <c r="BA73" i="5"/>
  <c r="BB49" i="5"/>
  <c r="BA49" i="5"/>
  <c r="BB39" i="5"/>
  <c r="BA39" i="5"/>
  <c r="BA399" i="5"/>
  <c r="BB399" i="5"/>
  <c r="BA346" i="5"/>
  <c r="BB346" i="5"/>
  <c r="BA333" i="5"/>
  <c r="BB333" i="5"/>
  <c r="BB273" i="5"/>
  <c r="BA273" i="5"/>
  <c r="BB314" i="5"/>
  <c r="BA314" i="5"/>
  <c r="BA254" i="5"/>
  <c r="BB254" i="5"/>
  <c r="BB298" i="5"/>
  <c r="BA298" i="5"/>
  <c r="BB163" i="5"/>
  <c r="BA163" i="5"/>
  <c r="BA189" i="5"/>
  <c r="BB189" i="5"/>
  <c r="BA242" i="5"/>
  <c r="BB242" i="5"/>
  <c r="BB160" i="5"/>
  <c r="BA160" i="5"/>
  <c r="BB119" i="5"/>
  <c r="BA119" i="5"/>
  <c r="BA113" i="5"/>
  <c r="BB113" i="5"/>
  <c r="BB105" i="5"/>
  <c r="BA105" i="5"/>
  <c r="BA116" i="5"/>
  <c r="BB116" i="5"/>
  <c r="BA112" i="5"/>
  <c r="BB112" i="5"/>
  <c r="BB101" i="5"/>
  <c r="BA101" i="5"/>
  <c r="BB68" i="5"/>
  <c r="BA68" i="5"/>
  <c r="BA47" i="5"/>
  <c r="BB47" i="5"/>
  <c r="BA35" i="5"/>
  <c r="BB35" i="5"/>
  <c r="BA31" i="5"/>
  <c r="BB31" i="5"/>
  <c r="BA271" i="5"/>
  <c r="BB271" i="5"/>
  <c r="BA380" i="5"/>
  <c r="BB380" i="5"/>
  <c r="BA313" i="5"/>
  <c r="BB313" i="5"/>
  <c r="BB311" i="5"/>
  <c r="BA311" i="5"/>
  <c r="BB252" i="5"/>
  <c r="BA252" i="5"/>
  <c r="BB295" i="5"/>
  <c r="BA295" i="5"/>
  <c r="BA225" i="5"/>
  <c r="BB225" i="5"/>
  <c r="BA272" i="5"/>
  <c r="BB272" i="5"/>
  <c r="BB224" i="5"/>
  <c r="BA224" i="5"/>
  <c r="BA169" i="5"/>
  <c r="BB169" i="5"/>
  <c r="BA226" i="5"/>
  <c r="BB226" i="5"/>
  <c r="BB205" i="5"/>
  <c r="BA205" i="5"/>
  <c r="BA156" i="5"/>
  <c r="BB156" i="5"/>
  <c r="BB147" i="5"/>
  <c r="BA147" i="5"/>
  <c r="BB157" i="5"/>
  <c r="BA157" i="5"/>
  <c r="BA152" i="5"/>
  <c r="BB152" i="5"/>
  <c r="BB107" i="5"/>
  <c r="BA107" i="5"/>
  <c r="BB81" i="5"/>
  <c r="BA81" i="5"/>
  <c r="BB40" i="5"/>
  <c r="BA40" i="5"/>
  <c r="BB59" i="5"/>
  <c r="BA59" i="5"/>
  <c r="BB46" i="5"/>
  <c r="BA46" i="5"/>
  <c r="BD12" i="5"/>
  <c r="BE12" i="5"/>
  <c r="B49" i="2"/>
  <c r="B71" i="5" s="1"/>
  <c r="H21" i="1"/>
  <c r="I24" i="1"/>
  <c r="I23" i="1"/>
  <c r="K27" i="2"/>
  <c r="B247" i="2" l="1"/>
  <c r="AD12" i="5"/>
  <c r="AE12" i="5"/>
  <c r="BG37" i="5"/>
  <c r="BH37" i="5"/>
  <c r="BG78" i="5"/>
  <c r="BG222" i="5"/>
  <c r="BH55" i="5"/>
  <c r="BH195" i="5"/>
  <c r="BG98" i="5"/>
  <c r="BH114" i="5"/>
  <c r="BA12" i="5"/>
  <c r="BH237" i="5"/>
  <c r="BH127" i="5"/>
  <c r="BH198" i="5"/>
  <c r="BH133" i="5"/>
  <c r="BG100" i="5"/>
  <c r="BH53" i="5"/>
  <c r="BG287" i="5"/>
  <c r="BF12" i="5"/>
  <c r="BH12" i="5" s="1"/>
  <c r="AY12" i="5"/>
  <c r="BH7" i="5"/>
  <c r="BH48" i="5"/>
  <c r="BG59" i="5"/>
  <c r="BG35" i="5"/>
  <c r="BH82" i="5"/>
  <c r="BG86" i="5"/>
  <c r="BH462" i="5"/>
  <c r="BG214" i="5"/>
  <c r="BG264" i="5"/>
  <c r="BG560" i="5"/>
  <c r="BH22" i="5"/>
  <c r="BH144" i="5"/>
  <c r="BH219" i="5"/>
  <c r="BH45" i="5"/>
  <c r="BH316" i="5"/>
  <c r="BH83" i="5"/>
  <c r="BG269" i="5"/>
  <c r="BG180" i="5"/>
  <c r="BH38" i="5"/>
  <c r="BH51" i="5"/>
  <c r="BH537" i="5"/>
  <c r="BG130" i="5"/>
  <c r="BG164" i="5"/>
  <c r="BG315" i="5"/>
  <c r="BG305" i="5"/>
  <c r="BG262" i="5"/>
  <c r="BH299" i="5"/>
  <c r="BH27" i="5"/>
  <c r="BG64" i="5"/>
  <c r="BH44" i="5"/>
  <c r="BH283" i="5"/>
  <c r="BG112" i="5"/>
  <c r="BG223" i="5"/>
  <c r="BH41" i="5"/>
  <c r="BG191" i="5"/>
  <c r="BH296" i="5"/>
  <c r="BH8" i="5"/>
  <c r="BG352" i="5"/>
  <c r="BH230" i="5"/>
  <c r="BH156" i="5"/>
  <c r="BG156" i="5"/>
  <c r="BH208" i="5"/>
  <c r="BG208" i="5"/>
  <c r="BH103" i="5"/>
  <c r="BH246" i="5"/>
  <c r="BH533" i="5"/>
  <c r="BG263" i="5"/>
  <c r="BH68" i="5"/>
  <c r="BG68" i="5"/>
  <c r="BH476" i="5"/>
  <c r="BG476" i="5"/>
  <c r="BH81" i="5"/>
  <c r="BG81" i="5"/>
  <c r="BH31" i="5"/>
  <c r="BG31" i="5"/>
  <c r="BH290" i="5"/>
  <c r="BG290" i="5"/>
  <c r="BG295" i="5"/>
  <c r="BH295" i="5"/>
  <c r="BG346" i="5"/>
  <c r="BH346" i="5"/>
  <c r="BH235" i="5"/>
  <c r="BG235" i="5"/>
  <c r="BG284" i="5"/>
  <c r="BH284" i="5"/>
  <c r="BH559" i="5"/>
  <c r="BG559" i="5"/>
  <c r="BG183" i="5"/>
  <c r="BH183" i="5"/>
  <c r="BG159" i="5"/>
  <c r="BH159" i="5"/>
  <c r="BH119" i="5"/>
  <c r="BG158" i="5"/>
  <c r="BH453" i="5"/>
  <c r="BG66" i="5"/>
  <c r="BG369" i="5"/>
  <c r="BH306" i="5"/>
  <c r="BH236" i="5"/>
  <c r="BG470" i="5"/>
  <c r="BG387" i="5"/>
  <c r="BH387" i="5"/>
  <c r="BG487" i="5"/>
  <c r="BH487" i="5"/>
  <c r="BG209" i="5"/>
  <c r="BH209" i="5"/>
  <c r="BH298" i="5"/>
  <c r="BG298" i="5"/>
  <c r="BG437" i="5"/>
  <c r="BH437" i="5"/>
  <c r="BG213" i="5"/>
  <c r="BH213" i="5"/>
  <c r="BG206" i="5"/>
  <c r="BH206" i="5"/>
  <c r="BH211" i="5"/>
  <c r="BG211" i="5"/>
  <c r="BG152" i="5"/>
  <c r="BH152" i="5"/>
  <c r="BH225" i="5"/>
  <c r="BG225" i="5"/>
  <c r="BG101" i="5"/>
  <c r="BH101" i="5"/>
  <c r="BH273" i="5"/>
  <c r="BG273" i="5"/>
  <c r="BG360" i="5"/>
  <c r="BH360" i="5"/>
  <c r="BH92" i="5"/>
  <c r="BG92" i="5"/>
  <c r="BH52" i="5"/>
  <c r="BG52" i="5"/>
  <c r="BH189" i="5"/>
  <c r="BG189" i="5"/>
  <c r="BH30" i="5"/>
  <c r="BG30" i="5"/>
  <c r="BG24" i="5"/>
  <c r="BH24" i="5"/>
  <c r="BG39" i="5"/>
  <c r="BH39" i="5"/>
  <c r="BH268" i="5"/>
  <c r="BG268" i="5"/>
  <c r="BG60" i="5"/>
  <c r="BH60" i="5"/>
  <c r="BH241" i="5"/>
  <c r="BG241" i="5"/>
  <c r="BG169" i="5"/>
  <c r="BH169" i="5"/>
  <c r="BH131" i="5"/>
  <c r="BG131" i="5"/>
  <c r="BG238" i="5"/>
  <c r="BH238" i="5"/>
  <c r="BG116" i="5"/>
  <c r="BH116" i="5"/>
  <c r="BH227" i="5"/>
  <c r="BG227" i="5"/>
  <c r="BH313" i="5"/>
  <c r="BG313" i="5"/>
  <c r="BG172" i="5"/>
  <c r="BH172" i="5"/>
  <c r="BH324" i="5"/>
  <c r="BG324" i="5"/>
  <c r="BG148" i="5"/>
  <c r="BH148" i="5"/>
  <c r="BG178" i="5"/>
  <c r="BH178" i="5"/>
  <c r="BH29" i="5"/>
  <c r="BG29" i="5"/>
  <c r="BG109" i="5"/>
  <c r="BH109" i="5"/>
  <c r="BH240" i="5"/>
  <c r="BG240" i="5"/>
  <c r="BG26" i="5"/>
  <c r="BH26" i="5"/>
  <c r="BH351" i="5"/>
  <c r="BG351" i="5"/>
  <c r="BG132" i="5"/>
  <c r="BH132" i="5"/>
  <c r="BH150" i="5"/>
  <c r="BG150" i="5"/>
  <c r="BG424" i="5"/>
  <c r="BH424" i="5"/>
  <c r="BG147" i="5"/>
  <c r="BH147" i="5"/>
  <c r="BH117" i="5"/>
  <c r="BG117" i="5"/>
  <c r="BG139" i="5"/>
  <c r="BH139" i="5"/>
  <c r="BH401" i="5"/>
  <c r="BG401" i="5"/>
  <c r="BH190" i="5"/>
  <c r="BG190" i="5"/>
  <c r="BG363" i="5"/>
  <c r="BH363" i="5"/>
  <c r="BH255" i="5"/>
  <c r="BG255" i="5"/>
  <c r="BH332" i="5"/>
  <c r="BG332" i="5"/>
  <c r="BG19" i="5"/>
  <c r="BH19" i="5"/>
  <c r="BG276" i="5"/>
  <c r="BH276" i="5"/>
  <c r="BG546" i="5"/>
  <c r="BH546" i="5"/>
  <c r="BH73" i="5"/>
  <c r="BG73" i="5"/>
  <c r="BG251" i="5"/>
  <c r="BH251" i="5"/>
  <c r="BG450" i="5"/>
  <c r="BH450" i="5"/>
  <c r="BG553" i="5"/>
  <c r="BH553" i="5"/>
  <c r="BH309" i="5"/>
  <c r="BG309" i="5"/>
  <c r="BH545" i="5"/>
  <c r="BG545" i="5"/>
  <c r="BH465" i="5"/>
  <c r="BG465" i="5"/>
  <c r="BG288" i="5"/>
  <c r="BH288" i="5"/>
  <c r="BH232" i="5"/>
  <c r="BG232" i="5"/>
  <c r="BG137" i="5"/>
  <c r="BH137" i="5"/>
  <c r="BH76" i="5"/>
  <c r="BG76" i="5"/>
  <c r="BG274" i="5"/>
  <c r="BH274" i="5"/>
  <c r="BG105" i="5"/>
  <c r="BH105" i="5"/>
  <c r="BH326" i="5"/>
  <c r="BG326" i="5"/>
  <c r="BH121" i="5"/>
  <c r="BG121" i="5"/>
  <c r="BH201" i="5"/>
  <c r="BG201" i="5"/>
  <c r="BG111" i="5"/>
  <c r="BH111" i="5"/>
  <c r="BH110" i="5"/>
  <c r="BG110" i="5"/>
  <c r="BH184" i="5"/>
  <c r="BG184" i="5"/>
  <c r="BH157" i="5"/>
  <c r="BG157" i="5"/>
  <c r="BH202" i="5"/>
  <c r="BG202" i="5"/>
  <c r="BH199" i="5"/>
  <c r="BG199" i="5"/>
  <c r="BG154" i="5"/>
  <c r="BH154" i="5"/>
  <c r="BH243" i="5"/>
  <c r="BG243" i="5"/>
  <c r="BH317" i="5"/>
  <c r="BG317" i="5"/>
  <c r="BG126" i="5"/>
  <c r="BH126" i="5"/>
  <c r="BG412" i="5"/>
  <c r="BH412" i="5"/>
  <c r="BG289" i="5"/>
  <c r="BH289" i="5"/>
  <c r="BG136" i="5"/>
  <c r="BH136" i="5"/>
  <c r="BH411" i="5"/>
  <c r="BG411" i="5"/>
  <c r="BG160" i="5"/>
  <c r="BH160" i="5"/>
  <c r="BG279" i="5"/>
  <c r="BH279" i="5"/>
  <c r="BH194" i="5"/>
  <c r="BG194" i="5"/>
  <c r="BG212" i="5"/>
  <c r="BH212" i="5"/>
  <c r="BH91" i="5"/>
  <c r="BG91" i="5"/>
  <c r="BG414" i="5"/>
  <c r="BH414" i="5"/>
  <c r="BG501" i="5"/>
  <c r="BH501" i="5"/>
  <c r="BG477" i="5"/>
  <c r="BH477" i="5"/>
  <c r="BG432" i="5"/>
  <c r="BH432" i="5"/>
  <c r="BG108" i="5"/>
  <c r="BH108" i="5"/>
  <c r="BG89" i="5"/>
  <c r="BH89" i="5"/>
  <c r="BH314" i="5"/>
  <c r="BG314" i="5"/>
  <c r="BH74" i="5"/>
  <c r="BG74" i="5"/>
  <c r="BH323" i="5"/>
  <c r="BG323" i="5"/>
  <c r="BG32" i="5"/>
  <c r="BH32" i="5"/>
  <c r="BH134" i="5"/>
  <c r="BG134" i="5"/>
  <c r="BH261" i="5"/>
  <c r="BG261" i="5"/>
  <c r="BG532" i="5"/>
  <c r="BH532" i="5"/>
  <c r="BH478" i="5"/>
  <c r="BG478" i="5"/>
  <c r="BG392" i="5"/>
  <c r="BH392" i="5"/>
  <c r="BG242" i="5"/>
  <c r="BH242" i="5"/>
  <c r="BG226" i="5"/>
  <c r="BH226" i="5"/>
  <c r="BG285" i="5"/>
  <c r="BH285" i="5"/>
  <c r="BG491" i="5"/>
  <c r="BH491" i="5"/>
  <c r="BG249" i="5"/>
  <c r="BH249" i="5"/>
  <c r="BG69" i="5"/>
  <c r="BH69" i="5"/>
  <c r="BH174" i="5"/>
  <c r="BG174" i="5"/>
  <c r="BH171" i="5"/>
  <c r="BG171" i="5"/>
  <c r="BH125" i="5"/>
  <c r="BG125" i="5"/>
  <c r="BG118" i="5"/>
  <c r="BH118" i="5"/>
  <c r="BG88" i="5"/>
  <c r="BH88" i="5"/>
  <c r="BG40" i="5"/>
  <c r="BH40" i="5"/>
  <c r="BG247" i="5"/>
  <c r="BH247" i="5"/>
  <c r="BG56" i="5"/>
  <c r="BH56" i="5"/>
  <c r="BG47" i="5"/>
  <c r="BH47" i="5"/>
  <c r="BG85" i="5"/>
  <c r="BH85" i="5"/>
  <c r="BH302" i="5"/>
  <c r="BG302" i="5"/>
  <c r="BH265" i="5"/>
  <c r="BG265" i="5"/>
  <c r="BG161" i="5"/>
  <c r="BH161" i="5"/>
  <c r="BG185" i="5"/>
  <c r="BH185" i="5"/>
  <c r="BG221" i="5"/>
  <c r="BH163" i="5"/>
  <c r="BH234" i="5"/>
  <c r="BG115" i="5"/>
  <c r="BH122" i="5"/>
  <c r="BG166" i="5"/>
  <c r="BG84" i="5"/>
  <c r="BG23" i="5"/>
  <c r="BH536" i="5"/>
  <c r="BG543" i="5"/>
  <c r="BH469" i="5"/>
  <c r="BH481" i="5"/>
  <c r="BG329" i="5"/>
  <c r="BG138" i="5"/>
  <c r="BH138" i="5"/>
  <c r="BG140" i="5"/>
  <c r="BH140" i="5"/>
  <c r="BH245" i="5"/>
  <c r="BG145" i="5"/>
  <c r="BH145" i="5"/>
  <c r="BH149" i="5"/>
  <c r="BG149" i="5"/>
  <c r="BH75" i="5"/>
  <c r="BG97" i="5"/>
  <c r="BH43" i="5"/>
  <c r="BG71" i="5"/>
  <c r="BH338" i="5"/>
  <c r="BH168" i="5"/>
  <c r="BG210" i="5"/>
  <c r="BG72" i="5"/>
  <c r="BH72" i="5"/>
  <c r="BH393" i="5"/>
  <c r="BH113" i="5"/>
  <c r="BH65" i="5"/>
  <c r="BH356" i="5"/>
  <c r="BH521" i="5"/>
  <c r="BG555" i="5"/>
  <c r="BG80" i="5"/>
  <c r="BH80" i="5"/>
  <c r="BH197" i="5"/>
  <c r="BG197" i="5"/>
  <c r="BG495" i="5"/>
  <c r="BG175" i="5"/>
  <c r="BH141" i="5"/>
  <c r="BH278" i="5"/>
  <c r="BH34" i="5"/>
  <c r="BH337" i="5"/>
  <c r="BG549" i="5"/>
  <c r="BH70" i="5"/>
  <c r="BG21" i="5"/>
  <c r="BH379" i="5"/>
  <c r="BG379" i="5"/>
  <c r="BH61" i="5"/>
  <c r="BG344" i="5"/>
  <c r="BH286" i="5"/>
  <c r="BG286" i="5"/>
  <c r="BG300" i="5"/>
  <c r="BH90" i="5"/>
  <c r="BG90" i="5"/>
  <c r="BH440" i="5"/>
  <c r="BG440" i="5"/>
  <c r="BG231" i="5"/>
  <c r="BG188" i="5"/>
  <c r="BH303" i="5"/>
  <c r="BG303" i="5"/>
  <c r="BH244" i="5"/>
  <c r="BG244" i="5"/>
  <c r="BH193" i="5"/>
  <c r="BG193" i="5"/>
  <c r="BG229" i="5"/>
  <c r="BH229" i="5"/>
  <c r="BG405" i="5"/>
  <c r="BH405" i="5"/>
  <c r="BG275" i="5"/>
  <c r="BH275" i="5"/>
  <c r="BH294" i="5"/>
  <c r="BG294" i="5"/>
  <c r="BH182" i="5"/>
  <c r="BG182" i="5"/>
  <c r="BH365" i="5"/>
  <c r="BG365" i="5"/>
  <c r="BH445" i="5"/>
  <c r="BG445" i="5"/>
  <c r="BH515" i="5"/>
  <c r="BG515" i="5"/>
  <c r="BH448" i="5"/>
  <c r="BG448" i="5"/>
  <c r="BG106" i="5"/>
  <c r="BH106" i="5"/>
  <c r="BG282" i="5"/>
  <c r="BH282" i="5"/>
  <c r="BG239" i="5"/>
  <c r="BH239" i="5"/>
  <c r="BH505" i="5"/>
  <c r="BG505" i="5"/>
  <c r="BG396" i="5"/>
  <c r="BH396" i="5"/>
  <c r="BH407" i="5"/>
  <c r="BG407" i="5"/>
  <c r="BG547" i="5"/>
  <c r="BH547" i="5"/>
  <c r="BH94" i="5"/>
  <c r="BG46" i="5"/>
  <c r="BH46" i="5"/>
  <c r="BH162" i="5"/>
  <c r="BG162" i="5"/>
  <c r="BG167" i="5"/>
  <c r="BH167" i="5"/>
  <c r="BH277" i="5"/>
  <c r="BG277" i="5"/>
  <c r="BG340" i="5"/>
  <c r="BH340" i="5"/>
  <c r="BG409" i="5"/>
  <c r="BH409" i="5"/>
  <c r="BG496" i="5"/>
  <c r="BH496" i="5"/>
  <c r="BH475" i="5"/>
  <c r="BG475" i="5"/>
  <c r="BG362" i="5"/>
  <c r="BH362" i="5"/>
  <c r="BH410" i="5"/>
  <c r="BG410" i="5"/>
  <c r="BH361" i="5"/>
  <c r="BG361" i="5"/>
  <c r="BH433" i="5"/>
  <c r="BG433" i="5"/>
  <c r="BG473" i="5"/>
  <c r="BH473" i="5"/>
  <c r="BG517" i="5"/>
  <c r="BH517" i="5"/>
  <c r="BG493" i="5"/>
  <c r="BH493" i="5"/>
  <c r="BG339" i="5"/>
  <c r="BH339" i="5"/>
  <c r="BG280" i="5"/>
  <c r="BH280" i="5"/>
  <c r="BG124" i="5"/>
  <c r="BH124" i="5"/>
  <c r="BH461" i="5"/>
  <c r="BG461" i="5"/>
  <c r="BH358" i="5"/>
  <c r="BG358" i="5"/>
  <c r="BG457" i="5"/>
  <c r="BH457" i="5"/>
  <c r="BG348" i="5"/>
  <c r="BH348" i="5"/>
  <c r="BG256" i="5"/>
  <c r="BH256" i="5"/>
  <c r="BH503" i="5"/>
  <c r="BG503" i="5"/>
  <c r="BH58" i="5"/>
  <c r="BG58" i="5"/>
  <c r="BG187" i="5"/>
  <c r="BH187" i="5"/>
  <c r="BG20" i="5"/>
  <c r="BH20" i="5"/>
  <c r="BG416" i="5"/>
  <c r="BH416" i="5"/>
  <c r="BG57" i="5"/>
  <c r="BH57" i="5"/>
  <c r="BG355" i="5"/>
  <c r="BH355" i="5"/>
  <c r="BH62" i="5"/>
  <c r="BG62" i="5"/>
  <c r="BG128" i="5"/>
  <c r="BH128" i="5"/>
  <c r="BH376" i="5"/>
  <c r="BG376" i="5"/>
  <c r="BG527" i="5"/>
  <c r="BH527" i="5"/>
  <c r="BG431" i="5"/>
  <c r="BH431" i="5"/>
  <c r="BG439" i="5"/>
  <c r="BH439" i="5"/>
  <c r="BH492" i="5"/>
  <c r="BG492" i="5"/>
  <c r="BH541" i="5"/>
  <c r="BG541" i="5"/>
  <c r="BG447" i="5"/>
  <c r="BH447" i="5"/>
  <c r="BH28" i="5"/>
  <c r="BG28" i="5"/>
  <c r="BH181" i="5"/>
  <c r="BG181" i="5"/>
  <c r="BG95" i="5"/>
  <c r="BH95" i="5"/>
  <c r="BG120" i="5"/>
  <c r="BH120" i="5"/>
  <c r="BH413" i="5"/>
  <c r="BG413" i="5"/>
  <c r="BH96" i="5"/>
  <c r="BG96" i="5"/>
  <c r="BH331" i="5"/>
  <c r="BG331" i="5"/>
  <c r="BH377" i="5"/>
  <c r="BG377" i="5"/>
  <c r="BG186" i="5"/>
  <c r="BH186" i="5"/>
  <c r="BH293" i="5"/>
  <c r="BG293" i="5"/>
  <c r="BH406" i="5"/>
  <c r="BG406" i="5"/>
  <c r="BG415" i="5"/>
  <c r="BH415" i="5"/>
  <c r="BH402" i="5"/>
  <c r="BG402" i="5"/>
  <c r="BG420" i="5"/>
  <c r="BH420" i="5"/>
  <c r="BH449" i="5"/>
  <c r="BG449" i="5"/>
  <c r="BG464" i="5"/>
  <c r="BH464" i="5"/>
  <c r="BG531" i="5"/>
  <c r="BH531" i="5"/>
  <c r="BH529" i="5"/>
  <c r="BG529" i="5"/>
  <c r="BG176" i="5"/>
  <c r="BH176" i="5"/>
  <c r="BH253" i="5"/>
  <c r="BG253" i="5"/>
  <c r="BH370" i="5"/>
  <c r="BG370" i="5"/>
  <c r="BH389" i="5"/>
  <c r="BG389" i="5"/>
  <c r="BH417" i="5"/>
  <c r="BG417" i="5"/>
  <c r="BH514" i="5"/>
  <c r="BG514" i="5"/>
  <c r="BG530" i="5"/>
  <c r="BH530" i="5"/>
  <c r="BH364" i="5"/>
  <c r="BG364" i="5"/>
  <c r="BH107" i="5"/>
  <c r="BG107" i="5"/>
  <c r="BG271" i="5"/>
  <c r="BH271" i="5"/>
  <c r="BH104" i="5"/>
  <c r="BG104" i="5"/>
  <c r="BH165" i="5"/>
  <c r="BG165" i="5"/>
  <c r="BH291" i="5"/>
  <c r="BG291" i="5"/>
  <c r="BG544" i="5"/>
  <c r="BH544" i="5"/>
  <c r="BH451" i="5"/>
  <c r="BG451" i="5"/>
  <c r="BH472" i="5"/>
  <c r="BG472" i="5"/>
  <c r="BG155" i="5"/>
  <c r="BH155" i="5"/>
  <c r="BH67" i="5"/>
  <c r="BG67" i="5"/>
  <c r="BH423" i="5"/>
  <c r="BG423" i="5"/>
  <c r="BG539" i="5"/>
  <c r="BH539" i="5"/>
  <c r="BG436" i="5"/>
  <c r="BH436" i="5"/>
  <c r="BH397" i="5"/>
  <c r="BG397" i="5"/>
  <c r="BH467" i="5"/>
  <c r="BG467" i="5"/>
  <c r="BH347" i="5"/>
  <c r="BG347" i="5"/>
  <c r="BH330" i="5"/>
  <c r="BG330" i="5"/>
  <c r="BG304" i="5"/>
  <c r="BH304" i="5"/>
  <c r="BH153" i="5"/>
  <c r="BG153" i="5"/>
  <c r="BG500" i="5"/>
  <c r="BH500" i="5"/>
  <c r="BH391" i="5"/>
  <c r="BG391" i="5"/>
  <c r="BG554" i="5"/>
  <c r="BH554" i="5"/>
  <c r="BG502" i="5"/>
  <c r="BH502" i="5"/>
  <c r="BG33" i="5"/>
  <c r="BH33" i="5"/>
  <c r="BH403" i="5"/>
  <c r="BG403" i="5"/>
  <c r="BG318" i="5"/>
  <c r="BH318" i="5"/>
  <c r="BH372" i="5"/>
  <c r="BG372" i="5"/>
  <c r="BG322" i="5"/>
  <c r="BH322" i="5"/>
  <c r="BH129" i="5"/>
  <c r="BG129" i="5"/>
  <c r="BH312" i="5"/>
  <c r="BG312" i="5"/>
  <c r="BG480" i="5"/>
  <c r="BH480" i="5"/>
  <c r="BG205" i="5"/>
  <c r="BH205" i="5"/>
  <c r="BH224" i="5"/>
  <c r="BG224" i="5"/>
  <c r="BG333" i="5"/>
  <c r="BH333" i="5"/>
  <c r="BG408" i="5"/>
  <c r="BH408" i="5"/>
  <c r="BG320" i="5"/>
  <c r="BH320" i="5"/>
  <c r="BH343" i="5"/>
  <c r="BG343" i="5"/>
  <c r="BG425" i="5"/>
  <c r="BH425" i="5"/>
  <c r="BG516" i="5"/>
  <c r="BH516" i="5"/>
  <c r="BG520" i="5"/>
  <c r="BH520" i="5"/>
  <c r="BG368" i="5"/>
  <c r="BH368" i="5"/>
  <c r="BG367" i="5"/>
  <c r="BH367" i="5"/>
  <c r="BH435" i="5"/>
  <c r="BG435" i="5"/>
  <c r="BG486" i="5"/>
  <c r="BH486" i="5"/>
  <c r="BH386" i="5"/>
  <c r="BG386" i="5"/>
  <c r="BH468" i="5"/>
  <c r="BG468" i="5"/>
  <c r="BG135" i="5"/>
  <c r="BH135" i="5"/>
  <c r="BG525" i="5"/>
  <c r="BH525" i="5"/>
  <c r="BH228" i="5"/>
  <c r="BG228" i="5"/>
  <c r="BH327" i="5"/>
  <c r="BG327" i="5"/>
  <c r="BG77" i="5"/>
  <c r="BH77" i="5"/>
  <c r="BH349" i="5"/>
  <c r="BG349" i="5"/>
  <c r="BG383" i="5"/>
  <c r="BH383" i="5"/>
  <c r="BG354" i="5"/>
  <c r="BH354" i="5"/>
  <c r="BH490" i="5"/>
  <c r="BG490" i="5"/>
  <c r="BH400" i="5"/>
  <c r="BG400" i="5"/>
  <c r="BG373" i="5"/>
  <c r="BH373" i="5"/>
  <c r="BH99" i="5"/>
  <c r="BG99" i="5"/>
  <c r="BH328" i="5"/>
  <c r="BG328" i="5"/>
  <c r="BH345" i="5"/>
  <c r="BG345" i="5"/>
  <c r="BG203" i="5"/>
  <c r="BH203" i="5"/>
  <c r="BG359" i="5"/>
  <c r="BH359" i="5"/>
  <c r="BG63" i="5"/>
  <c r="BH63" i="5"/>
  <c r="BH419" i="5"/>
  <c r="BG419" i="5"/>
  <c r="BG215" i="5"/>
  <c r="BH215" i="5"/>
  <c r="BG394" i="5"/>
  <c r="BH394" i="5"/>
  <c r="BG418" i="5"/>
  <c r="BH418" i="5"/>
  <c r="BG442" i="5"/>
  <c r="BH442" i="5"/>
  <c r="BH504" i="5"/>
  <c r="BG504" i="5"/>
  <c r="BG381" i="5"/>
  <c r="BH381" i="5"/>
  <c r="BG428" i="5"/>
  <c r="BH428" i="5"/>
  <c r="BH484" i="5"/>
  <c r="BG484" i="5"/>
  <c r="BG452" i="5"/>
  <c r="BH452" i="5"/>
  <c r="BH429" i="5"/>
  <c r="BG429" i="5"/>
  <c r="BH459" i="5"/>
  <c r="BG459" i="5"/>
  <c r="BH388" i="5"/>
  <c r="BG388" i="5"/>
  <c r="BG266" i="5"/>
  <c r="BH266" i="5"/>
  <c r="BG207" i="5"/>
  <c r="BH207" i="5"/>
  <c r="BH319" i="5"/>
  <c r="BG319" i="5"/>
  <c r="BH390" i="5"/>
  <c r="BG390" i="5"/>
  <c r="BG556" i="5"/>
  <c r="BH556" i="5"/>
  <c r="BG218" i="5"/>
  <c r="BH218" i="5"/>
  <c r="BA13" i="5"/>
  <c r="BB13" i="5"/>
  <c r="BH143" i="5"/>
  <c r="BG143" i="5"/>
  <c r="BH146" i="5"/>
  <c r="BG146" i="5"/>
  <c r="BH307" i="5"/>
  <c r="BG307" i="5"/>
  <c r="BG494" i="5"/>
  <c r="BH494" i="5"/>
  <c r="BG538" i="5"/>
  <c r="BH538" i="5"/>
  <c r="BH444" i="5"/>
  <c r="BG444" i="5"/>
  <c r="BH499" i="5"/>
  <c r="BG499" i="5"/>
  <c r="BH342" i="5"/>
  <c r="BG342" i="5"/>
  <c r="BG506" i="5"/>
  <c r="BH506" i="5"/>
  <c r="BG548" i="5"/>
  <c r="BH548" i="5"/>
  <c r="BH456" i="5"/>
  <c r="BG456" i="5"/>
  <c r="BG471" i="5"/>
  <c r="BH471" i="5"/>
  <c r="BG421" i="5"/>
  <c r="BH421" i="5"/>
  <c r="BH297" i="5"/>
  <c r="BG297" i="5"/>
  <c r="BG260" i="5"/>
  <c r="BH260" i="5"/>
  <c r="BH142" i="5"/>
  <c r="BG142" i="5"/>
  <c r="BG512" i="5"/>
  <c r="BH512" i="5"/>
  <c r="BG558" i="5"/>
  <c r="BH558" i="5"/>
  <c r="BH511" i="5"/>
  <c r="BG511" i="5"/>
  <c r="BG200" i="5"/>
  <c r="BH200" i="5"/>
  <c r="BG334" i="5"/>
  <c r="BH334" i="5"/>
  <c r="BG466" i="5"/>
  <c r="BH466" i="5"/>
  <c r="BG522" i="5"/>
  <c r="BH522" i="5"/>
  <c r="BH524" i="5"/>
  <c r="BG524" i="5"/>
  <c r="BG509" i="5"/>
  <c r="BH509" i="5"/>
  <c r="BH485" i="5"/>
  <c r="BG485" i="5"/>
  <c r="BH220" i="5"/>
  <c r="BG220" i="5"/>
  <c r="BG341" i="5"/>
  <c r="BH341" i="5"/>
  <c r="BG321" i="5"/>
  <c r="BH321" i="5"/>
  <c r="BG385" i="5"/>
  <c r="BH385" i="5"/>
  <c r="BG488" i="5"/>
  <c r="BH488" i="5"/>
  <c r="BG398" i="5"/>
  <c r="BH398" i="5"/>
  <c r="BG430" i="5"/>
  <c r="BH430" i="5"/>
  <c r="BG93" i="5"/>
  <c r="BH93" i="5"/>
  <c r="BG519" i="5"/>
  <c r="BH519" i="5"/>
  <c r="BH474" i="5"/>
  <c r="BG474" i="5"/>
  <c r="BH310" i="5"/>
  <c r="BG310" i="5"/>
  <c r="BH357" i="5"/>
  <c r="BG357" i="5"/>
  <c r="AX13" i="5"/>
  <c r="AY13" i="5"/>
  <c r="BF13" i="5"/>
  <c r="BH434" i="5"/>
  <c r="BG434" i="5"/>
  <c r="BH250" i="5"/>
  <c r="BG250" i="5"/>
  <c r="BG336" i="5"/>
  <c r="BH336" i="5"/>
  <c r="BG460" i="5"/>
  <c r="BH460" i="5"/>
  <c r="BH557" i="5"/>
  <c r="BG557" i="5"/>
  <c r="BG542" i="5"/>
  <c r="BH542" i="5"/>
  <c r="BG384" i="5"/>
  <c r="BH384" i="5"/>
  <c r="BH267" i="5"/>
  <c r="BG267" i="5"/>
  <c r="BG179" i="5"/>
  <c r="BH179" i="5"/>
  <c r="BH272" i="5"/>
  <c r="BG272" i="5"/>
  <c r="BH123" i="5"/>
  <c r="BG123" i="5"/>
  <c r="BG87" i="5"/>
  <c r="BH87" i="5"/>
  <c r="BG50" i="5"/>
  <c r="BH50" i="5"/>
  <c r="BH252" i="5"/>
  <c r="BG252" i="5"/>
  <c r="BH311" i="5"/>
  <c r="BG311" i="5"/>
  <c r="BH380" i="5"/>
  <c r="BG380" i="5"/>
  <c r="BG254" i="5"/>
  <c r="BH254" i="5"/>
  <c r="BH399" i="5"/>
  <c r="BG399" i="5"/>
  <c r="BG49" i="5"/>
  <c r="BH49" i="5"/>
  <c r="BH192" i="5"/>
  <c r="BG192" i="5"/>
  <c r="BH350" i="5"/>
  <c r="BG350" i="5"/>
  <c r="BH42" i="5"/>
  <c r="BG42" i="5"/>
  <c r="BH257" i="5"/>
  <c r="BG257" i="5"/>
  <c r="BH366" i="5"/>
  <c r="BG366" i="5"/>
  <c r="BG518" i="5"/>
  <c r="BH518" i="5"/>
  <c r="BH374" i="5"/>
  <c r="BG374" i="5"/>
  <c r="BH378" i="5"/>
  <c r="BG378" i="5"/>
  <c r="BG479" i="5"/>
  <c r="BH479" i="5"/>
  <c r="BH528" i="5"/>
  <c r="BG528" i="5"/>
  <c r="BH498" i="5"/>
  <c r="BG498" i="5"/>
  <c r="BG259" i="5"/>
  <c r="BH259" i="5"/>
  <c r="BH463" i="5"/>
  <c r="BG463" i="5"/>
  <c r="BH510" i="5"/>
  <c r="BG510" i="5"/>
  <c r="BG301" i="5"/>
  <c r="BH301" i="5"/>
  <c r="BH25" i="5"/>
  <c r="BG25" i="5"/>
  <c r="BG325" i="5"/>
  <c r="BH325" i="5"/>
  <c r="BH483" i="5"/>
  <c r="BG483" i="5"/>
  <c r="BH455" i="5"/>
  <c r="BG455" i="5"/>
  <c r="BG196" i="5"/>
  <c r="BH196" i="5"/>
  <c r="BH177" i="5"/>
  <c r="BG177" i="5"/>
  <c r="BH36" i="5"/>
  <c r="BG36" i="5"/>
  <c r="BH102" i="5"/>
  <c r="BG102" i="5"/>
  <c r="BG270" i="5"/>
  <c r="BH270" i="5"/>
  <c r="BG353" i="5"/>
  <c r="BH353" i="5"/>
  <c r="BG204" i="5"/>
  <c r="BH204" i="5"/>
  <c r="BH292" i="5"/>
  <c r="BG292" i="5"/>
  <c r="BG426" i="5"/>
  <c r="BH426" i="5"/>
  <c r="BH482" i="5"/>
  <c r="BG482" i="5"/>
  <c r="BG335" i="5"/>
  <c r="BH335" i="5"/>
  <c r="BG535" i="5"/>
  <c r="BH535" i="5"/>
  <c r="BG395" i="5"/>
  <c r="BH395" i="5"/>
  <c r="BH382" i="5"/>
  <c r="BG382" i="5"/>
  <c r="BH489" i="5"/>
  <c r="BG489" i="5"/>
  <c r="BG534" i="5"/>
  <c r="BH534" i="5"/>
  <c r="BG526" i="5"/>
  <c r="BH526" i="5"/>
  <c r="BG375" i="5"/>
  <c r="BH375" i="5"/>
  <c r="BH173" i="5"/>
  <c r="BG173" i="5"/>
  <c r="BG258" i="5"/>
  <c r="BH258" i="5"/>
  <c r="BH248" i="5"/>
  <c r="BG248" i="5"/>
  <c r="BH508" i="5"/>
  <c r="BG508" i="5"/>
  <c r="BG552" i="5"/>
  <c r="BH552" i="5"/>
  <c r="BG507" i="5"/>
  <c r="BH507" i="5"/>
  <c r="BG422" i="5"/>
  <c r="BH422" i="5"/>
  <c r="BG513" i="5"/>
  <c r="BH513" i="5"/>
  <c r="BH281" i="5"/>
  <c r="BG281" i="5"/>
  <c r="BH54" i="5"/>
  <c r="BG54" i="5"/>
  <c r="BG170" i="5"/>
  <c r="BH170" i="5"/>
  <c r="BG233" i="5"/>
  <c r="BH233" i="5"/>
  <c r="BD13" i="5"/>
  <c r="BE13" i="5"/>
  <c r="BG217" i="5"/>
  <c r="BH217" i="5"/>
  <c r="BG371" i="5"/>
  <c r="BH371" i="5"/>
  <c r="BG79" i="5"/>
  <c r="BH79" i="5"/>
  <c r="BH308" i="5"/>
  <c r="BG308" i="5"/>
  <c r="BH441" i="5"/>
  <c r="BG441" i="5"/>
  <c r="BH458" i="5"/>
  <c r="BG458" i="5"/>
  <c r="BG551" i="5"/>
  <c r="BH551" i="5"/>
  <c r="BG443" i="5"/>
  <c r="BH443" i="5"/>
  <c r="BH540" i="5"/>
  <c r="BG540" i="5"/>
  <c r="BG446" i="5"/>
  <c r="BH446" i="5"/>
  <c r="BG550" i="5"/>
  <c r="BH550" i="5"/>
  <c r="BG404" i="5"/>
  <c r="BH404" i="5"/>
  <c r="BG523" i="5"/>
  <c r="BH523" i="5"/>
  <c r="BH427" i="5"/>
  <c r="BG427" i="5"/>
  <c r="BG216" i="5"/>
  <c r="BH216" i="5"/>
  <c r="BH151" i="5"/>
  <c r="BG151" i="5"/>
  <c r="BG497" i="5"/>
  <c r="BH497" i="5"/>
  <c r="BG454" i="5"/>
  <c r="BH454" i="5"/>
  <c r="BG438" i="5"/>
  <c r="BH438" i="5"/>
  <c r="B49" i="5"/>
  <c r="B52" i="5" s="1"/>
  <c r="B35" i="5"/>
  <c r="B207" i="2"/>
  <c r="B226" i="2"/>
  <c r="B229" i="2" s="1"/>
  <c r="Z7" i="5" s="1"/>
  <c r="B95" i="2"/>
  <c r="O15" i="4"/>
  <c r="B23" i="5"/>
  <c r="B206" i="2"/>
  <c r="B34" i="5"/>
  <c r="J50" i="5"/>
  <c r="Z19" i="5" l="1"/>
  <c r="Z37" i="5"/>
  <c r="BG12" i="5"/>
  <c r="BG13" i="5"/>
  <c r="BH13" i="5"/>
  <c r="Z350" i="5"/>
  <c r="Z375" i="5"/>
  <c r="Z252" i="5"/>
  <c r="Z353" i="5"/>
  <c r="Z459" i="5"/>
  <c r="Z80" i="5"/>
  <c r="Z308" i="5"/>
  <c r="Z452" i="5"/>
  <c r="Z528" i="5"/>
  <c r="Z246" i="5"/>
  <c r="Z455" i="5"/>
  <c r="Z343" i="5"/>
  <c r="Z211" i="5"/>
  <c r="Z337" i="5"/>
  <c r="Z203" i="5"/>
  <c r="Z406" i="5"/>
  <c r="Z379" i="5"/>
  <c r="Z378" i="5"/>
  <c r="Z511" i="5"/>
  <c r="Z512" i="5"/>
  <c r="Z417" i="5"/>
  <c r="Z34" i="5"/>
  <c r="Z148" i="5"/>
  <c r="Z539" i="5"/>
  <c r="Z554" i="5"/>
  <c r="Z107" i="5"/>
  <c r="Z525" i="5"/>
  <c r="Z170" i="5"/>
  <c r="Z233" i="5"/>
  <c r="Z288" i="5"/>
  <c r="Z199" i="5"/>
  <c r="Z260" i="5"/>
  <c r="Z509" i="5"/>
  <c r="Z510" i="5"/>
  <c r="Z206" i="5"/>
  <c r="Z244" i="5"/>
  <c r="Z376" i="5"/>
  <c r="Z348" i="5"/>
  <c r="Z393" i="5"/>
  <c r="Z31" i="5"/>
  <c r="Z78" i="5"/>
  <c r="Z98" i="5"/>
  <c r="Z467" i="5"/>
  <c r="Z501" i="5"/>
  <c r="Z181" i="5"/>
  <c r="Z435" i="5"/>
  <c r="Z33" i="5"/>
  <c r="Z175" i="5"/>
  <c r="Z259" i="5"/>
  <c r="Z182" i="5"/>
  <c r="Z122" i="5"/>
  <c r="Z405" i="5"/>
  <c r="Z57" i="5"/>
  <c r="Z202" i="5"/>
  <c r="Z87" i="5"/>
  <c r="Z91" i="5"/>
  <c r="Z62" i="5"/>
  <c r="Z543" i="5"/>
  <c r="Z39" i="5"/>
  <c r="Z529" i="5"/>
  <c r="Z490" i="5"/>
  <c r="Z542" i="5"/>
  <c r="Z139" i="5"/>
  <c r="Z401" i="5"/>
  <c r="Z432" i="5"/>
  <c r="Z196" i="5"/>
  <c r="Z515" i="5"/>
  <c r="Z45" i="5"/>
  <c r="Z530" i="5"/>
  <c r="Z431" i="5"/>
  <c r="Z347" i="5"/>
  <c r="Z149" i="5"/>
  <c r="Z278" i="5"/>
  <c r="Z352" i="5"/>
  <c r="Z446" i="5"/>
  <c r="Z264" i="5"/>
  <c r="Z342" i="5"/>
  <c r="Z119" i="5"/>
  <c r="Z229" i="5"/>
  <c r="Z410" i="5"/>
  <c r="Z223" i="5"/>
  <c r="Z13" i="5"/>
  <c r="Z324" i="5"/>
  <c r="Z274" i="5"/>
  <c r="Z88" i="5"/>
  <c r="Z409" i="5"/>
  <c r="Z269" i="5"/>
  <c r="Z460" i="5"/>
  <c r="Z363" i="5"/>
  <c r="Z63" i="5"/>
  <c r="Z422" i="5"/>
  <c r="Z82" i="5"/>
  <c r="Z346" i="5"/>
  <c r="Z414" i="5"/>
  <c r="Z50" i="5"/>
  <c r="Z239" i="5"/>
  <c r="Z486" i="5"/>
  <c r="Z449" i="5"/>
  <c r="Z141" i="5"/>
  <c r="Z257" i="5"/>
  <c r="Z192" i="5"/>
  <c r="Z65" i="5"/>
  <c r="Z332" i="5"/>
  <c r="Z20" i="5"/>
  <c r="Z447" i="5"/>
  <c r="Z222" i="5"/>
  <c r="Z368" i="5"/>
  <c r="Z71" i="5"/>
  <c r="Z549" i="5"/>
  <c r="Z450" i="5"/>
  <c r="Z262" i="5"/>
  <c r="Z232" i="5"/>
  <c r="Z335" i="5"/>
  <c r="Z408" i="5"/>
  <c r="Z152" i="5"/>
  <c r="Z197" i="5"/>
  <c r="Z402" i="5"/>
  <c r="Z169" i="5"/>
  <c r="Z412" i="5"/>
  <c r="Z492" i="5"/>
  <c r="Z299" i="5"/>
  <c r="Z84" i="5"/>
  <c r="Z306" i="5"/>
  <c r="Z331" i="5"/>
  <c r="Z205" i="5"/>
  <c r="Z320" i="5"/>
  <c r="Z275" i="5"/>
  <c r="Z51" i="5"/>
  <c r="Z488" i="5"/>
  <c r="Z317" i="5"/>
  <c r="Z399" i="5"/>
  <c r="Z377" i="5"/>
  <c r="Z241" i="5"/>
  <c r="Z483" i="5"/>
  <c r="Z482" i="5"/>
  <c r="Z436" i="5"/>
  <c r="Z100" i="5"/>
  <c r="Z159" i="5"/>
  <c r="Z386" i="5"/>
  <c r="Z191" i="5"/>
  <c r="Z81" i="5"/>
  <c r="Z8" i="5"/>
  <c r="Z313" i="5"/>
  <c r="Z500" i="5"/>
  <c r="Z312" i="5"/>
  <c r="Z106" i="5"/>
  <c r="Z533" i="5"/>
  <c r="Z68" i="5"/>
  <c r="Z361" i="5"/>
  <c r="Z234" i="5"/>
  <c r="Z296" i="5"/>
  <c r="Z461" i="5"/>
  <c r="Z129" i="5"/>
  <c r="Z24" i="5"/>
  <c r="Z198" i="5"/>
  <c r="Z514" i="5"/>
  <c r="Z218" i="5"/>
  <c r="Z137" i="5"/>
  <c r="Z493" i="5"/>
  <c r="Z283" i="5"/>
  <c r="Z138" i="5"/>
  <c r="Z190" i="5"/>
  <c r="Z280" i="5"/>
  <c r="Z135" i="5"/>
  <c r="Z327" i="5"/>
  <c r="Z184" i="5"/>
  <c r="Z85" i="5"/>
  <c r="Z44" i="5"/>
  <c r="Z322" i="5"/>
  <c r="Z503" i="5"/>
  <c r="Z349" i="5"/>
  <c r="Z89" i="5"/>
  <c r="Z439" i="5"/>
  <c r="Z165" i="5"/>
  <c r="Z64" i="5"/>
  <c r="Z76" i="5"/>
  <c r="Z131" i="5"/>
  <c r="Z522" i="5"/>
  <c r="Z498" i="5"/>
  <c r="Z245" i="5"/>
  <c r="Z163" i="5"/>
  <c r="Z124" i="5"/>
  <c r="Z110" i="5"/>
  <c r="Z95" i="5"/>
  <c r="Z356" i="5"/>
  <c r="Z516" i="5"/>
  <c r="Z25" i="5"/>
  <c r="Z183" i="5"/>
  <c r="Z43" i="5"/>
  <c r="Z161" i="5"/>
  <c r="Z171" i="5"/>
  <c r="Z430" i="5"/>
  <c r="Z484" i="5"/>
  <c r="Z146" i="5"/>
  <c r="Z59" i="5"/>
  <c r="Z237" i="5"/>
  <c r="Z433" i="5"/>
  <c r="Z26" i="5"/>
  <c r="Z415" i="5"/>
  <c r="Z319" i="5"/>
  <c r="Z200" i="5"/>
  <c r="Z336" i="5"/>
  <c r="Z265" i="5"/>
  <c r="Z96" i="5"/>
  <c r="Z365" i="5"/>
  <c r="Z507" i="5"/>
  <c r="Z407" i="5"/>
  <c r="Z448" i="5"/>
  <c r="Z429" i="5"/>
  <c r="Z116" i="5"/>
  <c r="Z315" i="5"/>
  <c r="Z546" i="5"/>
  <c r="Z362" i="5"/>
  <c r="Z187" i="5"/>
  <c r="Z143" i="5"/>
  <c r="Z555" i="5"/>
  <c r="Z473" i="5"/>
  <c r="Z242" i="5"/>
  <c r="Z55" i="5"/>
  <c r="Z35" i="5"/>
  <c r="Z354" i="5"/>
  <c r="Z230" i="5"/>
  <c r="Z506" i="5"/>
  <c r="Z72" i="5"/>
  <c r="Z177" i="5"/>
  <c r="Z77" i="5"/>
  <c r="Z236" i="5"/>
  <c r="Z69" i="5"/>
  <c r="Z487" i="5"/>
  <c r="Z207" i="5"/>
  <c r="Z38" i="5"/>
  <c r="Z193" i="5"/>
  <c r="Z300" i="5"/>
  <c r="Z465" i="5"/>
  <c r="Z445" i="5"/>
  <c r="Z338" i="5"/>
  <c r="Z134" i="5"/>
  <c r="Z395" i="5"/>
  <c r="Z311" i="5"/>
  <c r="Z240" i="5"/>
  <c r="Z537" i="5"/>
  <c r="Z302" i="5"/>
  <c r="Z180" i="5"/>
  <c r="Z79" i="5"/>
  <c r="Z367" i="5"/>
  <c r="Z208" i="5"/>
  <c r="Z373" i="5"/>
  <c r="Z66" i="5"/>
  <c r="Z112" i="5"/>
  <c r="Z22" i="5"/>
  <c r="Z513" i="5"/>
  <c r="Z144" i="5"/>
  <c r="Z505" i="5"/>
  <c r="Z442" i="5"/>
  <c r="Z387" i="5"/>
  <c r="Z470" i="5"/>
  <c r="Z456" i="5"/>
  <c r="Z279" i="5"/>
  <c r="Z351" i="5"/>
  <c r="Z221" i="5"/>
  <c r="Z285" i="5"/>
  <c r="Z127" i="5"/>
  <c r="Z428" i="5"/>
  <c r="Z215" i="5"/>
  <c r="Z400" i="5"/>
  <c r="Z270" i="5"/>
  <c r="Z518" i="5"/>
  <c r="Z114" i="5"/>
  <c r="Z28" i="5"/>
  <c r="Z287" i="5"/>
  <c r="Z426" i="5"/>
  <c r="Z47" i="5"/>
  <c r="Z325" i="5"/>
  <c r="Z195" i="5"/>
  <c r="Z440" i="5"/>
  <c r="Z130" i="5"/>
  <c r="Z256" i="5"/>
  <c r="Z266" i="5"/>
  <c r="Z204" i="5"/>
  <c r="Z90" i="5"/>
  <c r="Z310" i="5"/>
  <c r="Z118" i="5"/>
  <c r="Z475" i="5"/>
  <c r="Z552" i="5"/>
  <c r="Z380" i="5"/>
  <c r="Z272" i="5"/>
  <c r="Z27" i="5"/>
  <c r="Z186" i="5"/>
  <c r="Z46" i="5"/>
  <c r="Z61" i="5"/>
  <c r="Z471" i="5"/>
  <c r="Z115" i="5"/>
  <c r="Z75" i="5"/>
  <c r="Z369" i="5"/>
  <c r="Z464" i="5"/>
  <c r="Z499" i="5"/>
  <c r="Z247" i="5"/>
  <c r="Z103" i="5"/>
  <c r="Z494" i="5"/>
  <c r="Z23" i="5"/>
  <c r="Z254" i="5"/>
  <c r="Z126" i="5"/>
  <c r="Z480" i="5"/>
  <c r="Z527" i="5"/>
  <c r="Z458" i="5"/>
  <c r="Z168" i="5"/>
  <c r="Z166" i="5"/>
  <c r="Z502" i="5"/>
  <c r="Z521" i="5"/>
  <c r="Z421" i="5"/>
  <c r="Z282" i="5"/>
  <c r="Z496" i="5"/>
  <c r="Z30" i="5"/>
  <c r="Z251" i="5"/>
  <c r="Z179" i="5"/>
  <c r="Z12" i="5"/>
  <c r="Z228" i="5"/>
  <c r="Z290" i="5"/>
  <c r="Z318" i="5"/>
  <c r="Z485" i="5"/>
  <c r="Z476" i="5"/>
  <c r="Z147" i="5"/>
  <c r="Z226" i="5"/>
  <c r="Z142" i="5"/>
  <c r="Z474" i="5"/>
  <c r="Z457" i="5"/>
  <c r="Z216" i="5"/>
  <c r="Z212" i="5"/>
  <c r="Z227" i="5"/>
  <c r="Z276" i="5"/>
  <c r="Z273" i="5"/>
  <c r="Z321" i="5"/>
  <c r="Z123" i="5"/>
  <c r="Z330" i="5"/>
  <c r="Z172" i="5"/>
  <c r="Z156" i="5"/>
  <c r="Z391" i="5"/>
  <c r="Z94" i="5"/>
  <c r="Z366" i="5"/>
  <c r="Z36" i="5"/>
  <c r="Z292" i="5"/>
  <c r="Z263" i="5"/>
  <c r="Z418" i="5"/>
  <c r="Z547" i="5"/>
  <c r="Z189" i="5"/>
  <c r="Z178" i="5"/>
  <c r="Z536" i="5"/>
  <c r="Z48" i="5"/>
  <c r="Z472" i="5"/>
  <c r="Z504" i="5"/>
  <c r="Z128" i="5"/>
  <c r="Z534" i="5"/>
  <c r="Z86" i="5"/>
  <c r="Z524" i="5"/>
  <c r="Z411" i="5"/>
  <c r="Z413" i="5"/>
  <c r="Z56" i="5"/>
  <c r="Z443" i="5"/>
  <c r="Z531" i="5"/>
  <c r="Z301" i="5"/>
  <c r="Z155" i="5"/>
  <c r="Z104" i="5"/>
  <c r="Z145" i="5"/>
  <c r="Z466" i="5"/>
  <c r="Z167" i="5"/>
  <c r="Z481" i="5"/>
  <c r="Z194" i="5"/>
  <c r="Z517" i="5"/>
  <c r="Z550" i="5"/>
  <c r="Z120" i="5"/>
  <c r="Z111" i="5"/>
  <c r="Z508" i="5"/>
  <c r="Z478" i="5"/>
  <c r="Z303" i="5"/>
  <c r="Z495" i="5"/>
  <c r="Z258" i="5"/>
  <c r="Z437" i="5"/>
  <c r="Z355" i="5"/>
  <c r="Z54" i="5"/>
  <c r="Z339" i="5"/>
  <c r="Z220" i="5"/>
  <c r="Z372" i="5"/>
  <c r="Z390" i="5"/>
  <c r="Z73" i="5"/>
  <c r="Z519" i="5"/>
  <c r="Z374" i="5"/>
  <c r="Z389" i="5"/>
  <c r="Z213" i="5"/>
  <c r="Z117" i="5"/>
  <c r="Z497" i="5"/>
  <c r="Z469" i="5"/>
  <c r="Z326" i="5"/>
  <c r="Z340" i="5"/>
  <c r="Z314" i="5"/>
  <c r="Z333" i="5"/>
  <c r="Z140" i="5"/>
  <c r="Z160" i="5"/>
  <c r="Z97" i="5"/>
  <c r="Z462" i="5"/>
  <c r="Z214" i="5"/>
  <c r="Z551" i="5"/>
  <c r="Z558" i="5"/>
  <c r="Z60" i="5"/>
  <c r="Z523" i="5"/>
  <c r="Z489" i="5"/>
  <c r="Z305" i="5"/>
  <c r="Z491" i="5"/>
  <c r="Z384" i="5"/>
  <c r="Z250" i="5"/>
  <c r="Z291" i="5"/>
  <c r="Z416" i="5"/>
  <c r="Z231" i="5"/>
  <c r="Z158" i="5"/>
  <c r="Z559" i="5"/>
  <c r="Z271" i="5"/>
  <c r="Z370" i="5"/>
  <c r="Z392" i="5"/>
  <c r="Z209" i="5"/>
  <c r="Z438" i="5"/>
  <c r="Z74" i="5"/>
  <c r="Z286" i="5"/>
  <c r="Z267" i="5"/>
  <c r="Z382" i="5"/>
  <c r="Z298" i="5"/>
  <c r="Z268" i="5"/>
  <c r="Z133" i="5"/>
  <c r="Z255" i="5"/>
  <c r="Z540" i="5"/>
  <c r="Z42" i="5"/>
  <c r="Z544" i="5"/>
  <c r="Z92" i="5"/>
  <c r="Z538" i="5"/>
  <c r="Z284" i="5"/>
  <c r="Z553" i="5"/>
  <c r="Z297" i="5"/>
  <c r="Z381" i="5"/>
  <c r="Z70" i="5"/>
  <c r="Z217" i="5"/>
  <c r="Z403" i="5"/>
  <c r="Z328" i="5"/>
  <c r="Z294" i="5"/>
  <c r="Z309" i="5"/>
  <c r="Z53" i="5"/>
  <c r="Z235" i="5"/>
  <c r="Z423" i="5"/>
  <c r="Z125" i="5"/>
  <c r="Z93" i="5"/>
  <c r="Z261" i="5"/>
  <c r="Z541" i="5"/>
  <c r="Z40" i="5"/>
  <c r="Z434" i="5"/>
  <c r="Z151" i="5"/>
  <c r="Z396" i="5"/>
  <c r="Z238" i="5"/>
  <c r="Z424" i="5"/>
  <c r="Z477" i="5"/>
  <c r="Z32" i="5"/>
  <c r="Z548" i="5"/>
  <c r="Z52" i="5"/>
  <c r="Z83" i="5"/>
  <c r="Z113" i="5"/>
  <c r="Z468" i="5"/>
  <c r="Z535" i="5"/>
  <c r="Z295" i="5"/>
  <c r="Z307" i="5"/>
  <c r="Z121" i="5"/>
  <c r="Z526" i="5"/>
  <c r="Z532" i="5"/>
  <c r="Z108" i="5"/>
  <c r="Z316" i="5"/>
  <c r="Z277" i="5"/>
  <c r="Z29" i="5"/>
  <c r="Z173" i="5"/>
  <c r="Z364" i="5"/>
  <c r="Z334" i="5"/>
  <c r="Z58" i="5"/>
  <c r="Z176" i="5"/>
  <c r="Z358" i="5"/>
  <c r="Z359" i="5"/>
  <c r="Z360" i="5"/>
  <c r="Z394" i="5"/>
  <c r="Z109" i="5"/>
  <c r="Z132" i="5"/>
  <c r="Z174" i="5"/>
  <c r="Z224" i="5"/>
  <c r="Z463" i="5"/>
  <c r="Z154" i="5"/>
  <c r="Z545" i="5"/>
  <c r="Z479" i="5"/>
  <c r="Z397" i="5"/>
  <c r="Z404" i="5"/>
  <c r="Z425" i="5"/>
  <c r="Z153" i="5"/>
  <c r="Z560" i="5"/>
  <c r="Z329" i="5"/>
  <c r="Z105" i="5"/>
  <c r="Z383" i="5"/>
  <c r="Z253" i="5"/>
  <c r="Z21" i="5"/>
  <c r="Z398" i="5"/>
  <c r="Z201" i="5"/>
  <c r="Z102" i="5"/>
  <c r="Z427" i="5"/>
  <c r="Z185" i="5"/>
  <c r="Z49" i="5"/>
  <c r="Z188" i="5"/>
  <c r="Z341" i="5"/>
  <c r="Z293" i="5"/>
  <c r="Z210" i="5"/>
  <c r="Z225" i="5"/>
  <c r="Z219" i="5"/>
  <c r="Z101" i="5"/>
  <c r="Z157" i="5"/>
  <c r="Z289" i="5"/>
  <c r="Z249" i="5"/>
  <c r="Z150" i="5"/>
  <c r="Z136" i="5"/>
  <c r="Z557" i="5"/>
  <c r="Z419" i="5"/>
  <c r="Z164" i="5"/>
  <c r="Z99" i="5"/>
  <c r="Z162" i="5"/>
  <c r="Z453" i="5"/>
  <c r="Z371" i="5"/>
  <c r="Z323" i="5"/>
  <c r="Z520" i="5"/>
  <c r="Z248" i="5"/>
  <c r="Z344" i="5"/>
  <c r="Z385" i="5"/>
  <c r="Z345" i="5"/>
  <c r="Z281" i="5"/>
  <c r="Z67" i="5"/>
  <c r="Z444" i="5"/>
  <c r="Z388" i="5"/>
  <c r="Z454" i="5"/>
  <c r="Z441" i="5"/>
  <c r="Z451" i="5"/>
  <c r="Z420" i="5"/>
  <c r="Z304" i="5"/>
  <c r="Z556" i="5"/>
  <c r="Z243" i="5"/>
  <c r="Z41" i="5"/>
  <c r="Z357" i="5"/>
  <c r="AB7" i="5"/>
  <c r="AA7" i="5"/>
  <c r="AA37" i="5" l="1"/>
  <c r="AB37" i="5"/>
  <c r="AB357" i="5"/>
  <c r="AA357" i="5"/>
  <c r="AA304" i="5"/>
  <c r="AB304" i="5"/>
  <c r="AB454" i="5"/>
  <c r="AA454" i="5"/>
  <c r="AA281" i="5"/>
  <c r="AB281" i="5"/>
  <c r="AB248" i="5"/>
  <c r="AA248" i="5"/>
  <c r="AB453" i="5"/>
  <c r="AA453" i="5"/>
  <c r="AB419" i="5"/>
  <c r="AA419" i="5"/>
  <c r="AB249" i="5"/>
  <c r="AA249" i="5"/>
  <c r="AB219" i="5"/>
  <c r="AA219" i="5"/>
  <c r="AB341" i="5"/>
  <c r="AA341" i="5"/>
  <c r="AB427" i="5"/>
  <c r="AA427" i="5"/>
  <c r="AA21" i="5"/>
  <c r="AB21" i="5"/>
  <c r="AA329" i="5"/>
  <c r="AB329" i="5"/>
  <c r="AB404" i="5"/>
  <c r="AA404" i="5"/>
  <c r="AB154" i="5"/>
  <c r="AA154" i="5"/>
  <c r="AB132" i="5"/>
  <c r="AA132" i="5"/>
  <c r="AB359" i="5"/>
  <c r="AA359" i="5"/>
  <c r="AB334" i="5"/>
  <c r="AA334" i="5"/>
  <c r="AA277" i="5"/>
  <c r="AB277" i="5"/>
  <c r="AA526" i="5"/>
  <c r="AB526" i="5"/>
  <c r="AB535" i="5"/>
  <c r="AA535" i="5"/>
  <c r="AB52" i="5"/>
  <c r="AA52" i="5"/>
  <c r="AB424" i="5"/>
  <c r="AA424" i="5"/>
  <c r="AA434" i="5"/>
  <c r="AB434" i="5"/>
  <c r="AB93" i="5"/>
  <c r="AA93" i="5"/>
  <c r="AB53" i="5"/>
  <c r="AA53" i="5"/>
  <c r="AA403" i="5"/>
  <c r="AB403" i="5"/>
  <c r="AA297" i="5"/>
  <c r="AB297" i="5"/>
  <c r="AA92" i="5"/>
  <c r="AB92" i="5"/>
  <c r="AA255" i="5"/>
  <c r="AB255" i="5"/>
  <c r="AA382" i="5"/>
  <c r="AB382" i="5"/>
  <c r="AA438" i="5"/>
  <c r="AB438" i="5"/>
  <c r="AA271" i="5"/>
  <c r="AB271" i="5"/>
  <c r="AA416" i="5"/>
  <c r="AB416" i="5"/>
  <c r="AA491" i="5"/>
  <c r="AB491" i="5"/>
  <c r="AB60" i="5"/>
  <c r="AA60" i="5"/>
  <c r="AA462" i="5"/>
  <c r="AB462" i="5"/>
  <c r="AA333" i="5"/>
  <c r="AB333" i="5"/>
  <c r="AB469" i="5"/>
  <c r="AA469" i="5"/>
  <c r="AA389" i="5"/>
  <c r="AB389" i="5"/>
  <c r="AA390" i="5"/>
  <c r="AB390" i="5"/>
  <c r="AA54" i="5"/>
  <c r="AB54" i="5"/>
  <c r="AA495" i="5"/>
  <c r="AB495" i="5"/>
  <c r="AB111" i="5"/>
  <c r="AA111" i="5"/>
  <c r="AB194" i="5"/>
  <c r="AA194" i="5"/>
  <c r="AB145" i="5"/>
  <c r="AA145" i="5"/>
  <c r="AA531" i="5"/>
  <c r="AB531" i="5"/>
  <c r="AA411" i="5"/>
  <c r="AB411" i="5"/>
  <c r="AB128" i="5"/>
  <c r="AA128" i="5"/>
  <c r="AB536" i="5"/>
  <c r="AA536" i="5"/>
  <c r="AB418" i="5"/>
  <c r="AA418" i="5"/>
  <c r="AB366" i="5"/>
  <c r="AA366" i="5"/>
  <c r="AA172" i="5"/>
  <c r="AB172" i="5"/>
  <c r="AA273" i="5"/>
  <c r="AB273" i="5"/>
  <c r="AA216" i="5"/>
  <c r="AB216" i="5"/>
  <c r="AB142" i="5"/>
  <c r="AA142" i="5"/>
  <c r="AA485" i="5"/>
  <c r="AB485" i="5"/>
  <c r="AB12" i="5"/>
  <c r="AA12" i="5"/>
  <c r="AB496" i="5"/>
  <c r="AA496" i="5"/>
  <c r="AA502" i="5"/>
  <c r="AB502" i="5"/>
  <c r="AA527" i="5"/>
  <c r="AB527" i="5"/>
  <c r="AA23" i="5"/>
  <c r="AB23" i="5"/>
  <c r="AB499" i="5"/>
  <c r="AA499" i="5"/>
  <c r="AA115" i="5"/>
  <c r="AB115" i="5"/>
  <c r="AA186" i="5"/>
  <c r="AB186" i="5"/>
  <c r="AB552" i="5"/>
  <c r="AA552" i="5"/>
  <c r="AA90" i="5"/>
  <c r="AB90" i="5"/>
  <c r="AB130" i="5"/>
  <c r="AA130" i="5"/>
  <c r="AA47" i="5"/>
  <c r="AB47" i="5"/>
  <c r="AA114" i="5"/>
  <c r="AB114" i="5"/>
  <c r="AA215" i="5"/>
  <c r="AB215" i="5"/>
  <c r="AA285" i="5"/>
  <c r="AB285" i="5"/>
  <c r="AA456" i="5"/>
  <c r="AB456" i="5"/>
  <c r="AA505" i="5"/>
  <c r="AB505" i="5"/>
  <c r="AB112" i="5"/>
  <c r="AA112" i="5"/>
  <c r="AB367" i="5"/>
  <c r="AA367" i="5"/>
  <c r="AA537" i="5"/>
  <c r="AB537" i="5"/>
  <c r="AA134" i="5"/>
  <c r="AB134" i="5"/>
  <c r="AB300" i="5"/>
  <c r="AA300" i="5"/>
  <c r="AB487" i="5"/>
  <c r="AA487" i="5"/>
  <c r="AB77" i="5"/>
  <c r="AA77" i="5"/>
  <c r="AA230" i="5"/>
  <c r="AB230" i="5"/>
  <c r="AB242" i="5"/>
  <c r="AA242" i="5"/>
  <c r="AA187" i="5"/>
  <c r="AB187" i="5"/>
  <c r="AA116" i="5"/>
  <c r="AB116" i="5"/>
  <c r="AA507" i="5"/>
  <c r="AB507" i="5"/>
  <c r="AB336" i="5"/>
  <c r="AA336" i="5"/>
  <c r="AA26" i="5"/>
  <c r="AB26" i="5"/>
  <c r="AA146" i="5"/>
  <c r="AB146" i="5"/>
  <c r="AB161" i="5"/>
  <c r="AA161" i="5"/>
  <c r="AA516" i="5"/>
  <c r="AB516" i="5"/>
  <c r="AA124" i="5"/>
  <c r="AB124" i="5"/>
  <c r="AA522" i="5"/>
  <c r="AB522" i="5"/>
  <c r="AB165" i="5"/>
  <c r="AA165" i="5"/>
  <c r="AB503" i="5"/>
  <c r="AA503" i="5"/>
  <c r="AA184" i="5"/>
  <c r="AB184" i="5"/>
  <c r="AB190" i="5"/>
  <c r="AA190" i="5"/>
  <c r="AA137" i="5"/>
  <c r="AB137" i="5"/>
  <c r="AA24" i="5"/>
  <c r="AB24" i="5"/>
  <c r="AB234" i="5"/>
  <c r="AA234" i="5"/>
  <c r="AA106" i="5"/>
  <c r="AB106" i="5"/>
  <c r="AB8" i="5"/>
  <c r="AA8" i="5"/>
  <c r="AB159" i="5"/>
  <c r="AA159" i="5"/>
  <c r="AB483" i="5"/>
  <c r="AA483" i="5"/>
  <c r="AA317" i="5"/>
  <c r="AB317" i="5"/>
  <c r="AB320" i="5"/>
  <c r="AA320" i="5"/>
  <c r="AB84" i="5"/>
  <c r="AA84" i="5"/>
  <c r="AA169" i="5"/>
  <c r="AB169" i="5"/>
  <c r="AA408" i="5"/>
  <c r="AB408" i="5"/>
  <c r="AA450" i="5"/>
  <c r="AB450" i="5"/>
  <c r="AA222" i="5"/>
  <c r="AB222" i="5"/>
  <c r="AB65" i="5"/>
  <c r="AA65" i="5"/>
  <c r="AA449" i="5"/>
  <c r="AB449" i="5"/>
  <c r="AA414" i="5"/>
  <c r="AB414" i="5"/>
  <c r="AB63" i="5"/>
  <c r="AA63" i="5"/>
  <c r="AB409" i="5"/>
  <c r="AA409" i="5"/>
  <c r="AA13" i="5"/>
  <c r="AB13" i="5"/>
  <c r="AA119" i="5"/>
  <c r="AB119" i="5"/>
  <c r="AB352" i="5"/>
  <c r="AA352" i="5"/>
  <c r="AA431" i="5"/>
  <c r="AB431" i="5"/>
  <c r="AB196" i="5"/>
  <c r="AA196" i="5"/>
  <c r="AB542" i="5"/>
  <c r="AA542" i="5"/>
  <c r="AB543" i="5"/>
  <c r="AA543" i="5"/>
  <c r="AA202" i="5"/>
  <c r="AB202" i="5"/>
  <c r="AB182" i="5"/>
  <c r="AA182" i="5"/>
  <c r="AA435" i="5"/>
  <c r="AB435" i="5"/>
  <c r="AA98" i="5"/>
  <c r="AB98" i="5"/>
  <c r="AB348" i="5"/>
  <c r="AA348" i="5"/>
  <c r="AB510" i="5"/>
  <c r="AA510" i="5"/>
  <c r="AA288" i="5"/>
  <c r="AB288" i="5"/>
  <c r="AB107" i="5"/>
  <c r="AA107" i="5"/>
  <c r="AA34" i="5"/>
  <c r="AB34" i="5"/>
  <c r="AA378" i="5"/>
  <c r="AB378" i="5"/>
  <c r="AA337" i="5"/>
  <c r="AB337" i="5"/>
  <c r="AA246" i="5"/>
  <c r="AB246" i="5"/>
  <c r="AA80" i="5"/>
  <c r="AB80" i="5"/>
  <c r="AB375" i="5"/>
  <c r="AA375" i="5"/>
  <c r="AA41" i="5"/>
  <c r="AB41" i="5"/>
  <c r="AB420" i="5"/>
  <c r="AA420" i="5"/>
  <c r="AB388" i="5"/>
  <c r="AA388" i="5"/>
  <c r="AB345" i="5"/>
  <c r="AA345" i="5"/>
  <c r="AA520" i="5"/>
  <c r="AB520" i="5"/>
  <c r="AA162" i="5"/>
  <c r="AB162" i="5"/>
  <c r="AA557" i="5"/>
  <c r="AB557" i="5"/>
  <c r="AB289" i="5"/>
  <c r="AA289" i="5"/>
  <c r="AB225" i="5"/>
  <c r="AA225" i="5"/>
  <c r="AB188" i="5"/>
  <c r="AA188" i="5"/>
  <c r="AA102" i="5"/>
  <c r="AB102" i="5"/>
  <c r="AB253" i="5"/>
  <c r="AA253" i="5"/>
  <c r="AB560" i="5"/>
  <c r="AA560" i="5"/>
  <c r="AA397" i="5"/>
  <c r="AB397" i="5"/>
  <c r="AB463" i="5"/>
  <c r="AA463" i="5"/>
  <c r="AB109" i="5"/>
  <c r="AA109" i="5"/>
  <c r="AB358" i="5"/>
  <c r="AA358" i="5"/>
  <c r="AA364" i="5"/>
  <c r="AB364" i="5"/>
  <c r="AA316" i="5"/>
  <c r="AB316" i="5"/>
  <c r="AA121" i="5"/>
  <c r="AB121" i="5"/>
  <c r="AA468" i="5"/>
  <c r="AB468" i="5"/>
  <c r="AB548" i="5"/>
  <c r="AA548" i="5"/>
  <c r="AB238" i="5"/>
  <c r="AA238" i="5"/>
  <c r="AB40" i="5"/>
  <c r="AA40" i="5"/>
  <c r="AA125" i="5"/>
  <c r="AB125" i="5"/>
  <c r="AB309" i="5"/>
  <c r="AA309" i="5"/>
  <c r="AB217" i="5"/>
  <c r="AA217" i="5"/>
  <c r="AA553" i="5"/>
  <c r="AB553" i="5"/>
  <c r="AB544" i="5"/>
  <c r="AA544" i="5"/>
  <c r="AA133" i="5"/>
  <c r="AB133" i="5"/>
  <c r="AA267" i="5"/>
  <c r="AB267" i="5"/>
  <c r="AB209" i="5"/>
  <c r="AA209" i="5"/>
  <c r="AA559" i="5"/>
  <c r="AB559" i="5"/>
  <c r="AB291" i="5"/>
  <c r="AA291" i="5"/>
  <c r="AA305" i="5"/>
  <c r="AB305" i="5"/>
  <c r="AB558" i="5"/>
  <c r="AA558" i="5"/>
  <c r="AB97" i="5"/>
  <c r="AA97" i="5"/>
  <c r="AA314" i="5"/>
  <c r="AB314" i="5"/>
  <c r="AB497" i="5"/>
  <c r="AA497" i="5"/>
  <c r="AB374" i="5"/>
  <c r="AA374" i="5"/>
  <c r="AB372" i="5"/>
  <c r="AA372" i="5"/>
  <c r="AA355" i="5"/>
  <c r="AB355" i="5"/>
  <c r="AB303" i="5"/>
  <c r="AA303" i="5"/>
  <c r="AA120" i="5"/>
  <c r="AB120" i="5"/>
  <c r="AB481" i="5"/>
  <c r="AA481" i="5"/>
  <c r="AA104" i="5"/>
  <c r="AB104" i="5"/>
  <c r="AB443" i="5"/>
  <c r="AA443" i="5"/>
  <c r="AA524" i="5"/>
  <c r="AB524" i="5"/>
  <c r="AB504" i="5"/>
  <c r="AA504" i="5"/>
  <c r="AA178" i="5"/>
  <c r="AB178" i="5"/>
  <c r="AB263" i="5"/>
  <c r="AA263" i="5"/>
  <c r="AA94" i="5"/>
  <c r="AB94" i="5"/>
  <c r="AA330" i="5"/>
  <c r="AB330" i="5"/>
  <c r="AB276" i="5"/>
  <c r="AA276" i="5"/>
  <c r="AB457" i="5"/>
  <c r="AA457" i="5"/>
  <c r="AB226" i="5"/>
  <c r="AA226" i="5"/>
  <c r="AA318" i="5"/>
  <c r="AB318" i="5"/>
  <c r="AB179" i="5"/>
  <c r="AA179" i="5"/>
  <c r="AA282" i="5"/>
  <c r="AB282" i="5"/>
  <c r="AB166" i="5"/>
  <c r="AA166" i="5"/>
  <c r="AA480" i="5"/>
  <c r="AB480" i="5"/>
  <c r="AB494" i="5"/>
  <c r="AA494" i="5"/>
  <c r="AA464" i="5"/>
  <c r="AB464" i="5"/>
  <c r="AA471" i="5"/>
  <c r="AB471" i="5"/>
  <c r="AA27" i="5"/>
  <c r="AB27" i="5"/>
  <c r="AB475" i="5"/>
  <c r="AA475" i="5"/>
  <c r="AB204" i="5"/>
  <c r="AA204" i="5"/>
  <c r="AA440" i="5"/>
  <c r="AB440" i="5"/>
  <c r="AB426" i="5"/>
  <c r="AA426" i="5"/>
  <c r="AA518" i="5"/>
  <c r="AB518" i="5"/>
  <c r="AA19" i="5"/>
  <c r="AB19" i="5"/>
  <c r="AB221" i="5"/>
  <c r="AA221" i="5"/>
  <c r="AA470" i="5"/>
  <c r="AB470" i="5"/>
  <c r="AA144" i="5"/>
  <c r="AB144" i="5"/>
  <c r="AA66" i="5"/>
  <c r="AB66" i="5"/>
  <c r="AA79" i="5"/>
  <c r="AB79" i="5"/>
  <c r="AB240" i="5"/>
  <c r="AA240" i="5"/>
  <c r="AB338" i="5"/>
  <c r="AA338" i="5"/>
  <c r="AB193" i="5"/>
  <c r="AA193" i="5"/>
  <c r="AA177" i="5"/>
  <c r="AB177" i="5"/>
  <c r="AA354" i="5"/>
  <c r="AB354" i="5"/>
  <c r="AB473" i="5"/>
  <c r="AA473" i="5"/>
  <c r="AB362" i="5"/>
  <c r="AA362" i="5"/>
  <c r="AA429" i="5"/>
  <c r="AB429" i="5"/>
  <c r="AB365" i="5"/>
  <c r="AA365" i="5"/>
  <c r="AB200" i="5"/>
  <c r="AA200" i="5"/>
  <c r="AB433" i="5"/>
  <c r="AA433" i="5"/>
  <c r="AB484" i="5"/>
  <c r="AA484" i="5"/>
  <c r="AB43" i="5"/>
  <c r="AA43" i="5"/>
  <c r="AA356" i="5"/>
  <c r="AB356" i="5"/>
  <c r="AA163" i="5"/>
  <c r="AB163" i="5"/>
  <c r="AA131" i="5"/>
  <c r="AB131" i="5"/>
  <c r="AA439" i="5"/>
  <c r="AB439" i="5"/>
  <c r="AA322" i="5"/>
  <c r="AB322" i="5"/>
  <c r="AA327" i="5"/>
  <c r="AB327" i="5"/>
  <c r="AA138" i="5"/>
  <c r="AB138" i="5"/>
  <c r="AB218" i="5"/>
  <c r="AA218" i="5"/>
  <c r="AB129" i="5"/>
  <c r="AA129" i="5"/>
  <c r="AA361" i="5"/>
  <c r="AB361" i="5"/>
  <c r="AA312" i="5"/>
  <c r="AB312" i="5"/>
  <c r="AA81" i="5"/>
  <c r="AB81" i="5"/>
  <c r="AA100" i="5"/>
  <c r="AB100" i="5"/>
  <c r="AA241" i="5"/>
  <c r="AB241" i="5"/>
  <c r="AB488" i="5"/>
  <c r="AA488" i="5"/>
  <c r="AB205" i="5"/>
  <c r="AA205" i="5"/>
  <c r="AB299" i="5"/>
  <c r="AA299" i="5"/>
  <c r="AB402" i="5"/>
  <c r="AA402" i="5"/>
  <c r="AA335" i="5"/>
  <c r="AB335" i="5"/>
  <c r="AB549" i="5"/>
  <c r="AA549" i="5"/>
  <c r="AB447" i="5"/>
  <c r="AA447" i="5"/>
  <c r="AA192" i="5"/>
  <c r="AB192" i="5"/>
  <c r="AB486" i="5"/>
  <c r="AA486" i="5"/>
  <c r="AA346" i="5"/>
  <c r="AB346" i="5"/>
  <c r="AA363" i="5"/>
  <c r="AB363" i="5"/>
  <c r="AB88" i="5"/>
  <c r="AA88" i="5"/>
  <c r="AB223" i="5"/>
  <c r="AA223" i="5"/>
  <c r="AA342" i="5"/>
  <c r="AB342" i="5"/>
  <c r="AB278" i="5"/>
  <c r="AA278" i="5"/>
  <c r="AA530" i="5"/>
  <c r="AB530" i="5"/>
  <c r="AB432" i="5"/>
  <c r="AA432" i="5"/>
  <c r="AA490" i="5"/>
  <c r="AB490" i="5"/>
  <c r="AB62" i="5"/>
  <c r="AA62" i="5"/>
  <c r="AA57" i="5"/>
  <c r="AB57" i="5"/>
  <c r="AB259" i="5"/>
  <c r="AA259" i="5"/>
  <c r="AA181" i="5"/>
  <c r="AB181" i="5"/>
  <c r="AA78" i="5"/>
  <c r="AB78" i="5"/>
  <c r="AA376" i="5"/>
  <c r="AB376" i="5"/>
  <c r="AA509" i="5"/>
  <c r="AB509" i="5"/>
  <c r="AA233" i="5"/>
  <c r="AB233" i="5"/>
  <c r="AA554" i="5"/>
  <c r="AB554" i="5"/>
  <c r="AA417" i="5"/>
  <c r="AB417" i="5"/>
  <c r="AB379" i="5"/>
  <c r="AA379" i="5"/>
  <c r="AB211" i="5"/>
  <c r="AA211" i="5"/>
  <c r="AB528" i="5"/>
  <c r="AA528" i="5"/>
  <c r="AA459" i="5"/>
  <c r="AB459" i="5"/>
  <c r="AB350" i="5"/>
  <c r="AA350" i="5"/>
  <c r="AA243" i="5"/>
  <c r="AB243" i="5"/>
  <c r="AB451" i="5"/>
  <c r="AA451" i="5"/>
  <c r="AA444" i="5"/>
  <c r="AB444" i="5"/>
  <c r="AB385" i="5"/>
  <c r="AA385" i="5"/>
  <c r="AA323" i="5"/>
  <c r="AB323" i="5"/>
  <c r="AA99" i="5"/>
  <c r="AB99" i="5"/>
  <c r="AB136" i="5"/>
  <c r="AA136" i="5"/>
  <c r="AA157" i="5"/>
  <c r="AB157" i="5"/>
  <c r="AB210" i="5"/>
  <c r="AA210" i="5"/>
  <c r="AB49" i="5"/>
  <c r="AA49" i="5"/>
  <c r="AB201" i="5"/>
  <c r="AA201" i="5"/>
  <c r="AB383" i="5"/>
  <c r="AA383" i="5"/>
  <c r="AA153" i="5"/>
  <c r="AB153" i="5"/>
  <c r="AB479" i="5"/>
  <c r="AA479" i="5"/>
  <c r="AB224" i="5"/>
  <c r="AA224" i="5"/>
  <c r="AB394" i="5"/>
  <c r="AA394" i="5"/>
  <c r="AB176" i="5"/>
  <c r="AA176" i="5"/>
  <c r="AB173" i="5"/>
  <c r="AA173" i="5"/>
  <c r="AB108" i="5"/>
  <c r="AA108" i="5"/>
  <c r="AA307" i="5"/>
  <c r="AB307" i="5"/>
  <c r="AA113" i="5"/>
  <c r="AB113" i="5"/>
  <c r="AB32" i="5"/>
  <c r="AA32" i="5"/>
  <c r="AB396" i="5"/>
  <c r="AA396" i="5"/>
  <c r="AA541" i="5"/>
  <c r="AB541" i="5"/>
  <c r="AA423" i="5"/>
  <c r="AB423" i="5"/>
  <c r="AB294" i="5"/>
  <c r="AA294" i="5"/>
  <c r="AB70" i="5"/>
  <c r="AA70" i="5"/>
  <c r="AB284" i="5"/>
  <c r="AA284" i="5"/>
  <c r="AB42" i="5"/>
  <c r="AA42" i="5"/>
  <c r="AA268" i="5"/>
  <c r="AB268" i="5"/>
  <c r="AB286" i="5"/>
  <c r="AA286" i="5"/>
  <c r="AB392" i="5"/>
  <c r="AA392" i="5"/>
  <c r="AA158" i="5"/>
  <c r="AB158" i="5"/>
  <c r="AB250" i="5"/>
  <c r="AA250" i="5"/>
  <c r="AA489" i="5"/>
  <c r="AB489" i="5"/>
  <c r="AA551" i="5"/>
  <c r="AB551" i="5"/>
  <c r="AA160" i="5"/>
  <c r="AB160" i="5"/>
  <c r="AB340" i="5"/>
  <c r="AA340" i="5"/>
  <c r="AB117" i="5"/>
  <c r="AA117" i="5"/>
  <c r="AB519" i="5"/>
  <c r="AA519" i="5"/>
  <c r="AA220" i="5"/>
  <c r="AB220" i="5"/>
  <c r="AB437" i="5"/>
  <c r="AA437" i="5"/>
  <c r="AA478" i="5"/>
  <c r="AB478" i="5"/>
  <c r="AA550" i="5"/>
  <c r="AB550" i="5"/>
  <c r="AB167" i="5"/>
  <c r="AA167" i="5"/>
  <c r="AB155" i="5"/>
  <c r="AA155" i="5"/>
  <c r="AA56" i="5"/>
  <c r="AB56" i="5"/>
  <c r="AA86" i="5"/>
  <c r="AB86" i="5"/>
  <c r="AA472" i="5"/>
  <c r="AB472" i="5"/>
  <c r="AB189" i="5"/>
  <c r="AA189" i="5"/>
  <c r="AA292" i="5"/>
  <c r="AB292" i="5"/>
  <c r="AB391" i="5"/>
  <c r="AA391" i="5"/>
  <c r="AB123" i="5"/>
  <c r="AA123" i="5"/>
  <c r="AA227" i="5"/>
  <c r="AB227" i="5"/>
  <c r="AB147" i="5"/>
  <c r="AA147" i="5"/>
  <c r="AB290" i="5"/>
  <c r="AA290" i="5"/>
  <c r="AB251" i="5"/>
  <c r="AA251" i="5"/>
  <c r="AB421" i="5"/>
  <c r="AA421" i="5"/>
  <c r="AA168" i="5"/>
  <c r="AB168" i="5"/>
  <c r="AA126" i="5"/>
  <c r="AB126" i="5"/>
  <c r="AA103" i="5"/>
  <c r="AB103" i="5"/>
  <c r="AB369" i="5"/>
  <c r="AA369" i="5"/>
  <c r="AA61" i="5"/>
  <c r="AB61" i="5"/>
  <c r="AB272" i="5"/>
  <c r="AA272" i="5"/>
  <c r="AA118" i="5"/>
  <c r="AB118" i="5"/>
  <c r="AA266" i="5"/>
  <c r="AB266" i="5"/>
  <c r="AB195" i="5"/>
  <c r="AA195" i="5"/>
  <c r="AA287" i="5"/>
  <c r="AB287" i="5"/>
  <c r="AB270" i="5"/>
  <c r="AA270" i="5"/>
  <c r="AA428" i="5"/>
  <c r="AB428" i="5"/>
  <c r="AB351" i="5"/>
  <c r="AA351" i="5"/>
  <c r="AA387" i="5"/>
  <c r="AB387" i="5"/>
  <c r="AB513" i="5"/>
  <c r="AA513" i="5"/>
  <c r="AA373" i="5"/>
  <c r="AB373" i="5"/>
  <c r="AA180" i="5"/>
  <c r="AB180" i="5"/>
  <c r="AB311" i="5"/>
  <c r="AA311" i="5"/>
  <c r="AA445" i="5"/>
  <c r="AB445" i="5"/>
  <c r="AA38" i="5"/>
  <c r="AB38" i="5"/>
  <c r="AB69" i="5"/>
  <c r="AA69" i="5"/>
  <c r="AA72" i="5"/>
  <c r="AB72" i="5"/>
  <c r="AA35" i="5"/>
  <c r="AB35" i="5"/>
  <c r="AB555" i="5"/>
  <c r="AA555" i="5"/>
  <c r="AA546" i="5"/>
  <c r="AB546" i="5"/>
  <c r="AA448" i="5"/>
  <c r="AB448" i="5"/>
  <c r="AB96" i="5"/>
  <c r="AA96" i="5"/>
  <c r="AB319" i="5"/>
  <c r="AA319" i="5"/>
  <c r="AA237" i="5"/>
  <c r="AB237" i="5"/>
  <c r="AA430" i="5"/>
  <c r="AB430" i="5"/>
  <c r="AB183" i="5"/>
  <c r="AA183" i="5"/>
  <c r="AA95" i="5"/>
  <c r="AB95" i="5"/>
  <c r="AA245" i="5"/>
  <c r="AB245" i="5"/>
  <c r="AA76" i="5"/>
  <c r="AB76" i="5"/>
  <c r="AB89" i="5"/>
  <c r="AA89" i="5"/>
  <c r="AB44" i="5"/>
  <c r="AA44" i="5"/>
  <c r="AB135" i="5"/>
  <c r="AA135" i="5"/>
  <c r="AB283" i="5"/>
  <c r="AA283" i="5"/>
  <c r="AB514" i="5"/>
  <c r="AA514" i="5"/>
  <c r="AA461" i="5"/>
  <c r="AB461" i="5"/>
  <c r="AB68" i="5"/>
  <c r="AA68" i="5"/>
  <c r="AA500" i="5"/>
  <c r="AB500" i="5"/>
  <c r="AA191" i="5"/>
  <c r="AB191" i="5"/>
  <c r="AA436" i="5"/>
  <c r="AB436" i="5"/>
  <c r="AA377" i="5"/>
  <c r="AB377" i="5"/>
  <c r="AB51" i="5"/>
  <c r="AA51" i="5"/>
  <c r="AA331" i="5"/>
  <c r="AB331" i="5"/>
  <c r="AA492" i="5"/>
  <c r="AB492" i="5"/>
  <c r="AB197" i="5"/>
  <c r="AA197" i="5"/>
  <c r="AA232" i="5"/>
  <c r="AB232" i="5"/>
  <c r="AB71" i="5"/>
  <c r="AA71" i="5"/>
  <c r="AB20" i="5"/>
  <c r="AA20" i="5"/>
  <c r="AA257" i="5"/>
  <c r="AB257" i="5"/>
  <c r="AA239" i="5"/>
  <c r="AB239" i="5"/>
  <c r="AA82" i="5"/>
  <c r="AB82" i="5"/>
  <c r="AB460" i="5"/>
  <c r="AA460" i="5"/>
  <c r="AB274" i="5"/>
  <c r="AA274" i="5"/>
  <c r="AB410" i="5"/>
  <c r="AA410" i="5"/>
  <c r="AB264" i="5"/>
  <c r="AA264" i="5"/>
  <c r="AA149" i="5"/>
  <c r="AB149" i="5"/>
  <c r="AB45" i="5"/>
  <c r="AA45" i="5"/>
  <c r="AA401" i="5"/>
  <c r="AB401" i="5"/>
  <c r="AA529" i="5"/>
  <c r="AB529" i="5"/>
  <c r="AA91" i="5"/>
  <c r="AB91" i="5"/>
  <c r="AB405" i="5"/>
  <c r="AA405" i="5"/>
  <c r="AB175" i="5"/>
  <c r="AA175" i="5"/>
  <c r="AA501" i="5"/>
  <c r="AB501" i="5"/>
  <c r="AA31" i="5"/>
  <c r="AB31" i="5"/>
  <c r="AA244" i="5"/>
  <c r="AB244" i="5"/>
  <c r="AB260" i="5"/>
  <c r="AA260" i="5"/>
  <c r="AB170" i="5"/>
  <c r="AA170" i="5"/>
  <c r="AA539" i="5"/>
  <c r="AB539" i="5"/>
  <c r="AB512" i="5"/>
  <c r="AA512" i="5"/>
  <c r="AA406" i="5"/>
  <c r="AB406" i="5"/>
  <c r="AB343" i="5"/>
  <c r="AA343" i="5"/>
  <c r="AB452" i="5"/>
  <c r="AA452" i="5"/>
  <c r="AA353" i="5"/>
  <c r="AB353" i="5"/>
  <c r="AA556" i="5"/>
  <c r="AB556" i="5"/>
  <c r="AB441" i="5"/>
  <c r="AA441" i="5"/>
  <c r="AB67" i="5"/>
  <c r="AA67" i="5"/>
  <c r="AA344" i="5"/>
  <c r="AB344" i="5"/>
  <c r="AA371" i="5"/>
  <c r="AB371" i="5"/>
  <c r="AA164" i="5"/>
  <c r="AB164" i="5"/>
  <c r="AB150" i="5"/>
  <c r="AA150" i="5"/>
  <c r="AA101" i="5"/>
  <c r="AB101" i="5"/>
  <c r="AA293" i="5"/>
  <c r="AB293" i="5"/>
  <c r="AB185" i="5"/>
  <c r="AA185" i="5"/>
  <c r="AB398" i="5"/>
  <c r="AA398" i="5"/>
  <c r="AA105" i="5"/>
  <c r="AB105" i="5"/>
  <c r="AB425" i="5"/>
  <c r="AA425" i="5"/>
  <c r="AA545" i="5"/>
  <c r="AB545" i="5"/>
  <c r="AA174" i="5"/>
  <c r="AB174" i="5"/>
  <c r="AA360" i="5"/>
  <c r="AB360" i="5"/>
  <c r="AB58" i="5"/>
  <c r="AA58" i="5"/>
  <c r="AA29" i="5"/>
  <c r="AB29" i="5"/>
  <c r="AA532" i="5"/>
  <c r="AB532" i="5"/>
  <c r="AB295" i="5"/>
  <c r="AA295" i="5"/>
  <c r="AB83" i="5"/>
  <c r="AA83" i="5"/>
  <c r="AB477" i="5"/>
  <c r="AA477" i="5"/>
  <c r="AA151" i="5"/>
  <c r="AB151" i="5"/>
  <c r="AB261" i="5"/>
  <c r="AA261" i="5"/>
  <c r="AA235" i="5"/>
  <c r="AB235" i="5"/>
  <c r="AB328" i="5"/>
  <c r="AA328" i="5"/>
  <c r="AB381" i="5"/>
  <c r="AA381" i="5"/>
  <c r="AA538" i="5"/>
  <c r="AB538" i="5"/>
  <c r="AB540" i="5"/>
  <c r="AA540" i="5"/>
  <c r="AA298" i="5"/>
  <c r="AB298" i="5"/>
  <c r="AA74" i="5"/>
  <c r="AB74" i="5"/>
  <c r="AB370" i="5"/>
  <c r="AA370" i="5"/>
  <c r="AA231" i="5"/>
  <c r="AB231" i="5"/>
  <c r="AA384" i="5"/>
  <c r="AB384" i="5"/>
  <c r="AA523" i="5"/>
  <c r="AB523" i="5"/>
  <c r="AA214" i="5"/>
  <c r="AB214" i="5"/>
  <c r="AA140" i="5"/>
  <c r="AB140" i="5"/>
  <c r="AA326" i="5"/>
  <c r="AB326" i="5"/>
  <c r="AA213" i="5"/>
  <c r="AB213" i="5"/>
  <c r="AA73" i="5"/>
  <c r="AB73" i="5"/>
  <c r="AA339" i="5"/>
  <c r="AB339" i="5"/>
  <c r="AA258" i="5"/>
  <c r="AB258" i="5"/>
  <c r="AA508" i="5"/>
  <c r="AB508" i="5"/>
  <c r="AA517" i="5"/>
  <c r="AB517" i="5"/>
  <c r="AB466" i="5"/>
  <c r="AA466" i="5"/>
  <c r="AA301" i="5"/>
  <c r="AB301" i="5"/>
  <c r="AA413" i="5"/>
  <c r="AB413" i="5"/>
  <c r="AA534" i="5"/>
  <c r="AB534" i="5"/>
  <c r="AA48" i="5"/>
  <c r="AB48" i="5"/>
  <c r="AA547" i="5"/>
  <c r="AB547" i="5"/>
  <c r="AB36" i="5"/>
  <c r="AA36" i="5"/>
  <c r="AB156" i="5"/>
  <c r="AA156" i="5"/>
  <c r="AB321" i="5"/>
  <c r="AA321" i="5"/>
  <c r="AA212" i="5"/>
  <c r="AB212" i="5"/>
  <c r="AB474" i="5"/>
  <c r="AA474" i="5"/>
  <c r="AB476" i="5"/>
  <c r="AA476" i="5"/>
  <c r="AA228" i="5"/>
  <c r="AB228" i="5"/>
  <c r="AB30" i="5"/>
  <c r="AA30" i="5"/>
  <c r="AA521" i="5"/>
  <c r="AB521" i="5"/>
  <c r="AA458" i="5"/>
  <c r="AB458" i="5"/>
  <c r="AA254" i="5"/>
  <c r="AB254" i="5"/>
  <c r="AB247" i="5"/>
  <c r="AA247" i="5"/>
  <c r="AA75" i="5"/>
  <c r="AB75" i="5"/>
  <c r="AB46" i="5"/>
  <c r="AA46" i="5"/>
  <c r="AB380" i="5"/>
  <c r="AA380" i="5"/>
  <c r="AB310" i="5"/>
  <c r="AA310" i="5"/>
  <c r="AB256" i="5"/>
  <c r="AA256" i="5"/>
  <c r="AA325" i="5"/>
  <c r="AB325" i="5"/>
  <c r="AB28" i="5"/>
  <c r="AA28" i="5"/>
  <c r="AB400" i="5"/>
  <c r="AA400" i="5"/>
  <c r="AA127" i="5"/>
  <c r="AB127" i="5"/>
  <c r="AB279" i="5"/>
  <c r="AA279" i="5"/>
  <c r="AB442" i="5"/>
  <c r="AA442" i="5"/>
  <c r="AA22" i="5"/>
  <c r="AB22" i="5"/>
  <c r="AA208" i="5"/>
  <c r="AB208" i="5"/>
  <c r="AB302" i="5"/>
  <c r="AA302" i="5"/>
  <c r="AB395" i="5"/>
  <c r="AA395" i="5"/>
  <c r="AA465" i="5"/>
  <c r="AB465" i="5"/>
  <c r="AB207" i="5"/>
  <c r="AA207" i="5"/>
  <c r="AB236" i="5"/>
  <c r="AA236" i="5"/>
  <c r="AA506" i="5"/>
  <c r="AB506" i="5"/>
  <c r="AA55" i="5"/>
  <c r="AB55" i="5"/>
  <c r="AA143" i="5"/>
  <c r="AB143" i="5"/>
  <c r="AA315" i="5"/>
  <c r="AB315" i="5"/>
  <c r="AA407" i="5"/>
  <c r="AB407" i="5"/>
  <c r="AB265" i="5"/>
  <c r="AA265" i="5"/>
  <c r="AA415" i="5"/>
  <c r="AB415" i="5"/>
  <c r="AA59" i="5"/>
  <c r="AB59" i="5"/>
  <c r="AB171" i="5"/>
  <c r="AA171" i="5"/>
  <c r="AB25" i="5"/>
  <c r="AA25" i="5"/>
  <c r="AA110" i="5"/>
  <c r="AB110" i="5"/>
  <c r="AA498" i="5"/>
  <c r="AB498" i="5"/>
  <c r="AA64" i="5"/>
  <c r="AB64" i="5"/>
  <c r="AB349" i="5"/>
  <c r="AA349" i="5"/>
  <c r="AA85" i="5"/>
  <c r="AB85" i="5"/>
  <c r="AA280" i="5"/>
  <c r="AB280" i="5"/>
  <c r="AA493" i="5"/>
  <c r="AB493" i="5"/>
  <c r="AA198" i="5"/>
  <c r="AB198" i="5"/>
  <c r="AB296" i="5"/>
  <c r="AA296" i="5"/>
  <c r="AA533" i="5"/>
  <c r="AB533" i="5"/>
  <c r="AB313" i="5"/>
  <c r="AA313" i="5"/>
  <c r="AB386" i="5"/>
  <c r="AA386" i="5"/>
  <c r="AB482" i="5"/>
  <c r="AA482" i="5"/>
  <c r="AA399" i="5"/>
  <c r="AB399" i="5"/>
  <c r="AA275" i="5"/>
  <c r="AB275" i="5"/>
  <c r="AB306" i="5"/>
  <c r="AA306" i="5"/>
  <c r="AB412" i="5"/>
  <c r="AA412" i="5"/>
  <c r="AA152" i="5"/>
  <c r="AB152" i="5"/>
  <c r="AB262" i="5"/>
  <c r="AA262" i="5"/>
  <c r="AB368" i="5"/>
  <c r="AA368" i="5"/>
  <c r="AA332" i="5"/>
  <c r="AB332" i="5"/>
  <c r="AB141" i="5"/>
  <c r="AA141" i="5"/>
  <c r="AA50" i="5"/>
  <c r="AB50" i="5"/>
  <c r="AA422" i="5"/>
  <c r="AB422" i="5"/>
  <c r="AB269" i="5"/>
  <c r="AA269" i="5"/>
  <c r="AB324" i="5"/>
  <c r="AA324" i="5"/>
  <c r="AB229" i="5"/>
  <c r="AA229" i="5"/>
  <c r="AA446" i="5"/>
  <c r="AB446" i="5"/>
  <c r="AB347" i="5"/>
  <c r="AA347" i="5"/>
  <c r="AB515" i="5"/>
  <c r="AA515" i="5"/>
  <c r="AA139" i="5"/>
  <c r="AB139" i="5"/>
  <c r="AA39" i="5"/>
  <c r="AB39" i="5"/>
  <c r="AB87" i="5"/>
  <c r="AA87" i="5"/>
  <c r="AB122" i="5"/>
  <c r="AA122" i="5"/>
  <c r="AB33" i="5"/>
  <c r="AA33" i="5"/>
  <c r="AB467" i="5"/>
  <c r="AA467" i="5"/>
  <c r="AB393" i="5"/>
  <c r="AA393" i="5"/>
  <c r="AB206" i="5"/>
  <c r="AA206" i="5"/>
  <c r="AB199" i="5"/>
  <c r="AA199" i="5"/>
  <c r="AA525" i="5"/>
  <c r="AB525" i="5"/>
  <c r="AB148" i="5"/>
  <c r="AA148" i="5"/>
  <c r="AA511" i="5"/>
  <c r="AB511" i="5"/>
  <c r="AB203" i="5"/>
  <c r="AA203" i="5"/>
  <c r="AA455" i="5"/>
  <c r="AB455" i="5"/>
  <c r="AA308" i="5"/>
  <c r="AB308" i="5"/>
  <c r="AA252" i="5"/>
  <c r="AB252" i="5"/>
  <c r="H55" i="1" l="1"/>
  <c r="B86" i="2" l="1"/>
  <c r="B17" i="2"/>
  <c r="B130" i="2"/>
  <c r="B125" i="2"/>
  <c r="H50" i="1" s="1"/>
  <c r="B120" i="2"/>
  <c r="B124" i="2" s="1"/>
  <c r="H49" i="1" s="1"/>
  <c r="B127" i="2"/>
  <c r="B128" i="2" s="1"/>
  <c r="B113" i="2"/>
  <c r="B13" i="2"/>
  <c r="B45" i="5" l="1"/>
  <c r="T37" i="5" s="1"/>
  <c r="U37" i="5" s="1"/>
  <c r="B240" i="2"/>
  <c r="O12" i="4"/>
  <c r="S51" i="4" s="1"/>
  <c r="B70" i="5"/>
  <c r="B31" i="5"/>
  <c r="B75" i="2"/>
  <c r="B37" i="2"/>
  <c r="B38" i="2" s="1"/>
  <c r="B47" i="2" s="1"/>
  <c r="H23" i="1" s="1"/>
  <c r="B14" i="2"/>
  <c r="B59" i="2"/>
  <c r="B300" i="2"/>
  <c r="B44" i="2"/>
  <c r="B20" i="5"/>
  <c r="B67" i="2"/>
  <c r="H97" i="1"/>
  <c r="B318" i="2"/>
  <c r="B42" i="2"/>
  <c r="B15" i="2"/>
  <c r="B64" i="2"/>
  <c r="B56" i="2"/>
  <c r="B110" i="2"/>
  <c r="B42" i="5"/>
  <c r="W37" i="5" s="1"/>
  <c r="B72" i="2"/>
  <c r="B220" i="2"/>
  <c r="B208" i="2"/>
  <c r="B214" i="2" s="1"/>
  <c r="B249" i="2"/>
  <c r="B250" i="2" s="1"/>
  <c r="B258" i="2" s="1"/>
  <c r="B17" i="5"/>
  <c r="B46" i="5"/>
  <c r="T332" i="5"/>
  <c r="T42" i="5"/>
  <c r="T551" i="5"/>
  <c r="T254" i="5"/>
  <c r="T206" i="5"/>
  <c r="T200" i="5"/>
  <c r="T390" i="5"/>
  <c r="T233" i="5"/>
  <c r="T308" i="5"/>
  <c r="T183" i="5"/>
  <c r="T519" i="5"/>
  <c r="T214" i="5"/>
  <c r="T204" i="5"/>
  <c r="T459" i="5"/>
  <c r="T262" i="5"/>
  <c r="T21" i="5"/>
  <c r="T460" i="5"/>
  <c r="T257" i="5"/>
  <c r="T443" i="5"/>
  <c r="T129" i="5"/>
  <c r="T294" i="5"/>
  <c r="T49" i="5"/>
  <c r="T523" i="5"/>
  <c r="T542" i="5"/>
  <c r="T165" i="5"/>
  <c r="T342" i="5"/>
  <c r="T339" i="5"/>
  <c r="T514" i="5"/>
  <c r="T132" i="5"/>
  <c r="T381" i="5"/>
  <c r="T131" i="5"/>
  <c r="T432" i="5"/>
  <c r="T172" i="5"/>
  <c r="T103" i="5"/>
  <c r="T19" i="5"/>
  <c r="T491" i="5"/>
  <c r="T269" i="5"/>
  <c r="T69" i="5"/>
  <c r="T534" i="5"/>
  <c r="T465" i="5"/>
  <c r="T175" i="5"/>
  <c r="T234" i="5"/>
  <c r="T243" i="5"/>
  <c r="T192" i="5"/>
  <c r="T198" i="5"/>
  <c r="T280" i="5"/>
  <c r="T430" i="5"/>
  <c r="T123" i="5"/>
  <c r="T547" i="5"/>
  <c r="T434" i="5"/>
  <c r="T96" i="5"/>
  <c r="T29" i="5"/>
  <c r="T427" i="5"/>
  <c r="T454" i="5"/>
  <c r="T59" i="5"/>
  <c r="T54" i="5"/>
  <c r="T88" i="5"/>
  <c r="T337" i="5"/>
  <c r="T73" i="5"/>
  <c r="T453" i="5"/>
  <c r="T268" i="5"/>
  <c r="T155" i="5"/>
  <c r="T472" i="5"/>
  <c r="T367" i="5"/>
  <c r="T211" i="5"/>
  <c r="T190" i="5"/>
  <c r="T25" i="5"/>
  <c r="T412" i="5"/>
  <c r="T182" i="5"/>
  <c r="T113" i="5"/>
  <c r="T47" i="5"/>
  <c r="T529" i="5"/>
  <c r="T36" i="5"/>
  <c r="T527" i="5"/>
  <c r="T33" i="5"/>
  <c r="T72" i="5"/>
  <c r="T321" i="5"/>
  <c r="T127" i="5"/>
  <c r="T275" i="5"/>
  <c r="T357" i="5"/>
  <c r="T105" i="5"/>
  <c r="T525" i="5"/>
  <c r="T539" i="5"/>
  <c r="T520" i="5"/>
  <c r="T188" i="5"/>
  <c r="T417" i="5"/>
  <c r="T237" i="5"/>
  <c r="T322" i="5"/>
  <c r="T448" i="5"/>
  <c r="T403" i="5"/>
  <c r="T161" i="5"/>
  <c r="T112" i="5"/>
  <c r="T159" i="5"/>
  <c r="T438" i="5"/>
  <c r="T510" i="5"/>
  <c r="T397" i="5"/>
  <c r="T87" i="5"/>
  <c r="T181" i="5"/>
  <c r="T508" i="5"/>
  <c r="T246" i="5"/>
  <c r="T328" i="5"/>
  <c r="T286" i="5"/>
  <c r="T411" i="5"/>
  <c r="T44" i="5"/>
  <c r="T45" i="5"/>
  <c r="T236" i="5"/>
  <c r="T415" i="5"/>
  <c r="T74" i="5"/>
  <c r="T521" i="5"/>
  <c r="T287" i="5"/>
  <c r="T271" i="5"/>
  <c r="T469" i="5"/>
  <c r="T209" i="5"/>
  <c r="T488" i="5"/>
  <c r="T60" i="5"/>
  <c r="T90" i="5"/>
  <c r="T162" i="5"/>
  <c r="T537" i="5"/>
  <c r="T100" i="5"/>
  <c r="T293" i="5"/>
  <c r="T173" i="5"/>
  <c r="T340" i="5"/>
  <c r="T492" i="5"/>
  <c r="T348" i="5"/>
  <c r="T409" i="5"/>
  <c r="T383" i="5"/>
  <c r="T95" i="5"/>
  <c r="T501" i="5"/>
  <c r="T354" i="5"/>
  <c r="T168" i="5"/>
  <c r="T333" i="5"/>
  <c r="T20" i="5"/>
  <c r="T231" i="5"/>
  <c r="T360" i="5"/>
  <c r="T541" i="5"/>
  <c r="T484" i="5"/>
  <c r="T46" i="5"/>
  <c r="T513" i="5"/>
  <c r="T327" i="5"/>
  <c r="T478" i="5"/>
  <c r="T92" i="5"/>
  <c r="T23" i="5"/>
  <c r="T426" i="5"/>
  <c r="T149" i="5"/>
  <c r="T65" i="5"/>
  <c r="T405" i="5"/>
  <c r="T395" i="5"/>
  <c r="T431" i="5"/>
  <c r="T550" i="5"/>
  <c r="T505" i="5"/>
  <c r="T343" i="5"/>
  <c r="T239" i="5"/>
  <c r="T490" i="5"/>
  <c r="T407" i="5"/>
  <c r="T171" i="5"/>
  <c r="T494" i="5"/>
  <c r="T456" i="5"/>
  <c r="T414" i="5"/>
  <c r="T331" i="5"/>
  <c r="T150" i="5"/>
  <c r="T392" i="5"/>
  <c r="T110" i="5"/>
  <c r="T146" i="5"/>
  <c r="T226" i="5"/>
  <c r="T483" i="5"/>
  <c r="T304" i="5"/>
  <c r="T366" i="5"/>
  <c r="T479" i="5"/>
  <c r="T556" i="5"/>
  <c r="T24" i="5"/>
  <c r="T379" i="5"/>
  <c r="T266" i="5"/>
  <c r="T222" i="5"/>
  <c r="T352" i="5"/>
  <c r="T180" i="5"/>
  <c r="T305" i="5"/>
  <c r="T474" i="5"/>
  <c r="T196" i="5"/>
  <c r="T499" i="5"/>
  <c r="T425" i="5"/>
  <c r="T48" i="5"/>
  <c r="T480" i="5"/>
  <c r="T208" i="5"/>
  <c r="T444" i="5"/>
  <c r="T277" i="5"/>
  <c r="T369" i="5"/>
  <c r="T244" i="5"/>
  <c r="T265" i="5"/>
  <c r="T138" i="5"/>
  <c r="T389" i="5"/>
  <c r="T35" i="5"/>
  <c r="T152" i="5"/>
  <c r="T471" i="5"/>
  <c r="T199" i="5"/>
  <c r="T185" i="5"/>
  <c r="T349" i="5"/>
  <c r="T364" i="5"/>
  <c r="T313" i="5"/>
  <c r="T318" i="5"/>
  <c r="T51" i="5"/>
  <c r="T274" i="5"/>
  <c r="T391" i="5"/>
  <c r="T306" i="5"/>
  <c r="T85" i="5"/>
  <c r="T221" i="5"/>
  <c r="T78" i="5"/>
  <c r="T518" i="5"/>
  <c r="T301" i="5"/>
  <c r="T203" i="5"/>
  <c r="T289" i="5"/>
  <c r="T418" i="5"/>
  <c r="T144" i="5"/>
  <c r="T86" i="5"/>
  <c r="T325" i="5"/>
  <c r="T528" i="5"/>
  <c r="T22" i="5"/>
  <c r="T122" i="5"/>
  <c r="T445" i="5"/>
  <c r="T264" i="5"/>
  <c r="T416" i="5"/>
  <c r="T423" i="5"/>
  <c r="T299" i="5"/>
  <c r="T326" i="5"/>
  <c r="T205" i="5"/>
  <c r="T260" i="5"/>
  <c r="T553" i="5"/>
  <c r="T368" i="5"/>
  <c r="T140" i="5"/>
  <c r="T225" i="5"/>
  <c r="T62" i="5"/>
  <c r="T272" i="5"/>
  <c r="T228" i="5"/>
  <c r="T193" i="5"/>
  <c r="T385" i="5"/>
  <c r="T498" i="5"/>
  <c r="T40" i="5"/>
  <c r="T71" i="5"/>
  <c r="T429" i="5"/>
  <c r="T26" i="5"/>
  <c r="T109" i="5"/>
  <c r="T99" i="5"/>
  <c r="T526" i="5"/>
  <c r="T241" i="5"/>
  <c r="T536" i="5"/>
  <c r="T387" i="5"/>
  <c r="T540" i="5"/>
  <c r="T436" i="5"/>
  <c r="T447" i="5"/>
  <c r="T267" i="5"/>
  <c r="T139" i="5"/>
  <c r="T63" i="5"/>
  <c r="T504" i="5"/>
  <c r="T330" i="5"/>
  <c r="T118" i="5"/>
  <c r="T101" i="5"/>
  <c r="T344" i="5"/>
  <c r="T440" i="5"/>
  <c r="T34" i="5"/>
  <c r="T401" i="5"/>
  <c r="T463" i="5"/>
  <c r="T121" i="5"/>
  <c r="T358" i="5"/>
  <c r="T386" i="5"/>
  <c r="T457" i="5"/>
  <c r="T52" i="5"/>
  <c r="T319" i="5"/>
  <c r="T370" i="5"/>
  <c r="T97" i="5"/>
  <c r="T251" i="5"/>
  <c r="T166" i="5"/>
  <c r="T464" i="5"/>
  <c r="T335" i="5"/>
  <c r="T177" i="5"/>
  <c r="T207" i="5"/>
  <c r="T413" i="5"/>
  <c r="T259" i="5"/>
  <c r="T56" i="5"/>
  <c r="T300" i="5"/>
  <c r="T393" i="5"/>
  <c r="T345" i="5"/>
  <c r="T255" i="5"/>
  <c r="T117" i="5"/>
  <c r="T158" i="5"/>
  <c r="T184" i="5"/>
  <c r="T458" i="5"/>
  <c r="T433" i="5"/>
  <c r="T511" i="5"/>
  <c r="T363" i="5"/>
  <c r="T283" i="5"/>
  <c r="T545" i="5"/>
  <c r="T373" i="5"/>
  <c r="T400" i="5"/>
  <c r="T43" i="5"/>
  <c r="T538" i="5"/>
  <c r="T107" i="5"/>
  <c r="T380" i="5"/>
  <c r="T83" i="5"/>
  <c r="T315" i="5"/>
  <c r="T270" i="5"/>
  <c r="T240" i="5"/>
  <c r="T79" i="5"/>
  <c r="T422" i="5"/>
  <c r="T235" i="5"/>
  <c r="T435" i="5"/>
  <c r="T76" i="5"/>
  <c r="T210" i="5"/>
  <c r="T336" i="5"/>
  <c r="T68" i="5"/>
  <c r="T134" i="5"/>
  <c r="T307" i="5"/>
  <c r="T512" i="5"/>
  <c r="T75" i="5"/>
  <c r="T290" i="5"/>
  <c r="T509" i="5"/>
  <c r="T156" i="5"/>
  <c r="T70" i="5"/>
  <c r="T157" i="5"/>
  <c r="T353" i="5"/>
  <c r="T544" i="5"/>
  <c r="T388" i="5"/>
  <c r="T292" i="5"/>
  <c r="T500" i="5"/>
  <c r="T115" i="5"/>
  <c r="T39" i="5"/>
  <c r="T555" i="5"/>
  <c r="T194" i="5"/>
  <c r="T317" i="5"/>
  <c r="T142" i="5"/>
  <c r="T128" i="5"/>
  <c r="T516" i="5"/>
  <c r="T104" i="5"/>
  <c r="T284" i="5"/>
  <c r="T137" i="5"/>
  <c r="T91" i="5"/>
  <c r="T147" i="5"/>
  <c r="T220" i="5"/>
  <c r="T248" i="5"/>
  <c r="T421" i="5"/>
  <c r="T145" i="5"/>
  <c r="T57" i="5"/>
  <c r="T310" i="5"/>
  <c r="T250" i="5"/>
  <c r="T371" i="5"/>
  <c r="T316" i="5"/>
  <c r="T261" i="5"/>
  <c r="T441" i="5"/>
  <c r="T169" i="5"/>
  <c r="T197" i="5"/>
  <c r="T143" i="5"/>
  <c r="T450" i="5"/>
  <c r="T133" i="5"/>
  <c r="T298" i="5"/>
  <c r="T382" i="5"/>
  <c r="T12" i="5"/>
  <c r="T372" i="5"/>
  <c r="T482" i="5"/>
  <c r="T560" i="5"/>
  <c r="T546" i="5"/>
  <c r="T195" i="5"/>
  <c r="T219" i="5"/>
  <c r="T13" i="5"/>
  <c r="T186" i="5"/>
  <c r="T531" i="5"/>
  <c r="T475" i="5"/>
  <c r="T361" i="5"/>
  <c r="T153" i="5"/>
  <c r="T303" i="5"/>
  <c r="T334" i="5"/>
  <c r="T359" i="5"/>
  <c r="T64" i="5"/>
  <c r="T487" i="5"/>
  <c r="T89" i="5"/>
  <c r="T258" i="5"/>
  <c r="T452" i="5"/>
  <c r="T503" i="5"/>
  <c r="T517" i="5"/>
  <c r="T174" i="5"/>
  <c r="T61" i="5"/>
  <c r="T84" i="5"/>
  <c r="T329" i="5"/>
  <c r="T524" i="5"/>
  <c r="T141" i="5"/>
  <c r="T111" i="5"/>
  <c r="T32" i="5"/>
  <c r="T276" i="5"/>
  <c r="T554" i="5"/>
  <c r="T309" i="5"/>
  <c r="T420" i="5"/>
  <c r="T408" i="5"/>
  <c r="T31" i="5"/>
  <c r="T311" i="5"/>
  <c r="T80" i="5"/>
  <c r="T530" i="5"/>
  <c r="T493" i="5"/>
  <c r="T114" i="5"/>
  <c r="T507" i="5"/>
  <c r="T377" i="5"/>
  <c r="T428" i="5"/>
  <c r="T282" i="5"/>
  <c r="T375" i="5"/>
  <c r="T53" i="5"/>
  <c r="T291" i="5"/>
  <c r="T398" i="5"/>
  <c r="T125" i="5"/>
  <c r="T213" i="5"/>
  <c r="T120" i="5"/>
  <c r="T485" i="5"/>
  <c r="T295" i="5"/>
  <c r="T394" i="5"/>
  <c r="T502" i="5"/>
  <c r="T476" i="5"/>
  <c r="T486" i="5"/>
  <c r="T473" i="5"/>
  <c r="T548" i="5"/>
  <c r="T256" i="5"/>
  <c r="T496" i="5"/>
  <c r="T202" i="5"/>
  <c r="T442" i="5"/>
  <c r="T461" i="5"/>
  <c r="T201" i="5"/>
  <c r="T58" i="5"/>
  <c r="T94" i="5"/>
  <c r="T439" i="5"/>
  <c r="T297" i="5"/>
  <c r="T8" i="5"/>
  <c r="T506" i="5"/>
  <c r="T495" i="5"/>
  <c r="T66" i="5"/>
  <c r="T253" i="5"/>
  <c r="T50" i="5"/>
  <c r="T533" i="5"/>
  <c r="T341" i="5"/>
  <c r="T41" i="5"/>
  <c r="T249" i="5"/>
  <c r="T154" i="5"/>
  <c r="T224" i="5"/>
  <c r="T163" i="5"/>
  <c r="T38" i="5"/>
  <c r="T350" i="5"/>
  <c r="T338" i="5"/>
  <c r="T216" i="5"/>
  <c r="T351" i="5"/>
  <c r="T314" i="5"/>
  <c r="T218" i="5"/>
  <c r="T189" i="5"/>
  <c r="T312" i="5"/>
  <c r="T227" i="5"/>
  <c r="T399" i="5"/>
  <c r="T281" i="5"/>
  <c r="T232" i="5"/>
  <c r="T424" i="5"/>
  <c r="T522" i="5"/>
  <c r="T384" i="5"/>
  <c r="T263" i="5"/>
  <c r="T247" i="5"/>
  <c r="T396" i="5"/>
  <c r="T535" i="5"/>
  <c r="T102" i="5"/>
  <c r="T470" i="5"/>
  <c r="T419" i="5"/>
  <c r="T356" i="5"/>
  <c r="T462" i="5"/>
  <c r="T320" i="5"/>
  <c r="T468" i="5"/>
  <c r="T28" i="5"/>
  <c r="T467" i="5"/>
  <c r="T410" i="5"/>
  <c r="T481" i="5"/>
  <c r="T151" i="5"/>
  <c r="T81" i="5"/>
  <c r="T489" i="5"/>
  <c r="T176" i="5"/>
  <c r="T323" i="5"/>
  <c r="T355" i="5"/>
  <c r="T98" i="5"/>
  <c r="T532" i="5"/>
  <c r="T116" i="5"/>
  <c r="T178" i="5"/>
  <c r="T164" i="5"/>
  <c r="T543" i="5"/>
  <c r="T296" i="5"/>
  <c r="T77" i="5"/>
  <c r="T477" i="5"/>
  <c r="T376" i="5"/>
  <c r="T558" i="5"/>
  <c r="T27" i="5"/>
  <c r="T404" i="5"/>
  <c r="T67" i="5"/>
  <c r="T559" i="5"/>
  <c r="T135" i="5"/>
  <c r="T437" i="5"/>
  <c r="T191" i="5"/>
  <c r="T187" i="5"/>
  <c r="T549" i="5"/>
  <c r="T552" i="5"/>
  <c r="T324" i="5"/>
  <c r="T365" i="5"/>
  <c r="T278" i="5"/>
  <c r="T273" i="5"/>
  <c r="T402" i="5"/>
  <c r="T378" i="5"/>
  <c r="T55" i="5"/>
  <c r="T229" i="5"/>
  <c r="T108" i="5"/>
  <c r="T362" i="5"/>
  <c r="T302" i="5"/>
  <c r="T347" i="5"/>
  <c r="T406" i="5"/>
  <c r="T119" i="5"/>
  <c r="T374" i="5"/>
  <c r="T230" i="5"/>
  <c r="T136" i="5"/>
  <c r="T515" i="5"/>
  <c r="T285" i="5"/>
  <c r="T455" i="5"/>
  <c r="T288" i="5"/>
  <c r="T466" i="5"/>
  <c r="T126" i="5"/>
  <c r="T451" i="5"/>
  <c r="T130" i="5"/>
  <c r="T217" i="5"/>
  <c r="T242" i="5"/>
  <c r="T238" i="5"/>
  <c r="T160" i="5"/>
  <c r="T82" i="5"/>
  <c r="T497" i="5"/>
  <c r="T252" i="5"/>
  <c r="T245" i="5"/>
  <c r="T93" i="5"/>
  <c r="T30" i="5"/>
  <c r="T557" i="5"/>
  <c r="T215" i="5"/>
  <c r="T346" i="5"/>
  <c r="T148" i="5"/>
  <c r="T179" i="5"/>
  <c r="T170" i="5"/>
  <c r="T106" i="5"/>
  <c r="T167" i="5"/>
  <c r="T449" i="5"/>
  <c r="T446" i="5"/>
  <c r="T212" i="5"/>
  <c r="T279" i="5"/>
  <c r="T223" i="5"/>
  <c r="T124" i="5"/>
  <c r="B184" i="2"/>
  <c r="H87" i="1" s="1"/>
  <c r="B251" i="2"/>
  <c r="B252" i="2" s="1"/>
  <c r="B75" i="5"/>
  <c r="AM37" i="5" s="1"/>
  <c r="B217" i="2"/>
  <c r="B131" i="2"/>
  <c r="H53" i="1" s="1"/>
  <c r="B134" i="2"/>
  <c r="B137" i="2" s="1"/>
  <c r="H57" i="1" s="1"/>
  <c r="B121" i="2"/>
  <c r="B122" i="2" s="1"/>
  <c r="H47" i="1" s="1"/>
  <c r="V37" i="5" l="1"/>
  <c r="AO37" i="5"/>
  <c r="AN37" i="5"/>
  <c r="S154" i="4"/>
  <c r="U154" i="4" s="1"/>
  <c r="S61" i="4"/>
  <c r="AV61" i="4" s="1"/>
  <c r="S127" i="4"/>
  <c r="U127" i="4" s="1"/>
  <c r="S150" i="4"/>
  <c r="U150" i="4" s="1"/>
  <c r="S73" i="4"/>
  <c r="U73" i="4" s="1"/>
  <c r="S9" i="4"/>
  <c r="AV9" i="4" s="1"/>
  <c r="S11" i="4"/>
  <c r="S42" i="4"/>
  <c r="U42" i="4" s="1"/>
  <c r="S84" i="4"/>
  <c r="U84" i="4" s="1"/>
  <c r="S90" i="4"/>
  <c r="V90" i="4" s="1"/>
  <c r="S120" i="4"/>
  <c r="U120" i="4" s="1"/>
  <c r="S45" i="4"/>
  <c r="AV45" i="4" s="1"/>
  <c r="S57" i="4"/>
  <c r="U57" i="4" s="1"/>
  <c r="S77" i="4"/>
  <c r="V77" i="4" s="1"/>
  <c r="S138" i="4"/>
  <c r="U138" i="4" s="1"/>
  <c r="S111" i="4"/>
  <c r="U111" i="4" s="1"/>
  <c r="S49" i="4"/>
  <c r="U49" i="4" s="1"/>
  <c r="S121" i="4"/>
  <c r="AV121" i="4" s="1"/>
  <c r="S157" i="4"/>
  <c r="AV157" i="4" s="1"/>
  <c r="S117" i="4"/>
  <c r="U117" i="4" s="1"/>
  <c r="S15" i="4"/>
  <c r="V15" i="4" s="1"/>
  <c r="S155" i="4"/>
  <c r="U155" i="4" s="1"/>
  <c r="S50" i="4"/>
  <c r="AV50" i="4" s="1"/>
  <c r="S70" i="4"/>
  <c r="AV70" i="4" s="1"/>
  <c r="S80" i="4"/>
  <c r="AV80" i="4" s="1"/>
  <c r="S43" i="4"/>
  <c r="U43" i="4" s="1"/>
  <c r="S118" i="4"/>
  <c r="U118" i="4" s="1"/>
  <c r="S91" i="4"/>
  <c r="U91" i="4" s="1"/>
  <c r="S113" i="4"/>
  <c r="U113" i="4" s="1"/>
  <c r="S18" i="4"/>
  <c r="V18" i="4" s="1"/>
  <c r="S86" i="4"/>
  <c r="U86" i="4" s="1"/>
  <c r="S112" i="4"/>
  <c r="AV112" i="4" s="1"/>
  <c r="S54" i="4"/>
  <c r="V54" i="4" s="1"/>
  <c r="S153" i="4"/>
  <c r="V153" i="4" s="1"/>
  <c r="S88" i="4"/>
  <c r="AV88" i="4" s="1"/>
  <c r="S74" i="4"/>
  <c r="U74" i="4" s="1"/>
  <c r="S38" i="4"/>
  <c r="U38" i="4" s="1"/>
  <c r="S26" i="4"/>
  <c r="V26" i="4" s="1"/>
  <c r="S89" i="4"/>
  <c r="U89" i="4" s="1"/>
  <c r="S10" i="4"/>
  <c r="AV10" i="4" s="1"/>
  <c r="S22" i="4"/>
  <c r="U22" i="4" s="1"/>
  <c r="S30" i="4"/>
  <c r="V30" i="4" s="1"/>
  <c r="S123" i="4"/>
  <c r="AV123" i="4" s="1"/>
  <c r="S71" i="4"/>
  <c r="U71" i="4" s="1"/>
  <c r="S60" i="4"/>
  <c r="U60" i="4" s="1"/>
  <c r="S101" i="4"/>
  <c r="U101" i="4" s="1"/>
  <c r="S119" i="4"/>
  <c r="U119" i="4" s="1"/>
  <c r="S105" i="4"/>
  <c r="AV105" i="4" s="1"/>
  <c r="S66" i="4"/>
  <c r="U66" i="4" s="1"/>
  <c r="S96" i="4"/>
  <c r="U96" i="4" s="1"/>
  <c r="S130" i="4"/>
  <c r="U130" i="4" s="1"/>
  <c r="S75" i="4"/>
  <c r="U75" i="4" s="1"/>
  <c r="S20" i="4"/>
  <c r="U20" i="4" s="1"/>
  <c r="S37" i="4"/>
  <c r="V37" i="4" s="1"/>
  <c r="S140" i="4"/>
  <c r="V140" i="4" s="1"/>
  <c r="S35" i="4"/>
  <c r="U35" i="4" s="1"/>
  <c r="S129" i="4"/>
  <c r="V129" i="4" s="1"/>
  <c r="S134" i="4"/>
  <c r="U134" i="4" s="1"/>
  <c r="S33" i="4"/>
  <c r="V33" i="4" s="1"/>
  <c r="S29" i="4"/>
  <c r="AV29" i="4" s="1"/>
  <c r="S144" i="4"/>
  <c r="U144" i="4" s="1"/>
  <c r="S114" i="4"/>
  <c r="AV114" i="4" s="1"/>
  <c r="S23" i="4"/>
  <c r="U23" i="4" s="1"/>
  <c r="S97" i="4"/>
  <c r="U97" i="4" s="1"/>
  <c r="S12" i="4"/>
  <c r="U12" i="4" s="1"/>
  <c r="S19" i="4"/>
  <c r="V19" i="4" s="1"/>
  <c r="S137" i="4"/>
  <c r="V137" i="4" s="1"/>
  <c r="S110" i="4"/>
  <c r="AV110" i="4" s="1"/>
  <c r="S151" i="4"/>
  <c r="U151" i="4" s="1"/>
  <c r="S148" i="4"/>
  <c r="V148" i="4" s="1"/>
  <c r="S107" i="4"/>
  <c r="U107" i="4" s="1"/>
  <c r="S64" i="4"/>
  <c r="U64" i="4" s="1"/>
  <c r="S36" i="4"/>
  <c r="AV36" i="4" s="1"/>
  <c r="S21" i="4"/>
  <c r="V21" i="4" s="1"/>
  <c r="S125" i="4"/>
  <c r="AV125" i="4" s="1"/>
  <c r="S34" i="4"/>
  <c r="U34" i="4" s="1"/>
  <c r="S149" i="4"/>
  <c r="U149" i="4" s="1"/>
  <c r="S7" i="4"/>
  <c r="U7" i="4" s="1"/>
  <c r="S63" i="4"/>
  <c r="V63" i="4" s="1"/>
  <c r="S72" i="4"/>
  <c r="U72" i="4" s="1"/>
  <c r="S87" i="4"/>
  <c r="U87" i="4" s="1"/>
  <c r="S62" i="4"/>
  <c r="U62" i="4" s="1"/>
  <c r="S92" i="4"/>
  <c r="AV92" i="4" s="1"/>
  <c r="S135" i="4"/>
  <c r="U135" i="4" s="1"/>
  <c r="S106" i="4"/>
  <c r="AV106" i="4" s="1"/>
  <c r="S133" i="4"/>
  <c r="U133" i="4" s="1"/>
  <c r="S103" i="4"/>
  <c r="U103" i="4" s="1"/>
  <c r="S131" i="4"/>
  <c r="AV131" i="4" s="1"/>
  <c r="S69" i="4"/>
  <c r="U69" i="4" s="1"/>
  <c r="S39" i="4"/>
  <c r="AV39" i="4" s="1"/>
  <c r="S59" i="4"/>
  <c r="U59" i="4" s="1"/>
  <c r="S41" i="4"/>
  <c r="V41" i="4" s="1"/>
  <c r="S68" i="4"/>
  <c r="V68" i="4" s="1"/>
  <c r="S100" i="4"/>
  <c r="AV100" i="4" s="1"/>
  <c r="S13" i="4"/>
  <c r="V13" i="4" s="1"/>
  <c r="S152" i="4"/>
  <c r="U152" i="4" s="1"/>
  <c r="S47" i="4"/>
  <c r="AV47" i="4" s="1"/>
  <c r="S109" i="4"/>
  <c r="V109" i="4" s="1"/>
  <c r="S28" i="4"/>
  <c r="U28" i="4" s="1"/>
  <c r="S104" i="4"/>
  <c r="U104" i="4" s="1"/>
  <c r="S82" i="4"/>
  <c r="U82" i="4" s="1"/>
  <c r="S115" i="4"/>
  <c r="U115" i="4" s="1"/>
  <c r="S132" i="4"/>
  <c r="U132" i="4" s="1"/>
  <c r="S32" i="4"/>
  <c r="V32" i="4" s="1"/>
  <c r="S122" i="4"/>
  <c r="U122" i="4" s="1"/>
  <c r="S81" i="4"/>
  <c r="U81" i="4" s="1"/>
  <c r="S147" i="4"/>
  <c r="U147" i="4" s="1"/>
  <c r="S53" i="4"/>
  <c r="U53" i="4" s="1"/>
  <c r="S136" i="4"/>
  <c r="V136" i="4" s="1"/>
  <c r="S126" i="4"/>
  <c r="U126" i="4" s="1"/>
  <c r="S58" i="4"/>
  <c r="AV58" i="4" s="1"/>
  <c r="S78" i="4"/>
  <c r="V78" i="4" s="1"/>
  <c r="S93" i="4"/>
  <c r="U93" i="4" s="1"/>
  <c r="S156" i="4"/>
  <c r="U156" i="4" s="1"/>
  <c r="S14" i="4"/>
  <c r="U14" i="4" s="1"/>
  <c r="S98" i="4"/>
  <c r="U98" i="4" s="1"/>
  <c r="S55" i="4"/>
  <c r="U55" i="4" s="1"/>
  <c r="S27" i="4"/>
  <c r="U27" i="4" s="1"/>
  <c r="S146" i="4"/>
  <c r="U146" i="4" s="1"/>
  <c r="S79" i="4"/>
  <c r="AV79" i="4" s="1"/>
  <c r="S16" i="4"/>
  <c r="U16" i="4" s="1"/>
  <c r="S94" i="4"/>
  <c r="U94" i="4" s="1"/>
  <c r="S143" i="4"/>
  <c r="U143" i="4" s="1"/>
  <c r="S141" i="4"/>
  <c r="U141" i="4" s="1"/>
  <c r="S76" i="4"/>
  <c r="V76" i="4" s="1"/>
  <c r="S139" i="4"/>
  <c r="U139" i="4" s="1"/>
  <c r="S124" i="4"/>
  <c r="U124" i="4" s="1"/>
  <c r="S56" i="4"/>
  <c r="U56" i="4" s="1"/>
  <c r="S83" i="4"/>
  <c r="U83" i="4" s="1"/>
  <c r="S31" i="4"/>
  <c r="U31" i="4" s="1"/>
  <c r="S145" i="4"/>
  <c r="U145" i="4" s="1"/>
  <c r="S128" i="4"/>
  <c r="V128" i="4" s="1"/>
  <c r="S24" i="4"/>
  <c r="U24" i="4" s="1"/>
  <c r="S48" i="4"/>
  <c r="U48" i="4" s="1"/>
  <c r="S99" i="4"/>
  <c r="U99" i="4" s="1"/>
  <c r="S17" i="4"/>
  <c r="V17" i="4" s="1"/>
  <c r="S8" i="4"/>
  <c r="U8" i="4" s="1"/>
  <c r="S65" i="4"/>
  <c r="AV65" i="4" s="1"/>
  <c r="S46" i="4"/>
  <c r="AV46" i="4" s="1"/>
  <c r="S44" i="4"/>
  <c r="AV44" i="4" s="1"/>
  <c r="S102" i="4"/>
  <c r="U102" i="4" s="1"/>
  <c r="S108" i="4"/>
  <c r="U108" i="4" s="1"/>
  <c r="S67" i="4"/>
  <c r="V67" i="4" s="1"/>
  <c r="S25" i="4"/>
  <c r="U25" i="4" s="1"/>
  <c r="S142" i="4"/>
  <c r="V142" i="4" s="1"/>
  <c r="S85" i="4"/>
  <c r="AV85" i="4" s="1"/>
  <c r="S52" i="4"/>
  <c r="AV52" i="4" s="1"/>
  <c r="S40" i="4"/>
  <c r="U40" i="4" s="1"/>
  <c r="S116" i="4"/>
  <c r="V116" i="4" s="1"/>
  <c r="S95" i="4"/>
  <c r="AV95" i="4" s="1"/>
  <c r="X37" i="5"/>
  <c r="Y37" i="5"/>
  <c r="B212" i="2"/>
  <c r="P7" i="5" s="1"/>
  <c r="U449" i="5"/>
  <c r="V449" i="5"/>
  <c r="U212" i="5"/>
  <c r="V212" i="5"/>
  <c r="U346" i="5"/>
  <c r="V346" i="5"/>
  <c r="V82" i="5"/>
  <c r="U82" i="5"/>
  <c r="U466" i="5"/>
  <c r="V466" i="5"/>
  <c r="U119" i="5"/>
  <c r="V119" i="5"/>
  <c r="U378" i="5"/>
  <c r="V378" i="5"/>
  <c r="U187" i="5"/>
  <c r="V187" i="5"/>
  <c r="U558" i="5"/>
  <c r="V558" i="5"/>
  <c r="V116" i="5"/>
  <c r="U116" i="5"/>
  <c r="U151" i="5"/>
  <c r="V151" i="5"/>
  <c r="V356" i="5"/>
  <c r="U356" i="5"/>
  <c r="U384" i="5"/>
  <c r="V384" i="5"/>
  <c r="U189" i="5"/>
  <c r="V189" i="5"/>
  <c r="V163" i="5"/>
  <c r="U163" i="5"/>
  <c r="V253" i="5"/>
  <c r="U253" i="5"/>
  <c r="U58" i="5"/>
  <c r="V58" i="5"/>
  <c r="V473" i="5"/>
  <c r="U473" i="5"/>
  <c r="V213" i="5"/>
  <c r="U213" i="5"/>
  <c r="U377" i="5"/>
  <c r="V377" i="5"/>
  <c r="U408" i="5"/>
  <c r="V408" i="5"/>
  <c r="V524" i="5"/>
  <c r="U524" i="5"/>
  <c r="U258" i="5"/>
  <c r="V258" i="5"/>
  <c r="U361" i="5"/>
  <c r="V361" i="5"/>
  <c r="U560" i="5"/>
  <c r="V560" i="5"/>
  <c r="U143" i="5"/>
  <c r="V143" i="5"/>
  <c r="V310" i="5"/>
  <c r="U310" i="5"/>
  <c r="U137" i="5"/>
  <c r="V137" i="5"/>
  <c r="U555" i="5"/>
  <c r="V555" i="5"/>
  <c r="U157" i="5"/>
  <c r="V157" i="5"/>
  <c r="U134" i="5"/>
  <c r="V134" i="5"/>
  <c r="U79" i="5"/>
  <c r="V79" i="5"/>
  <c r="U43" i="5"/>
  <c r="V43" i="5"/>
  <c r="U458" i="5"/>
  <c r="V458" i="5"/>
  <c r="V56" i="5"/>
  <c r="U56" i="5"/>
  <c r="V251" i="5"/>
  <c r="U251" i="5"/>
  <c r="U121" i="5"/>
  <c r="V121" i="5"/>
  <c r="V330" i="5"/>
  <c r="U330" i="5"/>
  <c r="V540" i="5"/>
  <c r="U540" i="5"/>
  <c r="V429" i="5"/>
  <c r="U429" i="5"/>
  <c r="U62" i="5"/>
  <c r="V62" i="5"/>
  <c r="U299" i="5"/>
  <c r="V299" i="5"/>
  <c r="U325" i="5"/>
  <c r="V325" i="5"/>
  <c r="V78" i="5"/>
  <c r="U78" i="5"/>
  <c r="V313" i="5"/>
  <c r="U313" i="5"/>
  <c r="V389" i="5"/>
  <c r="U389" i="5"/>
  <c r="U480" i="5"/>
  <c r="V480" i="5"/>
  <c r="U352" i="5"/>
  <c r="V352" i="5"/>
  <c r="V304" i="5"/>
  <c r="U304" i="5"/>
  <c r="V414" i="5"/>
  <c r="U414" i="5"/>
  <c r="V505" i="5"/>
  <c r="U505" i="5"/>
  <c r="U23" i="5"/>
  <c r="V23" i="5"/>
  <c r="V360" i="5"/>
  <c r="U360" i="5"/>
  <c r="U383" i="5"/>
  <c r="V383" i="5"/>
  <c r="U537" i="5"/>
  <c r="V537" i="5"/>
  <c r="U287" i="5"/>
  <c r="V287" i="5"/>
  <c r="V286" i="5"/>
  <c r="U286" i="5"/>
  <c r="U438" i="5"/>
  <c r="V438" i="5"/>
  <c r="U417" i="5"/>
  <c r="V417" i="5"/>
  <c r="U127" i="5"/>
  <c r="V127" i="5"/>
  <c r="U113" i="5"/>
  <c r="V113" i="5"/>
  <c r="V155" i="5"/>
  <c r="U155" i="5"/>
  <c r="V454" i="5"/>
  <c r="U454" i="5"/>
  <c r="U280" i="5"/>
  <c r="V280" i="5"/>
  <c r="V69" i="5"/>
  <c r="U69" i="5"/>
  <c r="V381" i="5"/>
  <c r="U381" i="5"/>
  <c r="U49" i="5"/>
  <c r="V49" i="5"/>
  <c r="V459" i="5"/>
  <c r="U459" i="5"/>
  <c r="U200" i="5"/>
  <c r="V200" i="5"/>
  <c r="K95" i="2"/>
  <c r="B65" i="2"/>
  <c r="U170" i="5"/>
  <c r="V170" i="5"/>
  <c r="B218" i="2"/>
  <c r="T7" i="5"/>
  <c r="V446" i="5"/>
  <c r="U446" i="5"/>
  <c r="U215" i="5"/>
  <c r="V215" i="5"/>
  <c r="U160" i="5"/>
  <c r="V160" i="5"/>
  <c r="U288" i="5"/>
  <c r="V288" i="5"/>
  <c r="U406" i="5"/>
  <c r="V406" i="5"/>
  <c r="U402" i="5"/>
  <c r="V402" i="5"/>
  <c r="V191" i="5"/>
  <c r="U191" i="5"/>
  <c r="U376" i="5"/>
  <c r="V376" i="5"/>
  <c r="U532" i="5"/>
  <c r="V532" i="5"/>
  <c r="V481" i="5"/>
  <c r="U481" i="5"/>
  <c r="V419" i="5"/>
  <c r="U419" i="5"/>
  <c r="U522" i="5"/>
  <c r="V522" i="5"/>
  <c r="V218" i="5"/>
  <c r="U218" i="5"/>
  <c r="V224" i="5"/>
  <c r="U224" i="5"/>
  <c r="V66" i="5"/>
  <c r="U66" i="5"/>
  <c r="U201" i="5"/>
  <c r="V201" i="5"/>
  <c r="U486" i="5"/>
  <c r="V486" i="5"/>
  <c r="V125" i="5"/>
  <c r="U125" i="5"/>
  <c r="U507" i="5"/>
  <c r="V507" i="5"/>
  <c r="V420" i="5"/>
  <c r="U420" i="5"/>
  <c r="V329" i="5"/>
  <c r="U329" i="5"/>
  <c r="V89" i="5"/>
  <c r="U89" i="5"/>
  <c r="U475" i="5"/>
  <c r="V475" i="5"/>
  <c r="U482" i="5"/>
  <c r="V482" i="5"/>
  <c r="V197" i="5"/>
  <c r="U197" i="5"/>
  <c r="U57" i="5"/>
  <c r="V57" i="5"/>
  <c r="U284" i="5"/>
  <c r="V284" i="5"/>
  <c r="U39" i="5"/>
  <c r="V39" i="5"/>
  <c r="U70" i="5"/>
  <c r="V70" i="5"/>
  <c r="U68" i="5"/>
  <c r="V68" i="5"/>
  <c r="U240" i="5"/>
  <c r="V240" i="5"/>
  <c r="U400" i="5"/>
  <c r="V400" i="5"/>
  <c r="U184" i="5"/>
  <c r="V184" i="5"/>
  <c r="U259" i="5"/>
  <c r="V259" i="5"/>
  <c r="U97" i="5"/>
  <c r="V97" i="5"/>
  <c r="V463" i="5"/>
  <c r="U463" i="5"/>
  <c r="U387" i="5"/>
  <c r="V387" i="5"/>
  <c r="U71" i="5"/>
  <c r="V71" i="5"/>
  <c r="U225" i="5"/>
  <c r="V225" i="5"/>
  <c r="V423" i="5"/>
  <c r="U423" i="5"/>
  <c r="U86" i="5"/>
  <c r="V86" i="5"/>
  <c r="V221" i="5"/>
  <c r="U221" i="5"/>
  <c r="U364" i="5"/>
  <c r="V364" i="5"/>
  <c r="V138" i="5"/>
  <c r="U138" i="5"/>
  <c r="V48" i="5"/>
  <c r="U48" i="5"/>
  <c r="V222" i="5"/>
  <c r="U222" i="5"/>
  <c r="V483" i="5"/>
  <c r="U483" i="5"/>
  <c r="U456" i="5"/>
  <c r="V456" i="5"/>
  <c r="V550" i="5"/>
  <c r="U550" i="5"/>
  <c r="U92" i="5"/>
  <c r="V92" i="5"/>
  <c r="V231" i="5"/>
  <c r="U231" i="5"/>
  <c r="V409" i="5"/>
  <c r="U409" i="5"/>
  <c r="V162" i="5"/>
  <c r="U162" i="5"/>
  <c r="V521" i="5"/>
  <c r="U521" i="5"/>
  <c r="U328" i="5"/>
  <c r="V328" i="5"/>
  <c r="U159" i="5"/>
  <c r="V159" i="5"/>
  <c r="V188" i="5"/>
  <c r="U188" i="5"/>
  <c r="U321" i="5"/>
  <c r="V321" i="5"/>
  <c r="V182" i="5"/>
  <c r="U182" i="5"/>
  <c r="V268" i="5"/>
  <c r="U268" i="5"/>
  <c r="V427" i="5"/>
  <c r="U427" i="5"/>
  <c r="U198" i="5"/>
  <c r="V198" i="5"/>
  <c r="U269" i="5"/>
  <c r="V269" i="5"/>
  <c r="V132" i="5"/>
  <c r="U132" i="5"/>
  <c r="V294" i="5"/>
  <c r="U294" i="5"/>
  <c r="V204" i="5"/>
  <c r="U204" i="5"/>
  <c r="U206" i="5"/>
  <c r="V206" i="5"/>
  <c r="B263" i="2"/>
  <c r="B268" i="2" s="1"/>
  <c r="H16" i="1"/>
  <c r="H15" i="1"/>
  <c r="B301" i="2"/>
  <c r="B302" i="2"/>
  <c r="V557" i="5"/>
  <c r="U557" i="5"/>
  <c r="V238" i="5"/>
  <c r="U238" i="5"/>
  <c r="U455" i="5"/>
  <c r="V455" i="5"/>
  <c r="U347" i="5"/>
  <c r="V347" i="5"/>
  <c r="V273" i="5"/>
  <c r="U273" i="5"/>
  <c r="U437" i="5"/>
  <c r="V437" i="5"/>
  <c r="U477" i="5"/>
  <c r="V477" i="5"/>
  <c r="U98" i="5"/>
  <c r="V98" i="5"/>
  <c r="U410" i="5"/>
  <c r="V410" i="5"/>
  <c r="U470" i="5"/>
  <c r="V470" i="5"/>
  <c r="V424" i="5"/>
  <c r="U424" i="5"/>
  <c r="U314" i="5"/>
  <c r="V314" i="5"/>
  <c r="U154" i="5"/>
  <c r="V154" i="5"/>
  <c r="V495" i="5"/>
  <c r="U495" i="5"/>
  <c r="V461" i="5"/>
  <c r="U461" i="5"/>
  <c r="V476" i="5"/>
  <c r="U476" i="5"/>
  <c r="V398" i="5"/>
  <c r="U398" i="5"/>
  <c r="U114" i="5"/>
  <c r="V114" i="5"/>
  <c r="U309" i="5"/>
  <c r="V309" i="5"/>
  <c r="U84" i="5"/>
  <c r="V84" i="5"/>
  <c r="U487" i="5"/>
  <c r="V487" i="5"/>
  <c r="V531" i="5"/>
  <c r="U531" i="5"/>
  <c r="V372" i="5"/>
  <c r="U372" i="5"/>
  <c r="U169" i="5"/>
  <c r="V169" i="5"/>
  <c r="U145" i="5"/>
  <c r="V145" i="5"/>
  <c r="V104" i="5"/>
  <c r="U104" i="5"/>
  <c r="U115" i="5"/>
  <c r="V115" i="5"/>
  <c r="U156" i="5"/>
  <c r="V156" i="5"/>
  <c r="V336" i="5"/>
  <c r="U336" i="5"/>
  <c r="V270" i="5"/>
  <c r="U270" i="5"/>
  <c r="U373" i="5"/>
  <c r="V373" i="5"/>
  <c r="V158" i="5"/>
  <c r="U158" i="5"/>
  <c r="V413" i="5"/>
  <c r="U413" i="5"/>
  <c r="U370" i="5"/>
  <c r="V370" i="5"/>
  <c r="V401" i="5"/>
  <c r="U401" i="5"/>
  <c r="V504" i="5"/>
  <c r="U504" i="5"/>
  <c r="V536" i="5"/>
  <c r="U536" i="5"/>
  <c r="U40" i="5"/>
  <c r="V40" i="5"/>
  <c r="V140" i="5"/>
  <c r="U140" i="5"/>
  <c r="V416" i="5"/>
  <c r="U416" i="5"/>
  <c r="V144" i="5"/>
  <c r="U144" i="5"/>
  <c r="V85" i="5"/>
  <c r="U85" i="5"/>
  <c r="U349" i="5"/>
  <c r="V349" i="5"/>
  <c r="U265" i="5"/>
  <c r="V265" i="5"/>
  <c r="U425" i="5"/>
  <c r="V425" i="5"/>
  <c r="U266" i="5"/>
  <c r="V266" i="5"/>
  <c r="V226" i="5"/>
  <c r="U226" i="5"/>
  <c r="V494" i="5"/>
  <c r="U494" i="5"/>
  <c r="U431" i="5"/>
  <c r="V431" i="5"/>
  <c r="V478" i="5"/>
  <c r="U478" i="5"/>
  <c r="U20" i="5"/>
  <c r="V20" i="5"/>
  <c r="U348" i="5"/>
  <c r="V348" i="5"/>
  <c r="U90" i="5"/>
  <c r="V90" i="5"/>
  <c r="U74" i="5"/>
  <c r="V74" i="5"/>
  <c r="V246" i="5"/>
  <c r="U246" i="5"/>
  <c r="V112" i="5"/>
  <c r="U112" i="5"/>
  <c r="V520" i="5"/>
  <c r="U520" i="5"/>
  <c r="U72" i="5"/>
  <c r="V72" i="5"/>
  <c r="V412" i="5"/>
  <c r="U412" i="5"/>
  <c r="V453" i="5"/>
  <c r="U453" i="5"/>
  <c r="V29" i="5"/>
  <c r="U29" i="5"/>
  <c r="V192" i="5"/>
  <c r="U192" i="5"/>
  <c r="V491" i="5"/>
  <c r="U491" i="5"/>
  <c r="U514" i="5"/>
  <c r="V514" i="5"/>
  <c r="V129" i="5"/>
  <c r="U129" i="5"/>
  <c r="V214" i="5"/>
  <c r="U214" i="5"/>
  <c r="V254" i="5"/>
  <c r="U254" i="5"/>
  <c r="Q7" i="5"/>
  <c r="B215" i="2"/>
  <c r="B233" i="2" s="1"/>
  <c r="B45" i="2"/>
  <c r="U30" i="5"/>
  <c r="V30" i="5"/>
  <c r="V242" i="5"/>
  <c r="U242" i="5"/>
  <c r="U285" i="5"/>
  <c r="V285" i="5"/>
  <c r="V302" i="5"/>
  <c r="U302" i="5"/>
  <c r="V278" i="5"/>
  <c r="U278" i="5"/>
  <c r="V135" i="5"/>
  <c r="U135" i="5"/>
  <c r="V77" i="5"/>
  <c r="U77" i="5"/>
  <c r="V355" i="5"/>
  <c r="U355" i="5"/>
  <c r="V467" i="5"/>
  <c r="U467" i="5"/>
  <c r="V102" i="5"/>
  <c r="U102" i="5"/>
  <c r="V232" i="5"/>
  <c r="U232" i="5"/>
  <c r="V351" i="5"/>
  <c r="U351" i="5"/>
  <c r="U249" i="5"/>
  <c r="V249" i="5"/>
  <c r="U506" i="5"/>
  <c r="V506" i="5"/>
  <c r="U442" i="5"/>
  <c r="V442" i="5"/>
  <c r="U502" i="5"/>
  <c r="V502" i="5"/>
  <c r="U291" i="5"/>
  <c r="V291" i="5"/>
  <c r="V493" i="5"/>
  <c r="U493" i="5"/>
  <c r="U554" i="5"/>
  <c r="V554" i="5"/>
  <c r="U61" i="5"/>
  <c r="V61" i="5"/>
  <c r="U64" i="5"/>
  <c r="V64" i="5"/>
  <c r="U186" i="5"/>
  <c r="V186" i="5"/>
  <c r="U12" i="5"/>
  <c r="V12" i="5"/>
  <c r="V441" i="5"/>
  <c r="U441" i="5"/>
  <c r="V421" i="5"/>
  <c r="U421" i="5"/>
  <c r="U516" i="5"/>
  <c r="V516" i="5"/>
  <c r="V500" i="5"/>
  <c r="U500" i="5"/>
  <c r="U509" i="5"/>
  <c r="V509" i="5"/>
  <c r="V210" i="5"/>
  <c r="U210" i="5"/>
  <c r="U315" i="5"/>
  <c r="V315" i="5"/>
  <c r="U545" i="5"/>
  <c r="V545" i="5"/>
  <c r="V117" i="5"/>
  <c r="U117" i="5"/>
  <c r="V207" i="5"/>
  <c r="U207" i="5"/>
  <c r="U319" i="5"/>
  <c r="V319" i="5"/>
  <c r="V34" i="5"/>
  <c r="U34" i="5"/>
  <c r="V63" i="5"/>
  <c r="U63" i="5"/>
  <c r="U241" i="5"/>
  <c r="V241" i="5"/>
  <c r="V498" i="5"/>
  <c r="U498" i="5"/>
  <c r="V368" i="5"/>
  <c r="U368" i="5"/>
  <c r="U264" i="5"/>
  <c r="V264" i="5"/>
  <c r="V418" i="5"/>
  <c r="U418" i="5"/>
  <c r="U306" i="5"/>
  <c r="V306" i="5"/>
  <c r="U185" i="5"/>
  <c r="V185" i="5"/>
  <c r="U244" i="5"/>
  <c r="V244" i="5"/>
  <c r="U499" i="5"/>
  <c r="V499" i="5"/>
  <c r="V379" i="5"/>
  <c r="U379" i="5"/>
  <c r="V146" i="5"/>
  <c r="U146" i="5"/>
  <c r="U171" i="5"/>
  <c r="V171" i="5"/>
  <c r="U395" i="5"/>
  <c r="V395" i="5"/>
  <c r="U327" i="5"/>
  <c r="V327" i="5"/>
  <c r="V333" i="5"/>
  <c r="U333" i="5"/>
  <c r="V492" i="5"/>
  <c r="U492" i="5"/>
  <c r="U60" i="5"/>
  <c r="V60" i="5"/>
  <c r="V415" i="5"/>
  <c r="U415" i="5"/>
  <c r="V508" i="5"/>
  <c r="U508" i="5"/>
  <c r="U161" i="5"/>
  <c r="V161" i="5"/>
  <c r="U539" i="5"/>
  <c r="V539" i="5"/>
  <c r="U33" i="5"/>
  <c r="V33" i="5"/>
  <c r="V25" i="5"/>
  <c r="U25" i="5"/>
  <c r="U73" i="5"/>
  <c r="V73" i="5"/>
  <c r="V96" i="5"/>
  <c r="U96" i="5"/>
  <c r="U243" i="5"/>
  <c r="V243" i="5"/>
  <c r="V19" i="5"/>
  <c r="U19" i="5"/>
  <c r="V339" i="5"/>
  <c r="U339" i="5"/>
  <c r="V443" i="5"/>
  <c r="U443" i="5"/>
  <c r="U519" i="5"/>
  <c r="V519" i="5"/>
  <c r="U551" i="5"/>
  <c r="V551" i="5"/>
  <c r="W7" i="5"/>
  <c r="B221" i="2"/>
  <c r="B320" i="2"/>
  <c r="B319" i="2"/>
  <c r="V167" i="5"/>
  <c r="U167" i="5"/>
  <c r="V106" i="5"/>
  <c r="U106" i="5"/>
  <c r="V93" i="5"/>
  <c r="U93" i="5"/>
  <c r="V217" i="5"/>
  <c r="U217" i="5"/>
  <c r="U515" i="5"/>
  <c r="V515" i="5"/>
  <c r="U362" i="5"/>
  <c r="V362" i="5"/>
  <c r="U365" i="5"/>
  <c r="V365" i="5"/>
  <c r="U559" i="5"/>
  <c r="V559" i="5"/>
  <c r="U296" i="5"/>
  <c r="V296" i="5"/>
  <c r="U323" i="5"/>
  <c r="V323" i="5"/>
  <c r="V28" i="5"/>
  <c r="U28" i="5"/>
  <c r="V535" i="5"/>
  <c r="U535" i="5"/>
  <c r="U281" i="5"/>
  <c r="V281" i="5"/>
  <c r="V216" i="5"/>
  <c r="U216" i="5"/>
  <c r="V41" i="5"/>
  <c r="U41" i="5"/>
  <c r="U8" i="5"/>
  <c r="V8" i="5"/>
  <c r="V202" i="5"/>
  <c r="U202" i="5"/>
  <c r="U394" i="5"/>
  <c r="V394" i="5"/>
  <c r="U53" i="5"/>
  <c r="V53" i="5"/>
  <c r="U530" i="5"/>
  <c r="V530" i="5"/>
  <c r="U276" i="5"/>
  <c r="V276" i="5"/>
  <c r="V174" i="5"/>
  <c r="U174" i="5"/>
  <c r="U359" i="5"/>
  <c r="V359" i="5"/>
  <c r="U13" i="5"/>
  <c r="V13" i="5"/>
  <c r="V382" i="5"/>
  <c r="U382" i="5"/>
  <c r="V261" i="5"/>
  <c r="U261" i="5"/>
  <c r="V248" i="5"/>
  <c r="U248" i="5"/>
  <c r="U128" i="5"/>
  <c r="V128" i="5"/>
  <c r="U292" i="5"/>
  <c r="V292" i="5"/>
  <c r="U290" i="5"/>
  <c r="V290" i="5"/>
  <c r="V76" i="5"/>
  <c r="U76" i="5"/>
  <c r="V83" i="5"/>
  <c r="U83" i="5"/>
  <c r="V283" i="5"/>
  <c r="U283" i="5"/>
  <c r="V255" i="5"/>
  <c r="U255" i="5"/>
  <c r="U177" i="5"/>
  <c r="V177" i="5"/>
  <c r="V52" i="5"/>
  <c r="U52" i="5"/>
  <c r="U440" i="5"/>
  <c r="V440" i="5"/>
  <c r="V139" i="5"/>
  <c r="U139" i="5"/>
  <c r="V526" i="5"/>
  <c r="U526" i="5"/>
  <c r="V385" i="5"/>
  <c r="U385" i="5"/>
  <c r="V553" i="5"/>
  <c r="U553" i="5"/>
  <c r="V445" i="5"/>
  <c r="U445" i="5"/>
  <c r="V289" i="5"/>
  <c r="U289" i="5"/>
  <c r="U391" i="5"/>
  <c r="V391" i="5"/>
  <c r="V199" i="5"/>
  <c r="U199" i="5"/>
  <c r="U369" i="5"/>
  <c r="V369" i="5"/>
  <c r="U196" i="5"/>
  <c r="V196" i="5"/>
  <c r="U24" i="5"/>
  <c r="V24" i="5"/>
  <c r="U110" i="5"/>
  <c r="V110" i="5"/>
  <c r="U407" i="5"/>
  <c r="V407" i="5"/>
  <c r="U405" i="5"/>
  <c r="V405" i="5"/>
  <c r="U513" i="5"/>
  <c r="V513" i="5"/>
  <c r="V168" i="5"/>
  <c r="U168" i="5"/>
  <c r="U340" i="5"/>
  <c r="V340" i="5"/>
  <c r="V488" i="5"/>
  <c r="U488" i="5"/>
  <c r="U236" i="5"/>
  <c r="V236" i="5"/>
  <c r="V181" i="5"/>
  <c r="U181" i="5"/>
  <c r="U403" i="5"/>
  <c r="V403" i="5"/>
  <c r="V525" i="5"/>
  <c r="U525" i="5"/>
  <c r="U527" i="5"/>
  <c r="V527" i="5"/>
  <c r="V190" i="5"/>
  <c r="U190" i="5"/>
  <c r="V337" i="5"/>
  <c r="U337" i="5"/>
  <c r="U434" i="5"/>
  <c r="V434" i="5"/>
  <c r="V234" i="5"/>
  <c r="U234" i="5"/>
  <c r="V103" i="5"/>
  <c r="U103" i="5"/>
  <c r="V342" i="5"/>
  <c r="U342" i="5"/>
  <c r="U257" i="5"/>
  <c r="V257" i="5"/>
  <c r="U183" i="5"/>
  <c r="V183" i="5"/>
  <c r="U42" i="5"/>
  <c r="V42" i="5"/>
  <c r="B73" i="2"/>
  <c r="V124" i="5"/>
  <c r="U124" i="5"/>
  <c r="V245" i="5"/>
  <c r="U245" i="5"/>
  <c r="U130" i="5"/>
  <c r="V130" i="5"/>
  <c r="U136" i="5"/>
  <c r="V136" i="5"/>
  <c r="U108" i="5"/>
  <c r="V108" i="5"/>
  <c r="U324" i="5"/>
  <c r="V324" i="5"/>
  <c r="V67" i="5"/>
  <c r="U67" i="5"/>
  <c r="V543" i="5"/>
  <c r="U543" i="5"/>
  <c r="U176" i="5"/>
  <c r="V176" i="5"/>
  <c r="U468" i="5"/>
  <c r="V468" i="5"/>
  <c r="V396" i="5"/>
  <c r="U396" i="5"/>
  <c r="V399" i="5"/>
  <c r="U399" i="5"/>
  <c r="U338" i="5"/>
  <c r="V338" i="5"/>
  <c r="U341" i="5"/>
  <c r="V341" i="5"/>
  <c r="U297" i="5"/>
  <c r="V297" i="5"/>
  <c r="V496" i="5"/>
  <c r="U496" i="5"/>
  <c r="V295" i="5"/>
  <c r="U295" i="5"/>
  <c r="U375" i="5"/>
  <c r="V375" i="5"/>
  <c r="V80" i="5"/>
  <c r="U80" i="5"/>
  <c r="V32" i="5"/>
  <c r="U32" i="5"/>
  <c r="V517" i="5"/>
  <c r="U517" i="5"/>
  <c r="V334" i="5"/>
  <c r="U334" i="5"/>
  <c r="V219" i="5"/>
  <c r="U219" i="5"/>
  <c r="U298" i="5"/>
  <c r="V298" i="5"/>
  <c r="U316" i="5"/>
  <c r="V316" i="5"/>
  <c r="V220" i="5"/>
  <c r="U220" i="5"/>
  <c r="U142" i="5"/>
  <c r="V142" i="5"/>
  <c r="V388" i="5"/>
  <c r="U388" i="5"/>
  <c r="V75" i="5"/>
  <c r="U75" i="5"/>
  <c r="V435" i="5"/>
  <c r="U435" i="5"/>
  <c r="U380" i="5"/>
  <c r="V380" i="5"/>
  <c r="U363" i="5"/>
  <c r="V363" i="5"/>
  <c r="U345" i="5"/>
  <c r="V345" i="5"/>
  <c r="V335" i="5"/>
  <c r="U335" i="5"/>
  <c r="V457" i="5"/>
  <c r="U457" i="5"/>
  <c r="V344" i="5"/>
  <c r="U344" i="5"/>
  <c r="U267" i="5"/>
  <c r="V267" i="5"/>
  <c r="V99" i="5"/>
  <c r="U99" i="5"/>
  <c r="U193" i="5"/>
  <c r="V193" i="5"/>
  <c r="V260" i="5"/>
  <c r="U260" i="5"/>
  <c r="V122" i="5"/>
  <c r="U122" i="5"/>
  <c r="V203" i="5"/>
  <c r="U203" i="5"/>
  <c r="V274" i="5"/>
  <c r="U274" i="5"/>
  <c r="V471" i="5"/>
  <c r="U471" i="5"/>
  <c r="V277" i="5"/>
  <c r="U277" i="5"/>
  <c r="V474" i="5"/>
  <c r="U474" i="5"/>
  <c r="U556" i="5"/>
  <c r="V556" i="5"/>
  <c r="V392" i="5"/>
  <c r="U392" i="5"/>
  <c r="V490" i="5"/>
  <c r="U490" i="5"/>
  <c r="V65" i="5"/>
  <c r="U65" i="5"/>
  <c r="U46" i="5"/>
  <c r="V46" i="5"/>
  <c r="U354" i="5"/>
  <c r="V354" i="5"/>
  <c r="U173" i="5"/>
  <c r="V173" i="5"/>
  <c r="V209" i="5"/>
  <c r="U209" i="5"/>
  <c r="U45" i="5"/>
  <c r="V45" i="5"/>
  <c r="V87" i="5"/>
  <c r="U87" i="5"/>
  <c r="V448" i="5"/>
  <c r="U448" i="5"/>
  <c r="V105" i="5"/>
  <c r="U105" i="5"/>
  <c r="V36" i="5"/>
  <c r="U36" i="5"/>
  <c r="U211" i="5"/>
  <c r="V211" i="5"/>
  <c r="V88" i="5"/>
  <c r="U88" i="5"/>
  <c r="U547" i="5"/>
  <c r="V547" i="5"/>
  <c r="V175" i="5"/>
  <c r="U175" i="5"/>
  <c r="U172" i="5"/>
  <c r="V172" i="5"/>
  <c r="V165" i="5"/>
  <c r="U165" i="5"/>
  <c r="V460" i="5"/>
  <c r="U460" i="5"/>
  <c r="V308" i="5"/>
  <c r="U308" i="5"/>
  <c r="U332" i="5"/>
  <c r="V332" i="5"/>
  <c r="B43" i="5"/>
  <c r="W338" i="5"/>
  <c r="W354" i="5"/>
  <c r="W446" i="5"/>
  <c r="W269" i="5"/>
  <c r="W435" i="5"/>
  <c r="W441" i="5"/>
  <c r="W173" i="5"/>
  <c r="W399" i="5"/>
  <c r="W247" i="5"/>
  <c r="W440" i="5"/>
  <c r="W19" i="5"/>
  <c r="W63" i="5"/>
  <c r="W488" i="5"/>
  <c r="W358" i="5"/>
  <c r="W287" i="5"/>
  <c r="W204" i="5"/>
  <c r="W365" i="5"/>
  <c r="W172" i="5"/>
  <c r="W325" i="5"/>
  <c r="W348" i="5"/>
  <c r="W252" i="5"/>
  <c r="W388" i="5"/>
  <c r="W68" i="5"/>
  <c r="W303" i="5"/>
  <c r="W41" i="5"/>
  <c r="W38" i="5"/>
  <c r="W238" i="5"/>
  <c r="W345" i="5"/>
  <c r="W140" i="5"/>
  <c r="W513" i="5"/>
  <c r="W511" i="5"/>
  <c r="W286" i="5"/>
  <c r="W285" i="5"/>
  <c r="W137" i="5"/>
  <c r="W536" i="5"/>
  <c r="W442" i="5"/>
  <c r="W368" i="5"/>
  <c r="W461" i="5"/>
  <c r="W456" i="5"/>
  <c r="W218" i="5"/>
  <c r="W519" i="5"/>
  <c r="W364" i="5"/>
  <c r="W314" i="5"/>
  <c r="W437" i="5"/>
  <c r="W458" i="5"/>
  <c r="W322" i="5"/>
  <c r="W121" i="5"/>
  <c r="W249" i="5"/>
  <c r="W8" i="5"/>
  <c r="W337" i="5"/>
  <c r="W153" i="5"/>
  <c r="W521" i="5"/>
  <c r="W316" i="5"/>
  <c r="W528" i="5"/>
  <c r="W185" i="5"/>
  <c r="W304" i="5"/>
  <c r="W101" i="5"/>
  <c r="W86" i="5"/>
  <c r="W225" i="5"/>
  <c r="W295" i="5"/>
  <c r="W166" i="5"/>
  <c r="W124" i="5"/>
  <c r="W382" i="5"/>
  <c r="W546" i="5"/>
  <c r="W235" i="5"/>
  <c r="W22" i="5"/>
  <c r="W241" i="5"/>
  <c r="W174" i="5"/>
  <c r="W206" i="5"/>
  <c r="W84" i="5"/>
  <c r="W81" i="5"/>
  <c r="W374" i="5"/>
  <c r="W384" i="5"/>
  <c r="W474" i="5"/>
  <c r="W353" i="5"/>
  <c r="W420" i="5"/>
  <c r="W417" i="5"/>
  <c r="W489" i="5"/>
  <c r="W329" i="5"/>
  <c r="W223" i="5"/>
  <c r="W177" i="5"/>
  <c r="W376" i="5"/>
  <c r="W515" i="5"/>
  <c r="W531" i="5"/>
  <c r="W310" i="5"/>
  <c r="W103" i="5"/>
  <c r="W106" i="5"/>
  <c r="W492" i="5"/>
  <c r="W236" i="5"/>
  <c r="W108" i="5"/>
  <c r="W257" i="5"/>
  <c r="W323" i="5"/>
  <c r="W401" i="5"/>
  <c r="W192" i="5"/>
  <c r="W21" i="5"/>
  <c r="W468" i="5"/>
  <c r="W504" i="5"/>
  <c r="W342" i="5"/>
  <c r="W232" i="5"/>
  <c r="W259" i="5"/>
  <c r="W228" i="5"/>
  <c r="W165" i="5"/>
  <c r="W132" i="5"/>
  <c r="W62" i="5"/>
  <c r="W157" i="5"/>
  <c r="W507" i="5"/>
  <c r="W149" i="5"/>
  <c r="W445" i="5"/>
  <c r="W330" i="5"/>
  <c r="W559" i="5"/>
  <c r="W349" i="5"/>
  <c r="W61" i="5"/>
  <c r="W510" i="5"/>
  <c r="W76" i="5"/>
  <c r="W28" i="5"/>
  <c r="W88" i="5"/>
  <c r="W248" i="5"/>
  <c r="W343" i="5"/>
  <c r="W36" i="5"/>
  <c r="W389" i="5"/>
  <c r="W156" i="5"/>
  <c r="W299" i="5"/>
  <c r="W40" i="5"/>
  <c r="W278" i="5"/>
  <c r="W469" i="5"/>
  <c r="W462" i="5"/>
  <c r="W110" i="5"/>
  <c r="W230" i="5"/>
  <c r="W60" i="5"/>
  <c r="W363" i="5"/>
  <c r="W432" i="5"/>
  <c r="W341" i="5"/>
  <c r="W392" i="5"/>
  <c r="W239" i="5"/>
  <c r="W274" i="5"/>
  <c r="W99" i="5"/>
  <c r="W390" i="5"/>
  <c r="W495" i="5"/>
  <c r="W289" i="5"/>
  <c r="W87" i="5"/>
  <c r="W540" i="5"/>
  <c r="W367" i="5"/>
  <c r="W96" i="5"/>
  <c r="W424" i="5"/>
  <c r="W148" i="5"/>
  <c r="W422" i="5"/>
  <c r="W12" i="5"/>
  <c r="W483" i="5"/>
  <c r="W154" i="5"/>
  <c r="W32" i="5"/>
  <c r="W327" i="5"/>
  <c r="W416" i="5"/>
  <c r="W318" i="5"/>
  <c r="W466" i="5"/>
  <c r="W25" i="5"/>
  <c r="W201" i="5"/>
  <c r="W409" i="5"/>
  <c r="W419" i="5"/>
  <c r="W128" i="5"/>
  <c r="W537" i="5"/>
  <c r="W120" i="5"/>
  <c r="W393" i="5"/>
  <c r="W66" i="5"/>
  <c r="W366" i="5"/>
  <c r="W49" i="5"/>
  <c r="W220" i="5"/>
  <c r="W370" i="5"/>
  <c r="W448" i="5"/>
  <c r="W500" i="5"/>
  <c r="W335" i="5"/>
  <c r="W170" i="5"/>
  <c r="W407" i="5"/>
  <c r="W50" i="5"/>
  <c r="W395" i="5"/>
  <c r="W178" i="5"/>
  <c r="W292" i="5"/>
  <c r="W93" i="5"/>
  <c r="W200" i="5"/>
  <c r="W97" i="5"/>
  <c r="W216" i="5"/>
  <c r="W266" i="5"/>
  <c r="W387" i="5"/>
  <c r="W508" i="5"/>
  <c r="W331" i="5"/>
  <c r="W82" i="5"/>
  <c r="W321" i="5"/>
  <c r="W146" i="5"/>
  <c r="W212" i="5"/>
  <c r="W182" i="5"/>
  <c r="W69" i="5"/>
  <c r="W404" i="5"/>
  <c r="W332" i="5"/>
  <c r="W281" i="5"/>
  <c r="W91" i="5"/>
  <c r="W167" i="5"/>
  <c r="W102" i="5"/>
  <c r="W273" i="5"/>
  <c r="W70" i="5"/>
  <c r="W486" i="5"/>
  <c r="W542" i="5"/>
  <c r="W359" i="5"/>
  <c r="W31" i="5"/>
  <c r="W543" i="5"/>
  <c r="W30" i="5"/>
  <c r="W42" i="5"/>
  <c r="W219" i="5"/>
  <c r="W497" i="5"/>
  <c r="W434" i="5"/>
  <c r="W107" i="5"/>
  <c r="W408" i="5"/>
  <c r="W501" i="5"/>
  <c r="W198" i="5"/>
  <c r="W162" i="5"/>
  <c r="W35" i="5"/>
  <c r="W251" i="5"/>
  <c r="W319" i="5"/>
  <c r="W526" i="5"/>
  <c r="W410" i="5"/>
  <c r="W346" i="5"/>
  <c r="W476" i="5"/>
  <c r="W53" i="5"/>
  <c r="W105" i="5"/>
  <c r="W43" i="5"/>
  <c r="W175" i="5"/>
  <c r="W429" i="5"/>
  <c r="W85" i="5"/>
  <c r="W183" i="5"/>
  <c r="W471" i="5"/>
  <c r="W104" i="5"/>
  <c r="W550" i="5"/>
  <c r="W57" i="5"/>
  <c r="W73" i="5"/>
  <c r="W191" i="5"/>
  <c r="W463" i="5"/>
  <c r="W465" i="5"/>
  <c r="W356" i="5"/>
  <c r="W213" i="5"/>
  <c r="W464" i="5"/>
  <c r="W139" i="5"/>
  <c r="W467" i="5"/>
  <c r="W13" i="5"/>
  <c r="W44" i="5"/>
  <c r="W180" i="5"/>
  <c r="W193" i="5"/>
  <c r="W242" i="5"/>
  <c r="W449" i="5"/>
  <c r="W398" i="5"/>
  <c r="W234" i="5"/>
  <c r="W311" i="5"/>
  <c r="W383" i="5"/>
  <c r="W427" i="5"/>
  <c r="W20" i="5"/>
  <c r="W271" i="5"/>
  <c r="W245" i="5"/>
  <c r="W451" i="5"/>
  <c r="W226" i="5"/>
  <c r="W547" i="5"/>
  <c r="W211" i="5"/>
  <c r="W240" i="5"/>
  <c r="W264" i="5"/>
  <c r="W92" i="5"/>
  <c r="W160" i="5"/>
  <c r="W176" i="5"/>
  <c r="W119" i="5"/>
  <c r="W294" i="5"/>
  <c r="W487" i="5"/>
  <c r="W529" i="5"/>
  <c r="W109" i="5"/>
  <c r="W362" i="5"/>
  <c r="W308" i="5"/>
  <c r="W369" i="5"/>
  <c r="W45" i="5"/>
  <c r="W161" i="5"/>
  <c r="W502" i="5"/>
  <c r="W347" i="5"/>
  <c r="W391" i="5"/>
  <c r="W134" i="5"/>
  <c r="W505" i="5"/>
  <c r="W459" i="5"/>
  <c r="W187" i="5"/>
  <c r="W457" i="5"/>
  <c r="W426" i="5"/>
  <c r="W479" i="5"/>
  <c r="W231" i="5"/>
  <c r="W147" i="5"/>
  <c r="W163" i="5"/>
  <c r="W261" i="5"/>
  <c r="W485" i="5"/>
  <c r="W454" i="5"/>
  <c r="W217" i="5"/>
  <c r="W83" i="5"/>
  <c r="W224" i="5"/>
  <c r="W433" i="5"/>
  <c r="W397" i="5"/>
  <c r="W516" i="5"/>
  <c r="W94" i="5"/>
  <c r="W158" i="5"/>
  <c r="W142" i="5"/>
  <c r="W256" i="5"/>
  <c r="W253" i="5"/>
  <c r="W77" i="5"/>
  <c r="W491" i="5"/>
  <c r="W237" i="5"/>
  <c r="W532" i="5"/>
  <c r="W184" i="5"/>
  <c r="W552" i="5"/>
  <c r="W430" i="5"/>
  <c r="W352" i="5"/>
  <c r="W554" i="5"/>
  <c r="W164" i="5"/>
  <c r="W472" i="5"/>
  <c r="W484" i="5"/>
  <c r="W421" i="5"/>
  <c r="W439" i="5"/>
  <c r="W455" i="5"/>
  <c r="W171" i="5"/>
  <c r="W373" i="5"/>
  <c r="W524" i="5"/>
  <c r="W227" i="5"/>
  <c r="W34" i="5"/>
  <c r="W300" i="5"/>
  <c r="W544" i="5"/>
  <c r="W478" i="5"/>
  <c r="W326" i="5"/>
  <c r="W545" i="5"/>
  <c r="W244" i="5"/>
  <c r="W525" i="5"/>
  <c r="W493" i="5"/>
  <c r="W436" i="5"/>
  <c r="W195" i="5"/>
  <c r="W282" i="5"/>
  <c r="W305" i="5"/>
  <c r="W490" i="5"/>
  <c r="W380" i="5"/>
  <c r="W297" i="5"/>
  <c r="W136" i="5"/>
  <c r="W475" i="5"/>
  <c r="W131" i="5"/>
  <c r="W203" i="5"/>
  <c r="W481" i="5"/>
  <c r="W270" i="5"/>
  <c r="W517" i="5"/>
  <c r="W169" i="5"/>
  <c r="W355" i="5"/>
  <c r="W333" i="5"/>
  <c r="W496" i="5"/>
  <c r="W385" i="5"/>
  <c r="W413" i="5"/>
  <c r="W89" i="5"/>
  <c r="W277" i="5"/>
  <c r="W268" i="5"/>
  <c r="W125" i="5"/>
  <c r="W539" i="5"/>
  <c r="W117" i="5"/>
  <c r="W450" i="5"/>
  <c r="W520" i="5"/>
  <c r="W75" i="5"/>
  <c r="W207" i="5"/>
  <c r="W202" i="5"/>
  <c r="W415" i="5"/>
  <c r="W555" i="5"/>
  <c r="W79" i="5"/>
  <c r="W196" i="5"/>
  <c r="W24" i="5"/>
  <c r="W112" i="5"/>
  <c r="W418" i="5"/>
  <c r="W541" i="5"/>
  <c r="W181" i="5"/>
  <c r="W122" i="5"/>
  <c r="W115" i="5"/>
  <c r="W113" i="5"/>
  <c r="W179" i="5"/>
  <c r="W74" i="5"/>
  <c r="W246" i="5"/>
  <c r="W39" i="5"/>
  <c r="W90" i="5"/>
  <c r="W33" i="5"/>
  <c r="W189" i="5"/>
  <c r="W56" i="5"/>
  <c r="W155" i="5"/>
  <c r="W194" i="5"/>
  <c r="W339" i="5"/>
  <c r="W298" i="5"/>
  <c r="W320" i="5"/>
  <c r="W221" i="5"/>
  <c r="W59" i="5"/>
  <c r="W506" i="5"/>
  <c r="W265" i="5"/>
  <c r="W402" i="5"/>
  <c r="W54" i="5"/>
  <c r="W360" i="5"/>
  <c r="W523" i="5"/>
  <c r="W558" i="5"/>
  <c r="W65" i="5"/>
  <c r="W186" i="5"/>
  <c r="W210" i="5"/>
  <c r="W371" i="5"/>
  <c r="W275" i="5"/>
  <c r="W116" i="5"/>
  <c r="W438" i="5"/>
  <c r="W530" i="5"/>
  <c r="W306" i="5"/>
  <c r="W284" i="5"/>
  <c r="W133" i="5"/>
  <c r="W279" i="5"/>
  <c r="W145" i="5"/>
  <c r="W548" i="5"/>
  <c r="W138" i="5"/>
  <c r="W114" i="5"/>
  <c r="W473" i="5"/>
  <c r="W512" i="5"/>
  <c r="W199" i="5"/>
  <c r="W372" i="5"/>
  <c r="W26" i="5"/>
  <c r="W324" i="5"/>
  <c r="W263" i="5"/>
  <c r="W317" i="5"/>
  <c r="W64" i="5"/>
  <c r="W288" i="5"/>
  <c r="W205" i="5"/>
  <c r="W209" i="5"/>
  <c r="W470" i="5"/>
  <c r="W272" i="5"/>
  <c r="W406" i="5"/>
  <c r="W214" i="5"/>
  <c r="W151" i="5"/>
  <c r="W499" i="5"/>
  <c r="W283" i="5"/>
  <c r="W560" i="5"/>
  <c r="W396" i="5"/>
  <c r="W100" i="5"/>
  <c r="W527" i="5"/>
  <c r="W258" i="5"/>
  <c r="W144" i="5"/>
  <c r="W23" i="5"/>
  <c r="W379" i="5"/>
  <c r="W503" i="5"/>
  <c r="W403" i="5"/>
  <c r="W47" i="5"/>
  <c r="W444" i="5"/>
  <c r="W557" i="5"/>
  <c r="W357" i="5"/>
  <c r="W447" i="5"/>
  <c r="W340" i="5"/>
  <c r="W551" i="5"/>
  <c r="W428" i="5"/>
  <c r="W302" i="5"/>
  <c r="W414" i="5"/>
  <c r="W378" i="5"/>
  <c r="W276" i="5"/>
  <c r="W296" i="5"/>
  <c r="W111" i="5"/>
  <c r="W123" i="5"/>
  <c r="W518" i="5"/>
  <c r="W188" i="5"/>
  <c r="W315" i="5"/>
  <c r="W46" i="5"/>
  <c r="W425" i="5"/>
  <c r="W412" i="5"/>
  <c r="W328" i="5"/>
  <c r="W394" i="5"/>
  <c r="W98" i="5"/>
  <c r="W126" i="5"/>
  <c r="W27" i="5"/>
  <c r="W67" i="5"/>
  <c r="W190" i="5"/>
  <c r="W375" i="5"/>
  <c r="W534" i="5"/>
  <c r="W159" i="5"/>
  <c r="W309" i="5"/>
  <c r="W127" i="5"/>
  <c r="W254" i="5"/>
  <c r="W293" i="5"/>
  <c r="W514" i="5"/>
  <c r="W208" i="5"/>
  <c r="W280" i="5"/>
  <c r="W443" i="5"/>
  <c r="W222" i="5"/>
  <c r="W58" i="5"/>
  <c r="W301" i="5"/>
  <c r="W129" i="5"/>
  <c r="W250" i="5"/>
  <c r="W386" i="5"/>
  <c r="W152" i="5"/>
  <c r="W344" i="5"/>
  <c r="W291" i="5"/>
  <c r="W556" i="5"/>
  <c r="W52" i="5"/>
  <c r="W494" i="5"/>
  <c r="W48" i="5"/>
  <c r="W233" i="5"/>
  <c r="W267" i="5"/>
  <c r="W118" i="5"/>
  <c r="W334" i="5"/>
  <c r="W498" i="5"/>
  <c r="W431" i="5"/>
  <c r="W150" i="5"/>
  <c r="W535" i="5"/>
  <c r="W243" i="5"/>
  <c r="W377" i="5"/>
  <c r="W307" i="5"/>
  <c r="W460" i="5"/>
  <c r="W411" i="5"/>
  <c r="W72" i="5"/>
  <c r="W533" i="5"/>
  <c r="W168" i="5"/>
  <c r="W313" i="5"/>
  <c r="W95" i="5"/>
  <c r="W381" i="5"/>
  <c r="W522" i="5"/>
  <c r="W453" i="5"/>
  <c r="W290" i="5"/>
  <c r="W197" i="5"/>
  <c r="W135" i="5"/>
  <c r="W255" i="5"/>
  <c r="W130" i="5"/>
  <c r="W312" i="5"/>
  <c r="W141" i="5"/>
  <c r="W260" i="5"/>
  <c r="W143" i="5"/>
  <c r="W553" i="5"/>
  <c r="W51" i="5"/>
  <c r="W452" i="5"/>
  <c r="W336" i="5"/>
  <c r="W509" i="5"/>
  <c r="W350" i="5"/>
  <c r="W262" i="5"/>
  <c r="W80" i="5"/>
  <c r="W71" i="5"/>
  <c r="W215" i="5"/>
  <c r="W351" i="5"/>
  <c r="W423" i="5"/>
  <c r="W361" i="5"/>
  <c r="W405" i="5"/>
  <c r="W55" i="5"/>
  <c r="W400" i="5"/>
  <c r="W480" i="5"/>
  <c r="W538" i="5"/>
  <c r="W482" i="5"/>
  <c r="W477" i="5"/>
  <c r="W78" i="5"/>
  <c r="W549" i="5"/>
  <c r="W29" i="5"/>
  <c r="W229" i="5"/>
  <c r="V146" i="4"/>
  <c r="U223" i="5"/>
  <c r="V223" i="5"/>
  <c r="U179" i="5"/>
  <c r="V179" i="5"/>
  <c r="V252" i="5"/>
  <c r="U252" i="5"/>
  <c r="V451" i="5"/>
  <c r="U451" i="5"/>
  <c r="U230" i="5"/>
  <c r="V230" i="5"/>
  <c r="V229" i="5"/>
  <c r="U229" i="5"/>
  <c r="U552" i="5"/>
  <c r="V552" i="5"/>
  <c r="U404" i="5"/>
  <c r="V404" i="5"/>
  <c r="V164" i="5"/>
  <c r="U164" i="5"/>
  <c r="V489" i="5"/>
  <c r="U489" i="5"/>
  <c r="V320" i="5"/>
  <c r="U320" i="5"/>
  <c r="V247" i="5"/>
  <c r="U247" i="5"/>
  <c r="V227" i="5"/>
  <c r="U227" i="5"/>
  <c r="U350" i="5"/>
  <c r="V350" i="5"/>
  <c r="U533" i="5"/>
  <c r="V533" i="5"/>
  <c r="U439" i="5"/>
  <c r="V439" i="5"/>
  <c r="U256" i="5"/>
  <c r="V256" i="5"/>
  <c r="U485" i="5"/>
  <c r="V485" i="5"/>
  <c r="V282" i="5"/>
  <c r="U282" i="5"/>
  <c r="V311" i="5"/>
  <c r="U311" i="5"/>
  <c r="V111" i="5"/>
  <c r="U111" i="5"/>
  <c r="U503" i="5"/>
  <c r="V503" i="5"/>
  <c r="V303" i="5"/>
  <c r="U303" i="5"/>
  <c r="V195" i="5"/>
  <c r="U195" i="5"/>
  <c r="V133" i="5"/>
  <c r="U133" i="5"/>
  <c r="V371" i="5"/>
  <c r="U371" i="5"/>
  <c r="V147" i="5"/>
  <c r="U147" i="5"/>
  <c r="U317" i="5"/>
  <c r="V317" i="5"/>
  <c r="V544" i="5"/>
  <c r="U544" i="5"/>
  <c r="U512" i="5"/>
  <c r="V512" i="5"/>
  <c r="U235" i="5"/>
  <c r="V235" i="5"/>
  <c r="U107" i="5"/>
  <c r="V107" i="5"/>
  <c r="V511" i="5"/>
  <c r="U511" i="5"/>
  <c r="V393" i="5"/>
  <c r="U393" i="5"/>
  <c r="V464" i="5"/>
  <c r="U464" i="5"/>
  <c r="V386" i="5"/>
  <c r="U386" i="5"/>
  <c r="V101" i="5"/>
  <c r="U101" i="5"/>
  <c r="U447" i="5"/>
  <c r="V447" i="5"/>
  <c r="U109" i="5"/>
  <c r="V109" i="5"/>
  <c r="V228" i="5"/>
  <c r="U228" i="5"/>
  <c r="V205" i="5"/>
  <c r="U205" i="5"/>
  <c r="V22" i="5"/>
  <c r="U22" i="5"/>
  <c r="V301" i="5"/>
  <c r="U301" i="5"/>
  <c r="V51" i="5"/>
  <c r="U51" i="5"/>
  <c r="U152" i="5"/>
  <c r="V152" i="5"/>
  <c r="U444" i="5"/>
  <c r="V444" i="5"/>
  <c r="U305" i="5"/>
  <c r="V305" i="5"/>
  <c r="V479" i="5"/>
  <c r="U479" i="5"/>
  <c r="V150" i="5"/>
  <c r="U150" i="5"/>
  <c r="U239" i="5"/>
  <c r="V239" i="5"/>
  <c r="V149" i="5"/>
  <c r="U149" i="5"/>
  <c r="U484" i="5"/>
  <c r="V484" i="5"/>
  <c r="V501" i="5"/>
  <c r="U501" i="5"/>
  <c r="U293" i="5"/>
  <c r="V293" i="5"/>
  <c r="U469" i="5"/>
  <c r="V469" i="5"/>
  <c r="U44" i="5"/>
  <c r="V44" i="5"/>
  <c r="V397" i="5"/>
  <c r="U397" i="5"/>
  <c r="U322" i="5"/>
  <c r="V322" i="5"/>
  <c r="V357" i="5"/>
  <c r="U357" i="5"/>
  <c r="U529" i="5"/>
  <c r="V529" i="5"/>
  <c r="U367" i="5"/>
  <c r="V367" i="5"/>
  <c r="U54" i="5"/>
  <c r="V54" i="5"/>
  <c r="V123" i="5"/>
  <c r="U123" i="5"/>
  <c r="V465" i="5"/>
  <c r="U465" i="5"/>
  <c r="V432" i="5"/>
  <c r="U432" i="5"/>
  <c r="V542" i="5"/>
  <c r="U542" i="5"/>
  <c r="U21" i="5"/>
  <c r="V21" i="5"/>
  <c r="U233" i="5"/>
  <c r="V233" i="5"/>
  <c r="V65" i="4"/>
  <c r="U67" i="4"/>
  <c r="U85" i="4"/>
  <c r="AV51" i="4"/>
  <c r="U51" i="4"/>
  <c r="V51" i="4"/>
  <c r="AM415" i="5"/>
  <c r="AM462" i="5"/>
  <c r="AM93" i="5"/>
  <c r="AM425" i="5"/>
  <c r="AM433" i="5"/>
  <c r="AM232" i="5"/>
  <c r="AM143" i="5"/>
  <c r="AM118" i="5"/>
  <c r="AM301" i="5"/>
  <c r="AM113" i="5"/>
  <c r="AM216" i="5"/>
  <c r="AM285" i="5"/>
  <c r="AM455" i="5"/>
  <c r="AM521" i="5"/>
  <c r="AM353" i="5"/>
  <c r="AM513" i="5"/>
  <c r="AM385" i="5"/>
  <c r="AM451" i="5"/>
  <c r="AM362" i="5"/>
  <c r="AM131" i="5"/>
  <c r="AM424" i="5"/>
  <c r="AM404" i="5"/>
  <c r="AM400" i="5"/>
  <c r="AM262" i="5"/>
  <c r="AM495" i="5"/>
  <c r="AM248" i="5"/>
  <c r="AM468" i="5"/>
  <c r="AM259" i="5"/>
  <c r="AM427" i="5"/>
  <c r="AM214" i="5"/>
  <c r="AM161" i="5"/>
  <c r="AM251" i="5"/>
  <c r="AM320" i="5"/>
  <c r="AM30" i="5"/>
  <c r="AM215" i="5"/>
  <c r="AM530" i="5"/>
  <c r="AM264" i="5"/>
  <c r="AM356" i="5"/>
  <c r="AM201" i="5"/>
  <c r="AM511" i="5"/>
  <c r="AM225" i="5"/>
  <c r="AM136" i="5"/>
  <c r="AM485" i="5"/>
  <c r="AM57" i="5"/>
  <c r="AM500" i="5"/>
  <c r="AM64" i="5"/>
  <c r="AM222" i="5"/>
  <c r="AM56" i="5"/>
  <c r="AM484" i="5"/>
  <c r="AM86" i="5"/>
  <c r="AM236" i="5"/>
  <c r="AM397" i="5"/>
  <c r="AM372" i="5"/>
  <c r="AM76" i="5"/>
  <c r="AM314" i="5"/>
  <c r="AM318" i="5"/>
  <c r="AM80" i="5"/>
  <c r="AM156" i="5"/>
  <c r="AM367" i="5"/>
  <c r="AM329" i="5"/>
  <c r="AM300" i="5"/>
  <c r="AM326" i="5"/>
  <c r="AM414" i="5"/>
  <c r="AM355" i="5"/>
  <c r="AM323" i="5"/>
  <c r="AM524" i="5"/>
  <c r="AM351" i="5"/>
  <c r="AM330" i="5"/>
  <c r="AM233" i="5"/>
  <c r="AM420" i="5"/>
  <c r="AM429" i="5"/>
  <c r="AM412" i="5"/>
  <c r="AM187" i="5"/>
  <c r="AM52" i="5"/>
  <c r="AM550" i="5"/>
  <c r="AM74" i="5"/>
  <c r="AM122" i="5"/>
  <c r="AM464" i="5"/>
  <c r="AM544" i="5"/>
  <c r="AM467" i="5"/>
  <c r="AM199" i="5"/>
  <c r="AM191" i="5"/>
  <c r="AM340" i="5"/>
  <c r="AM339" i="5"/>
  <c r="AM206" i="5"/>
  <c r="AM175" i="5"/>
  <c r="AM276" i="5"/>
  <c r="AM306" i="5"/>
  <c r="AM545" i="5"/>
  <c r="AM475" i="5"/>
  <c r="AM231" i="5"/>
  <c r="AM505" i="5"/>
  <c r="AM144" i="5"/>
  <c r="AM31" i="5"/>
  <c r="AM322" i="5"/>
  <c r="AM21" i="5"/>
  <c r="AM272" i="5"/>
  <c r="AM66" i="5"/>
  <c r="AM357" i="5"/>
  <c r="AM104" i="5"/>
  <c r="AM63" i="5"/>
  <c r="AM167" i="5"/>
  <c r="AM532" i="5"/>
  <c r="AM213" i="5"/>
  <c r="AM510" i="5"/>
  <c r="AM101" i="5"/>
  <c r="AM78" i="5"/>
  <c r="B76" i="5"/>
  <c r="O10" i="5" s="1"/>
  <c r="AC10" i="5" s="1"/>
  <c r="AM481" i="5"/>
  <c r="AM289" i="5"/>
  <c r="AM488" i="5"/>
  <c r="AM487" i="5"/>
  <c r="AM256" i="5"/>
  <c r="AM295" i="5"/>
  <c r="AM150" i="5"/>
  <c r="AM120" i="5"/>
  <c r="AM294" i="5"/>
  <c r="AM145" i="5"/>
  <c r="AM261" i="5"/>
  <c r="AM293" i="5"/>
  <c r="AM407" i="5"/>
  <c r="AM202" i="5"/>
  <c r="AM470" i="5"/>
  <c r="AM417" i="5"/>
  <c r="AM321" i="5"/>
  <c r="AM278" i="5"/>
  <c r="AM139" i="5"/>
  <c r="AM210" i="5"/>
  <c r="AM501" i="5"/>
  <c r="AM358" i="5"/>
  <c r="AM204" i="5"/>
  <c r="AM453" i="5"/>
  <c r="AM376" i="5"/>
  <c r="AM344" i="5"/>
  <c r="AM431" i="5"/>
  <c r="AM176" i="5"/>
  <c r="AM75" i="5"/>
  <c r="AM182" i="5"/>
  <c r="AM549" i="5"/>
  <c r="AM50" i="5"/>
  <c r="AM179" i="5"/>
  <c r="AM174" i="5"/>
  <c r="AM472" i="5"/>
  <c r="AM224" i="5"/>
  <c r="AM269" i="5"/>
  <c r="AM165" i="5"/>
  <c r="AM51" i="5"/>
  <c r="AM286" i="5"/>
  <c r="AM235" i="5"/>
  <c r="AM341" i="5"/>
  <c r="AM237" i="5"/>
  <c r="AM347" i="5"/>
  <c r="AM556" i="5"/>
  <c r="AM29" i="5"/>
  <c r="AM507" i="5"/>
  <c r="AM311" i="5"/>
  <c r="AM45" i="5"/>
  <c r="AM534" i="5"/>
  <c r="AM498" i="5"/>
  <c r="AM79" i="5"/>
  <c r="AM32" i="5"/>
  <c r="AM555" i="5"/>
  <c r="AM135" i="5"/>
  <c r="AM299" i="5"/>
  <c r="AM20" i="5"/>
  <c r="AM557" i="5"/>
  <c r="AM319" i="5"/>
  <c r="AM288" i="5"/>
  <c r="AM543" i="5"/>
  <c r="AM454" i="5"/>
  <c r="AM325" i="5"/>
  <c r="AM486" i="5"/>
  <c r="AM409" i="5"/>
  <c r="AM346" i="5"/>
  <c r="AM218" i="5"/>
  <c r="AM456" i="5"/>
  <c r="AM493" i="5"/>
  <c r="AM102" i="5"/>
  <c r="AM69" i="5"/>
  <c r="AM275" i="5"/>
  <c r="AM247" i="5"/>
  <c r="AM359" i="5"/>
  <c r="AM196" i="5"/>
  <c r="AM205" i="5"/>
  <c r="AM219" i="5"/>
  <c r="AM90" i="5"/>
  <c r="AM335" i="5"/>
  <c r="AM402" i="5"/>
  <c r="AM284" i="5"/>
  <c r="AM428" i="5"/>
  <c r="AM324" i="5"/>
  <c r="AM229" i="5"/>
  <c r="AM436" i="5"/>
  <c r="AM554" i="5"/>
  <c r="AM527" i="5"/>
  <c r="AM497" i="5"/>
  <c r="AM504" i="5"/>
  <c r="AM7" i="5"/>
  <c r="AM442" i="5"/>
  <c r="AM94" i="5"/>
  <c r="AM440" i="5"/>
  <c r="AM82" i="5"/>
  <c r="AM403" i="5"/>
  <c r="AM8" i="5"/>
  <c r="AM168" i="5"/>
  <c r="AM281" i="5"/>
  <c r="AM238" i="5"/>
  <c r="AM53" i="5"/>
  <c r="AM242" i="5"/>
  <c r="AM392" i="5"/>
  <c r="AM528" i="5"/>
  <c r="AM257" i="5"/>
  <c r="AM445" i="5"/>
  <c r="AM410" i="5"/>
  <c r="AM520" i="5"/>
  <c r="AM279" i="5"/>
  <c r="AM297" i="5"/>
  <c r="AM98" i="5"/>
  <c r="AM315" i="5"/>
  <c r="AM350" i="5"/>
  <c r="AM96" i="5"/>
  <c r="AM478" i="5"/>
  <c r="AM129" i="5"/>
  <c r="AM132" i="5"/>
  <c r="AM537" i="5"/>
  <c r="AM540" i="5"/>
  <c r="AM494" i="5"/>
  <c r="AM515" i="5"/>
  <c r="AM274" i="5"/>
  <c r="AM147" i="5"/>
  <c r="AM553" i="5"/>
  <c r="AM489" i="5"/>
  <c r="AM88" i="5"/>
  <c r="AM434" i="5"/>
  <c r="AM89" i="5"/>
  <c r="AM166" i="5"/>
  <c r="AM531" i="5"/>
  <c r="AM292" i="5"/>
  <c r="AM128" i="5"/>
  <c r="AM177" i="5"/>
  <c r="AM12" i="5"/>
  <c r="AM171" i="5"/>
  <c r="AM369" i="5"/>
  <c r="AM198" i="5"/>
  <c r="AM192" i="5"/>
  <c r="AM209" i="5"/>
  <c r="AM444" i="5"/>
  <c r="AM38" i="5"/>
  <c r="AM304" i="5"/>
  <c r="AM212" i="5"/>
  <c r="AM194" i="5"/>
  <c r="AM345" i="5"/>
  <c r="AM267" i="5"/>
  <c r="AM40" i="5"/>
  <c r="AM71" i="5"/>
  <c r="AM482" i="5"/>
  <c r="AM405" i="5"/>
  <c r="AM360" i="5"/>
  <c r="AM252" i="5"/>
  <c r="AM441" i="5"/>
  <c r="AM138" i="5"/>
  <c r="AM332" i="5"/>
  <c r="AM60" i="5"/>
  <c r="AM331" i="5"/>
  <c r="AM178" i="5"/>
  <c r="AM241" i="5"/>
  <c r="AM67" i="5"/>
  <c r="AM535" i="5"/>
  <c r="AM185" i="5"/>
  <c r="AM384" i="5"/>
  <c r="AM173" i="5"/>
  <c r="AM560" i="5"/>
  <c r="AM312" i="5"/>
  <c r="AM180" i="5"/>
  <c r="AM46" i="5"/>
  <c r="AM439" i="5"/>
  <c r="AM95" i="5"/>
  <c r="AM337" i="5"/>
  <c r="AM121" i="5"/>
  <c r="AM365" i="5"/>
  <c r="AM338" i="5"/>
  <c r="AM273" i="5"/>
  <c r="AM134" i="5"/>
  <c r="AM506" i="5"/>
  <c r="AM137" i="5"/>
  <c r="AM154" i="5"/>
  <c r="AM254" i="5"/>
  <c r="AM99" i="5"/>
  <c r="AM234" i="5"/>
  <c r="AM65" i="5"/>
  <c r="AM364" i="5"/>
  <c r="AM512" i="5"/>
  <c r="AM411" i="5"/>
  <c r="AM522" i="5"/>
  <c r="AM514" i="5"/>
  <c r="AM316" i="5"/>
  <c r="AM471" i="5"/>
  <c r="AM523" i="5"/>
  <c r="AM183" i="5"/>
  <c r="AM91" i="5"/>
  <c r="AM211" i="5"/>
  <c r="AM529" i="5"/>
  <c r="AM277" i="5"/>
  <c r="AM249" i="5"/>
  <c r="AM401" i="5"/>
  <c r="AM310" i="5"/>
  <c r="AM308" i="5"/>
  <c r="AM473" i="5"/>
  <c r="AM394" i="5"/>
  <c r="AM162" i="5"/>
  <c r="AM105" i="5"/>
  <c r="AM374" i="5"/>
  <c r="AM370" i="5"/>
  <c r="AM195" i="5"/>
  <c r="AM386" i="5"/>
  <c r="AM133" i="5"/>
  <c r="AM170" i="5"/>
  <c r="AM421" i="5"/>
  <c r="AM496" i="5"/>
  <c r="AM457" i="5"/>
  <c r="AM240" i="5"/>
  <c r="AM151" i="5"/>
  <c r="AM109" i="5"/>
  <c r="AM85" i="5"/>
  <c r="AM435" i="5"/>
  <c r="AM516" i="5"/>
  <c r="AM381" i="5"/>
  <c r="AM317" i="5"/>
  <c r="AM159" i="5"/>
  <c r="AM125" i="5"/>
  <c r="AM551" i="5"/>
  <c r="AM371" i="5"/>
  <c r="AM70" i="5"/>
  <c r="AM228" i="5"/>
  <c r="AM349" i="5"/>
  <c r="AM142" i="5"/>
  <c r="AM111" i="5"/>
  <c r="AM492" i="5"/>
  <c r="AM399" i="5"/>
  <c r="AM107" i="5"/>
  <c r="AM33" i="5"/>
  <c r="AM336" i="5"/>
  <c r="AM283" i="5"/>
  <c r="AM47" i="5"/>
  <c r="AM243" i="5"/>
  <c r="AM207" i="5"/>
  <c r="AM406" i="5"/>
  <c r="AM184" i="5"/>
  <c r="AM108" i="5"/>
  <c r="AM58" i="5"/>
  <c r="AM296" i="5"/>
  <c r="AM334" i="5"/>
  <c r="AM388" i="5"/>
  <c r="AM27" i="5"/>
  <c r="AM226" i="5"/>
  <c r="AM366" i="5"/>
  <c r="AM42" i="5"/>
  <c r="AM466" i="5"/>
  <c r="AM34" i="5"/>
  <c r="AM426" i="5"/>
  <c r="AM230" i="5"/>
  <c r="AM477" i="5"/>
  <c r="AM389" i="5"/>
  <c r="AM223" i="5"/>
  <c r="AM54" i="5"/>
  <c r="AM395" i="5"/>
  <c r="AM526" i="5"/>
  <c r="AM416" i="5"/>
  <c r="AM36" i="5"/>
  <c r="AM302" i="5"/>
  <c r="AM448" i="5"/>
  <c r="AM517" i="5"/>
  <c r="AM282" i="5"/>
  <c r="AM559" i="5"/>
  <c r="AM291" i="5"/>
  <c r="AM188" i="5"/>
  <c r="AM24" i="5"/>
  <c r="AM469" i="5"/>
  <c r="AM290" i="5"/>
  <c r="AM92" i="5"/>
  <c r="AM422" i="5"/>
  <c r="AM539" i="5"/>
  <c r="AM87" i="5"/>
  <c r="AM114" i="5"/>
  <c r="AM116" i="5"/>
  <c r="AM465" i="5"/>
  <c r="AM548" i="5"/>
  <c r="AM245" i="5"/>
  <c r="AM227" i="5"/>
  <c r="AM379" i="5"/>
  <c r="AM153" i="5"/>
  <c r="AM221" i="5"/>
  <c r="AM140" i="5"/>
  <c r="AM509" i="5"/>
  <c r="AM525" i="5"/>
  <c r="AM23" i="5"/>
  <c r="AM59" i="5"/>
  <c r="AM328" i="5"/>
  <c r="AM547" i="5"/>
  <c r="AM260" i="5"/>
  <c r="AM387" i="5"/>
  <c r="AM354" i="5"/>
  <c r="AM160" i="5"/>
  <c r="AM68" i="5"/>
  <c r="AM390" i="5"/>
  <c r="AM112" i="5"/>
  <c r="AM393" i="5"/>
  <c r="AM552" i="5"/>
  <c r="AM327" i="5"/>
  <c r="AM35" i="5"/>
  <c r="AM476" i="5"/>
  <c r="AM44" i="5"/>
  <c r="AM503" i="5"/>
  <c r="AM303" i="5"/>
  <c r="AM172" i="5"/>
  <c r="AM157" i="5"/>
  <c r="AM538" i="5"/>
  <c r="AM100" i="5"/>
  <c r="AM483" i="5"/>
  <c r="AM443" i="5"/>
  <c r="AM546" i="5"/>
  <c r="AM186" i="5"/>
  <c r="AM72" i="5"/>
  <c r="AM73" i="5"/>
  <c r="AM181" i="5"/>
  <c r="AM499" i="5"/>
  <c r="AM413" i="5"/>
  <c r="AM458" i="5"/>
  <c r="AM155" i="5"/>
  <c r="AM77" i="5"/>
  <c r="AM268" i="5"/>
  <c r="AM450" i="5"/>
  <c r="AM127" i="5"/>
  <c r="AM408" i="5"/>
  <c r="AM26" i="5"/>
  <c r="AM265" i="5"/>
  <c r="AM447" i="5"/>
  <c r="AM266" i="5"/>
  <c r="AM490" i="5"/>
  <c r="AM146" i="5"/>
  <c r="AM519" i="5"/>
  <c r="AM103" i="5"/>
  <c r="AM474" i="5"/>
  <c r="AM348" i="5"/>
  <c r="AM197" i="5"/>
  <c r="AM508" i="5"/>
  <c r="AM463" i="5"/>
  <c r="AM158" i="5"/>
  <c r="AM117" i="5"/>
  <c r="AM533" i="5"/>
  <c r="AM81" i="5"/>
  <c r="AM106" i="5"/>
  <c r="AM41" i="5"/>
  <c r="AM452" i="5"/>
  <c r="AM110" i="5"/>
  <c r="AM437" i="5"/>
  <c r="AM361" i="5"/>
  <c r="AM48" i="5"/>
  <c r="AM217" i="5"/>
  <c r="AM298" i="5"/>
  <c r="AM423" i="5"/>
  <c r="AM502" i="5"/>
  <c r="AM124" i="5"/>
  <c r="AM239" i="5"/>
  <c r="AM149" i="5"/>
  <c r="AM200" i="5"/>
  <c r="AM19" i="5"/>
  <c r="AM352" i="5"/>
  <c r="AM343" i="5"/>
  <c r="AM558" i="5"/>
  <c r="AM438" i="5"/>
  <c r="AM271" i="5"/>
  <c r="AM55" i="5"/>
  <c r="AM342" i="5"/>
  <c r="AM49" i="5"/>
  <c r="AM373" i="5"/>
  <c r="AM287" i="5"/>
  <c r="AM378" i="5"/>
  <c r="AM446" i="5"/>
  <c r="AM491" i="5"/>
  <c r="AM13" i="5"/>
  <c r="AM203" i="5"/>
  <c r="AM119" i="5"/>
  <c r="AM368" i="5"/>
  <c r="AM542" i="5"/>
  <c r="AM270" i="5"/>
  <c r="AM480" i="5"/>
  <c r="AM84" i="5"/>
  <c r="AM22" i="5"/>
  <c r="AM459" i="5"/>
  <c r="AM398" i="5"/>
  <c r="AM164" i="5"/>
  <c r="AM43" i="5"/>
  <c r="AM246" i="5"/>
  <c r="AM250" i="5"/>
  <c r="AM253" i="5"/>
  <c r="AM263" i="5"/>
  <c r="AM148" i="5"/>
  <c r="AM62" i="5"/>
  <c r="AM61" i="5"/>
  <c r="AM479" i="5"/>
  <c r="AM97" i="5"/>
  <c r="AM258" i="5"/>
  <c r="AM141" i="5"/>
  <c r="AM418" i="5"/>
  <c r="AM307" i="5"/>
  <c r="AM419" i="5"/>
  <c r="AM377" i="5"/>
  <c r="AM208" i="5"/>
  <c r="AM382" i="5"/>
  <c r="AM220" i="5"/>
  <c r="AM461" i="5"/>
  <c r="AM541" i="5"/>
  <c r="AM305" i="5"/>
  <c r="AM126" i="5"/>
  <c r="AM309" i="5"/>
  <c r="AM536" i="5"/>
  <c r="AM193" i="5"/>
  <c r="AM449" i="5"/>
  <c r="AM460" i="5"/>
  <c r="AM518" i="5"/>
  <c r="AM333" i="5"/>
  <c r="AM130" i="5"/>
  <c r="AM383" i="5"/>
  <c r="AM391" i="5"/>
  <c r="AM39" i="5"/>
  <c r="AM28" i="5"/>
  <c r="AM123" i="5"/>
  <c r="AM432" i="5"/>
  <c r="AM430" i="5"/>
  <c r="AM380" i="5"/>
  <c r="AM244" i="5"/>
  <c r="AM375" i="5"/>
  <c r="AM163" i="5"/>
  <c r="AM189" i="5"/>
  <c r="AM115" i="5"/>
  <c r="AM169" i="5"/>
  <c r="AM396" i="5"/>
  <c r="AM313" i="5"/>
  <c r="AM83" i="5"/>
  <c r="AM190" i="5"/>
  <c r="AM280" i="5"/>
  <c r="AM25" i="5"/>
  <c r="AM363" i="5"/>
  <c r="AM152" i="5"/>
  <c r="AM255" i="5"/>
  <c r="U279" i="5"/>
  <c r="V279" i="5"/>
  <c r="U148" i="5"/>
  <c r="V148" i="5"/>
  <c r="V497" i="5"/>
  <c r="U497" i="5"/>
  <c r="V126" i="5"/>
  <c r="U126" i="5"/>
  <c r="V374" i="5"/>
  <c r="U374" i="5"/>
  <c r="U55" i="5"/>
  <c r="V55" i="5"/>
  <c r="V549" i="5"/>
  <c r="U549" i="5"/>
  <c r="U27" i="5"/>
  <c r="V27" i="5"/>
  <c r="U178" i="5"/>
  <c r="V178" i="5"/>
  <c r="U81" i="5"/>
  <c r="V81" i="5"/>
  <c r="V462" i="5"/>
  <c r="U462" i="5"/>
  <c r="U263" i="5"/>
  <c r="V263" i="5"/>
  <c r="U312" i="5"/>
  <c r="V312" i="5"/>
  <c r="U38" i="5"/>
  <c r="V38" i="5"/>
  <c r="V50" i="5"/>
  <c r="U50" i="5"/>
  <c r="V94" i="5"/>
  <c r="U94" i="5"/>
  <c r="U548" i="5"/>
  <c r="V548" i="5"/>
  <c r="V120" i="5"/>
  <c r="U120" i="5"/>
  <c r="V428" i="5"/>
  <c r="U428" i="5"/>
  <c r="U31" i="5"/>
  <c r="V31" i="5"/>
  <c r="V141" i="5"/>
  <c r="U141" i="5"/>
  <c r="V452" i="5"/>
  <c r="U452" i="5"/>
  <c r="V153" i="5"/>
  <c r="U153" i="5"/>
  <c r="V546" i="5"/>
  <c r="U546" i="5"/>
  <c r="U450" i="5"/>
  <c r="V450" i="5"/>
  <c r="V250" i="5"/>
  <c r="U250" i="5"/>
  <c r="V91" i="5"/>
  <c r="U91" i="5"/>
  <c r="U194" i="5"/>
  <c r="V194" i="5"/>
  <c r="V353" i="5"/>
  <c r="U353" i="5"/>
  <c r="U307" i="5"/>
  <c r="V307" i="5"/>
  <c r="U422" i="5"/>
  <c r="V422" i="5"/>
  <c r="U538" i="5"/>
  <c r="V538" i="5"/>
  <c r="V433" i="5"/>
  <c r="U433" i="5"/>
  <c r="U300" i="5"/>
  <c r="V300" i="5"/>
  <c r="U166" i="5"/>
  <c r="V166" i="5"/>
  <c r="U358" i="5"/>
  <c r="V358" i="5"/>
  <c r="U118" i="5"/>
  <c r="V118" i="5"/>
  <c r="U436" i="5"/>
  <c r="V436" i="5"/>
  <c r="V26" i="5"/>
  <c r="U26" i="5"/>
  <c r="V272" i="5"/>
  <c r="U272" i="5"/>
  <c r="U326" i="5"/>
  <c r="V326" i="5"/>
  <c r="V528" i="5"/>
  <c r="U528" i="5"/>
  <c r="U518" i="5"/>
  <c r="V518" i="5"/>
  <c r="U318" i="5"/>
  <c r="V318" i="5"/>
  <c r="V35" i="5"/>
  <c r="U35" i="5"/>
  <c r="V208" i="5"/>
  <c r="U208" i="5"/>
  <c r="V180" i="5"/>
  <c r="U180" i="5"/>
  <c r="U366" i="5"/>
  <c r="V366" i="5"/>
  <c r="V331" i="5"/>
  <c r="U331" i="5"/>
  <c r="V343" i="5"/>
  <c r="U343" i="5"/>
  <c r="U426" i="5"/>
  <c r="V426" i="5"/>
  <c r="U541" i="5"/>
  <c r="V541" i="5"/>
  <c r="V95" i="5"/>
  <c r="U95" i="5"/>
  <c r="V100" i="5"/>
  <c r="U100" i="5"/>
  <c r="U271" i="5"/>
  <c r="V271" i="5"/>
  <c r="U411" i="5"/>
  <c r="V411" i="5"/>
  <c r="U510" i="5"/>
  <c r="V510" i="5"/>
  <c r="V237" i="5"/>
  <c r="U237" i="5"/>
  <c r="V275" i="5"/>
  <c r="U275" i="5"/>
  <c r="V47" i="5"/>
  <c r="U47" i="5"/>
  <c r="U472" i="5"/>
  <c r="V472" i="5"/>
  <c r="U59" i="5"/>
  <c r="V59" i="5"/>
  <c r="V430" i="5"/>
  <c r="U430" i="5"/>
  <c r="U534" i="5"/>
  <c r="V534" i="5"/>
  <c r="V131" i="5"/>
  <c r="U131" i="5"/>
  <c r="V523" i="5"/>
  <c r="U523" i="5"/>
  <c r="U262" i="5"/>
  <c r="V262" i="5"/>
  <c r="V390" i="5"/>
  <c r="U390" i="5"/>
  <c r="B73" i="5"/>
  <c r="AJ37" i="5" s="1"/>
  <c r="B36" i="5"/>
  <c r="B38" i="5" s="1"/>
  <c r="P37" i="5" s="1"/>
  <c r="B57" i="2"/>
  <c r="B107" i="2" s="1"/>
  <c r="B108" i="2" s="1"/>
  <c r="B77" i="5"/>
  <c r="AP37" i="5" s="1"/>
  <c r="B72" i="5"/>
  <c r="AI37" i="5" s="1"/>
  <c r="U11" i="4"/>
  <c r="V11" i="4"/>
  <c r="AV11" i="4"/>
  <c r="V120" i="4"/>
  <c r="U39" i="4"/>
  <c r="AV73" i="4" l="1"/>
  <c r="V40" i="4"/>
  <c r="U125" i="4"/>
  <c r="AV120" i="4"/>
  <c r="AV146" i="4"/>
  <c r="AV99" i="4"/>
  <c r="V99" i="4"/>
  <c r="AM99" i="4" s="1"/>
  <c r="AV124" i="4"/>
  <c r="AV67" i="4"/>
  <c r="V124" i="4"/>
  <c r="AV57" i="4"/>
  <c r="AV75" i="4"/>
  <c r="V62" i="4"/>
  <c r="V23" i="4"/>
  <c r="W23" i="4" s="1"/>
  <c r="Y23" i="4" s="1"/>
  <c r="AR23" i="4" s="1"/>
  <c r="AV84" i="4"/>
  <c r="U61" i="4"/>
  <c r="AH61" i="4" s="1"/>
  <c r="AV90" i="4"/>
  <c r="U63" i="4"/>
  <c r="AH63" i="4" s="1"/>
  <c r="AV140" i="4"/>
  <c r="AE10" i="5"/>
  <c r="AD10" i="5"/>
  <c r="AF7" i="5"/>
  <c r="V44" i="4"/>
  <c r="W44" i="4" s="1"/>
  <c r="Y44" i="4" s="1"/>
  <c r="AR44" i="4" s="1"/>
  <c r="AV40" i="4"/>
  <c r="U44" i="4"/>
  <c r="AH44" i="4" s="1"/>
  <c r="U29" i="4"/>
  <c r="AH29" i="4" s="1"/>
  <c r="AV127" i="4"/>
  <c r="U128" i="4"/>
  <c r="AH128" i="4" s="1"/>
  <c r="V127" i="4"/>
  <c r="V75" i="4"/>
  <c r="AM75" i="4" s="1"/>
  <c r="AV128" i="4"/>
  <c r="U45" i="4"/>
  <c r="AH45" i="4" s="1"/>
  <c r="V132" i="4"/>
  <c r="AM132" i="4" s="1"/>
  <c r="V138" i="4"/>
  <c r="AM138" i="4" s="1"/>
  <c r="AV154" i="4"/>
  <c r="V50" i="4"/>
  <c r="AM50" i="4" s="1"/>
  <c r="AV86" i="4"/>
  <c r="V9" i="4"/>
  <c r="W9" i="4" s="1"/>
  <c r="Y9" i="4" s="1"/>
  <c r="AR9" i="4" s="1"/>
  <c r="AV71" i="4"/>
  <c r="V98" i="4"/>
  <c r="AM98" i="4" s="1"/>
  <c r="AV98" i="4"/>
  <c r="V150" i="4"/>
  <c r="AM150" i="4" s="1"/>
  <c r="V141" i="4"/>
  <c r="W141" i="4" s="1"/>
  <c r="Y141" i="4" s="1"/>
  <c r="AR141" i="4" s="1"/>
  <c r="V29" i="4"/>
  <c r="AM29" i="4" s="1"/>
  <c r="AV150" i="4"/>
  <c r="AV141" i="4"/>
  <c r="V45" i="4"/>
  <c r="AM45" i="4" s="1"/>
  <c r="V96" i="4"/>
  <c r="W96" i="4" s="1"/>
  <c r="Y96" i="4" s="1"/>
  <c r="AR96" i="4" s="1"/>
  <c r="AV63" i="4"/>
  <c r="U13" i="4"/>
  <c r="AH13" i="4" s="1"/>
  <c r="AV138" i="4"/>
  <c r="U90" i="4"/>
  <c r="AH90" i="4" s="1"/>
  <c r="AV23" i="4"/>
  <c r="U140" i="4"/>
  <c r="AH140" i="4" s="1"/>
  <c r="V61" i="4"/>
  <c r="AM61" i="4" s="1"/>
  <c r="V86" i="4"/>
  <c r="AM86" i="4" s="1"/>
  <c r="U50" i="4"/>
  <c r="AH50" i="4" s="1"/>
  <c r="AV151" i="4"/>
  <c r="AV119" i="4"/>
  <c r="U58" i="4"/>
  <c r="AH58" i="4" s="1"/>
  <c r="V89" i="4"/>
  <c r="W89" i="4" s="1"/>
  <c r="Y89" i="4" s="1"/>
  <c r="AR89" i="4" s="1"/>
  <c r="U100" i="4"/>
  <c r="AH100" i="4" s="1"/>
  <c r="U9" i="4"/>
  <c r="AH9" i="4" s="1"/>
  <c r="AV133" i="4"/>
  <c r="AV77" i="4"/>
  <c r="U77" i="4"/>
  <c r="AH77" i="4" s="1"/>
  <c r="AV22" i="4"/>
  <c r="V73" i="4"/>
  <c r="AM73" i="4" s="1"/>
  <c r="V154" i="4"/>
  <c r="AM154" i="4" s="1"/>
  <c r="V49" i="4"/>
  <c r="W49" i="4" s="1"/>
  <c r="Y49" i="4" s="1"/>
  <c r="AR49" i="4" s="1"/>
  <c r="V57" i="4"/>
  <c r="AM57" i="4" s="1"/>
  <c r="V84" i="4"/>
  <c r="W84" i="4" s="1"/>
  <c r="Y84" i="4" s="1"/>
  <c r="AR84" i="4" s="1"/>
  <c r="AV42" i="4"/>
  <c r="V112" i="4"/>
  <c r="AM112" i="4" s="1"/>
  <c r="U131" i="4"/>
  <c r="AH131" i="4" s="1"/>
  <c r="V42" i="4"/>
  <c r="W42" i="4" s="1"/>
  <c r="Y42" i="4" s="1"/>
  <c r="AR42" i="4" s="1"/>
  <c r="V105" i="4"/>
  <c r="U105" i="4"/>
  <c r="AH105" i="4" s="1"/>
  <c r="AV111" i="4"/>
  <c r="U17" i="4"/>
  <c r="AH17" i="4" s="1"/>
  <c r="V35" i="4"/>
  <c r="W35" i="4" s="1"/>
  <c r="Y35" i="4" s="1"/>
  <c r="AR35" i="4" s="1"/>
  <c r="AV30" i="4"/>
  <c r="U65" i="4"/>
  <c r="AH65" i="4" s="1"/>
  <c r="V31" i="4"/>
  <c r="W31" i="4" s="1"/>
  <c r="Y31" i="4" s="1"/>
  <c r="AR31" i="4" s="1"/>
  <c r="V134" i="4"/>
  <c r="AM134" i="4" s="1"/>
  <c r="AV31" i="4"/>
  <c r="AV94" i="4"/>
  <c r="V43" i="4"/>
  <c r="AM43" i="4" s="1"/>
  <c r="AV153" i="4"/>
  <c r="U30" i="4"/>
  <c r="AH30" i="4" s="1"/>
  <c r="V94" i="4"/>
  <c r="AM94" i="4" s="1"/>
  <c r="AV156" i="4"/>
  <c r="V156" i="4"/>
  <c r="AM156" i="4" s="1"/>
  <c r="U121" i="4"/>
  <c r="AH121" i="4" s="1"/>
  <c r="AV21" i="4"/>
  <c r="U153" i="4"/>
  <c r="AH153" i="4" s="1"/>
  <c r="AV19" i="4"/>
  <c r="V39" i="4"/>
  <c r="AM39" i="4" s="1"/>
  <c r="U19" i="4"/>
  <c r="V85" i="4"/>
  <c r="W85" i="4" s="1"/>
  <c r="Y85" i="4" s="1"/>
  <c r="AR85" i="4" s="1"/>
  <c r="U21" i="4"/>
  <c r="AH21" i="4" s="1"/>
  <c r="AV62" i="4"/>
  <c r="V80" i="4"/>
  <c r="AM80" i="4" s="1"/>
  <c r="AV129" i="4"/>
  <c r="AV49" i="4"/>
  <c r="U36" i="4"/>
  <c r="AH36" i="4" s="1"/>
  <c r="V66" i="4"/>
  <c r="AM66" i="4" s="1"/>
  <c r="AV54" i="4"/>
  <c r="V135" i="4"/>
  <c r="AV34" i="4"/>
  <c r="U148" i="4"/>
  <c r="AH148" i="4" s="1"/>
  <c r="V145" i="4"/>
  <c r="AM145" i="4" s="1"/>
  <c r="V157" i="4"/>
  <c r="AM157" i="4" s="1"/>
  <c r="U157" i="4"/>
  <c r="AH157" i="4" s="1"/>
  <c r="V123" i="4"/>
  <c r="AM123" i="4" s="1"/>
  <c r="AV33" i="4"/>
  <c r="AV143" i="4"/>
  <c r="U123" i="4"/>
  <c r="AH123" i="4" s="1"/>
  <c r="U33" i="4"/>
  <c r="AH33" i="4" s="1"/>
  <c r="V118" i="4"/>
  <c r="W118" i="4" s="1"/>
  <c r="Y118" i="4" s="1"/>
  <c r="AR118" i="4" s="1"/>
  <c r="AV118" i="4"/>
  <c r="U52" i="4"/>
  <c r="AH52" i="4" s="1"/>
  <c r="V88" i="4"/>
  <c r="W88" i="4" s="1"/>
  <c r="Y88" i="4" s="1"/>
  <c r="AR88" i="4" s="1"/>
  <c r="U137" i="4"/>
  <c r="AH137" i="4" s="1"/>
  <c r="AV14" i="4"/>
  <c r="U88" i="4"/>
  <c r="AH88" i="4" s="1"/>
  <c r="V130" i="4"/>
  <c r="AM130" i="4" s="1"/>
  <c r="V125" i="4"/>
  <c r="AM125" i="4" s="1"/>
  <c r="V46" i="4"/>
  <c r="AM46" i="4" s="1"/>
  <c r="U92" i="4"/>
  <c r="AH92" i="4" s="1"/>
  <c r="U136" i="4"/>
  <c r="AH136" i="4" s="1"/>
  <c r="AV68" i="4"/>
  <c r="V113" i="4"/>
  <c r="U15" i="4"/>
  <c r="AH15" i="4" s="1"/>
  <c r="AV116" i="4"/>
  <c r="AV76" i="4"/>
  <c r="U116" i="4"/>
  <c r="AH116" i="4" s="1"/>
  <c r="U76" i="4"/>
  <c r="AH76" i="4" s="1"/>
  <c r="U68" i="4"/>
  <c r="AH68" i="4" s="1"/>
  <c r="V151" i="4"/>
  <c r="AM151" i="4" s="1"/>
  <c r="V24" i="4"/>
  <c r="W24" i="4" s="1"/>
  <c r="Y24" i="4" s="1"/>
  <c r="AR24" i="4" s="1"/>
  <c r="V106" i="4"/>
  <c r="W106" i="4" s="1"/>
  <c r="Y106" i="4" s="1"/>
  <c r="AR106" i="4" s="1"/>
  <c r="AV82" i="4"/>
  <c r="AV15" i="4"/>
  <c r="AV24" i="4"/>
  <c r="U106" i="4"/>
  <c r="AH106" i="4" s="1"/>
  <c r="V82" i="4"/>
  <c r="W82" i="4" s="1"/>
  <c r="Y82" i="4" s="1"/>
  <c r="AR82" i="4" s="1"/>
  <c r="AV113" i="4"/>
  <c r="V102" i="4"/>
  <c r="AM102" i="4" s="1"/>
  <c r="AV55" i="4"/>
  <c r="AV20" i="4"/>
  <c r="AV149" i="4"/>
  <c r="V144" i="4"/>
  <c r="AM144" i="4" s="1"/>
  <c r="V60" i="4"/>
  <c r="W60" i="4" s="1"/>
  <c r="Y60" i="4" s="1"/>
  <c r="AR60" i="4" s="1"/>
  <c r="V20" i="4"/>
  <c r="AM20" i="4" s="1"/>
  <c r="AV38" i="4"/>
  <c r="V149" i="4"/>
  <c r="AV102" i="4"/>
  <c r="V55" i="4"/>
  <c r="W55" i="4" s="1"/>
  <c r="Y55" i="4" s="1"/>
  <c r="AR55" i="4" s="1"/>
  <c r="AV144" i="4"/>
  <c r="AV60" i="4"/>
  <c r="AV136" i="4"/>
  <c r="V38" i="4"/>
  <c r="W38" i="4" s="1"/>
  <c r="Y38" i="4" s="1"/>
  <c r="AR38" i="4" s="1"/>
  <c r="V10" i="4"/>
  <c r="AM10" i="4" s="1"/>
  <c r="AV41" i="4"/>
  <c r="U110" i="4"/>
  <c r="AH110" i="4" s="1"/>
  <c r="AV97" i="4"/>
  <c r="U41" i="4"/>
  <c r="AH41" i="4" s="1"/>
  <c r="V111" i="4"/>
  <c r="AM111" i="4" s="1"/>
  <c r="AV135" i="4"/>
  <c r="V34" i="4"/>
  <c r="AM34" i="4" s="1"/>
  <c r="V74" i="4"/>
  <c r="AM74" i="4" s="1"/>
  <c r="AV117" i="4"/>
  <c r="AV91" i="4"/>
  <c r="AV104" i="4"/>
  <c r="V71" i="4"/>
  <c r="AM71" i="4" s="1"/>
  <c r="V70" i="4"/>
  <c r="AM70" i="4" s="1"/>
  <c r="AV74" i="4"/>
  <c r="V117" i="4"/>
  <c r="W117" i="4" s="1"/>
  <c r="Y117" i="4" s="1"/>
  <c r="AR117" i="4" s="1"/>
  <c r="V91" i="4"/>
  <c r="AM91" i="4" s="1"/>
  <c r="V53" i="4"/>
  <c r="V104" i="4"/>
  <c r="W104" i="4" s="1"/>
  <c r="Y104" i="4" s="1"/>
  <c r="AR104" i="4" s="1"/>
  <c r="U70" i="4"/>
  <c r="AH70" i="4" s="1"/>
  <c r="V131" i="4"/>
  <c r="AM131" i="4" s="1"/>
  <c r="AV53" i="4"/>
  <c r="V110" i="4"/>
  <c r="W110" i="4" s="1"/>
  <c r="Y110" i="4" s="1"/>
  <c r="AR110" i="4" s="1"/>
  <c r="V133" i="4"/>
  <c r="AM133" i="4" s="1"/>
  <c r="V25" i="4"/>
  <c r="AM25" i="4" s="1"/>
  <c r="U112" i="4"/>
  <c r="AH112" i="4" s="1"/>
  <c r="U10" i="4"/>
  <c r="AH10" i="4" s="1"/>
  <c r="AV72" i="4"/>
  <c r="U79" i="4"/>
  <c r="AH79" i="4" s="1"/>
  <c r="V97" i="4"/>
  <c r="AM97" i="4" s="1"/>
  <c r="AV101" i="4"/>
  <c r="AV26" i="4"/>
  <c r="AV35" i="4"/>
  <c r="U37" i="4"/>
  <c r="V101" i="4"/>
  <c r="W101" i="4" s="1"/>
  <c r="Y101" i="4" s="1"/>
  <c r="AR101" i="4" s="1"/>
  <c r="V64" i="4"/>
  <c r="AM64" i="4" s="1"/>
  <c r="V72" i="4"/>
  <c r="AM72" i="4" s="1"/>
  <c r="U18" i="4"/>
  <c r="AH18" i="4" s="1"/>
  <c r="U26" i="4"/>
  <c r="AH26" i="4" s="1"/>
  <c r="V155" i="4"/>
  <c r="W155" i="4" s="1"/>
  <c r="Y155" i="4" s="1"/>
  <c r="AR155" i="4" s="1"/>
  <c r="U114" i="4"/>
  <c r="AH114" i="4" s="1"/>
  <c r="AV64" i="4"/>
  <c r="V100" i="4"/>
  <c r="AM100" i="4" s="1"/>
  <c r="V7" i="4"/>
  <c r="AM7" i="4" s="1"/>
  <c r="U78" i="4"/>
  <c r="AH78" i="4" s="1"/>
  <c r="AV32" i="4"/>
  <c r="V152" i="4"/>
  <c r="AM152" i="4" s="1"/>
  <c r="AV17" i="4"/>
  <c r="AV103" i="4"/>
  <c r="U142" i="4"/>
  <c r="AH142" i="4" s="1"/>
  <c r="AV66" i="4"/>
  <c r="U80" i="4"/>
  <c r="AH80" i="4" s="1"/>
  <c r="U54" i="4"/>
  <c r="AH54" i="4" s="1"/>
  <c r="V22" i="4"/>
  <c r="AM22" i="4" s="1"/>
  <c r="V12" i="4"/>
  <c r="AM12" i="4" s="1"/>
  <c r="U47" i="4"/>
  <c r="AH47" i="4" s="1"/>
  <c r="U129" i="4"/>
  <c r="AH129" i="4" s="1"/>
  <c r="V69" i="4"/>
  <c r="AM69" i="4" s="1"/>
  <c r="AV12" i="4"/>
  <c r="AV69" i="4"/>
  <c r="AV87" i="4"/>
  <c r="V103" i="4"/>
  <c r="AM103" i="4" s="1"/>
  <c r="V107" i="4"/>
  <c r="AM107" i="4" s="1"/>
  <c r="V36" i="4"/>
  <c r="AM36" i="4" s="1"/>
  <c r="V87" i="4"/>
  <c r="AM87" i="4" s="1"/>
  <c r="V83" i="4"/>
  <c r="AM83" i="4" s="1"/>
  <c r="AV96" i="4"/>
  <c r="AV155" i="4"/>
  <c r="AV18" i="4"/>
  <c r="V119" i="4"/>
  <c r="AM119" i="4" s="1"/>
  <c r="AV148" i="4"/>
  <c r="AV130" i="4"/>
  <c r="AV132" i="4"/>
  <c r="V28" i="4"/>
  <c r="W28" i="4" s="1"/>
  <c r="Y28" i="4" s="1"/>
  <c r="AR28" i="4" s="1"/>
  <c r="AV107" i="4"/>
  <c r="U109" i="4"/>
  <c r="AH109" i="4" s="1"/>
  <c r="V121" i="4"/>
  <c r="AM121" i="4" s="1"/>
  <c r="AV43" i="4"/>
  <c r="AV7" i="4"/>
  <c r="AV134" i="4"/>
  <c r="AV137" i="4"/>
  <c r="V114" i="4"/>
  <c r="AM114" i="4" s="1"/>
  <c r="V92" i="4"/>
  <c r="AM92" i="4" s="1"/>
  <c r="V58" i="4"/>
  <c r="W58" i="4" s="1"/>
  <c r="Y58" i="4" s="1"/>
  <c r="AR58" i="4" s="1"/>
  <c r="AV13" i="4"/>
  <c r="AV89" i="4"/>
  <c r="V81" i="4"/>
  <c r="AM81" i="4" s="1"/>
  <c r="AV37" i="4"/>
  <c r="U46" i="4"/>
  <c r="AH46" i="4" s="1"/>
  <c r="AV145" i="4"/>
  <c r="V143" i="4"/>
  <c r="AM143" i="4" s="1"/>
  <c r="V14" i="4"/>
  <c r="AM14" i="4" s="1"/>
  <c r="AV28" i="4"/>
  <c r="AV147" i="4"/>
  <c r="V147" i="4"/>
  <c r="AM147" i="4" s="1"/>
  <c r="AV59" i="4"/>
  <c r="V59" i="4"/>
  <c r="AM59" i="4" s="1"/>
  <c r="V52" i="4"/>
  <c r="AM52" i="4" s="1"/>
  <c r="AV56" i="4"/>
  <c r="AV78" i="4"/>
  <c r="U32" i="4"/>
  <c r="AH32" i="4" s="1"/>
  <c r="AV152" i="4"/>
  <c r="V56" i="4"/>
  <c r="AM56" i="4" s="1"/>
  <c r="V79" i="4"/>
  <c r="AM79" i="4" s="1"/>
  <c r="AV25" i="4"/>
  <c r="AV81" i="4"/>
  <c r="AV109" i="4"/>
  <c r="AV83" i="4"/>
  <c r="V122" i="4"/>
  <c r="W122" i="4" s="1"/>
  <c r="Y122" i="4" s="1"/>
  <c r="AR122" i="4" s="1"/>
  <c r="AV122" i="4"/>
  <c r="AV8" i="4"/>
  <c r="V8" i="4"/>
  <c r="AM8" i="4" s="1"/>
  <c r="V93" i="4"/>
  <c r="AM93" i="4" s="1"/>
  <c r="V16" i="4"/>
  <c r="W16" i="4" s="1"/>
  <c r="Y16" i="4" s="1"/>
  <c r="AR16" i="4" s="1"/>
  <c r="AV93" i="4"/>
  <c r="AV142" i="4"/>
  <c r="AV16" i="4"/>
  <c r="V47" i="4"/>
  <c r="AM47" i="4" s="1"/>
  <c r="V95" i="4"/>
  <c r="AM95" i="4" s="1"/>
  <c r="V108" i="4"/>
  <c r="W108" i="4" s="1"/>
  <c r="Y108" i="4" s="1"/>
  <c r="AR108" i="4" s="1"/>
  <c r="V48" i="4"/>
  <c r="AM48" i="4" s="1"/>
  <c r="V139" i="4"/>
  <c r="AM139" i="4" s="1"/>
  <c r="V27" i="4"/>
  <c r="W27" i="4" s="1"/>
  <c r="Y27" i="4" s="1"/>
  <c r="AR27" i="4" s="1"/>
  <c r="U95" i="4"/>
  <c r="AH95" i="4" s="1"/>
  <c r="AV108" i="4"/>
  <c r="AV48" i="4"/>
  <c r="AV139" i="4"/>
  <c r="AV27" i="4"/>
  <c r="AV126" i="4"/>
  <c r="AV115" i="4"/>
  <c r="V126" i="4"/>
  <c r="AM126" i="4" s="1"/>
  <c r="V115" i="4"/>
  <c r="W115" i="4" s="1"/>
  <c r="Y115" i="4" s="1"/>
  <c r="AR115" i="4" s="1"/>
  <c r="AS37" i="5"/>
  <c r="AQ37" i="5"/>
  <c r="AR37" i="5"/>
  <c r="AK37" i="5"/>
  <c r="AL37" i="5"/>
  <c r="W11" i="4"/>
  <c r="Y11" i="4" s="1"/>
  <c r="AR11" i="4" s="1"/>
  <c r="AM11" i="4"/>
  <c r="AM19" i="4"/>
  <c r="W19" i="4"/>
  <c r="Y19" i="4" s="1"/>
  <c r="AR19" i="4" s="1"/>
  <c r="AH150" i="4"/>
  <c r="B248" i="2"/>
  <c r="B58" i="2"/>
  <c r="B256" i="2"/>
  <c r="K96" i="2"/>
  <c r="B60" i="2"/>
  <c r="B61" i="2" s="1"/>
  <c r="H26" i="1" s="1"/>
  <c r="B253" i="2"/>
  <c r="B254" i="2" s="1"/>
  <c r="B85" i="2"/>
  <c r="B88" i="2" s="1"/>
  <c r="B89" i="2" s="1"/>
  <c r="H30" i="1" s="1"/>
  <c r="B115" i="2"/>
  <c r="B74" i="5"/>
  <c r="AJ396" i="5"/>
  <c r="AJ387" i="5"/>
  <c r="AJ458" i="5"/>
  <c r="AJ102" i="5"/>
  <c r="AJ502" i="5"/>
  <c r="AJ73" i="5"/>
  <c r="AJ482" i="5"/>
  <c r="AJ325" i="5"/>
  <c r="AJ541" i="5"/>
  <c r="AJ372" i="5"/>
  <c r="AJ386" i="5"/>
  <c r="AJ489" i="5"/>
  <c r="AJ148" i="5"/>
  <c r="AJ248" i="5"/>
  <c r="AJ382" i="5"/>
  <c r="AJ249" i="5"/>
  <c r="AJ54" i="5"/>
  <c r="AJ395" i="5"/>
  <c r="AJ491" i="5"/>
  <c r="AJ464" i="5"/>
  <c r="AJ535" i="5"/>
  <c r="AJ94" i="5"/>
  <c r="AJ343" i="5"/>
  <c r="AJ443" i="5"/>
  <c r="AJ351" i="5"/>
  <c r="AJ150" i="5"/>
  <c r="AJ451" i="5"/>
  <c r="AJ273" i="5"/>
  <c r="AJ513" i="5"/>
  <c r="AJ350" i="5"/>
  <c r="AJ68" i="5"/>
  <c r="AJ432" i="5"/>
  <c r="AJ509" i="5"/>
  <c r="AJ341" i="5"/>
  <c r="AJ213" i="5"/>
  <c r="AJ45" i="5"/>
  <c r="AJ552" i="5"/>
  <c r="AJ416" i="5"/>
  <c r="AJ560" i="5"/>
  <c r="AJ324" i="5"/>
  <c r="AJ525" i="5"/>
  <c r="AJ245" i="5"/>
  <c r="AJ252" i="5"/>
  <c r="AJ405" i="5"/>
  <c r="AJ234" i="5"/>
  <c r="AJ441" i="5"/>
  <c r="AJ233" i="5"/>
  <c r="AJ390" i="5"/>
  <c r="AJ197" i="5"/>
  <c r="AJ483" i="5"/>
  <c r="AJ136" i="5"/>
  <c r="AJ163" i="5"/>
  <c r="AJ557" i="5"/>
  <c r="AJ331" i="5"/>
  <c r="AJ512" i="5"/>
  <c r="AJ459" i="5"/>
  <c r="AJ460" i="5"/>
  <c r="AJ411" i="5"/>
  <c r="AJ326" i="5"/>
  <c r="AJ62" i="5"/>
  <c r="AJ125" i="5"/>
  <c r="AJ244" i="5"/>
  <c r="AJ164" i="5"/>
  <c r="AJ385" i="5"/>
  <c r="AJ228" i="5"/>
  <c r="AJ30" i="5"/>
  <c r="AJ13" i="5"/>
  <c r="AJ380" i="5"/>
  <c r="AJ277" i="5"/>
  <c r="AJ476" i="5"/>
  <c r="AJ327" i="5"/>
  <c r="AJ131" i="5"/>
  <c r="AJ59" i="5"/>
  <c r="AJ511" i="5"/>
  <c r="AJ105" i="5"/>
  <c r="AJ184" i="5"/>
  <c r="AJ379" i="5"/>
  <c r="AJ301" i="5"/>
  <c r="AJ60" i="5"/>
  <c r="AJ153" i="5"/>
  <c r="AJ302" i="5"/>
  <c r="AJ291" i="5"/>
  <c r="AJ126" i="5"/>
  <c r="AJ212" i="5"/>
  <c r="AJ298" i="5"/>
  <c r="AJ462" i="5"/>
  <c r="AJ354" i="5"/>
  <c r="AJ254" i="5"/>
  <c r="AJ89" i="5"/>
  <c r="AJ122" i="5"/>
  <c r="AJ453" i="5"/>
  <c r="AJ100" i="5"/>
  <c r="AJ152" i="5"/>
  <c r="AJ296" i="5"/>
  <c r="AJ329" i="5"/>
  <c r="AJ323" i="5"/>
  <c r="AJ250" i="5"/>
  <c r="AJ193" i="5"/>
  <c r="AJ496" i="5"/>
  <c r="AJ335" i="5"/>
  <c r="AJ392" i="5"/>
  <c r="AJ220" i="5"/>
  <c r="AJ214" i="5"/>
  <c r="AJ356" i="5"/>
  <c r="AJ237" i="5"/>
  <c r="AJ232" i="5"/>
  <c r="AJ93" i="5"/>
  <c r="AJ481" i="5"/>
  <c r="AJ420" i="5"/>
  <c r="AJ192" i="5"/>
  <c r="AJ352" i="5"/>
  <c r="AJ400" i="5"/>
  <c r="AJ394" i="5"/>
  <c r="AJ465" i="5"/>
  <c r="AJ86" i="5"/>
  <c r="AJ478" i="5"/>
  <c r="AJ280" i="5"/>
  <c r="AJ313" i="5"/>
  <c r="AJ207" i="5"/>
  <c r="AJ332" i="5"/>
  <c r="AJ516" i="5"/>
  <c r="AJ215" i="5"/>
  <c r="AJ471" i="5"/>
  <c r="AJ498" i="5"/>
  <c r="AJ257" i="5"/>
  <c r="AJ51" i="5"/>
  <c r="AJ304" i="5"/>
  <c r="AJ107" i="5"/>
  <c r="AJ437" i="5"/>
  <c r="AJ64" i="5"/>
  <c r="AJ200" i="5"/>
  <c r="AJ253" i="5"/>
  <c r="AJ553" i="5"/>
  <c r="AJ438" i="5"/>
  <c r="AJ256" i="5"/>
  <c r="AJ264" i="5"/>
  <c r="AJ31" i="5"/>
  <c r="AJ519" i="5"/>
  <c r="AJ190" i="5"/>
  <c r="AJ179" i="5"/>
  <c r="AJ57" i="5"/>
  <c r="AJ120" i="5"/>
  <c r="AJ428" i="5"/>
  <c r="AJ55" i="5"/>
  <c r="AJ168" i="5"/>
  <c r="AJ71" i="5"/>
  <c r="AJ209" i="5"/>
  <c r="AJ151" i="5"/>
  <c r="AJ206" i="5"/>
  <c r="AJ521" i="5"/>
  <c r="AJ83" i="5"/>
  <c r="AJ527" i="5"/>
  <c r="AJ146" i="5"/>
  <c r="AJ430" i="5"/>
  <c r="AJ260" i="5"/>
  <c r="AJ370" i="5"/>
  <c r="AJ312" i="5"/>
  <c r="AJ503" i="5"/>
  <c r="AJ144" i="5"/>
  <c r="AJ35" i="5"/>
  <c r="AJ101" i="5"/>
  <c r="AJ159" i="5"/>
  <c r="AJ337" i="5"/>
  <c r="AJ365" i="5"/>
  <c r="AJ269" i="5"/>
  <c r="AJ424" i="5"/>
  <c r="AJ25" i="5"/>
  <c r="AJ227" i="5"/>
  <c r="AJ545" i="5"/>
  <c r="AJ495" i="5"/>
  <c r="AJ409" i="5"/>
  <c r="AJ508" i="5"/>
  <c r="AJ461" i="5"/>
  <c r="AJ391" i="5"/>
  <c r="AJ119" i="5"/>
  <c r="AJ188" i="5"/>
  <c r="AJ172" i="5"/>
  <c r="AJ127" i="5"/>
  <c r="AJ279" i="5"/>
  <c r="AJ558" i="5"/>
  <c r="AJ288" i="5"/>
  <c r="AJ7" i="5"/>
  <c r="AJ429" i="5"/>
  <c r="AJ141" i="5"/>
  <c r="AJ346" i="5"/>
  <c r="AJ274" i="5"/>
  <c r="AJ134" i="5"/>
  <c r="AJ469" i="5"/>
  <c r="AJ315" i="5"/>
  <c r="AJ510" i="5"/>
  <c r="AJ417" i="5"/>
  <c r="AJ285" i="5"/>
  <c r="AJ247" i="5"/>
  <c r="AJ311" i="5"/>
  <c r="AJ161" i="5"/>
  <c r="AJ79" i="5"/>
  <c r="AJ507" i="5"/>
  <c r="AJ36" i="5"/>
  <c r="AJ29" i="5"/>
  <c r="AJ317" i="5"/>
  <c r="AJ225" i="5"/>
  <c r="AJ80" i="5"/>
  <c r="AJ475" i="5"/>
  <c r="AJ241" i="5"/>
  <c r="AJ470" i="5"/>
  <c r="AJ403" i="5"/>
  <c r="AJ310" i="5"/>
  <c r="AJ27" i="5"/>
  <c r="AJ497" i="5"/>
  <c r="AJ547" i="5"/>
  <c r="AJ154" i="5"/>
  <c r="AJ448" i="5"/>
  <c r="AJ413" i="5"/>
  <c r="AJ540" i="5"/>
  <c r="AJ375" i="5"/>
  <c r="AJ494" i="5"/>
  <c r="AJ485" i="5"/>
  <c r="AJ196" i="5"/>
  <c r="AJ406" i="5"/>
  <c r="AJ490" i="5"/>
  <c r="AJ504" i="5"/>
  <c r="AJ531" i="5"/>
  <c r="AJ529" i="5"/>
  <c r="AJ174" i="5"/>
  <c r="AJ330" i="5"/>
  <c r="AJ98" i="5"/>
  <c r="AJ143" i="5"/>
  <c r="AJ108" i="5"/>
  <c r="AJ284" i="5"/>
  <c r="AJ542" i="5"/>
  <c r="AJ46" i="5"/>
  <c r="AJ113" i="5"/>
  <c r="AJ96" i="5"/>
  <c r="AJ431" i="5"/>
  <c r="AJ342" i="5"/>
  <c r="AJ240" i="5"/>
  <c r="AJ528" i="5"/>
  <c r="AJ299" i="5"/>
  <c r="AJ183" i="5"/>
  <c r="AJ77" i="5"/>
  <c r="AJ381" i="5"/>
  <c r="AJ340" i="5"/>
  <c r="AJ28" i="5"/>
  <c r="AJ418" i="5"/>
  <c r="AJ486" i="5"/>
  <c r="AJ549" i="5"/>
  <c r="AJ421" i="5"/>
  <c r="AJ263" i="5"/>
  <c r="AJ555" i="5"/>
  <c r="AJ283" i="5"/>
  <c r="AJ357" i="5"/>
  <c r="AJ336" i="5"/>
  <c r="AJ149" i="5"/>
  <c r="AJ70" i="5"/>
  <c r="AJ477" i="5"/>
  <c r="AJ84" i="5"/>
  <c r="AJ308" i="5"/>
  <c r="AJ369" i="5"/>
  <c r="AJ49" i="5"/>
  <c r="AJ88" i="5"/>
  <c r="AJ419" i="5"/>
  <c r="AJ39" i="5"/>
  <c r="AJ158" i="5"/>
  <c r="AJ226" i="5"/>
  <c r="AJ384" i="5"/>
  <c r="AJ364" i="5"/>
  <c r="AJ157" i="5"/>
  <c r="AJ194" i="5"/>
  <c r="AJ466" i="5"/>
  <c r="AJ235" i="5"/>
  <c r="AJ106" i="5"/>
  <c r="AJ175" i="5"/>
  <c r="AJ393" i="5"/>
  <c r="AJ40" i="5"/>
  <c r="AJ265" i="5"/>
  <c r="AJ457" i="5"/>
  <c r="AJ219" i="5"/>
  <c r="AJ355" i="5"/>
  <c r="AJ132" i="5"/>
  <c r="AJ231" i="5"/>
  <c r="AJ90" i="5"/>
  <c r="AJ81" i="5"/>
  <c r="AJ103" i="5"/>
  <c r="AJ398" i="5"/>
  <c r="AJ128" i="5"/>
  <c r="AJ517" i="5"/>
  <c r="AJ537" i="5"/>
  <c r="AJ268" i="5"/>
  <c r="AJ78" i="5"/>
  <c r="AJ52" i="5"/>
  <c r="AJ427" i="5"/>
  <c r="AJ305" i="5"/>
  <c r="AJ121" i="5"/>
  <c r="AJ556" i="5"/>
  <c r="AJ534" i="5"/>
  <c r="AJ425" i="5"/>
  <c r="AJ300" i="5"/>
  <c r="AJ434" i="5"/>
  <c r="AJ347" i="5"/>
  <c r="AJ229" i="5"/>
  <c r="AJ309" i="5"/>
  <c r="AJ514" i="5"/>
  <c r="AJ147" i="5"/>
  <c r="AJ402" i="5"/>
  <c r="AJ551" i="5"/>
  <c r="AJ456" i="5"/>
  <c r="AJ23" i="5"/>
  <c r="AJ75" i="5"/>
  <c r="AJ47" i="5"/>
  <c r="AJ221" i="5"/>
  <c r="AJ123" i="5"/>
  <c r="AJ501" i="5"/>
  <c r="AJ116" i="5"/>
  <c r="AJ297" i="5"/>
  <c r="AJ559" i="5"/>
  <c r="AJ173" i="5"/>
  <c r="AJ440" i="5"/>
  <c r="AJ322" i="5"/>
  <c r="AJ290" i="5"/>
  <c r="AJ454" i="5"/>
  <c r="AJ242" i="5"/>
  <c r="AJ389" i="5"/>
  <c r="AJ468" i="5"/>
  <c r="AJ377" i="5"/>
  <c r="AJ34" i="5"/>
  <c r="AJ307" i="5"/>
  <c r="AJ243" i="5"/>
  <c r="AJ492" i="5"/>
  <c r="AJ176" i="5"/>
  <c r="AJ110" i="5"/>
  <c r="AJ195" i="5"/>
  <c r="AJ20" i="5"/>
  <c r="AJ261" i="5"/>
  <c r="AJ408" i="5"/>
  <c r="AJ112" i="5"/>
  <c r="AJ422" i="5"/>
  <c r="AJ383" i="5"/>
  <c r="AJ42" i="5"/>
  <c r="AJ333" i="5"/>
  <c r="AJ546" i="5"/>
  <c r="AJ61" i="5"/>
  <c r="AJ56" i="5"/>
  <c r="AJ239" i="5"/>
  <c r="AJ53" i="5"/>
  <c r="AJ169" i="5"/>
  <c r="AJ363" i="5"/>
  <c r="AJ349" i="5"/>
  <c r="AJ129" i="5"/>
  <c r="AJ69" i="5"/>
  <c r="AJ328" i="5"/>
  <c r="AJ452" i="5"/>
  <c r="AJ191" i="5"/>
  <c r="AJ138" i="5"/>
  <c r="AJ72" i="5"/>
  <c r="AJ114" i="5"/>
  <c r="AJ287" i="5"/>
  <c r="AJ368" i="5"/>
  <c r="AJ65" i="5"/>
  <c r="AJ423" i="5"/>
  <c r="AJ178" i="5"/>
  <c r="AJ316" i="5"/>
  <c r="AJ439" i="5"/>
  <c r="AJ518" i="5"/>
  <c r="AJ473" i="5"/>
  <c r="AJ401" i="5"/>
  <c r="AJ66" i="5"/>
  <c r="AJ58" i="5"/>
  <c r="AJ442" i="5"/>
  <c r="AJ410" i="5"/>
  <c r="AJ493" i="5"/>
  <c r="AJ201" i="5"/>
  <c r="AJ82" i="5"/>
  <c r="AJ426" i="5"/>
  <c r="AJ523" i="5"/>
  <c r="AJ435" i="5"/>
  <c r="AJ92" i="5"/>
  <c r="AJ463" i="5"/>
  <c r="AJ293" i="5"/>
  <c r="AJ204" i="5"/>
  <c r="AJ289" i="5"/>
  <c r="AJ447" i="5"/>
  <c r="AJ216" i="5"/>
  <c r="AJ505" i="5"/>
  <c r="AJ246" i="5"/>
  <c r="AJ208" i="5"/>
  <c r="AJ199" i="5"/>
  <c r="AJ189" i="5"/>
  <c r="AJ338" i="5"/>
  <c r="AJ321" i="5"/>
  <c r="AJ449" i="5"/>
  <c r="AJ276" i="5"/>
  <c r="AJ140" i="5"/>
  <c r="AJ111" i="5"/>
  <c r="AJ399" i="5"/>
  <c r="AJ33" i="5"/>
  <c r="AJ185" i="5"/>
  <c r="AJ165" i="5"/>
  <c r="AJ198" i="5"/>
  <c r="AJ479" i="5"/>
  <c r="AJ388" i="5"/>
  <c r="AJ303" i="5"/>
  <c r="AJ24" i="5"/>
  <c r="AJ415" i="5"/>
  <c r="AJ262" i="5"/>
  <c r="AJ320" i="5"/>
  <c r="AJ487" i="5"/>
  <c r="AJ404" i="5"/>
  <c r="AJ436" i="5"/>
  <c r="AJ530" i="5"/>
  <c r="AJ211" i="5"/>
  <c r="AJ538" i="5"/>
  <c r="AJ218" i="5"/>
  <c r="AJ286" i="5"/>
  <c r="AJ8" i="5"/>
  <c r="AJ360" i="5"/>
  <c r="AJ223" i="5"/>
  <c r="AJ142" i="5"/>
  <c r="AJ224" i="5"/>
  <c r="AJ367" i="5"/>
  <c r="AJ294" i="5"/>
  <c r="AJ550" i="5"/>
  <c r="AJ506" i="5"/>
  <c r="AJ117" i="5"/>
  <c r="AJ118" i="5"/>
  <c r="AJ397" i="5"/>
  <c r="AJ267" i="5"/>
  <c r="AJ474" i="5"/>
  <c r="AJ548" i="5"/>
  <c r="AJ374" i="5"/>
  <c r="AJ339" i="5"/>
  <c r="AJ41" i="5"/>
  <c r="AJ19" i="5"/>
  <c r="AJ63" i="5"/>
  <c r="AJ145" i="5"/>
  <c r="AJ74" i="5"/>
  <c r="AJ203" i="5"/>
  <c r="AJ217" i="5"/>
  <c r="AJ139" i="5"/>
  <c r="AJ554" i="5"/>
  <c r="AJ414" i="5"/>
  <c r="AJ44" i="5"/>
  <c r="AJ50" i="5"/>
  <c r="AJ275" i="5"/>
  <c r="AJ87" i="5"/>
  <c r="AJ536" i="5"/>
  <c r="AJ318" i="5"/>
  <c r="AJ38" i="5"/>
  <c r="AJ32" i="5"/>
  <c r="AJ251" i="5"/>
  <c r="AJ282" i="5"/>
  <c r="AJ271" i="5"/>
  <c r="AJ348" i="5"/>
  <c r="AJ97" i="5"/>
  <c r="AJ472" i="5"/>
  <c r="AJ353" i="5"/>
  <c r="AJ137" i="5"/>
  <c r="AJ67" i="5"/>
  <c r="AJ109" i="5"/>
  <c r="AJ376" i="5"/>
  <c r="AJ455" i="5"/>
  <c r="AJ258" i="5"/>
  <c r="AJ544" i="5"/>
  <c r="AJ292" i="5"/>
  <c r="AJ26" i="5"/>
  <c r="AJ130" i="5"/>
  <c r="AJ484" i="5"/>
  <c r="AJ278" i="5"/>
  <c r="AJ361" i="5"/>
  <c r="AJ167" i="5"/>
  <c r="AJ76" i="5"/>
  <c r="AJ371" i="5"/>
  <c r="AJ526" i="5"/>
  <c r="AJ270" i="5"/>
  <c r="AJ499" i="5"/>
  <c r="AJ450" i="5"/>
  <c r="AJ407" i="5"/>
  <c r="AJ124" i="5"/>
  <c r="AJ446" i="5"/>
  <c r="AJ344" i="5"/>
  <c r="AJ205" i="5"/>
  <c r="AJ272" i="5"/>
  <c r="AJ22" i="5"/>
  <c r="AJ281" i="5"/>
  <c r="AJ85" i="5"/>
  <c r="AJ334" i="5"/>
  <c r="AJ480" i="5"/>
  <c r="AJ467" i="5"/>
  <c r="AJ345" i="5"/>
  <c r="AJ43" i="5"/>
  <c r="AJ91" i="5"/>
  <c r="AJ543" i="5"/>
  <c r="AJ115" i="5"/>
  <c r="AJ230" i="5"/>
  <c r="AJ255" i="5"/>
  <c r="AJ236" i="5"/>
  <c r="AJ539" i="5"/>
  <c r="AJ358" i="5"/>
  <c r="AJ306" i="5"/>
  <c r="AJ373" i="5"/>
  <c r="AJ433" i="5"/>
  <c r="AJ520" i="5"/>
  <c r="AJ156" i="5"/>
  <c r="AJ186" i="5"/>
  <c r="AJ104" i="5"/>
  <c r="AJ362" i="5"/>
  <c r="AJ314" i="5"/>
  <c r="AJ181" i="5"/>
  <c r="AJ48" i="5"/>
  <c r="AJ171" i="5"/>
  <c r="AJ532" i="5"/>
  <c r="AJ266" i="5"/>
  <c r="AJ135" i="5"/>
  <c r="AJ222" i="5"/>
  <c r="AJ319" i="5"/>
  <c r="AJ95" i="5"/>
  <c r="AJ522" i="5"/>
  <c r="AJ378" i="5"/>
  <c r="AJ366" i="5"/>
  <c r="AJ99" i="5"/>
  <c r="AJ133" i="5"/>
  <c r="AJ202" i="5"/>
  <c r="AJ445" i="5"/>
  <c r="AJ177" i="5"/>
  <c r="AJ180" i="5"/>
  <c r="AJ162" i="5"/>
  <c r="AJ166" i="5"/>
  <c r="AJ488" i="5"/>
  <c r="AJ444" i="5"/>
  <c r="AJ155" i="5"/>
  <c r="AJ515" i="5"/>
  <c r="AJ500" i="5"/>
  <c r="AJ160" i="5"/>
  <c r="AJ295" i="5"/>
  <c r="AJ412" i="5"/>
  <c r="AJ359" i="5"/>
  <c r="AJ182" i="5"/>
  <c r="AJ524" i="5"/>
  <c r="AJ259" i="5"/>
  <c r="AJ210" i="5"/>
  <c r="AJ187" i="5"/>
  <c r="AJ170" i="5"/>
  <c r="AJ238" i="5"/>
  <c r="AJ21" i="5"/>
  <c r="AJ12" i="5"/>
  <c r="AJ533" i="5"/>
  <c r="AN313" i="5"/>
  <c r="AO313" i="5"/>
  <c r="AN380" i="5"/>
  <c r="AO380" i="5"/>
  <c r="AN130" i="5"/>
  <c r="AO130" i="5"/>
  <c r="AN126" i="5"/>
  <c r="AO126" i="5"/>
  <c r="AN419" i="5"/>
  <c r="AO419" i="5"/>
  <c r="AN62" i="5"/>
  <c r="AO62" i="5"/>
  <c r="AO398" i="5"/>
  <c r="AN398" i="5"/>
  <c r="AO119" i="5"/>
  <c r="AN119" i="5"/>
  <c r="AN49" i="5"/>
  <c r="AO49" i="5"/>
  <c r="AN19" i="5"/>
  <c r="AO19" i="5"/>
  <c r="AO217" i="5"/>
  <c r="AN217" i="5"/>
  <c r="AN81" i="5"/>
  <c r="AO81" i="5"/>
  <c r="AN474" i="5"/>
  <c r="AO474" i="5"/>
  <c r="AO26" i="5"/>
  <c r="AN26" i="5"/>
  <c r="AO413" i="5"/>
  <c r="AN413" i="5"/>
  <c r="AO483" i="5"/>
  <c r="AN483" i="5"/>
  <c r="AO476" i="5"/>
  <c r="AN476" i="5"/>
  <c r="AO160" i="5"/>
  <c r="AN160" i="5"/>
  <c r="AO525" i="5"/>
  <c r="AN525" i="5"/>
  <c r="AO548" i="5"/>
  <c r="AN548" i="5"/>
  <c r="AN290" i="5"/>
  <c r="AO290" i="5"/>
  <c r="AN448" i="5"/>
  <c r="AO448" i="5"/>
  <c r="AO389" i="5"/>
  <c r="AN389" i="5"/>
  <c r="AN226" i="5"/>
  <c r="AO226" i="5"/>
  <c r="AN406" i="5"/>
  <c r="AO406" i="5"/>
  <c r="AO399" i="5"/>
  <c r="AN399" i="5"/>
  <c r="AN551" i="5"/>
  <c r="AO551" i="5"/>
  <c r="AO109" i="5"/>
  <c r="AN109" i="5"/>
  <c r="AO133" i="5"/>
  <c r="AN133" i="5"/>
  <c r="AO473" i="5"/>
  <c r="AN473" i="5"/>
  <c r="AO91" i="5"/>
  <c r="AN91" i="5"/>
  <c r="AN512" i="5"/>
  <c r="AO512" i="5"/>
  <c r="AO506" i="5"/>
  <c r="AN506" i="5"/>
  <c r="AN439" i="5"/>
  <c r="AO439" i="5"/>
  <c r="AN535" i="5"/>
  <c r="AO535" i="5"/>
  <c r="AN441" i="5"/>
  <c r="AO441" i="5"/>
  <c r="AO345" i="5"/>
  <c r="AN345" i="5"/>
  <c r="AO198" i="5"/>
  <c r="AN198" i="5"/>
  <c r="AO166" i="5"/>
  <c r="AN166" i="5"/>
  <c r="AO515" i="5"/>
  <c r="AN515" i="5"/>
  <c r="AN350" i="5"/>
  <c r="AO350" i="5"/>
  <c r="AO257" i="5"/>
  <c r="AN257" i="5"/>
  <c r="AO8" i="5"/>
  <c r="AN8" i="5"/>
  <c r="AN497" i="5"/>
  <c r="AO497" i="5"/>
  <c r="AN402" i="5"/>
  <c r="AO402" i="5"/>
  <c r="AN275" i="5"/>
  <c r="AO275" i="5"/>
  <c r="AO486" i="5"/>
  <c r="AN486" i="5"/>
  <c r="AO299" i="5"/>
  <c r="AN299" i="5"/>
  <c r="AN311" i="5"/>
  <c r="AO311" i="5"/>
  <c r="AN286" i="5"/>
  <c r="AO286" i="5"/>
  <c r="AN50" i="5"/>
  <c r="AO50" i="5"/>
  <c r="AN453" i="5"/>
  <c r="AO453" i="5"/>
  <c r="AN417" i="5"/>
  <c r="AO417" i="5"/>
  <c r="AO120" i="5"/>
  <c r="AN120" i="5"/>
  <c r="AO104" i="5"/>
  <c r="AN104" i="5"/>
  <c r="AN505" i="5"/>
  <c r="AO505" i="5"/>
  <c r="AN339" i="5"/>
  <c r="AO339" i="5"/>
  <c r="AN74" i="5"/>
  <c r="AO74" i="5"/>
  <c r="AO330" i="5"/>
  <c r="AN330" i="5"/>
  <c r="AN329" i="5"/>
  <c r="AO329" i="5"/>
  <c r="AO397" i="5"/>
  <c r="AN397" i="5"/>
  <c r="AO57" i="5"/>
  <c r="AN57" i="5"/>
  <c r="AO530" i="5"/>
  <c r="AN530" i="5"/>
  <c r="AN259" i="5"/>
  <c r="AO259" i="5"/>
  <c r="AO131" i="5"/>
  <c r="AN131" i="5"/>
  <c r="AN285" i="5"/>
  <c r="AO285" i="5"/>
  <c r="AO425" i="5"/>
  <c r="AN425" i="5"/>
  <c r="AH8" i="4"/>
  <c r="AH145" i="4"/>
  <c r="AM76" i="4"/>
  <c r="W76" i="4"/>
  <c r="Y76" i="4" s="1"/>
  <c r="AR76" i="4" s="1"/>
  <c r="AH143" i="4"/>
  <c r="AH14" i="4"/>
  <c r="Y477" i="5"/>
  <c r="X477" i="5"/>
  <c r="Y423" i="5"/>
  <c r="X423" i="5"/>
  <c r="Y336" i="5"/>
  <c r="X336" i="5"/>
  <c r="X130" i="5"/>
  <c r="Y130" i="5"/>
  <c r="Y95" i="5"/>
  <c r="X95" i="5"/>
  <c r="X377" i="5"/>
  <c r="Y377" i="5"/>
  <c r="Y267" i="5"/>
  <c r="X267" i="5"/>
  <c r="X152" i="5"/>
  <c r="Y152" i="5"/>
  <c r="Y280" i="5"/>
  <c r="X280" i="5"/>
  <c r="X534" i="5"/>
  <c r="Y534" i="5"/>
  <c r="X328" i="5"/>
  <c r="Y328" i="5"/>
  <c r="X111" i="5"/>
  <c r="Y111" i="5"/>
  <c r="X340" i="5"/>
  <c r="Y340" i="5"/>
  <c r="Y379" i="5"/>
  <c r="X379" i="5"/>
  <c r="Y283" i="5"/>
  <c r="X283" i="5"/>
  <c r="X205" i="5"/>
  <c r="Y205" i="5"/>
  <c r="Y199" i="5"/>
  <c r="X199" i="5"/>
  <c r="X133" i="5"/>
  <c r="Y133" i="5"/>
  <c r="X210" i="5"/>
  <c r="Y210" i="5"/>
  <c r="Y265" i="5"/>
  <c r="X265" i="5"/>
  <c r="Y155" i="5"/>
  <c r="X155" i="5"/>
  <c r="X179" i="5"/>
  <c r="Y179" i="5"/>
  <c r="X24" i="5"/>
  <c r="Y24" i="5"/>
  <c r="Y520" i="5"/>
  <c r="X520" i="5"/>
  <c r="X413" i="5"/>
  <c r="Y413" i="5"/>
  <c r="Y481" i="5"/>
  <c r="X481" i="5"/>
  <c r="X305" i="5"/>
  <c r="Y305" i="5"/>
  <c r="Y326" i="5"/>
  <c r="X326" i="5"/>
  <c r="X171" i="5"/>
  <c r="Y171" i="5"/>
  <c r="X352" i="5"/>
  <c r="Y352" i="5"/>
  <c r="Y253" i="5"/>
  <c r="X253" i="5"/>
  <c r="X224" i="5"/>
  <c r="Y224" i="5"/>
  <c r="Y231" i="5"/>
  <c r="X231" i="5"/>
  <c r="Y391" i="5"/>
  <c r="X391" i="5"/>
  <c r="Y109" i="5"/>
  <c r="X109" i="5"/>
  <c r="Y264" i="5"/>
  <c r="X264" i="5"/>
  <c r="X20" i="5"/>
  <c r="Y20" i="5"/>
  <c r="X193" i="5"/>
  <c r="Y193" i="5"/>
  <c r="Y356" i="5"/>
  <c r="X356" i="5"/>
  <c r="X471" i="5"/>
  <c r="Y471" i="5"/>
  <c r="X476" i="5"/>
  <c r="Y476" i="5"/>
  <c r="Y198" i="5"/>
  <c r="X198" i="5"/>
  <c r="Y30" i="5"/>
  <c r="X30" i="5"/>
  <c r="Y102" i="5"/>
  <c r="X102" i="5"/>
  <c r="X212" i="5"/>
  <c r="Y212" i="5"/>
  <c r="X216" i="5"/>
  <c r="Y216" i="5"/>
  <c r="Y407" i="5"/>
  <c r="X407" i="5"/>
  <c r="Y366" i="5"/>
  <c r="X366" i="5"/>
  <c r="X201" i="5"/>
  <c r="Y201" i="5"/>
  <c r="X483" i="5"/>
  <c r="Y483" i="5"/>
  <c r="X87" i="5"/>
  <c r="Y87" i="5"/>
  <c r="Y341" i="5"/>
  <c r="X341" i="5"/>
  <c r="X278" i="5"/>
  <c r="Y278" i="5"/>
  <c r="Y330" i="5"/>
  <c r="X330" i="5"/>
  <c r="Y228" i="5"/>
  <c r="X228" i="5"/>
  <c r="X401" i="5"/>
  <c r="Y401" i="5"/>
  <c r="Y310" i="5"/>
  <c r="X310" i="5"/>
  <c r="X417" i="5"/>
  <c r="Y417" i="5"/>
  <c r="X206" i="5"/>
  <c r="Y206" i="5"/>
  <c r="Y166" i="5"/>
  <c r="X166" i="5"/>
  <c r="Y316" i="5"/>
  <c r="X316" i="5"/>
  <c r="X458" i="5"/>
  <c r="Y458" i="5"/>
  <c r="X368" i="5"/>
  <c r="Y368" i="5"/>
  <c r="Y140" i="5"/>
  <c r="X140" i="5"/>
  <c r="Y252" i="5"/>
  <c r="X252" i="5"/>
  <c r="X488" i="5"/>
  <c r="Y488" i="5"/>
  <c r="Y435" i="5"/>
  <c r="X435" i="5"/>
  <c r="AH135" i="4"/>
  <c r="AM62" i="4"/>
  <c r="W62" i="4"/>
  <c r="Y62" i="4" s="1"/>
  <c r="AR62" i="4" s="1"/>
  <c r="B241" i="2"/>
  <c r="AH132" i="4"/>
  <c r="V7" i="5"/>
  <c r="U7" i="5"/>
  <c r="AH138" i="4"/>
  <c r="AH127" i="4"/>
  <c r="AN363" i="5"/>
  <c r="AO363" i="5"/>
  <c r="AM129" i="4"/>
  <c r="W129" i="4"/>
  <c r="Y129" i="4" s="1"/>
  <c r="AR129" i="4" s="1"/>
  <c r="AH133" i="4"/>
  <c r="AH75" i="4"/>
  <c r="AO255" i="5"/>
  <c r="AN255" i="5"/>
  <c r="AO396" i="5"/>
  <c r="AN396" i="5"/>
  <c r="AO430" i="5"/>
  <c r="AN430" i="5"/>
  <c r="AO333" i="5"/>
  <c r="AN333" i="5"/>
  <c r="AN305" i="5"/>
  <c r="AO305" i="5"/>
  <c r="AO307" i="5"/>
  <c r="AN307" i="5"/>
  <c r="AO148" i="5"/>
  <c r="AN148" i="5"/>
  <c r="AN459" i="5"/>
  <c r="AO459" i="5"/>
  <c r="AN203" i="5"/>
  <c r="AO203" i="5"/>
  <c r="AN342" i="5"/>
  <c r="AO342" i="5"/>
  <c r="AO200" i="5"/>
  <c r="AN200" i="5"/>
  <c r="AN48" i="5"/>
  <c r="AO48" i="5"/>
  <c r="AN533" i="5"/>
  <c r="AO533" i="5"/>
  <c r="AO103" i="5"/>
  <c r="AN103" i="5"/>
  <c r="AN408" i="5"/>
  <c r="AO408" i="5"/>
  <c r="AO499" i="5"/>
  <c r="AN499" i="5"/>
  <c r="AO100" i="5"/>
  <c r="AN100" i="5"/>
  <c r="AO35" i="5"/>
  <c r="AN35" i="5"/>
  <c r="AO354" i="5"/>
  <c r="AN354" i="5"/>
  <c r="AN509" i="5"/>
  <c r="AO509" i="5"/>
  <c r="AN465" i="5"/>
  <c r="AO465" i="5"/>
  <c r="AO469" i="5"/>
  <c r="AN469" i="5"/>
  <c r="AN302" i="5"/>
  <c r="AO302" i="5"/>
  <c r="AO477" i="5"/>
  <c r="AN477" i="5"/>
  <c r="AO27" i="5"/>
  <c r="AN27" i="5"/>
  <c r="AO207" i="5"/>
  <c r="AN207" i="5"/>
  <c r="AN492" i="5"/>
  <c r="AO492" i="5"/>
  <c r="AN125" i="5"/>
  <c r="AO125" i="5"/>
  <c r="AO151" i="5"/>
  <c r="AN151" i="5"/>
  <c r="AN386" i="5"/>
  <c r="AO386" i="5"/>
  <c r="AO308" i="5"/>
  <c r="AN308" i="5"/>
  <c r="AO183" i="5"/>
  <c r="AN183" i="5"/>
  <c r="AN364" i="5"/>
  <c r="AO364" i="5"/>
  <c r="AN134" i="5"/>
  <c r="AO134" i="5"/>
  <c r="AN46" i="5"/>
  <c r="AO46" i="5"/>
  <c r="AN67" i="5"/>
  <c r="AO67" i="5"/>
  <c r="AO252" i="5"/>
  <c r="AN252" i="5"/>
  <c r="AO194" i="5"/>
  <c r="AN194" i="5"/>
  <c r="AN369" i="5"/>
  <c r="AO369" i="5"/>
  <c r="AO89" i="5"/>
  <c r="AN89" i="5"/>
  <c r="AN494" i="5"/>
  <c r="AO494" i="5"/>
  <c r="AO315" i="5"/>
  <c r="AN315" i="5"/>
  <c r="AN528" i="5"/>
  <c r="AO528" i="5"/>
  <c r="AN403" i="5"/>
  <c r="AO403" i="5"/>
  <c r="AN527" i="5"/>
  <c r="AO527" i="5"/>
  <c r="AN335" i="5"/>
  <c r="AO335" i="5"/>
  <c r="AN69" i="5"/>
  <c r="AO69" i="5"/>
  <c r="AN325" i="5"/>
  <c r="AO325" i="5"/>
  <c r="AN135" i="5"/>
  <c r="AO135" i="5"/>
  <c r="AN507" i="5"/>
  <c r="AO507" i="5"/>
  <c r="AN51" i="5"/>
  <c r="AO51" i="5"/>
  <c r="AO549" i="5"/>
  <c r="AN549" i="5"/>
  <c r="AN204" i="5"/>
  <c r="AO204" i="5"/>
  <c r="AO470" i="5"/>
  <c r="AN470" i="5"/>
  <c r="AN150" i="5"/>
  <c r="AO150" i="5"/>
  <c r="AN78" i="5"/>
  <c r="AO78" i="5"/>
  <c r="AN357" i="5"/>
  <c r="AO357" i="5"/>
  <c r="AN231" i="5"/>
  <c r="AO231" i="5"/>
  <c r="AN340" i="5"/>
  <c r="AO340" i="5"/>
  <c r="AN550" i="5"/>
  <c r="AO550" i="5"/>
  <c r="AN351" i="5"/>
  <c r="AO351" i="5"/>
  <c r="AO367" i="5"/>
  <c r="AN367" i="5"/>
  <c r="AN236" i="5"/>
  <c r="AO236" i="5"/>
  <c r="AO485" i="5"/>
  <c r="AN485" i="5"/>
  <c r="AO215" i="5"/>
  <c r="AN215" i="5"/>
  <c r="AO468" i="5"/>
  <c r="AN468" i="5"/>
  <c r="AO362" i="5"/>
  <c r="AN362" i="5"/>
  <c r="AN216" i="5"/>
  <c r="AO216" i="5"/>
  <c r="AO93" i="5"/>
  <c r="AN93" i="5"/>
  <c r="AH108" i="4"/>
  <c r="AM17" i="4"/>
  <c r="W17" i="4"/>
  <c r="Y17" i="4" s="1"/>
  <c r="AR17" i="4" s="1"/>
  <c r="AH48" i="4"/>
  <c r="AH56" i="4"/>
  <c r="Y482" i="5"/>
  <c r="X482" i="5"/>
  <c r="X351" i="5"/>
  <c r="Y351" i="5"/>
  <c r="Y452" i="5"/>
  <c r="X452" i="5"/>
  <c r="Y255" i="5"/>
  <c r="X255" i="5"/>
  <c r="X313" i="5"/>
  <c r="Y313" i="5"/>
  <c r="X243" i="5"/>
  <c r="Y243" i="5"/>
  <c r="X233" i="5"/>
  <c r="Y233" i="5"/>
  <c r="X386" i="5"/>
  <c r="Y386" i="5"/>
  <c r="Y208" i="5"/>
  <c r="X208" i="5"/>
  <c r="Y375" i="5"/>
  <c r="X375" i="5"/>
  <c r="X412" i="5"/>
  <c r="Y412" i="5"/>
  <c r="Y296" i="5"/>
  <c r="X296" i="5"/>
  <c r="Y447" i="5"/>
  <c r="X447" i="5"/>
  <c r="Y23" i="5"/>
  <c r="X23" i="5"/>
  <c r="Y499" i="5"/>
  <c r="X499" i="5"/>
  <c r="Y288" i="5"/>
  <c r="X288" i="5"/>
  <c r="Y512" i="5"/>
  <c r="X512" i="5"/>
  <c r="X284" i="5"/>
  <c r="Y284" i="5"/>
  <c r="X186" i="5"/>
  <c r="Y186" i="5"/>
  <c r="Y506" i="5"/>
  <c r="X506" i="5"/>
  <c r="Y56" i="5"/>
  <c r="X56" i="5"/>
  <c r="Y113" i="5"/>
  <c r="X113" i="5"/>
  <c r="Y196" i="5"/>
  <c r="X196" i="5"/>
  <c r="Y450" i="5"/>
  <c r="X450" i="5"/>
  <c r="Y385" i="5"/>
  <c r="X385" i="5"/>
  <c r="Y203" i="5"/>
  <c r="X203" i="5"/>
  <c r="Y282" i="5"/>
  <c r="X282" i="5"/>
  <c r="Y478" i="5"/>
  <c r="X478" i="5"/>
  <c r="X455" i="5"/>
  <c r="Y455" i="5"/>
  <c r="X430" i="5"/>
  <c r="Y430" i="5"/>
  <c r="X256" i="5"/>
  <c r="Y256" i="5"/>
  <c r="Y83" i="5"/>
  <c r="X83" i="5"/>
  <c r="Y479" i="5"/>
  <c r="X479" i="5"/>
  <c r="X347" i="5"/>
  <c r="Y347" i="5"/>
  <c r="Y529" i="5"/>
  <c r="X529" i="5"/>
  <c r="X240" i="5"/>
  <c r="Y240" i="5"/>
  <c r="Y427" i="5"/>
  <c r="X427" i="5"/>
  <c r="Y180" i="5"/>
  <c r="X180" i="5"/>
  <c r="Y465" i="5"/>
  <c r="X465" i="5"/>
  <c r="Y183" i="5"/>
  <c r="X183" i="5"/>
  <c r="X346" i="5"/>
  <c r="Y346" i="5"/>
  <c r="Y501" i="5"/>
  <c r="X501" i="5"/>
  <c r="Y543" i="5"/>
  <c r="X543" i="5"/>
  <c r="Y167" i="5"/>
  <c r="X167" i="5"/>
  <c r="Y146" i="5"/>
  <c r="X146" i="5"/>
  <c r="Y97" i="5"/>
  <c r="X97" i="5"/>
  <c r="X170" i="5"/>
  <c r="Y170" i="5"/>
  <c r="X66" i="5"/>
  <c r="Y66" i="5"/>
  <c r="Y25" i="5"/>
  <c r="X25" i="5"/>
  <c r="X12" i="5"/>
  <c r="Y12" i="5"/>
  <c r="Y289" i="5"/>
  <c r="X289" i="5"/>
  <c r="X432" i="5"/>
  <c r="Y432" i="5"/>
  <c r="Y40" i="5"/>
  <c r="X40" i="5"/>
  <c r="Y88" i="5"/>
  <c r="X88" i="5"/>
  <c r="Y445" i="5"/>
  <c r="X445" i="5"/>
  <c r="Y259" i="5"/>
  <c r="X259" i="5"/>
  <c r="Y323" i="5"/>
  <c r="X323" i="5"/>
  <c r="Y531" i="5"/>
  <c r="X531" i="5"/>
  <c r="X420" i="5"/>
  <c r="Y420" i="5"/>
  <c r="X174" i="5"/>
  <c r="Y174" i="5"/>
  <c r="Y295" i="5"/>
  <c r="X295" i="5"/>
  <c r="X521" i="5"/>
  <c r="Y521" i="5"/>
  <c r="X437" i="5"/>
  <c r="Y437" i="5"/>
  <c r="Y442" i="5"/>
  <c r="X442" i="5"/>
  <c r="X345" i="5"/>
  <c r="Y345" i="5"/>
  <c r="X348" i="5"/>
  <c r="Y348" i="5"/>
  <c r="Y63" i="5"/>
  <c r="X63" i="5"/>
  <c r="X269" i="5"/>
  <c r="Y269" i="5"/>
  <c r="AH49" i="4"/>
  <c r="AH101" i="4"/>
  <c r="AH62" i="4"/>
  <c r="AM54" i="4"/>
  <c r="W54" i="4"/>
  <c r="Y54" i="4" s="1"/>
  <c r="AR54" i="4" s="1"/>
  <c r="AH42" i="4"/>
  <c r="R7" i="5"/>
  <c r="S7" i="5"/>
  <c r="AH53" i="4"/>
  <c r="AH104" i="4"/>
  <c r="AO152" i="5"/>
  <c r="AN152" i="5"/>
  <c r="AO169" i="5"/>
  <c r="AN169" i="5"/>
  <c r="AO432" i="5"/>
  <c r="AN432" i="5"/>
  <c r="AO518" i="5"/>
  <c r="AN518" i="5"/>
  <c r="AO541" i="5"/>
  <c r="AN541" i="5"/>
  <c r="AO418" i="5"/>
  <c r="AN418" i="5"/>
  <c r="AN263" i="5"/>
  <c r="AO263" i="5"/>
  <c r="AN22" i="5"/>
  <c r="AO22" i="5"/>
  <c r="AO13" i="5"/>
  <c r="AN13" i="5"/>
  <c r="AO55" i="5"/>
  <c r="AN55" i="5"/>
  <c r="AO149" i="5"/>
  <c r="AN149" i="5"/>
  <c r="AO361" i="5"/>
  <c r="AN361" i="5"/>
  <c r="AN117" i="5"/>
  <c r="AO117" i="5"/>
  <c r="AN519" i="5"/>
  <c r="AO519" i="5"/>
  <c r="AN127" i="5"/>
  <c r="AO127" i="5"/>
  <c r="AN181" i="5"/>
  <c r="AO181" i="5"/>
  <c r="AO538" i="5"/>
  <c r="AN538" i="5"/>
  <c r="AO327" i="5"/>
  <c r="AN327" i="5"/>
  <c r="AO387" i="5"/>
  <c r="AN387" i="5"/>
  <c r="AO140" i="5"/>
  <c r="AN140" i="5"/>
  <c r="AO116" i="5"/>
  <c r="AN116" i="5"/>
  <c r="AO24" i="5"/>
  <c r="AN24" i="5"/>
  <c r="AO36" i="5"/>
  <c r="AN36" i="5"/>
  <c r="AO230" i="5"/>
  <c r="AN230" i="5"/>
  <c r="AO388" i="5"/>
  <c r="AN388" i="5"/>
  <c r="AO243" i="5"/>
  <c r="AN243" i="5"/>
  <c r="AO111" i="5"/>
  <c r="AN111" i="5"/>
  <c r="AN159" i="5"/>
  <c r="AO159" i="5"/>
  <c r="AN240" i="5"/>
  <c r="AO240" i="5"/>
  <c r="AO195" i="5"/>
  <c r="AN195" i="5"/>
  <c r="AN310" i="5"/>
  <c r="AO310" i="5"/>
  <c r="AO523" i="5"/>
  <c r="AN523" i="5"/>
  <c r="AO65" i="5"/>
  <c r="AN65" i="5"/>
  <c r="AO273" i="5"/>
  <c r="AN273" i="5"/>
  <c r="AN180" i="5"/>
  <c r="AO180" i="5"/>
  <c r="AN241" i="5"/>
  <c r="AO241" i="5"/>
  <c r="AO360" i="5"/>
  <c r="AN360" i="5"/>
  <c r="AO212" i="5"/>
  <c r="AN212" i="5"/>
  <c r="AN171" i="5"/>
  <c r="AO171" i="5"/>
  <c r="AN434" i="5"/>
  <c r="AO434" i="5"/>
  <c r="AO540" i="5"/>
  <c r="AN540" i="5"/>
  <c r="AO98" i="5"/>
  <c r="AN98" i="5"/>
  <c r="AO392" i="5"/>
  <c r="AN392" i="5"/>
  <c r="AO82" i="5"/>
  <c r="AN82" i="5"/>
  <c r="AN554" i="5"/>
  <c r="AO554" i="5"/>
  <c r="AN90" i="5"/>
  <c r="AO90" i="5"/>
  <c r="AN102" i="5"/>
  <c r="AO102" i="5"/>
  <c r="AN454" i="5"/>
  <c r="AO454" i="5"/>
  <c r="AN555" i="5"/>
  <c r="AO555" i="5"/>
  <c r="AN29" i="5"/>
  <c r="AO29" i="5"/>
  <c r="AN165" i="5"/>
  <c r="AO165" i="5"/>
  <c r="AN182" i="5"/>
  <c r="AO182" i="5"/>
  <c r="AO358" i="5"/>
  <c r="AN358" i="5"/>
  <c r="AN202" i="5"/>
  <c r="AO202" i="5"/>
  <c r="AO295" i="5"/>
  <c r="AN295" i="5"/>
  <c r="AO101" i="5"/>
  <c r="AN101" i="5"/>
  <c r="AO66" i="5"/>
  <c r="AN66" i="5"/>
  <c r="AN475" i="5"/>
  <c r="AO475" i="5"/>
  <c r="AO191" i="5"/>
  <c r="AN191" i="5"/>
  <c r="AO52" i="5"/>
  <c r="AN52" i="5"/>
  <c r="AN524" i="5"/>
  <c r="AO524" i="5"/>
  <c r="AO156" i="5"/>
  <c r="AN156" i="5"/>
  <c r="AN86" i="5"/>
  <c r="AO86" i="5"/>
  <c r="AN136" i="5"/>
  <c r="AO136" i="5"/>
  <c r="AN30" i="5"/>
  <c r="AO30" i="5"/>
  <c r="AN248" i="5"/>
  <c r="AO248" i="5"/>
  <c r="AO451" i="5"/>
  <c r="AN451" i="5"/>
  <c r="AN113" i="5"/>
  <c r="AO113" i="5"/>
  <c r="AO462" i="5"/>
  <c r="AN462" i="5"/>
  <c r="AM116" i="4"/>
  <c r="W116" i="4"/>
  <c r="Y116" i="4" s="1"/>
  <c r="AR116" i="4" s="1"/>
  <c r="AZ10" i="5"/>
  <c r="Z10" i="5"/>
  <c r="AJ10" i="5"/>
  <c r="AP10" i="5"/>
  <c r="AM10" i="5"/>
  <c r="T10" i="5"/>
  <c r="W10" i="5"/>
  <c r="BC10" i="5"/>
  <c r="AW10" i="5"/>
  <c r="B111" i="2"/>
  <c r="H36" i="1" s="1"/>
  <c r="AM146" i="4"/>
  <c r="W146" i="4"/>
  <c r="Y146" i="4" s="1"/>
  <c r="AR146" i="4" s="1"/>
  <c r="AH55" i="4"/>
  <c r="Y538" i="5"/>
  <c r="X538" i="5"/>
  <c r="X215" i="5"/>
  <c r="Y215" i="5"/>
  <c r="Y51" i="5"/>
  <c r="X51" i="5"/>
  <c r="X135" i="5"/>
  <c r="Y135" i="5"/>
  <c r="Y168" i="5"/>
  <c r="X168" i="5"/>
  <c r="X535" i="5"/>
  <c r="Y535" i="5"/>
  <c r="Y48" i="5"/>
  <c r="X48" i="5"/>
  <c r="Y250" i="5"/>
  <c r="X250" i="5"/>
  <c r="X514" i="5"/>
  <c r="Y514" i="5"/>
  <c r="X190" i="5"/>
  <c r="Y190" i="5"/>
  <c r="Y425" i="5"/>
  <c r="X425" i="5"/>
  <c r="X276" i="5"/>
  <c r="Y276" i="5"/>
  <c r="Y357" i="5"/>
  <c r="X357" i="5"/>
  <c r="Y144" i="5"/>
  <c r="X144" i="5"/>
  <c r="Y151" i="5"/>
  <c r="X151" i="5"/>
  <c r="Y64" i="5"/>
  <c r="X64" i="5"/>
  <c r="X473" i="5"/>
  <c r="Y473" i="5"/>
  <c r="Y306" i="5"/>
  <c r="X306" i="5"/>
  <c r="Y65" i="5"/>
  <c r="X65" i="5"/>
  <c r="Y59" i="5"/>
  <c r="X59" i="5"/>
  <c r="Y189" i="5"/>
  <c r="X189" i="5"/>
  <c r="X115" i="5"/>
  <c r="Y115" i="5"/>
  <c r="Y79" i="5"/>
  <c r="X79" i="5"/>
  <c r="Y117" i="5"/>
  <c r="X117" i="5"/>
  <c r="X496" i="5"/>
  <c r="Y496" i="5"/>
  <c r="X131" i="5"/>
  <c r="Y131" i="5"/>
  <c r="Y195" i="5"/>
  <c r="X195" i="5"/>
  <c r="Y544" i="5"/>
  <c r="X544" i="5"/>
  <c r="Y439" i="5"/>
  <c r="X439" i="5"/>
  <c r="Y552" i="5"/>
  <c r="X552" i="5"/>
  <c r="X142" i="5"/>
  <c r="Y142" i="5"/>
  <c r="X217" i="5"/>
  <c r="Y217" i="5"/>
  <c r="X426" i="5"/>
  <c r="Y426" i="5"/>
  <c r="X502" i="5"/>
  <c r="Y502" i="5"/>
  <c r="Y487" i="5"/>
  <c r="X487" i="5"/>
  <c r="Y211" i="5"/>
  <c r="X211" i="5"/>
  <c r="Y383" i="5"/>
  <c r="X383" i="5"/>
  <c r="X44" i="5"/>
  <c r="Y44" i="5"/>
  <c r="X463" i="5"/>
  <c r="Y463" i="5"/>
  <c r="Y85" i="5"/>
  <c r="X85" i="5"/>
  <c r="X410" i="5"/>
  <c r="Y410" i="5"/>
  <c r="Y408" i="5"/>
  <c r="X408" i="5"/>
  <c r="X31" i="5"/>
  <c r="Y31" i="5"/>
  <c r="X91" i="5"/>
  <c r="Y91" i="5"/>
  <c r="X321" i="5"/>
  <c r="Y321" i="5"/>
  <c r="X200" i="5"/>
  <c r="Y200" i="5"/>
  <c r="Y335" i="5"/>
  <c r="X335" i="5"/>
  <c r="Y393" i="5"/>
  <c r="X393" i="5"/>
  <c r="Y466" i="5"/>
  <c r="X466" i="5"/>
  <c r="Y422" i="5"/>
  <c r="X422" i="5"/>
  <c r="X495" i="5"/>
  <c r="Y495" i="5"/>
  <c r="X363" i="5"/>
  <c r="Y363" i="5"/>
  <c r="Y299" i="5"/>
  <c r="X299" i="5"/>
  <c r="Y28" i="5"/>
  <c r="X28" i="5"/>
  <c r="X149" i="5"/>
  <c r="Y149" i="5"/>
  <c r="Y232" i="5"/>
  <c r="X232" i="5"/>
  <c r="Y257" i="5"/>
  <c r="X257" i="5"/>
  <c r="Y515" i="5"/>
  <c r="X515" i="5"/>
  <c r="X353" i="5"/>
  <c r="Y353" i="5"/>
  <c r="X241" i="5"/>
  <c r="Y241" i="5"/>
  <c r="Y225" i="5"/>
  <c r="X225" i="5"/>
  <c r="X153" i="5"/>
  <c r="Y153" i="5"/>
  <c r="X314" i="5"/>
  <c r="Y314" i="5"/>
  <c r="X536" i="5"/>
  <c r="Y536" i="5"/>
  <c r="Y238" i="5"/>
  <c r="X238" i="5"/>
  <c r="Y325" i="5"/>
  <c r="X325" i="5"/>
  <c r="X19" i="5"/>
  <c r="Y19" i="5"/>
  <c r="Y446" i="5"/>
  <c r="X446" i="5"/>
  <c r="AH60" i="4"/>
  <c r="AM140" i="4"/>
  <c r="W140" i="4"/>
  <c r="Y140" i="4" s="1"/>
  <c r="AR140" i="4" s="1"/>
  <c r="AH134" i="4"/>
  <c r="AM137" i="4"/>
  <c r="W137" i="4"/>
  <c r="Y137" i="4" s="1"/>
  <c r="AR137" i="4" s="1"/>
  <c r="AH20" i="4"/>
  <c r="AH117" i="4"/>
  <c r="AH93" i="4"/>
  <c r="AH122" i="4"/>
  <c r="AH43" i="4"/>
  <c r="AM90" i="4"/>
  <c r="W90" i="4"/>
  <c r="Y90" i="4" s="1"/>
  <c r="AR90" i="4" s="1"/>
  <c r="AH86" i="4"/>
  <c r="B66" i="2"/>
  <c r="B68" i="2"/>
  <c r="B69" i="2" s="1"/>
  <c r="AN460" i="5"/>
  <c r="AO460" i="5"/>
  <c r="AO141" i="5"/>
  <c r="AN141" i="5"/>
  <c r="AO253" i="5"/>
  <c r="AN253" i="5"/>
  <c r="AN84" i="5"/>
  <c r="AO84" i="5"/>
  <c r="AO491" i="5"/>
  <c r="AN491" i="5"/>
  <c r="AO271" i="5"/>
  <c r="AN271" i="5"/>
  <c r="AN239" i="5"/>
  <c r="AO239" i="5"/>
  <c r="AN437" i="5"/>
  <c r="AO437" i="5"/>
  <c r="AO158" i="5"/>
  <c r="AN158" i="5"/>
  <c r="AO146" i="5"/>
  <c r="AN146" i="5"/>
  <c r="AO450" i="5"/>
  <c r="AN450" i="5"/>
  <c r="AO73" i="5"/>
  <c r="AN73" i="5"/>
  <c r="AN157" i="5"/>
  <c r="AO157" i="5"/>
  <c r="AN552" i="5"/>
  <c r="AO552" i="5"/>
  <c r="AN260" i="5"/>
  <c r="AO260" i="5"/>
  <c r="AO221" i="5"/>
  <c r="AN221" i="5"/>
  <c r="AN114" i="5"/>
  <c r="AO114" i="5"/>
  <c r="AN188" i="5"/>
  <c r="AO188" i="5"/>
  <c r="AO416" i="5"/>
  <c r="AN416" i="5"/>
  <c r="AN426" i="5"/>
  <c r="AO426" i="5"/>
  <c r="AN334" i="5"/>
  <c r="AO334" i="5"/>
  <c r="AO47" i="5"/>
  <c r="AN47" i="5"/>
  <c r="AN142" i="5"/>
  <c r="AO142" i="5"/>
  <c r="AO317" i="5"/>
  <c r="AN317" i="5"/>
  <c r="AO457" i="5"/>
  <c r="AN457" i="5"/>
  <c r="AO370" i="5"/>
  <c r="AN370" i="5"/>
  <c r="AN401" i="5"/>
  <c r="AO401" i="5"/>
  <c r="AN471" i="5"/>
  <c r="AO471" i="5"/>
  <c r="AN234" i="5"/>
  <c r="AO234" i="5"/>
  <c r="AO338" i="5"/>
  <c r="AN338" i="5"/>
  <c r="AO312" i="5"/>
  <c r="AN312" i="5"/>
  <c r="AO178" i="5"/>
  <c r="AN178" i="5"/>
  <c r="AN405" i="5"/>
  <c r="AO405" i="5"/>
  <c r="AN304" i="5"/>
  <c r="AO304" i="5"/>
  <c r="AN12" i="5"/>
  <c r="AO12" i="5"/>
  <c r="AN88" i="5"/>
  <c r="AO88" i="5"/>
  <c r="AO537" i="5"/>
  <c r="AN537" i="5"/>
  <c r="AN297" i="5"/>
  <c r="AO297" i="5"/>
  <c r="AN242" i="5"/>
  <c r="AO242" i="5"/>
  <c r="AN440" i="5"/>
  <c r="AO440" i="5"/>
  <c r="AO436" i="5"/>
  <c r="AN436" i="5"/>
  <c r="AO219" i="5"/>
  <c r="AN219" i="5"/>
  <c r="AN493" i="5"/>
  <c r="AO493" i="5"/>
  <c r="AN543" i="5"/>
  <c r="AO543" i="5"/>
  <c r="AO32" i="5"/>
  <c r="AN32" i="5"/>
  <c r="AN556" i="5"/>
  <c r="AO556" i="5"/>
  <c r="AO269" i="5"/>
  <c r="AN269" i="5"/>
  <c r="AO75" i="5"/>
  <c r="AN75" i="5"/>
  <c r="AN501" i="5"/>
  <c r="AO501" i="5"/>
  <c r="AN407" i="5"/>
  <c r="AO407" i="5"/>
  <c r="AO256" i="5"/>
  <c r="AN256" i="5"/>
  <c r="AN510" i="5"/>
  <c r="AO510" i="5"/>
  <c r="AO272" i="5"/>
  <c r="AN272" i="5"/>
  <c r="AN545" i="5"/>
  <c r="AO545" i="5"/>
  <c r="AN199" i="5"/>
  <c r="AO199" i="5"/>
  <c r="AN187" i="5"/>
  <c r="AO187" i="5"/>
  <c r="AN323" i="5"/>
  <c r="AO323" i="5"/>
  <c r="AN80" i="5"/>
  <c r="AO80" i="5"/>
  <c r="AO484" i="5"/>
  <c r="AN484" i="5"/>
  <c r="AN225" i="5"/>
  <c r="AO225" i="5"/>
  <c r="AN320" i="5"/>
  <c r="AO320" i="5"/>
  <c r="AO495" i="5"/>
  <c r="AN495" i="5"/>
  <c r="AN385" i="5"/>
  <c r="AO385" i="5"/>
  <c r="AN301" i="5"/>
  <c r="AO301" i="5"/>
  <c r="AN415" i="5"/>
  <c r="AO415" i="5"/>
  <c r="AH25" i="4"/>
  <c r="AM128" i="4"/>
  <c r="W128" i="4"/>
  <c r="Y128" i="4" s="1"/>
  <c r="AR128" i="4" s="1"/>
  <c r="AH31" i="4"/>
  <c r="AM124" i="4"/>
  <c r="W124" i="4"/>
  <c r="Y124" i="4" s="1"/>
  <c r="AR124" i="4" s="1"/>
  <c r="AH94" i="4"/>
  <c r="AH156" i="4"/>
  <c r="Y480" i="5"/>
  <c r="X480" i="5"/>
  <c r="Y71" i="5"/>
  <c r="X71" i="5"/>
  <c r="X553" i="5"/>
  <c r="Y553" i="5"/>
  <c r="Y197" i="5"/>
  <c r="X197" i="5"/>
  <c r="Y533" i="5"/>
  <c r="X533" i="5"/>
  <c r="X150" i="5"/>
  <c r="Y150" i="5"/>
  <c r="X494" i="5"/>
  <c r="Y494" i="5"/>
  <c r="X129" i="5"/>
  <c r="Y129" i="5"/>
  <c r="Y293" i="5"/>
  <c r="X293" i="5"/>
  <c r="X67" i="5"/>
  <c r="Y67" i="5"/>
  <c r="Y46" i="5"/>
  <c r="X46" i="5"/>
  <c r="X378" i="5"/>
  <c r="Y378" i="5"/>
  <c r="X557" i="5"/>
  <c r="Y557" i="5"/>
  <c r="X258" i="5"/>
  <c r="Y258" i="5"/>
  <c r="Y214" i="5"/>
  <c r="X214" i="5"/>
  <c r="Y317" i="5"/>
  <c r="X317" i="5"/>
  <c r="X114" i="5"/>
  <c r="Y114" i="5"/>
  <c r="X530" i="5"/>
  <c r="Y530" i="5"/>
  <c r="Y558" i="5"/>
  <c r="X558" i="5"/>
  <c r="Y221" i="5"/>
  <c r="X221" i="5"/>
  <c r="Y33" i="5"/>
  <c r="X33" i="5"/>
  <c r="X122" i="5"/>
  <c r="Y122" i="5"/>
  <c r="Y555" i="5"/>
  <c r="X555" i="5"/>
  <c r="X539" i="5"/>
  <c r="Y539" i="5"/>
  <c r="Y333" i="5"/>
  <c r="X333" i="5"/>
  <c r="Y475" i="5"/>
  <c r="X475" i="5"/>
  <c r="Y436" i="5"/>
  <c r="X436" i="5"/>
  <c r="Y300" i="5"/>
  <c r="X300" i="5"/>
  <c r="Y421" i="5"/>
  <c r="X421" i="5"/>
  <c r="X184" i="5"/>
  <c r="Y184" i="5"/>
  <c r="X158" i="5"/>
  <c r="Y158" i="5"/>
  <c r="X454" i="5"/>
  <c r="Y454" i="5"/>
  <c r="Y457" i="5"/>
  <c r="X457" i="5"/>
  <c r="Y161" i="5"/>
  <c r="X161" i="5"/>
  <c r="X294" i="5"/>
  <c r="Y294" i="5"/>
  <c r="Y547" i="5"/>
  <c r="X547" i="5"/>
  <c r="Y311" i="5"/>
  <c r="X311" i="5"/>
  <c r="Y13" i="5"/>
  <c r="X13" i="5"/>
  <c r="X191" i="5"/>
  <c r="Y191" i="5"/>
  <c r="X429" i="5"/>
  <c r="Y429" i="5"/>
  <c r="X526" i="5"/>
  <c r="Y526" i="5"/>
  <c r="Y107" i="5"/>
  <c r="X107" i="5"/>
  <c r="X359" i="5"/>
  <c r="Y359" i="5"/>
  <c r="X281" i="5"/>
  <c r="Y281" i="5"/>
  <c r="Y82" i="5"/>
  <c r="X82" i="5"/>
  <c r="X93" i="5"/>
  <c r="Y93" i="5"/>
  <c r="X500" i="5"/>
  <c r="Y500" i="5"/>
  <c r="X120" i="5"/>
  <c r="Y120" i="5"/>
  <c r="Y318" i="5"/>
  <c r="X318" i="5"/>
  <c r="Y148" i="5"/>
  <c r="X148" i="5"/>
  <c r="X390" i="5"/>
  <c r="Y390" i="5"/>
  <c r="X60" i="5"/>
  <c r="Y60" i="5"/>
  <c r="X156" i="5"/>
  <c r="Y156" i="5"/>
  <c r="X76" i="5"/>
  <c r="Y76" i="5"/>
  <c r="Y507" i="5"/>
  <c r="X507" i="5"/>
  <c r="X342" i="5"/>
  <c r="Y342" i="5"/>
  <c r="X108" i="5"/>
  <c r="Y108" i="5"/>
  <c r="X376" i="5"/>
  <c r="Y376" i="5"/>
  <c r="X474" i="5"/>
  <c r="Y474" i="5"/>
  <c r="X22" i="5"/>
  <c r="Y22" i="5"/>
  <c r="X86" i="5"/>
  <c r="Y86" i="5"/>
  <c r="X337" i="5"/>
  <c r="Y337" i="5"/>
  <c r="Y364" i="5"/>
  <c r="X364" i="5"/>
  <c r="X137" i="5"/>
  <c r="Y137" i="5"/>
  <c r="Y38" i="5"/>
  <c r="X38" i="5"/>
  <c r="X172" i="5"/>
  <c r="Y172" i="5"/>
  <c r="Y440" i="5"/>
  <c r="X440" i="5"/>
  <c r="X354" i="5"/>
  <c r="Y354" i="5"/>
  <c r="AH84" i="4"/>
  <c r="AH96" i="4"/>
  <c r="AH91" i="4"/>
  <c r="W78" i="4"/>
  <c r="Y78" i="4" s="1"/>
  <c r="AR78" i="4" s="1"/>
  <c r="AM78" i="4"/>
  <c r="AH126" i="4"/>
  <c r="AM32" i="4"/>
  <c r="W32" i="4"/>
  <c r="Y32" i="4" s="1"/>
  <c r="AR32" i="4" s="1"/>
  <c r="AH115" i="4"/>
  <c r="W33" i="4"/>
  <c r="Y33" i="4" s="1"/>
  <c r="AR33" i="4" s="1"/>
  <c r="AM33" i="4"/>
  <c r="AH71" i="4"/>
  <c r="AH89" i="4"/>
  <c r="AH125" i="4"/>
  <c r="AN123" i="5"/>
  <c r="AO123" i="5"/>
  <c r="AO25" i="5"/>
  <c r="AN25" i="5"/>
  <c r="AO189" i="5"/>
  <c r="AN189" i="5"/>
  <c r="AN28" i="5"/>
  <c r="AO28" i="5"/>
  <c r="AN449" i="5"/>
  <c r="AO449" i="5"/>
  <c r="AO220" i="5"/>
  <c r="AN220" i="5"/>
  <c r="AN258" i="5"/>
  <c r="AO258" i="5"/>
  <c r="AO250" i="5"/>
  <c r="AN250" i="5"/>
  <c r="AO480" i="5"/>
  <c r="AN480" i="5"/>
  <c r="AO446" i="5"/>
  <c r="AN446" i="5"/>
  <c r="AN438" i="5"/>
  <c r="AO438" i="5"/>
  <c r="AO124" i="5"/>
  <c r="AN124" i="5"/>
  <c r="AO110" i="5"/>
  <c r="AN110" i="5"/>
  <c r="AN463" i="5"/>
  <c r="AO463" i="5"/>
  <c r="AO490" i="5"/>
  <c r="AN490" i="5"/>
  <c r="AO268" i="5"/>
  <c r="AN268" i="5"/>
  <c r="AO72" i="5"/>
  <c r="AN72" i="5"/>
  <c r="AO172" i="5"/>
  <c r="AN172" i="5"/>
  <c r="AO393" i="5"/>
  <c r="AN393" i="5"/>
  <c r="AN547" i="5"/>
  <c r="AO547" i="5"/>
  <c r="AO153" i="5"/>
  <c r="AN153" i="5"/>
  <c r="AO87" i="5"/>
  <c r="AN87" i="5"/>
  <c r="AN291" i="5"/>
  <c r="AO291" i="5"/>
  <c r="AN526" i="5"/>
  <c r="AO526" i="5"/>
  <c r="AN34" i="5"/>
  <c r="AO34" i="5"/>
  <c r="AO296" i="5"/>
  <c r="AN296" i="5"/>
  <c r="AN283" i="5"/>
  <c r="AO283" i="5"/>
  <c r="AO349" i="5"/>
  <c r="AN349" i="5"/>
  <c r="AN381" i="5"/>
  <c r="AO381" i="5"/>
  <c r="AO496" i="5"/>
  <c r="AN496" i="5"/>
  <c r="AN374" i="5"/>
  <c r="AO374" i="5"/>
  <c r="AN249" i="5"/>
  <c r="AO249" i="5"/>
  <c r="AO316" i="5"/>
  <c r="AN316" i="5"/>
  <c r="AN99" i="5"/>
  <c r="AO99" i="5"/>
  <c r="AO365" i="5"/>
  <c r="AN365" i="5"/>
  <c r="AN560" i="5"/>
  <c r="AO560" i="5"/>
  <c r="AO331" i="5"/>
  <c r="AN331" i="5"/>
  <c r="AN482" i="5"/>
  <c r="AO482" i="5"/>
  <c r="AN38" i="5"/>
  <c r="AO38" i="5"/>
  <c r="AO177" i="5"/>
  <c r="AN177" i="5"/>
  <c r="AN489" i="5"/>
  <c r="AO489" i="5"/>
  <c r="AN132" i="5"/>
  <c r="AO132" i="5"/>
  <c r="AN279" i="5"/>
  <c r="AO279" i="5"/>
  <c r="AO53" i="5"/>
  <c r="AN53" i="5"/>
  <c r="AN94" i="5"/>
  <c r="AO94" i="5"/>
  <c r="AN229" i="5"/>
  <c r="AO229" i="5"/>
  <c r="AO205" i="5"/>
  <c r="AN205" i="5"/>
  <c r="AN456" i="5"/>
  <c r="AO456" i="5"/>
  <c r="AN288" i="5"/>
  <c r="AO288" i="5"/>
  <c r="AN79" i="5"/>
  <c r="AO79" i="5"/>
  <c r="AN347" i="5"/>
  <c r="AO347" i="5"/>
  <c r="AN224" i="5"/>
  <c r="AO224" i="5"/>
  <c r="AO176" i="5"/>
  <c r="AN176" i="5"/>
  <c r="AN210" i="5"/>
  <c r="AO210" i="5"/>
  <c r="AN293" i="5"/>
  <c r="AO293" i="5"/>
  <c r="AO487" i="5"/>
  <c r="AN487" i="5"/>
  <c r="AN213" i="5"/>
  <c r="AO213" i="5"/>
  <c r="AO21" i="5"/>
  <c r="AN21" i="5"/>
  <c r="AN306" i="5"/>
  <c r="AO306" i="5"/>
  <c r="AN467" i="5"/>
  <c r="AO467" i="5"/>
  <c r="AN412" i="5"/>
  <c r="AO412" i="5"/>
  <c r="AO355" i="5"/>
  <c r="AN355" i="5"/>
  <c r="AN318" i="5"/>
  <c r="AO318" i="5"/>
  <c r="AN56" i="5"/>
  <c r="AO56" i="5"/>
  <c r="AN511" i="5"/>
  <c r="AO511" i="5"/>
  <c r="AO251" i="5"/>
  <c r="AN251" i="5"/>
  <c r="AO262" i="5"/>
  <c r="AN262" i="5"/>
  <c r="AO513" i="5"/>
  <c r="AN513" i="5"/>
  <c r="AN118" i="5"/>
  <c r="AO118" i="5"/>
  <c r="AM51" i="4"/>
  <c r="W51" i="4"/>
  <c r="Y51" i="4" s="1"/>
  <c r="AR51" i="4" s="1"/>
  <c r="AH102" i="4"/>
  <c r="AM65" i="4"/>
  <c r="W65" i="4"/>
  <c r="Y65" i="4" s="1"/>
  <c r="AR65" i="4" s="1"/>
  <c r="AH24" i="4"/>
  <c r="AH124" i="4"/>
  <c r="AH146" i="4"/>
  <c r="Y229" i="5"/>
  <c r="X229" i="5"/>
  <c r="X400" i="5"/>
  <c r="Y400" i="5"/>
  <c r="X80" i="5"/>
  <c r="Y80" i="5"/>
  <c r="X143" i="5"/>
  <c r="Y143" i="5"/>
  <c r="Y290" i="5"/>
  <c r="X290" i="5"/>
  <c r="Y72" i="5"/>
  <c r="X72" i="5"/>
  <c r="Y431" i="5"/>
  <c r="X431" i="5"/>
  <c r="Y52" i="5"/>
  <c r="X52" i="5"/>
  <c r="X301" i="5"/>
  <c r="Y301" i="5"/>
  <c r="X254" i="5"/>
  <c r="Y254" i="5"/>
  <c r="Y27" i="5"/>
  <c r="X27" i="5"/>
  <c r="X315" i="5"/>
  <c r="Y315" i="5"/>
  <c r="X414" i="5"/>
  <c r="Y414" i="5"/>
  <c r="X444" i="5"/>
  <c r="Y444" i="5"/>
  <c r="X527" i="5"/>
  <c r="Y527" i="5"/>
  <c r="X406" i="5"/>
  <c r="Y406" i="5"/>
  <c r="X263" i="5"/>
  <c r="Y263" i="5"/>
  <c r="Y138" i="5"/>
  <c r="X138" i="5"/>
  <c r="Y438" i="5"/>
  <c r="X438" i="5"/>
  <c r="Y523" i="5"/>
  <c r="X523" i="5"/>
  <c r="Y320" i="5"/>
  <c r="X320" i="5"/>
  <c r="X90" i="5"/>
  <c r="Y90" i="5"/>
  <c r="X181" i="5"/>
  <c r="Y181" i="5"/>
  <c r="Y415" i="5"/>
  <c r="X415" i="5"/>
  <c r="Y125" i="5"/>
  <c r="X125" i="5"/>
  <c r="X355" i="5"/>
  <c r="Y355" i="5"/>
  <c r="X136" i="5"/>
  <c r="Y136" i="5"/>
  <c r="Y493" i="5"/>
  <c r="X493" i="5"/>
  <c r="X34" i="5"/>
  <c r="Y34" i="5"/>
  <c r="X484" i="5"/>
  <c r="Y484" i="5"/>
  <c r="Y532" i="5"/>
  <c r="X532" i="5"/>
  <c r="Y94" i="5"/>
  <c r="X94" i="5"/>
  <c r="X485" i="5"/>
  <c r="Y485" i="5"/>
  <c r="Y187" i="5"/>
  <c r="X187" i="5"/>
  <c r="Y45" i="5"/>
  <c r="X45" i="5"/>
  <c r="Y119" i="5"/>
  <c r="X119" i="5"/>
  <c r="X226" i="5"/>
  <c r="Y226" i="5"/>
  <c r="Y234" i="5"/>
  <c r="X234" i="5"/>
  <c r="X467" i="5"/>
  <c r="Y467" i="5"/>
  <c r="Y73" i="5"/>
  <c r="X73" i="5"/>
  <c r="Y175" i="5"/>
  <c r="X175" i="5"/>
  <c r="X319" i="5"/>
  <c r="Y319" i="5"/>
  <c r="Y434" i="5"/>
  <c r="X434" i="5"/>
  <c r="Y542" i="5"/>
  <c r="X542" i="5"/>
  <c r="Y332" i="5"/>
  <c r="X332" i="5"/>
  <c r="X331" i="5"/>
  <c r="Y331" i="5"/>
  <c r="X292" i="5"/>
  <c r="Y292" i="5"/>
  <c r="X448" i="5"/>
  <c r="Y448" i="5"/>
  <c r="X537" i="5"/>
  <c r="Y537" i="5"/>
  <c r="Y416" i="5"/>
  <c r="X416" i="5"/>
  <c r="X424" i="5"/>
  <c r="Y424" i="5"/>
  <c r="X99" i="5"/>
  <c r="Y99" i="5"/>
  <c r="Y230" i="5"/>
  <c r="X230" i="5"/>
  <c r="Y389" i="5"/>
  <c r="X389" i="5"/>
  <c r="X510" i="5"/>
  <c r="Y510" i="5"/>
  <c r="Y157" i="5"/>
  <c r="X157" i="5"/>
  <c r="Y504" i="5"/>
  <c r="X504" i="5"/>
  <c r="Y236" i="5"/>
  <c r="X236" i="5"/>
  <c r="X177" i="5"/>
  <c r="Y177" i="5"/>
  <c r="Y384" i="5"/>
  <c r="X384" i="5"/>
  <c r="Y235" i="5"/>
  <c r="X235" i="5"/>
  <c r="Y101" i="5"/>
  <c r="X101" i="5"/>
  <c r="X8" i="5"/>
  <c r="Y8" i="5"/>
  <c r="Y519" i="5"/>
  <c r="X519" i="5"/>
  <c r="X285" i="5"/>
  <c r="Y285" i="5"/>
  <c r="X41" i="5"/>
  <c r="Y41" i="5"/>
  <c r="X365" i="5"/>
  <c r="Y365" i="5"/>
  <c r="Y247" i="5"/>
  <c r="X247" i="5"/>
  <c r="X338" i="5"/>
  <c r="Y338" i="5"/>
  <c r="AH66" i="4"/>
  <c r="AH87" i="4"/>
  <c r="AH34" i="4"/>
  <c r="AH74" i="4"/>
  <c r="AM77" i="4"/>
  <c r="W77" i="4"/>
  <c r="Y77" i="4" s="1"/>
  <c r="AR77" i="4" s="1"/>
  <c r="AH22" i="4"/>
  <c r="AH147" i="4"/>
  <c r="AH28" i="4"/>
  <c r="AH38" i="4"/>
  <c r="AM37" i="4"/>
  <c r="W37" i="4"/>
  <c r="Y37" i="4" s="1"/>
  <c r="AR37" i="4" s="1"/>
  <c r="AH72" i="4"/>
  <c r="AN461" i="5"/>
  <c r="AO461" i="5"/>
  <c r="AH64" i="4"/>
  <c r="AH120" i="4"/>
  <c r="AH11" i="4"/>
  <c r="AH39" i="4"/>
  <c r="AI435" i="5"/>
  <c r="AI156" i="5"/>
  <c r="AI553" i="5"/>
  <c r="AI535" i="5"/>
  <c r="AI280" i="5"/>
  <c r="AI351" i="5"/>
  <c r="AI447" i="5"/>
  <c r="AI510" i="5"/>
  <c r="AI129" i="5"/>
  <c r="AI353" i="5"/>
  <c r="AI22" i="5"/>
  <c r="AI479" i="5"/>
  <c r="AI196" i="5"/>
  <c r="AI82" i="5"/>
  <c r="AI372" i="5"/>
  <c r="AI527" i="5"/>
  <c r="AI285" i="5"/>
  <c r="AI265" i="5"/>
  <c r="AI371" i="5"/>
  <c r="AI92" i="5"/>
  <c r="AI51" i="5"/>
  <c r="AI200" i="5"/>
  <c r="AI470" i="5"/>
  <c r="AI65" i="5"/>
  <c r="AI154" i="5"/>
  <c r="AI381" i="5"/>
  <c r="AI19" i="5"/>
  <c r="AI211" i="5"/>
  <c r="AI21" i="5"/>
  <c r="AI198" i="5"/>
  <c r="AI234" i="5"/>
  <c r="AI213" i="5"/>
  <c r="AI205" i="5"/>
  <c r="AI272" i="5"/>
  <c r="AI98" i="5"/>
  <c r="AI509" i="5"/>
  <c r="AI210" i="5"/>
  <c r="AI319" i="5"/>
  <c r="AI369" i="5"/>
  <c r="AI357" i="5"/>
  <c r="AI477" i="5"/>
  <c r="AI417" i="5"/>
  <c r="AI420" i="5"/>
  <c r="AI391" i="5"/>
  <c r="AI149" i="5"/>
  <c r="AI455" i="5"/>
  <c r="AI38" i="5"/>
  <c r="AI386" i="5"/>
  <c r="AI116" i="5"/>
  <c r="AI212" i="5"/>
  <c r="AI53" i="5"/>
  <c r="AI429" i="5"/>
  <c r="AI517" i="5"/>
  <c r="AI60" i="5"/>
  <c r="AI402" i="5"/>
  <c r="AI412" i="5"/>
  <c r="AI346" i="5"/>
  <c r="AI35" i="5"/>
  <c r="AI58" i="5"/>
  <c r="AI117" i="5"/>
  <c r="AI84" i="5"/>
  <c r="AI230" i="5"/>
  <c r="AI177" i="5"/>
  <c r="AI176" i="5"/>
  <c r="AI80" i="5"/>
  <c r="AI87" i="5"/>
  <c r="AI524" i="5"/>
  <c r="AI57" i="5"/>
  <c r="AI10" i="5"/>
  <c r="AI52" i="5"/>
  <c r="AI142" i="5"/>
  <c r="AI337" i="5"/>
  <c r="AI67" i="5"/>
  <c r="AI442" i="5"/>
  <c r="AI7" i="5"/>
  <c r="AI508" i="5"/>
  <c r="AI119" i="5"/>
  <c r="AI41" i="5"/>
  <c r="AI281" i="5"/>
  <c r="AI61" i="5"/>
  <c r="AI100" i="5"/>
  <c r="AI448" i="5"/>
  <c r="AI13" i="5"/>
  <c r="AI223" i="5"/>
  <c r="AI506" i="5"/>
  <c r="AI363" i="5"/>
  <c r="AI375" i="5"/>
  <c r="AI303" i="5"/>
  <c r="AI385" i="5"/>
  <c r="AI380" i="5"/>
  <c r="AI86" i="5"/>
  <c r="AI275" i="5"/>
  <c r="AI383" i="5"/>
  <c r="AI126" i="5"/>
  <c r="AI453" i="5"/>
  <c r="AI79" i="5"/>
  <c r="AI29" i="5"/>
  <c r="AI476" i="5"/>
  <c r="AI416" i="5"/>
  <c r="AI128" i="5"/>
  <c r="AI482" i="5"/>
  <c r="AI326" i="5"/>
  <c r="AI160" i="5"/>
  <c r="AI88" i="5"/>
  <c r="AI489" i="5"/>
  <c r="AI290" i="5"/>
  <c r="AI235" i="5"/>
  <c r="AI85" i="5"/>
  <c r="AI24" i="5"/>
  <c r="AI175" i="5"/>
  <c r="AI262" i="5"/>
  <c r="AI256" i="5"/>
  <c r="AI54" i="5"/>
  <c r="AI297" i="5"/>
  <c r="AI313" i="5"/>
  <c r="AI161" i="5"/>
  <c r="AI466" i="5"/>
  <c r="AI120" i="5"/>
  <c r="AI473" i="5"/>
  <c r="AI422" i="5"/>
  <c r="AI474" i="5"/>
  <c r="AI71" i="5"/>
  <c r="AI62" i="5"/>
  <c r="AI478" i="5"/>
  <c r="AI488" i="5"/>
  <c r="AI90" i="5"/>
  <c r="AI441" i="5"/>
  <c r="AI95" i="5"/>
  <c r="AI439" i="5"/>
  <c r="AI549" i="5"/>
  <c r="AI532" i="5"/>
  <c r="AI344" i="5"/>
  <c r="AI475" i="5"/>
  <c r="AI368" i="5"/>
  <c r="AI528" i="5"/>
  <c r="AI201" i="5"/>
  <c r="AI359" i="5"/>
  <c r="AI446" i="5"/>
  <c r="AI9" i="5"/>
  <c r="AI403" i="5"/>
  <c r="AI379" i="5"/>
  <c r="AI502" i="5"/>
  <c r="AI288" i="5"/>
  <c r="AI134" i="5"/>
  <c r="AI423" i="5"/>
  <c r="AI539" i="5"/>
  <c r="AI215" i="5"/>
  <c r="AI397" i="5"/>
  <c r="AI232" i="5"/>
  <c r="AI291" i="5"/>
  <c r="AI547" i="5"/>
  <c r="AI526" i="5"/>
  <c r="AI279" i="5"/>
  <c r="AI503" i="5"/>
  <c r="AI45" i="5"/>
  <c r="AI507" i="5"/>
  <c r="AI73" i="5"/>
  <c r="AI486" i="5"/>
  <c r="AI312" i="5"/>
  <c r="AI521" i="5"/>
  <c r="AI331" i="5"/>
  <c r="AI224" i="5"/>
  <c r="AI20" i="5"/>
  <c r="AI109" i="5"/>
  <c r="AI536" i="5"/>
  <c r="AI362" i="5"/>
  <c r="AI286" i="5"/>
  <c r="AI556" i="5"/>
  <c r="AI431" i="5"/>
  <c r="AI181" i="5"/>
  <c r="AI505" i="5"/>
  <c r="AI530" i="5"/>
  <c r="AI457" i="5"/>
  <c r="AI278" i="5"/>
  <c r="AI189" i="5"/>
  <c r="AI132" i="5"/>
  <c r="AI270" i="5"/>
  <c r="AI162" i="5"/>
  <c r="AI430" i="5"/>
  <c r="AI228" i="5"/>
  <c r="AI320" i="5"/>
  <c r="AI348" i="5"/>
  <c r="AI66" i="5"/>
  <c r="AI522" i="5"/>
  <c r="AI444" i="5"/>
  <c r="AI155" i="5"/>
  <c r="AI284" i="5"/>
  <c r="AI125" i="5"/>
  <c r="AI546" i="5"/>
  <c r="AI419" i="5"/>
  <c r="AI94" i="5"/>
  <c r="AI330" i="5"/>
  <c r="AI355" i="5"/>
  <c r="AI347" i="5"/>
  <c r="AI301" i="5"/>
  <c r="AI248" i="5"/>
  <c r="AI366" i="5"/>
  <c r="AI499" i="5"/>
  <c r="AI264" i="5"/>
  <c r="AI231" i="5"/>
  <c r="AI164" i="5"/>
  <c r="AI295" i="5"/>
  <c r="AI124" i="5"/>
  <c r="AI560" i="5"/>
  <c r="AI233" i="5"/>
  <c r="AI42" i="5"/>
  <c r="AI157" i="5"/>
  <c r="AI145" i="5"/>
  <c r="AI253" i="5"/>
  <c r="AI153" i="5"/>
  <c r="AI172" i="5"/>
  <c r="AI184" i="5"/>
  <c r="AI306" i="5"/>
  <c r="AI8" i="5"/>
  <c r="AI438" i="5"/>
  <c r="AI83" i="5"/>
  <c r="AI108" i="5"/>
  <c r="AI497" i="5"/>
  <c r="AI449" i="5"/>
  <c r="AI33" i="5"/>
  <c r="AI222" i="5"/>
  <c r="AI324" i="5"/>
  <c r="AI491" i="5"/>
  <c r="AI77" i="5"/>
  <c r="AI102" i="5"/>
  <c r="AI411" i="5"/>
  <c r="AI465" i="5"/>
  <c r="AI342" i="5"/>
  <c r="AI548" i="5"/>
  <c r="AI220" i="5"/>
  <c r="AI186" i="5"/>
  <c r="AI287" i="5"/>
  <c r="AI300" i="5"/>
  <c r="AI139" i="5"/>
  <c r="AI396" i="5"/>
  <c r="AI64" i="5"/>
  <c r="AI163" i="5"/>
  <c r="AI147" i="5"/>
  <c r="AI96" i="5"/>
  <c r="AI484" i="5"/>
  <c r="AI170" i="5"/>
  <c r="AI490" i="5"/>
  <c r="AI534" i="5"/>
  <c r="AI413" i="5"/>
  <c r="AI97" i="5"/>
  <c r="AI554" i="5"/>
  <c r="AI374" i="5"/>
  <c r="AI188" i="5"/>
  <c r="AI555" i="5"/>
  <c r="AI241" i="5"/>
  <c r="AI219" i="5"/>
  <c r="AI165" i="5"/>
  <c r="AI40" i="5"/>
  <c r="AI283" i="5"/>
  <c r="AI255" i="5"/>
  <c r="AI141" i="5"/>
  <c r="AI462" i="5"/>
  <c r="AI410" i="5"/>
  <c r="AI282" i="5"/>
  <c r="AI332" i="5"/>
  <c r="AI240" i="5"/>
  <c r="AI460" i="5"/>
  <c r="AI294" i="5"/>
  <c r="AI336" i="5"/>
  <c r="AI199" i="5"/>
  <c r="AI75" i="5"/>
  <c r="AI180" i="5"/>
  <c r="AI195" i="5"/>
  <c r="AI69" i="5"/>
  <c r="AI400" i="5"/>
  <c r="AI464" i="5"/>
  <c r="AI515" i="5"/>
  <c r="AI317" i="5"/>
  <c r="AI296" i="5"/>
  <c r="AI273" i="5"/>
  <c r="AI260" i="5"/>
  <c r="AI364" i="5"/>
  <c r="AI50" i="5"/>
  <c r="AI471" i="5"/>
  <c r="AI209" i="5"/>
  <c r="AI445" i="5"/>
  <c r="AI384" i="5"/>
  <c r="AI127" i="5"/>
  <c r="AI78" i="5"/>
  <c r="AI531" i="5"/>
  <c r="AI110" i="5"/>
  <c r="AI352" i="5"/>
  <c r="AI512" i="5"/>
  <c r="AI208" i="5"/>
  <c r="AI461" i="5"/>
  <c r="AI520" i="5"/>
  <c r="AI426" i="5"/>
  <c r="AI487" i="5"/>
  <c r="AI159" i="5"/>
  <c r="AI393" i="5"/>
  <c r="AI450" i="5"/>
  <c r="AI418" i="5"/>
  <c r="AI238" i="5"/>
  <c r="AI540" i="5"/>
  <c r="AI436" i="5"/>
  <c r="AI382" i="5"/>
  <c r="AI481" i="5"/>
  <c r="AI354" i="5"/>
  <c r="AI135" i="5"/>
  <c r="AI204" i="5"/>
  <c r="AI12" i="5"/>
  <c r="AI341" i="5"/>
  <c r="AI249" i="5"/>
  <c r="AI146" i="5"/>
  <c r="AI421" i="5"/>
  <c r="AI350" i="5"/>
  <c r="AI112" i="5"/>
  <c r="AI47" i="5"/>
  <c r="AI194" i="5"/>
  <c r="AI314" i="5"/>
  <c r="AI169" i="5"/>
  <c r="AI258" i="5"/>
  <c r="AI187" i="5"/>
  <c r="AI261" i="5"/>
  <c r="AI298" i="5"/>
  <c r="AI523" i="5"/>
  <c r="AI99" i="5"/>
  <c r="AI236" i="5"/>
  <c r="AI243" i="5"/>
  <c r="AI518" i="5"/>
  <c r="AI274" i="5"/>
  <c r="AI315" i="5"/>
  <c r="AI227" i="5"/>
  <c r="AI254" i="5"/>
  <c r="AI158" i="5"/>
  <c r="AI407" i="5"/>
  <c r="AI289" i="5"/>
  <c r="AI409" i="5"/>
  <c r="AI293" i="5"/>
  <c r="AI183" i="5"/>
  <c r="AI463" i="5"/>
  <c r="AI349" i="5"/>
  <c r="AI103" i="5"/>
  <c r="AI392" i="5"/>
  <c r="AI242" i="5"/>
  <c r="AI339" i="5"/>
  <c r="AI557" i="5"/>
  <c r="AI308" i="5"/>
  <c r="AI390" i="5"/>
  <c r="AI514" i="5"/>
  <c r="AI329" i="5"/>
  <c r="AI72" i="5"/>
  <c r="AI225" i="5"/>
  <c r="AI63" i="5"/>
  <c r="AI182" i="5"/>
  <c r="AI217" i="5"/>
  <c r="AI252" i="5"/>
  <c r="AI202" i="5"/>
  <c r="AI28" i="5"/>
  <c r="AI323" i="5"/>
  <c r="AI433" i="5"/>
  <c r="AI406" i="5"/>
  <c r="AI321" i="5"/>
  <c r="AI191" i="5"/>
  <c r="AI307" i="5"/>
  <c r="AI39" i="5"/>
  <c r="AI192" i="5"/>
  <c r="AI271" i="5"/>
  <c r="AI545" i="5"/>
  <c r="AI538" i="5"/>
  <c r="AI345" i="5"/>
  <c r="AI376" i="5"/>
  <c r="AI356" i="5"/>
  <c r="AI304" i="5"/>
  <c r="AI49" i="5"/>
  <c r="AI504" i="5"/>
  <c r="AI480" i="5"/>
  <c r="AI542" i="5"/>
  <c r="AI424" i="5"/>
  <c r="AI26" i="5"/>
  <c r="AI544" i="5"/>
  <c r="AI483" i="5"/>
  <c r="AI185" i="5"/>
  <c r="AI179" i="5"/>
  <c r="AI59" i="5"/>
  <c r="AI414" i="5"/>
  <c r="AI519" i="5"/>
  <c r="AI558" i="5"/>
  <c r="AI335" i="5"/>
  <c r="AI30" i="5"/>
  <c r="AI459" i="5"/>
  <c r="AI216" i="5"/>
  <c r="AI244" i="5"/>
  <c r="AI361" i="5"/>
  <c r="AI113" i="5"/>
  <c r="AI472" i="5"/>
  <c r="AI399" i="5"/>
  <c r="AI318" i="5"/>
  <c r="AI373" i="5"/>
  <c r="AI81" i="5"/>
  <c r="AI197" i="5"/>
  <c r="AI107" i="5"/>
  <c r="AI333" i="5"/>
  <c r="AI552" i="5"/>
  <c r="AI269" i="5"/>
  <c r="AI277" i="5"/>
  <c r="AI338" i="5"/>
  <c r="AI148" i="5"/>
  <c r="AI36" i="5"/>
  <c r="AI206" i="5"/>
  <c r="AI370" i="5"/>
  <c r="AI496" i="5"/>
  <c r="AI485" i="5"/>
  <c r="AI218" i="5"/>
  <c r="AI541" i="5"/>
  <c r="AI513" i="5"/>
  <c r="AI178" i="5"/>
  <c r="AI311" i="5"/>
  <c r="AI559" i="5"/>
  <c r="AI245" i="5"/>
  <c r="AI143" i="5"/>
  <c r="AI32" i="5"/>
  <c r="AI309" i="5"/>
  <c r="AI378" i="5"/>
  <c r="AI469" i="5"/>
  <c r="AI105" i="5"/>
  <c r="AI55" i="5"/>
  <c r="AI394" i="5"/>
  <c r="AI43" i="5"/>
  <c r="AI111" i="5"/>
  <c r="AI428" i="5"/>
  <c r="AI207" i="5"/>
  <c r="AI425" i="5"/>
  <c r="AI334" i="5"/>
  <c r="AI137" i="5"/>
  <c r="AI387" i="5"/>
  <c r="AI395" i="5"/>
  <c r="AI130" i="5"/>
  <c r="AI292" i="5"/>
  <c r="AI343" i="5"/>
  <c r="AI250" i="5"/>
  <c r="AI367" i="5"/>
  <c r="AI468" i="5"/>
  <c r="AI404" i="5"/>
  <c r="AI168" i="5"/>
  <c r="AI166" i="5"/>
  <c r="AI467" i="5"/>
  <c r="AI68" i="5"/>
  <c r="AI493" i="5"/>
  <c r="AI401" i="5"/>
  <c r="AI492" i="5"/>
  <c r="AI25" i="5"/>
  <c r="AI70" i="5"/>
  <c r="AI550" i="5"/>
  <c r="AI140" i="5"/>
  <c r="AI263" i="5"/>
  <c r="AI11" i="5"/>
  <c r="AI144" i="5"/>
  <c r="AI533" i="5"/>
  <c r="AI174" i="5"/>
  <c r="AI104" i="5"/>
  <c r="AI408" i="5"/>
  <c r="AI229" i="5"/>
  <c r="AI456" i="5"/>
  <c r="AI34" i="5"/>
  <c r="AI498" i="5"/>
  <c r="AI167" i="5"/>
  <c r="AI121" i="5"/>
  <c r="AI365" i="5"/>
  <c r="AI543" i="5"/>
  <c r="AI122" i="5"/>
  <c r="AI454" i="5"/>
  <c r="AI74" i="5"/>
  <c r="AI131" i="5"/>
  <c r="AI247" i="5"/>
  <c r="AI93" i="5"/>
  <c r="AI276" i="5"/>
  <c r="AI427" i="5"/>
  <c r="AI115" i="5"/>
  <c r="AI501" i="5"/>
  <c r="AI27" i="5"/>
  <c r="AI268" i="5"/>
  <c r="AI310" i="5"/>
  <c r="AI525" i="5"/>
  <c r="AI48" i="5"/>
  <c r="AI190" i="5"/>
  <c r="AI360" i="5"/>
  <c r="AI443" i="5"/>
  <c r="AI106" i="5"/>
  <c r="AI316" i="5"/>
  <c r="AI251" i="5"/>
  <c r="AI405" i="5"/>
  <c r="AI495" i="5"/>
  <c r="AI257" i="5"/>
  <c r="AI171" i="5"/>
  <c r="AI173" i="5"/>
  <c r="AI340" i="5"/>
  <c r="AI551" i="5"/>
  <c r="AI451" i="5"/>
  <c r="AI266" i="5"/>
  <c r="AI259" i="5"/>
  <c r="AI239" i="5"/>
  <c r="AI23" i="5"/>
  <c r="AI76" i="5"/>
  <c r="AI267" i="5"/>
  <c r="AI415" i="5"/>
  <c r="AI432" i="5"/>
  <c r="AI91" i="5"/>
  <c r="AI452" i="5"/>
  <c r="AI325" i="5"/>
  <c r="AI537" i="5"/>
  <c r="AI398" i="5"/>
  <c r="AI118" i="5"/>
  <c r="AI193" i="5"/>
  <c r="AI246" i="5"/>
  <c r="AI327" i="5"/>
  <c r="AI299" i="5"/>
  <c r="AI388" i="5"/>
  <c r="AI214" i="5"/>
  <c r="AI302" i="5"/>
  <c r="AI516" i="5"/>
  <c r="AI328" i="5"/>
  <c r="AI511" i="5"/>
  <c r="AI305" i="5"/>
  <c r="AI237" i="5"/>
  <c r="AI151" i="5"/>
  <c r="AI221" i="5"/>
  <c r="AI114" i="5"/>
  <c r="AI458" i="5"/>
  <c r="AI389" i="5"/>
  <c r="AI123" i="5"/>
  <c r="AI377" i="5"/>
  <c r="AI434" i="5"/>
  <c r="AI322" i="5"/>
  <c r="AI437" i="5"/>
  <c r="AI152" i="5"/>
  <c r="AI136" i="5"/>
  <c r="AI89" i="5"/>
  <c r="AI56" i="5"/>
  <c r="AI44" i="5"/>
  <c r="AI529" i="5"/>
  <c r="AI203" i="5"/>
  <c r="AI133" i="5"/>
  <c r="AI494" i="5"/>
  <c r="AI440" i="5"/>
  <c r="AI101" i="5"/>
  <c r="AI500" i="5"/>
  <c r="AI226" i="5"/>
  <c r="AI46" i="5"/>
  <c r="AI358" i="5"/>
  <c r="AI138" i="5"/>
  <c r="AI150" i="5"/>
  <c r="AI31" i="5"/>
  <c r="AN280" i="5"/>
  <c r="AO280" i="5"/>
  <c r="AN163" i="5"/>
  <c r="AO163" i="5"/>
  <c r="AO39" i="5"/>
  <c r="AN39" i="5"/>
  <c r="AN193" i="5"/>
  <c r="AO193" i="5"/>
  <c r="AO382" i="5"/>
  <c r="AN382" i="5"/>
  <c r="AN97" i="5"/>
  <c r="AO97" i="5"/>
  <c r="AN246" i="5"/>
  <c r="AO246" i="5"/>
  <c r="AN270" i="5"/>
  <c r="AO270" i="5"/>
  <c r="AO378" i="5"/>
  <c r="AN378" i="5"/>
  <c r="AN558" i="5"/>
  <c r="AO558" i="5"/>
  <c r="AO502" i="5"/>
  <c r="AN502" i="5"/>
  <c r="AN452" i="5"/>
  <c r="AO452" i="5"/>
  <c r="AO508" i="5"/>
  <c r="AN508" i="5"/>
  <c r="AO266" i="5"/>
  <c r="AN266" i="5"/>
  <c r="AN77" i="5"/>
  <c r="AO77" i="5"/>
  <c r="AN186" i="5"/>
  <c r="AO186" i="5"/>
  <c r="AO303" i="5"/>
  <c r="AN303" i="5"/>
  <c r="AN112" i="5"/>
  <c r="AO112" i="5"/>
  <c r="AN328" i="5"/>
  <c r="AO328" i="5"/>
  <c r="AN379" i="5"/>
  <c r="AO379" i="5"/>
  <c r="AO539" i="5"/>
  <c r="AN539" i="5"/>
  <c r="AO559" i="5"/>
  <c r="AN559" i="5"/>
  <c r="AN395" i="5"/>
  <c r="AO395" i="5"/>
  <c r="AN466" i="5"/>
  <c r="AO466" i="5"/>
  <c r="AO58" i="5"/>
  <c r="AN58" i="5"/>
  <c r="AN336" i="5"/>
  <c r="AO336" i="5"/>
  <c r="AN228" i="5"/>
  <c r="AO228" i="5"/>
  <c r="AO516" i="5"/>
  <c r="AN516" i="5"/>
  <c r="AN421" i="5"/>
  <c r="AO421" i="5"/>
  <c r="AN105" i="5"/>
  <c r="AO105" i="5"/>
  <c r="AO277" i="5"/>
  <c r="AN277" i="5"/>
  <c r="AN514" i="5"/>
  <c r="AO514" i="5"/>
  <c r="AN254" i="5"/>
  <c r="AO254" i="5"/>
  <c r="AN121" i="5"/>
  <c r="AO121" i="5"/>
  <c r="AO173" i="5"/>
  <c r="AN173" i="5"/>
  <c r="AO60" i="5"/>
  <c r="AN60" i="5"/>
  <c r="AO71" i="5"/>
  <c r="AN71" i="5"/>
  <c r="AN444" i="5"/>
  <c r="AO444" i="5"/>
  <c r="AN128" i="5"/>
  <c r="AO128" i="5"/>
  <c r="AO553" i="5"/>
  <c r="AN553" i="5"/>
  <c r="AN129" i="5"/>
  <c r="AO129" i="5"/>
  <c r="AN520" i="5"/>
  <c r="AO520" i="5"/>
  <c r="AO238" i="5"/>
  <c r="AN238" i="5"/>
  <c r="AO442" i="5"/>
  <c r="AN442" i="5"/>
  <c r="AN324" i="5"/>
  <c r="AO324" i="5"/>
  <c r="AN196" i="5"/>
  <c r="AO196" i="5"/>
  <c r="AO218" i="5"/>
  <c r="AN218" i="5"/>
  <c r="AO319" i="5"/>
  <c r="AN319" i="5"/>
  <c r="AO498" i="5"/>
  <c r="AN498" i="5"/>
  <c r="AN237" i="5"/>
  <c r="AO237" i="5"/>
  <c r="AN472" i="5"/>
  <c r="AO472" i="5"/>
  <c r="AN431" i="5"/>
  <c r="AO431" i="5"/>
  <c r="AO139" i="5"/>
  <c r="AN139" i="5"/>
  <c r="AN261" i="5"/>
  <c r="AO261" i="5"/>
  <c r="AN488" i="5"/>
  <c r="AO488" i="5"/>
  <c r="AO532" i="5"/>
  <c r="AN532" i="5"/>
  <c r="AN322" i="5"/>
  <c r="AO322" i="5"/>
  <c r="AN276" i="5"/>
  <c r="AO276" i="5"/>
  <c r="AN544" i="5"/>
  <c r="AO544" i="5"/>
  <c r="AO429" i="5"/>
  <c r="AN429" i="5"/>
  <c r="AO414" i="5"/>
  <c r="AN414" i="5"/>
  <c r="AN314" i="5"/>
  <c r="AO314" i="5"/>
  <c r="AO222" i="5"/>
  <c r="AN222" i="5"/>
  <c r="AO201" i="5"/>
  <c r="AN201" i="5"/>
  <c r="AO161" i="5"/>
  <c r="AN161" i="5"/>
  <c r="AN400" i="5"/>
  <c r="AO400" i="5"/>
  <c r="AO353" i="5"/>
  <c r="AN353" i="5"/>
  <c r="AN143" i="5"/>
  <c r="AO143" i="5"/>
  <c r="AH51" i="4"/>
  <c r="AH85" i="4"/>
  <c r="AM67" i="4"/>
  <c r="W67" i="4"/>
  <c r="Y67" i="4" s="1"/>
  <c r="AR67" i="4" s="1"/>
  <c r="AH141" i="4"/>
  <c r="AH98" i="4"/>
  <c r="X29" i="5"/>
  <c r="Y29" i="5"/>
  <c r="Y55" i="5"/>
  <c r="X55" i="5"/>
  <c r="Y262" i="5"/>
  <c r="X262" i="5"/>
  <c r="X260" i="5"/>
  <c r="Y260" i="5"/>
  <c r="Y453" i="5"/>
  <c r="X453" i="5"/>
  <c r="Y411" i="5"/>
  <c r="X411" i="5"/>
  <c r="Y498" i="5"/>
  <c r="X498" i="5"/>
  <c r="X556" i="5"/>
  <c r="Y556" i="5"/>
  <c r="X58" i="5"/>
  <c r="Y58" i="5"/>
  <c r="Y127" i="5"/>
  <c r="X127" i="5"/>
  <c r="X126" i="5"/>
  <c r="Y126" i="5"/>
  <c r="X188" i="5"/>
  <c r="Y188" i="5"/>
  <c r="Y302" i="5"/>
  <c r="X302" i="5"/>
  <c r="Y47" i="5"/>
  <c r="X47" i="5"/>
  <c r="Y100" i="5"/>
  <c r="X100" i="5"/>
  <c r="Y272" i="5"/>
  <c r="X272" i="5"/>
  <c r="X324" i="5"/>
  <c r="Y324" i="5"/>
  <c r="Y548" i="5"/>
  <c r="X548" i="5"/>
  <c r="X116" i="5"/>
  <c r="Y116" i="5"/>
  <c r="Y360" i="5"/>
  <c r="X360" i="5"/>
  <c r="X298" i="5"/>
  <c r="Y298" i="5"/>
  <c r="X39" i="5"/>
  <c r="Y39" i="5"/>
  <c r="X541" i="5"/>
  <c r="Y541" i="5"/>
  <c r="X202" i="5"/>
  <c r="Y202" i="5"/>
  <c r="Y268" i="5"/>
  <c r="X268" i="5"/>
  <c r="X169" i="5"/>
  <c r="Y169" i="5"/>
  <c r="X297" i="5"/>
  <c r="Y297" i="5"/>
  <c r="Y525" i="5"/>
  <c r="X525" i="5"/>
  <c r="Y227" i="5"/>
  <c r="X227" i="5"/>
  <c r="X472" i="5"/>
  <c r="Y472" i="5"/>
  <c r="Y237" i="5"/>
  <c r="X237" i="5"/>
  <c r="Y516" i="5"/>
  <c r="X516" i="5"/>
  <c r="Y261" i="5"/>
  <c r="X261" i="5"/>
  <c r="X459" i="5"/>
  <c r="Y459" i="5"/>
  <c r="Y369" i="5"/>
  <c r="X369" i="5"/>
  <c r="Y176" i="5"/>
  <c r="X176" i="5"/>
  <c r="X451" i="5"/>
  <c r="Y451" i="5"/>
  <c r="Y398" i="5"/>
  <c r="X398" i="5"/>
  <c r="Y139" i="5"/>
  <c r="X139" i="5"/>
  <c r="Y57" i="5"/>
  <c r="X57" i="5"/>
  <c r="X43" i="5"/>
  <c r="Y43" i="5"/>
  <c r="X251" i="5"/>
  <c r="Y251" i="5"/>
  <c r="Y497" i="5"/>
  <c r="X497" i="5"/>
  <c r="Y486" i="5"/>
  <c r="X486" i="5"/>
  <c r="Y404" i="5"/>
  <c r="X404" i="5"/>
  <c r="X508" i="5"/>
  <c r="Y508" i="5"/>
  <c r="Y178" i="5"/>
  <c r="X178" i="5"/>
  <c r="X370" i="5"/>
  <c r="Y370" i="5"/>
  <c r="X128" i="5"/>
  <c r="Y128" i="5"/>
  <c r="Y327" i="5"/>
  <c r="X327" i="5"/>
  <c r="Y96" i="5"/>
  <c r="X96" i="5"/>
  <c r="Y274" i="5"/>
  <c r="X274" i="5"/>
  <c r="Y110" i="5"/>
  <c r="X110" i="5"/>
  <c r="Y36" i="5"/>
  <c r="X36" i="5"/>
  <c r="Y61" i="5"/>
  <c r="X61" i="5"/>
  <c r="Y62" i="5"/>
  <c r="X62" i="5"/>
  <c r="Y468" i="5"/>
  <c r="X468" i="5"/>
  <c r="X492" i="5"/>
  <c r="Y492" i="5"/>
  <c r="Y223" i="5"/>
  <c r="X223" i="5"/>
  <c r="Y374" i="5"/>
  <c r="X374" i="5"/>
  <c r="Y546" i="5"/>
  <c r="X546" i="5"/>
  <c r="X304" i="5"/>
  <c r="Y304" i="5"/>
  <c r="X249" i="5"/>
  <c r="Y249" i="5"/>
  <c r="X218" i="5"/>
  <c r="Y218" i="5"/>
  <c r="Y286" i="5"/>
  <c r="X286" i="5"/>
  <c r="X303" i="5"/>
  <c r="Y303" i="5"/>
  <c r="Y204" i="5"/>
  <c r="X204" i="5"/>
  <c r="X399" i="5"/>
  <c r="Y399" i="5"/>
  <c r="AH151" i="4"/>
  <c r="AH97" i="4"/>
  <c r="AH69" i="4"/>
  <c r="AH57" i="4"/>
  <c r="AH154" i="4"/>
  <c r="AM136" i="4"/>
  <c r="W136" i="4"/>
  <c r="Y136" i="4" s="1"/>
  <c r="AR136" i="4" s="1"/>
  <c r="AH152" i="4"/>
  <c r="AH37" i="4"/>
  <c r="AM120" i="4"/>
  <c r="W120" i="4"/>
  <c r="Y120" i="4" s="1"/>
  <c r="AR120" i="4" s="1"/>
  <c r="AM15" i="4"/>
  <c r="W15" i="4"/>
  <c r="Y15" i="4" s="1"/>
  <c r="AR15" i="4" s="1"/>
  <c r="AM153" i="4"/>
  <c r="W153" i="4"/>
  <c r="Y153" i="4" s="1"/>
  <c r="AR153" i="4" s="1"/>
  <c r="AM113" i="4"/>
  <c r="W113" i="4"/>
  <c r="Y113" i="4" s="1"/>
  <c r="AR113" i="4" s="1"/>
  <c r="AM105" i="4"/>
  <c r="W105" i="4"/>
  <c r="Y105" i="4" s="1"/>
  <c r="AR105" i="4" s="1"/>
  <c r="AM30" i="4"/>
  <c r="W30" i="4"/>
  <c r="Y30" i="4" s="1"/>
  <c r="AR30" i="4" s="1"/>
  <c r="AH113" i="4"/>
  <c r="B78" i="5"/>
  <c r="O9" i="5" s="1"/>
  <c r="AP88" i="5"/>
  <c r="AP71" i="5"/>
  <c r="AP540" i="5"/>
  <c r="AP156" i="5"/>
  <c r="AP461" i="5"/>
  <c r="AP362" i="5"/>
  <c r="AP213" i="5"/>
  <c r="AP465" i="5"/>
  <c r="AP198" i="5"/>
  <c r="AP252" i="5"/>
  <c r="AP236" i="5"/>
  <c r="AP165" i="5"/>
  <c r="AP26" i="5"/>
  <c r="AP167" i="5"/>
  <c r="AP402" i="5"/>
  <c r="AP233" i="5"/>
  <c r="AP210" i="5"/>
  <c r="AP360" i="5"/>
  <c r="AP188" i="5"/>
  <c r="AP122" i="5"/>
  <c r="AP294" i="5"/>
  <c r="AP415" i="5"/>
  <c r="AP225" i="5"/>
  <c r="AP299" i="5"/>
  <c r="AP242" i="5"/>
  <c r="AP154" i="5"/>
  <c r="AP22" i="5"/>
  <c r="AP234" i="5"/>
  <c r="AP507" i="5"/>
  <c r="AP48" i="5"/>
  <c r="AP479" i="5"/>
  <c r="AP102" i="5"/>
  <c r="AP413" i="5"/>
  <c r="AP76" i="5"/>
  <c r="AP417" i="5"/>
  <c r="AP545" i="5"/>
  <c r="AP50" i="5"/>
  <c r="AP199" i="5"/>
  <c r="AP334" i="5"/>
  <c r="AP474" i="5"/>
  <c r="AP340" i="5"/>
  <c r="AP550" i="5"/>
  <c r="AP491" i="5"/>
  <c r="AP470" i="5"/>
  <c r="AP442" i="5"/>
  <c r="AP371" i="5"/>
  <c r="AP113" i="5"/>
  <c r="AP144" i="5"/>
  <c r="AP219" i="5"/>
  <c r="AP78" i="5"/>
  <c r="AP89" i="5"/>
  <c r="AP313" i="5"/>
  <c r="AP243" i="5"/>
  <c r="AP203" i="5"/>
  <c r="AP166" i="5"/>
  <c r="AP556" i="5"/>
  <c r="AP61" i="5"/>
  <c r="AP64" i="5"/>
  <c r="AP280" i="5"/>
  <c r="AP441" i="5"/>
  <c r="AP403" i="5"/>
  <c r="AP377" i="5"/>
  <c r="AP427" i="5"/>
  <c r="AP276" i="5"/>
  <c r="AP220" i="5"/>
  <c r="AP539" i="5"/>
  <c r="AP351" i="5"/>
  <c r="AP447" i="5"/>
  <c r="AP42" i="5"/>
  <c r="AP370" i="5"/>
  <c r="AP209" i="5"/>
  <c r="AP411" i="5"/>
  <c r="AP57" i="5"/>
  <c r="AP380" i="5"/>
  <c r="AP82" i="5"/>
  <c r="AP31" i="5"/>
  <c r="AP482" i="5"/>
  <c r="AP196" i="5"/>
  <c r="AP104" i="5"/>
  <c r="AP115" i="5"/>
  <c r="AP263" i="5"/>
  <c r="AP114" i="5"/>
  <c r="AP108" i="5"/>
  <c r="AP249" i="5"/>
  <c r="AP112" i="5"/>
  <c r="AP103" i="5"/>
  <c r="AP534" i="5"/>
  <c r="AP368" i="5"/>
  <c r="AP207" i="5"/>
  <c r="AP221" i="5"/>
  <c r="AP287" i="5"/>
  <c r="AP175" i="5"/>
  <c r="AP41" i="5"/>
  <c r="AP208" i="5"/>
  <c r="AP292" i="5"/>
  <c r="AP140" i="5"/>
  <c r="AP215" i="5"/>
  <c r="AP279" i="5"/>
  <c r="AP399" i="5"/>
  <c r="AP212" i="5"/>
  <c r="AP394" i="5"/>
  <c r="AP77" i="5"/>
  <c r="AP345" i="5"/>
  <c r="AP67" i="5"/>
  <c r="AP485" i="5"/>
  <c r="AP177" i="5"/>
  <c r="AP400" i="5"/>
  <c r="AP56" i="5"/>
  <c r="AP247" i="5"/>
  <c r="AP304" i="5"/>
  <c r="AP303" i="5"/>
  <c r="AP157" i="5"/>
  <c r="AP47" i="5"/>
  <c r="AP453" i="5"/>
  <c r="AP326" i="5"/>
  <c r="AP401" i="5"/>
  <c r="AP265" i="5"/>
  <c r="AP145" i="5"/>
  <c r="AP531" i="5"/>
  <c r="AP536" i="5"/>
  <c r="AP27" i="5"/>
  <c r="AP424" i="5"/>
  <c r="AP74" i="5"/>
  <c r="AP558" i="5"/>
  <c r="AP475" i="5"/>
  <c r="AP275" i="5"/>
  <c r="AP330" i="5"/>
  <c r="AP246" i="5"/>
  <c r="AP194" i="5"/>
  <c r="AP496" i="5"/>
  <c r="AP36" i="5"/>
  <c r="AP390" i="5"/>
  <c r="AP552" i="5"/>
  <c r="AP514" i="5"/>
  <c r="AP272" i="5"/>
  <c r="AP73" i="5"/>
  <c r="AP20" i="5"/>
  <c r="AP131" i="5"/>
  <c r="AP35" i="5"/>
  <c r="AP180" i="5"/>
  <c r="AP512" i="5"/>
  <c r="AP498" i="5"/>
  <c r="AP110" i="5"/>
  <c r="AP281" i="5"/>
  <c r="AP456" i="5"/>
  <c r="AP473" i="5"/>
  <c r="AP462" i="5"/>
  <c r="AP434" i="5"/>
  <c r="AP538" i="5"/>
  <c r="AP169" i="5"/>
  <c r="AP39" i="5"/>
  <c r="AP343" i="5"/>
  <c r="AP439" i="5"/>
  <c r="AP229" i="5"/>
  <c r="AP193" i="5"/>
  <c r="AP416" i="5"/>
  <c r="AP181" i="5"/>
  <c r="AP511" i="5"/>
  <c r="AP524" i="5"/>
  <c r="AP504" i="5"/>
  <c r="AP309" i="5"/>
  <c r="AP336" i="5"/>
  <c r="AP324" i="5"/>
  <c r="AP333" i="5"/>
  <c r="AP70" i="5"/>
  <c r="AP75" i="5"/>
  <c r="AP435" i="5"/>
  <c r="AP315" i="5"/>
  <c r="AP296" i="5"/>
  <c r="AP172" i="5"/>
  <c r="AP530" i="5"/>
  <c r="AP217" i="5"/>
  <c r="AP422" i="5"/>
  <c r="AP183" i="5"/>
  <c r="AP382" i="5"/>
  <c r="AP420" i="5"/>
  <c r="AP239" i="5"/>
  <c r="AP95" i="5"/>
  <c r="AP354" i="5"/>
  <c r="AP557" i="5"/>
  <c r="AP271" i="5"/>
  <c r="AP91" i="5"/>
  <c r="AP118" i="5"/>
  <c r="AP325" i="5"/>
  <c r="AP492" i="5"/>
  <c r="AP316" i="5"/>
  <c r="AP499" i="5"/>
  <c r="AP178" i="5"/>
  <c r="AP286" i="5"/>
  <c r="AP148" i="5"/>
  <c r="AP214" i="5"/>
  <c r="AP297" i="5"/>
  <c r="AP269" i="5"/>
  <c r="AP100" i="5"/>
  <c r="AP450" i="5"/>
  <c r="AP202" i="5"/>
  <c r="AP398" i="5"/>
  <c r="AP298" i="5"/>
  <c r="AP516" i="5"/>
  <c r="AP40" i="5"/>
  <c r="AP136" i="5"/>
  <c r="AP547" i="5"/>
  <c r="AP471" i="5"/>
  <c r="AP23" i="5"/>
  <c r="AP152" i="5"/>
  <c r="AP493" i="5"/>
  <c r="AP139" i="5"/>
  <c r="AP510" i="5"/>
  <c r="AP197" i="5"/>
  <c r="AP268" i="5"/>
  <c r="AP254" i="5"/>
  <c r="AP173" i="5"/>
  <c r="AP266" i="5"/>
  <c r="AP295" i="5"/>
  <c r="AP289" i="5"/>
  <c r="AP481" i="5"/>
  <c r="AP437" i="5"/>
  <c r="AP532" i="5"/>
  <c r="AP373" i="5"/>
  <c r="AP367" i="5"/>
  <c r="AP107" i="5"/>
  <c r="AP369" i="5"/>
  <c r="AP12" i="5"/>
  <c r="AP364" i="5"/>
  <c r="AP338" i="5"/>
  <c r="AP341" i="5"/>
  <c r="AP80" i="5"/>
  <c r="AP397" i="5"/>
  <c r="AP489" i="5"/>
  <c r="AP8" i="5"/>
  <c r="AP155" i="5"/>
  <c r="AP533" i="5"/>
  <c r="AP488" i="5"/>
  <c r="AP162" i="5"/>
  <c r="AP535" i="5"/>
  <c r="AP384" i="5"/>
  <c r="AP361" i="5"/>
  <c r="AP302" i="5"/>
  <c r="AP120" i="5"/>
  <c r="AP206" i="5"/>
  <c r="AP168" i="5"/>
  <c r="AP546" i="5"/>
  <c r="AP13" i="5"/>
  <c r="AP235" i="5"/>
  <c r="AP90" i="5"/>
  <c r="AP433" i="5"/>
  <c r="AP126" i="5"/>
  <c r="AP455" i="5"/>
  <c r="AP449" i="5"/>
  <c r="AP129" i="5"/>
  <c r="AP469" i="5"/>
  <c r="AP300" i="5"/>
  <c r="AP515" i="5"/>
  <c r="AP438" i="5"/>
  <c r="AP161" i="5"/>
  <c r="AP410" i="5"/>
  <c r="AP128" i="5"/>
  <c r="AP350" i="5"/>
  <c r="AP86" i="5"/>
  <c r="AP66" i="5"/>
  <c r="AP69" i="5"/>
  <c r="AP458" i="5"/>
  <c r="AP211" i="5"/>
  <c r="AP132" i="5"/>
  <c r="AP356" i="5"/>
  <c r="AP186" i="5"/>
  <c r="AP490" i="5"/>
  <c r="AP407" i="5"/>
  <c r="AP348" i="5"/>
  <c r="AP160" i="5"/>
  <c r="AP327" i="5"/>
  <c r="AP116" i="5"/>
  <c r="AP432" i="5"/>
  <c r="AP468" i="5"/>
  <c r="AP560" i="5"/>
  <c r="AP311" i="5"/>
  <c r="AP32" i="5"/>
  <c r="AP63" i="5"/>
  <c r="AP222" i="5"/>
  <c r="AP317" i="5"/>
  <c r="AP431" i="5"/>
  <c r="AP412" i="5"/>
  <c r="AP310" i="5"/>
  <c r="AP117" i="5"/>
  <c r="AP171" i="5"/>
  <c r="AP477" i="5"/>
  <c r="AP357" i="5"/>
  <c r="AP478" i="5"/>
  <c r="AP349" i="5"/>
  <c r="AP141" i="5"/>
  <c r="AP467" i="5"/>
  <c r="AP385" i="5"/>
  <c r="AP291" i="5"/>
  <c r="AP216" i="5"/>
  <c r="AP283" i="5"/>
  <c r="AP187" i="5"/>
  <c r="AP270" i="5"/>
  <c r="AP264" i="5"/>
  <c r="AP125" i="5"/>
  <c r="AP418" i="5"/>
  <c r="AP59" i="5"/>
  <c r="AP38" i="5"/>
  <c r="AP21" i="5"/>
  <c r="AP28" i="5"/>
  <c r="AP19" i="5"/>
  <c r="AP318" i="5"/>
  <c r="AP509" i="5"/>
  <c r="AP256" i="5"/>
  <c r="AP359" i="5"/>
  <c r="AP227" i="5"/>
  <c r="AP277" i="5"/>
  <c r="AP248" i="5"/>
  <c r="AP428" i="5"/>
  <c r="AP347" i="5"/>
  <c r="AP457" i="5"/>
  <c r="AP153" i="5"/>
  <c r="AP195" i="5"/>
  <c r="AP414" i="5"/>
  <c r="AP393" i="5"/>
  <c r="AP332" i="5"/>
  <c r="AP379" i="5"/>
  <c r="AP312" i="5"/>
  <c r="AP151" i="5"/>
  <c r="AP409" i="5"/>
  <c r="AP29" i="5"/>
  <c r="AP190" i="5"/>
  <c r="AP523" i="5"/>
  <c r="AP159" i="5"/>
  <c r="AP121" i="5"/>
  <c r="AP335" i="5"/>
  <c r="AP262" i="5"/>
  <c r="AP133" i="5"/>
  <c r="AP472" i="5"/>
  <c r="AP337" i="5"/>
  <c r="AP146" i="5"/>
  <c r="AP43" i="5"/>
  <c r="AP60" i="5"/>
  <c r="AP83" i="5"/>
  <c r="AP314" i="5"/>
  <c r="AP513" i="5"/>
  <c r="AP34" i="5"/>
  <c r="AP366" i="5"/>
  <c r="AP460" i="5"/>
  <c r="AP259" i="5"/>
  <c r="AP204" i="5"/>
  <c r="AP372" i="5"/>
  <c r="AP308" i="5"/>
  <c r="AP138" i="5"/>
  <c r="AP250" i="5"/>
  <c r="AP253" i="5"/>
  <c r="AP240" i="5"/>
  <c r="AP228" i="5"/>
  <c r="AP525" i="5"/>
  <c r="AP502" i="5"/>
  <c r="AP329" i="5"/>
  <c r="AP111" i="5"/>
  <c r="AP93" i="5"/>
  <c r="AP392" i="5"/>
  <c r="AP486" i="5"/>
  <c r="AP109" i="5"/>
  <c r="AP495" i="5"/>
  <c r="AP522" i="5"/>
  <c r="AP419" i="5"/>
  <c r="AP342" i="5"/>
  <c r="AP541" i="5"/>
  <c r="AP238" i="5"/>
  <c r="AP52" i="5"/>
  <c r="AP284" i="5"/>
  <c r="AP559" i="5"/>
  <c r="AP444" i="5"/>
  <c r="AP7" i="5"/>
  <c r="AP508" i="5"/>
  <c r="AP278" i="5"/>
  <c r="AP274" i="5"/>
  <c r="AP487" i="5"/>
  <c r="AP319" i="5"/>
  <c r="AP255" i="5"/>
  <c r="AP163" i="5"/>
  <c r="AP142" i="5"/>
  <c r="AP174" i="5"/>
  <c r="AP231" i="5"/>
  <c r="AP245" i="5"/>
  <c r="AP396" i="5"/>
  <c r="AP497" i="5"/>
  <c r="AP423" i="5"/>
  <c r="AP480" i="5"/>
  <c r="AP374" i="5"/>
  <c r="AP94" i="5"/>
  <c r="AP185" i="5"/>
  <c r="AP257" i="5"/>
  <c r="AP218" i="5"/>
  <c r="AP446" i="5"/>
  <c r="AP84" i="5"/>
  <c r="AP72" i="5"/>
  <c r="AP404" i="5"/>
  <c r="AP389" i="5"/>
  <c r="AP45" i="5"/>
  <c r="AP49" i="5"/>
  <c r="AP430" i="5"/>
  <c r="AP51" i="5"/>
  <c r="AP358" i="5"/>
  <c r="AP244" i="5"/>
  <c r="AP378" i="5"/>
  <c r="AP331" i="5"/>
  <c r="AP555" i="5"/>
  <c r="AP387" i="5"/>
  <c r="AP184" i="5"/>
  <c r="AP30" i="5"/>
  <c r="AP205" i="5"/>
  <c r="AP182" i="5"/>
  <c r="AP101" i="5"/>
  <c r="AP106" i="5"/>
  <c r="AP58" i="5"/>
  <c r="AP105" i="5"/>
  <c r="AP320" i="5"/>
  <c r="AP375" i="5"/>
  <c r="AP451" i="5"/>
  <c r="AP44" i="5"/>
  <c r="AP395" i="5"/>
  <c r="AP288" i="5"/>
  <c r="AP285" i="5"/>
  <c r="AP223" i="5"/>
  <c r="AP96" i="5"/>
  <c r="AP92" i="5"/>
  <c r="AP164" i="5"/>
  <c r="AP24" i="5"/>
  <c r="AP363" i="5"/>
  <c r="AP305" i="5"/>
  <c r="AP251" i="5"/>
  <c r="AP293" i="5"/>
  <c r="AP33" i="5"/>
  <c r="AP501" i="5"/>
  <c r="AP346" i="5"/>
  <c r="AP543" i="5"/>
  <c r="AP518" i="5"/>
  <c r="AP528" i="5"/>
  <c r="AP124" i="5"/>
  <c r="AP301" i="5"/>
  <c r="AP261" i="5"/>
  <c r="AP98" i="5"/>
  <c r="AP454" i="5"/>
  <c r="AP476" i="5"/>
  <c r="AP307" i="5"/>
  <c r="AP65" i="5"/>
  <c r="AP191" i="5"/>
  <c r="AP391" i="5"/>
  <c r="AP170" i="5"/>
  <c r="AP97" i="5"/>
  <c r="AP53" i="5"/>
  <c r="AP224" i="5"/>
  <c r="AP99" i="5"/>
  <c r="AP226" i="5"/>
  <c r="AP383" i="5"/>
  <c r="AP551" i="5"/>
  <c r="AP230" i="5"/>
  <c r="AP158" i="5"/>
  <c r="AP452" i="5"/>
  <c r="AP548" i="5"/>
  <c r="AP192" i="5"/>
  <c r="AP505" i="5"/>
  <c r="AP365" i="5"/>
  <c r="AP466" i="5"/>
  <c r="AP426" i="5"/>
  <c r="AP68" i="5"/>
  <c r="AP352" i="5"/>
  <c r="AP87" i="5"/>
  <c r="AP544" i="5"/>
  <c r="AP542" i="5"/>
  <c r="AP46" i="5"/>
  <c r="AP25" i="5"/>
  <c r="AP135" i="5"/>
  <c r="AP355" i="5"/>
  <c r="AP503" i="5"/>
  <c r="AP81" i="5"/>
  <c r="AP406" i="5"/>
  <c r="AP134" i="5"/>
  <c r="AP273" i="5"/>
  <c r="AP506" i="5"/>
  <c r="AP494" i="5"/>
  <c r="AP386" i="5"/>
  <c r="AP306" i="5"/>
  <c r="AP388" i="5"/>
  <c r="AP260" i="5"/>
  <c r="AP500" i="5"/>
  <c r="AP483" i="5"/>
  <c r="AP376" i="5"/>
  <c r="AP201" i="5"/>
  <c r="AP464" i="5"/>
  <c r="AP179" i="5"/>
  <c r="AP282" i="5"/>
  <c r="AP123" i="5"/>
  <c r="AP176" i="5"/>
  <c r="AP241" i="5"/>
  <c r="AP258" i="5"/>
  <c r="AP440" i="5"/>
  <c r="AP79" i="5"/>
  <c r="AP443" i="5"/>
  <c r="AP150" i="5"/>
  <c r="AP339" i="5"/>
  <c r="AP143" i="5"/>
  <c r="AP54" i="5"/>
  <c r="AP459" i="5"/>
  <c r="AP436" i="5"/>
  <c r="AP344" i="5"/>
  <c r="AP448" i="5"/>
  <c r="AP290" i="5"/>
  <c r="AP267" i="5"/>
  <c r="AP328" i="5"/>
  <c r="AP127" i="5"/>
  <c r="AP519" i="5"/>
  <c r="AP429" i="5"/>
  <c r="AP232" i="5"/>
  <c r="AP189" i="5"/>
  <c r="AP529" i="5"/>
  <c r="AP62" i="5"/>
  <c r="AP425" i="5"/>
  <c r="AP85" i="5"/>
  <c r="AP520" i="5"/>
  <c r="AP323" i="5"/>
  <c r="AP149" i="5"/>
  <c r="AP408" i="5"/>
  <c r="AP381" i="5"/>
  <c r="AP527" i="5"/>
  <c r="AP55" i="5"/>
  <c r="AP321" i="5"/>
  <c r="AP147" i="5"/>
  <c r="AP137" i="5"/>
  <c r="AP353" i="5"/>
  <c r="AP484" i="5"/>
  <c r="AP549" i="5"/>
  <c r="AP405" i="5"/>
  <c r="AP119" i="5"/>
  <c r="AP200" i="5"/>
  <c r="AP554" i="5"/>
  <c r="AP130" i="5"/>
  <c r="AP445" i="5"/>
  <c r="AP237" i="5"/>
  <c r="AP553" i="5"/>
  <c r="AP463" i="5"/>
  <c r="AP526" i="5"/>
  <c r="AP537" i="5"/>
  <c r="AP517" i="5"/>
  <c r="AP521" i="5"/>
  <c r="AP322" i="5"/>
  <c r="AP421" i="5"/>
  <c r="AN190" i="5"/>
  <c r="AO190" i="5"/>
  <c r="AN375" i="5"/>
  <c r="AO375" i="5"/>
  <c r="AO391" i="5"/>
  <c r="AN391" i="5"/>
  <c r="AO536" i="5"/>
  <c r="AN536" i="5"/>
  <c r="AO208" i="5"/>
  <c r="AN208" i="5"/>
  <c r="AO479" i="5"/>
  <c r="AN479" i="5"/>
  <c r="AO43" i="5"/>
  <c r="AN43" i="5"/>
  <c r="AO542" i="5"/>
  <c r="AN542" i="5"/>
  <c r="AN287" i="5"/>
  <c r="AO287" i="5"/>
  <c r="AN343" i="5"/>
  <c r="AO343" i="5"/>
  <c r="AN423" i="5"/>
  <c r="AO423" i="5"/>
  <c r="AO41" i="5"/>
  <c r="AN41" i="5"/>
  <c r="AO197" i="5"/>
  <c r="AN197" i="5"/>
  <c r="AN447" i="5"/>
  <c r="AO447" i="5"/>
  <c r="AO155" i="5"/>
  <c r="AN155" i="5"/>
  <c r="AN546" i="5"/>
  <c r="AO546" i="5"/>
  <c r="AN503" i="5"/>
  <c r="AO503" i="5"/>
  <c r="AN390" i="5"/>
  <c r="AO390" i="5"/>
  <c r="AO59" i="5"/>
  <c r="AN59" i="5"/>
  <c r="AN227" i="5"/>
  <c r="AO227" i="5"/>
  <c r="AO422" i="5"/>
  <c r="AN422" i="5"/>
  <c r="AN282" i="5"/>
  <c r="AO282" i="5"/>
  <c r="AO54" i="5"/>
  <c r="AN54" i="5"/>
  <c r="AN42" i="5"/>
  <c r="AO42" i="5"/>
  <c r="AN108" i="5"/>
  <c r="AO108" i="5"/>
  <c r="AN33" i="5"/>
  <c r="AO33" i="5"/>
  <c r="AN70" i="5"/>
  <c r="AO70" i="5"/>
  <c r="AO435" i="5"/>
  <c r="AN435" i="5"/>
  <c r="AO162" i="5"/>
  <c r="AN162" i="5"/>
  <c r="AN529" i="5"/>
  <c r="AO529" i="5"/>
  <c r="AO522" i="5"/>
  <c r="AN522" i="5"/>
  <c r="AO154" i="5"/>
  <c r="AN154" i="5"/>
  <c r="AO337" i="5"/>
  <c r="AN337" i="5"/>
  <c r="AN384" i="5"/>
  <c r="AO384" i="5"/>
  <c r="AN332" i="5"/>
  <c r="AO332" i="5"/>
  <c r="AN40" i="5"/>
  <c r="AO40" i="5"/>
  <c r="AO209" i="5"/>
  <c r="AN209" i="5"/>
  <c r="AN292" i="5"/>
  <c r="AO292" i="5"/>
  <c r="AN147" i="5"/>
  <c r="AO147" i="5"/>
  <c r="AN478" i="5"/>
  <c r="AO478" i="5"/>
  <c r="AN410" i="5"/>
  <c r="AO410" i="5"/>
  <c r="AO281" i="5"/>
  <c r="AN281" i="5"/>
  <c r="AN7" i="5"/>
  <c r="AO7" i="5"/>
  <c r="AN428" i="5"/>
  <c r="AO428" i="5"/>
  <c r="AO359" i="5"/>
  <c r="AN359" i="5"/>
  <c r="AN346" i="5"/>
  <c r="AO346" i="5"/>
  <c r="AO557" i="5"/>
  <c r="AN557" i="5"/>
  <c r="AN534" i="5"/>
  <c r="AO534" i="5"/>
  <c r="AO341" i="5"/>
  <c r="AN341" i="5"/>
  <c r="AN174" i="5"/>
  <c r="AO174" i="5"/>
  <c r="AN344" i="5"/>
  <c r="AO344" i="5"/>
  <c r="AO278" i="5"/>
  <c r="AN278" i="5"/>
  <c r="AN145" i="5"/>
  <c r="AO145" i="5"/>
  <c r="AN289" i="5"/>
  <c r="AO289" i="5"/>
  <c r="AO167" i="5"/>
  <c r="AN167" i="5"/>
  <c r="AN31" i="5"/>
  <c r="AO31" i="5"/>
  <c r="AN175" i="5"/>
  <c r="AO175" i="5"/>
  <c r="AN464" i="5"/>
  <c r="AO464" i="5"/>
  <c r="AO420" i="5"/>
  <c r="AN420" i="5"/>
  <c r="AN326" i="5"/>
  <c r="AO326" i="5"/>
  <c r="AN76" i="5"/>
  <c r="AO76" i="5"/>
  <c r="AN64" i="5"/>
  <c r="AO64" i="5"/>
  <c r="AO356" i="5"/>
  <c r="AN356" i="5"/>
  <c r="AO214" i="5"/>
  <c r="AN214" i="5"/>
  <c r="AO404" i="5"/>
  <c r="AN404" i="5"/>
  <c r="AO521" i="5"/>
  <c r="AN521" i="5"/>
  <c r="AN232" i="5"/>
  <c r="AO232" i="5"/>
  <c r="AM40" i="4"/>
  <c r="W40" i="4"/>
  <c r="Y40" i="4" s="1"/>
  <c r="AR40" i="4" s="1"/>
  <c r="AH67" i="4"/>
  <c r="AH99" i="4"/>
  <c r="AH83" i="4"/>
  <c r="AH16" i="4"/>
  <c r="Y549" i="5"/>
  <c r="X549" i="5"/>
  <c r="X405" i="5"/>
  <c r="Y405" i="5"/>
  <c r="Y350" i="5"/>
  <c r="X350" i="5"/>
  <c r="X141" i="5"/>
  <c r="Y141" i="5"/>
  <c r="X522" i="5"/>
  <c r="Y522" i="5"/>
  <c r="X460" i="5"/>
  <c r="Y460" i="5"/>
  <c r="Y334" i="5"/>
  <c r="X334" i="5"/>
  <c r="Y291" i="5"/>
  <c r="X291" i="5"/>
  <c r="Y222" i="5"/>
  <c r="X222" i="5"/>
  <c r="Y309" i="5"/>
  <c r="X309" i="5"/>
  <c r="Y98" i="5"/>
  <c r="X98" i="5"/>
  <c r="X518" i="5"/>
  <c r="Y518" i="5"/>
  <c r="Y428" i="5"/>
  <c r="X428" i="5"/>
  <c r="Y403" i="5"/>
  <c r="X403" i="5"/>
  <c r="X396" i="5"/>
  <c r="Y396" i="5"/>
  <c r="Y470" i="5"/>
  <c r="X470" i="5"/>
  <c r="Y26" i="5"/>
  <c r="X26" i="5"/>
  <c r="X145" i="5"/>
  <c r="Y145" i="5"/>
  <c r="X275" i="5"/>
  <c r="Y275" i="5"/>
  <c r="X54" i="5"/>
  <c r="Y54" i="5"/>
  <c r="X339" i="5"/>
  <c r="Y339" i="5"/>
  <c r="Y246" i="5"/>
  <c r="X246" i="5"/>
  <c r="X418" i="5"/>
  <c r="Y418" i="5"/>
  <c r="X207" i="5"/>
  <c r="Y207" i="5"/>
  <c r="Y277" i="5"/>
  <c r="X277" i="5"/>
  <c r="X517" i="5"/>
  <c r="Y517" i="5"/>
  <c r="Y380" i="5"/>
  <c r="X380" i="5"/>
  <c r="Y244" i="5"/>
  <c r="X244" i="5"/>
  <c r="Y524" i="5"/>
  <c r="X524" i="5"/>
  <c r="X164" i="5"/>
  <c r="Y164" i="5"/>
  <c r="Y491" i="5"/>
  <c r="X491" i="5"/>
  <c r="X397" i="5"/>
  <c r="Y397" i="5"/>
  <c r="Y163" i="5"/>
  <c r="X163" i="5"/>
  <c r="Y505" i="5"/>
  <c r="X505" i="5"/>
  <c r="X308" i="5"/>
  <c r="Y308" i="5"/>
  <c r="Y160" i="5"/>
  <c r="X160" i="5"/>
  <c r="Y245" i="5"/>
  <c r="X245" i="5"/>
  <c r="X449" i="5"/>
  <c r="Y449" i="5"/>
  <c r="Y464" i="5"/>
  <c r="X464" i="5"/>
  <c r="X550" i="5"/>
  <c r="Y550" i="5"/>
  <c r="X105" i="5"/>
  <c r="Y105" i="5"/>
  <c r="Y35" i="5"/>
  <c r="X35" i="5"/>
  <c r="Y219" i="5"/>
  <c r="X219" i="5"/>
  <c r="X70" i="5"/>
  <c r="Y70" i="5"/>
  <c r="X69" i="5"/>
  <c r="Y69" i="5"/>
  <c r="Y387" i="5"/>
  <c r="X387" i="5"/>
  <c r="X395" i="5"/>
  <c r="Y395" i="5"/>
  <c r="X220" i="5"/>
  <c r="Y220" i="5"/>
  <c r="Y419" i="5"/>
  <c r="X419" i="5"/>
  <c r="X32" i="5"/>
  <c r="Y32" i="5"/>
  <c r="X367" i="5"/>
  <c r="Y367" i="5"/>
  <c r="Y239" i="5"/>
  <c r="X239" i="5"/>
  <c r="Y462" i="5"/>
  <c r="X462" i="5"/>
  <c r="Y343" i="5"/>
  <c r="X343" i="5"/>
  <c r="Y349" i="5"/>
  <c r="X349" i="5"/>
  <c r="X132" i="5"/>
  <c r="Y132" i="5"/>
  <c r="X21" i="5"/>
  <c r="Y21" i="5"/>
  <c r="Y106" i="5"/>
  <c r="X106" i="5"/>
  <c r="X329" i="5"/>
  <c r="Y329" i="5"/>
  <c r="X81" i="5"/>
  <c r="Y81" i="5"/>
  <c r="X382" i="5"/>
  <c r="Y382" i="5"/>
  <c r="X185" i="5"/>
  <c r="Y185" i="5"/>
  <c r="X121" i="5"/>
  <c r="Y121" i="5"/>
  <c r="X456" i="5"/>
  <c r="Y456" i="5"/>
  <c r="Y511" i="5"/>
  <c r="X511" i="5"/>
  <c r="X68" i="5"/>
  <c r="Y68" i="5"/>
  <c r="Y287" i="5"/>
  <c r="X287" i="5"/>
  <c r="X173" i="5"/>
  <c r="Y173" i="5"/>
  <c r="AM68" i="4"/>
  <c r="W68" i="4"/>
  <c r="Y68" i="4" s="1"/>
  <c r="AR68" i="4" s="1"/>
  <c r="AH144" i="4"/>
  <c r="AH7" i="4"/>
  <c r="AM135" i="4"/>
  <c r="W135" i="4"/>
  <c r="Y135" i="4" s="1"/>
  <c r="AR135" i="4" s="1"/>
  <c r="AH59" i="4"/>
  <c r="AH155" i="4"/>
  <c r="W18" i="4"/>
  <c r="Y18" i="4" s="1"/>
  <c r="AR18" i="4" s="1"/>
  <c r="AM18" i="4"/>
  <c r="AM26" i="4"/>
  <c r="W26" i="4"/>
  <c r="Y26" i="4" s="1"/>
  <c r="AR26" i="4" s="1"/>
  <c r="B234" i="2"/>
  <c r="B242" i="2" s="1"/>
  <c r="B278" i="2" s="1"/>
  <c r="F109" i="1" s="1"/>
  <c r="B223" i="2"/>
  <c r="B231" i="2" s="1"/>
  <c r="B238" i="2" s="1"/>
  <c r="AH119" i="4"/>
  <c r="AM148" i="4"/>
  <c r="W148" i="4"/>
  <c r="Y148" i="4" s="1"/>
  <c r="AR148" i="4" s="1"/>
  <c r="W63" i="4"/>
  <c r="Y63" i="4" s="1"/>
  <c r="AR63" i="4" s="1"/>
  <c r="AM63" i="4"/>
  <c r="AH35" i="4"/>
  <c r="W21" i="4"/>
  <c r="Y21" i="4" s="1"/>
  <c r="AR21" i="4" s="1"/>
  <c r="AM21" i="4"/>
  <c r="AH130" i="4"/>
  <c r="AH82" i="4"/>
  <c r="AM109" i="4"/>
  <c r="W109" i="4"/>
  <c r="Y109" i="4" s="1"/>
  <c r="AR109" i="4" s="1"/>
  <c r="AH103" i="4"/>
  <c r="AM149" i="4"/>
  <c r="W149" i="4"/>
  <c r="Y149" i="4" s="1"/>
  <c r="AR149" i="4" s="1"/>
  <c r="AH23" i="4"/>
  <c r="AO115" i="5"/>
  <c r="AN115" i="5"/>
  <c r="AH118" i="4"/>
  <c r="B39" i="5"/>
  <c r="Q37" i="5" s="1"/>
  <c r="AF37" i="5" s="1"/>
  <c r="AO83" i="5"/>
  <c r="AN83" i="5"/>
  <c r="AN244" i="5"/>
  <c r="AO244" i="5"/>
  <c r="AN383" i="5"/>
  <c r="AO383" i="5"/>
  <c r="AN309" i="5"/>
  <c r="AO309" i="5"/>
  <c r="AO377" i="5"/>
  <c r="AN377" i="5"/>
  <c r="AO61" i="5"/>
  <c r="AN61" i="5"/>
  <c r="AN164" i="5"/>
  <c r="AO164" i="5"/>
  <c r="AN368" i="5"/>
  <c r="AO368" i="5"/>
  <c r="AN373" i="5"/>
  <c r="AO373" i="5"/>
  <c r="AO352" i="5"/>
  <c r="AN352" i="5"/>
  <c r="AN298" i="5"/>
  <c r="AO298" i="5"/>
  <c r="AO106" i="5"/>
  <c r="AN106" i="5"/>
  <c r="AO348" i="5"/>
  <c r="AN348" i="5"/>
  <c r="AO265" i="5"/>
  <c r="AN265" i="5"/>
  <c r="AO458" i="5"/>
  <c r="AN458" i="5"/>
  <c r="AN443" i="5"/>
  <c r="AO443" i="5"/>
  <c r="AO44" i="5"/>
  <c r="AN44" i="5"/>
  <c r="AN68" i="5"/>
  <c r="AO68" i="5"/>
  <c r="AO23" i="5"/>
  <c r="AN23" i="5"/>
  <c r="AO245" i="5"/>
  <c r="AN245" i="5"/>
  <c r="AO92" i="5"/>
  <c r="AN92" i="5"/>
  <c r="AO517" i="5"/>
  <c r="AN517" i="5"/>
  <c r="AN223" i="5"/>
  <c r="AO223" i="5"/>
  <c r="AN366" i="5"/>
  <c r="AO366" i="5"/>
  <c r="AO184" i="5"/>
  <c r="AN184" i="5"/>
  <c r="AO107" i="5"/>
  <c r="AN107" i="5"/>
  <c r="AN371" i="5"/>
  <c r="AO371" i="5"/>
  <c r="AN85" i="5"/>
  <c r="AO85" i="5"/>
  <c r="AN170" i="5"/>
  <c r="AO170" i="5"/>
  <c r="AO394" i="5"/>
  <c r="AN394" i="5"/>
  <c r="AN211" i="5"/>
  <c r="AO211" i="5"/>
  <c r="AO411" i="5"/>
  <c r="AN411" i="5"/>
  <c r="AN137" i="5"/>
  <c r="AO137" i="5"/>
  <c r="AO95" i="5"/>
  <c r="AN95" i="5"/>
  <c r="AN185" i="5"/>
  <c r="AO185" i="5"/>
  <c r="AO138" i="5"/>
  <c r="AN138" i="5"/>
  <c r="AN267" i="5"/>
  <c r="AO267" i="5"/>
  <c r="AN192" i="5"/>
  <c r="AO192" i="5"/>
  <c r="AO531" i="5"/>
  <c r="AN531" i="5"/>
  <c r="AO274" i="5"/>
  <c r="AN274" i="5"/>
  <c r="AO96" i="5"/>
  <c r="AN96" i="5"/>
  <c r="AN445" i="5"/>
  <c r="AO445" i="5"/>
  <c r="AN168" i="5"/>
  <c r="AO168" i="5"/>
  <c r="AO504" i="5"/>
  <c r="AN504" i="5"/>
  <c r="AO284" i="5"/>
  <c r="AN284" i="5"/>
  <c r="AN247" i="5"/>
  <c r="AO247" i="5"/>
  <c r="AN409" i="5"/>
  <c r="AO409" i="5"/>
  <c r="AO20" i="5"/>
  <c r="AN20" i="5"/>
  <c r="AO45" i="5"/>
  <c r="AN45" i="5"/>
  <c r="AO235" i="5"/>
  <c r="AN235" i="5"/>
  <c r="AO179" i="5"/>
  <c r="AN179" i="5"/>
  <c r="AO376" i="5"/>
  <c r="AN376" i="5"/>
  <c r="AO321" i="5"/>
  <c r="AN321" i="5"/>
  <c r="AN294" i="5"/>
  <c r="AO294" i="5"/>
  <c r="AN481" i="5"/>
  <c r="AO481" i="5"/>
  <c r="AN63" i="5"/>
  <c r="AO63" i="5"/>
  <c r="AN144" i="5"/>
  <c r="AO144" i="5"/>
  <c r="AN206" i="5"/>
  <c r="AO206" i="5"/>
  <c r="AN122" i="5"/>
  <c r="AO122" i="5"/>
  <c r="AO233" i="5"/>
  <c r="AN233" i="5"/>
  <c r="AO300" i="5"/>
  <c r="AN300" i="5"/>
  <c r="AO372" i="5"/>
  <c r="AN372" i="5"/>
  <c r="AO500" i="5"/>
  <c r="AN500" i="5"/>
  <c r="AO264" i="5"/>
  <c r="AN264" i="5"/>
  <c r="AO427" i="5"/>
  <c r="AN427" i="5"/>
  <c r="AN424" i="5"/>
  <c r="AO424" i="5"/>
  <c r="AN455" i="5"/>
  <c r="AO455" i="5"/>
  <c r="AO433" i="5"/>
  <c r="AN433" i="5"/>
  <c r="AH40" i="4"/>
  <c r="AM142" i="4"/>
  <c r="W142" i="4"/>
  <c r="Y142" i="4" s="1"/>
  <c r="AR142" i="4" s="1"/>
  <c r="AH139" i="4"/>
  <c r="AH27" i="4"/>
  <c r="Y78" i="5"/>
  <c r="X78" i="5"/>
  <c r="Y361" i="5"/>
  <c r="X361" i="5"/>
  <c r="Y509" i="5"/>
  <c r="X509" i="5"/>
  <c r="X312" i="5"/>
  <c r="Y312" i="5"/>
  <c r="X381" i="5"/>
  <c r="Y381" i="5"/>
  <c r="Y307" i="5"/>
  <c r="X307" i="5"/>
  <c r="Y118" i="5"/>
  <c r="X118" i="5"/>
  <c r="X344" i="5"/>
  <c r="Y344" i="5"/>
  <c r="Y443" i="5"/>
  <c r="X443" i="5"/>
  <c r="Y159" i="5"/>
  <c r="X159" i="5"/>
  <c r="X394" i="5"/>
  <c r="Y394" i="5"/>
  <c r="Y123" i="5"/>
  <c r="X123" i="5"/>
  <c r="X551" i="5"/>
  <c r="Y551" i="5"/>
  <c r="Y503" i="5"/>
  <c r="X503" i="5"/>
  <c r="Y560" i="5"/>
  <c r="X560" i="5"/>
  <c r="X209" i="5"/>
  <c r="Y209" i="5"/>
  <c r="X372" i="5"/>
  <c r="Y372" i="5"/>
  <c r="Y279" i="5"/>
  <c r="X279" i="5"/>
  <c r="Y371" i="5"/>
  <c r="X371" i="5"/>
  <c r="X402" i="5"/>
  <c r="Y402" i="5"/>
  <c r="Y194" i="5"/>
  <c r="X194" i="5"/>
  <c r="X74" i="5"/>
  <c r="Y74" i="5"/>
  <c r="X112" i="5"/>
  <c r="Y112" i="5"/>
  <c r="Y75" i="5"/>
  <c r="X75" i="5"/>
  <c r="Y89" i="5"/>
  <c r="X89" i="5"/>
  <c r="X270" i="5"/>
  <c r="Y270" i="5"/>
  <c r="Y490" i="5"/>
  <c r="X490" i="5"/>
  <c r="X545" i="5"/>
  <c r="Y545" i="5"/>
  <c r="X373" i="5"/>
  <c r="Y373" i="5"/>
  <c r="X554" i="5"/>
  <c r="Y554" i="5"/>
  <c r="X77" i="5"/>
  <c r="Y77" i="5"/>
  <c r="Y433" i="5"/>
  <c r="X433" i="5"/>
  <c r="X147" i="5"/>
  <c r="Y147" i="5"/>
  <c r="X134" i="5"/>
  <c r="Y134" i="5"/>
  <c r="Y362" i="5"/>
  <c r="X362" i="5"/>
  <c r="Y92" i="5"/>
  <c r="X92" i="5"/>
  <c r="X271" i="5"/>
  <c r="Y271" i="5"/>
  <c r="X242" i="5"/>
  <c r="Y242" i="5"/>
  <c r="Y213" i="5"/>
  <c r="X213" i="5"/>
  <c r="X104" i="5"/>
  <c r="Y104" i="5"/>
  <c r="X53" i="5"/>
  <c r="Y53" i="5"/>
  <c r="X162" i="5"/>
  <c r="Y162" i="5"/>
  <c r="Y42" i="5"/>
  <c r="X42" i="5"/>
  <c r="Y273" i="5"/>
  <c r="X273" i="5"/>
  <c r="Y182" i="5"/>
  <c r="X182" i="5"/>
  <c r="X266" i="5"/>
  <c r="Y266" i="5"/>
  <c r="X50" i="5"/>
  <c r="Y50" i="5"/>
  <c r="Y49" i="5"/>
  <c r="X49" i="5"/>
  <c r="Y409" i="5"/>
  <c r="X409" i="5"/>
  <c r="Y154" i="5"/>
  <c r="X154" i="5"/>
  <c r="Y540" i="5"/>
  <c r="X540" i="5"/>
  <c r="X392" i="5"/>
  <c r="Y392" i="5"/>
  <c r="X469" i="5"/>
  <c r="Y469" i="5"/>
  <c r="Y248" i="5"/>
  <c r="X248" i="5"/>
  <c r="Y559" i="5"/>
  <c r="X559" i="5"/>
  <c r="X165" i="5"/>
  <c r="Y165" i="5"/>
  <c r="X192" i="5"/>
  <c r="Y192" i="5"/>
  <c r="X103" i="5"/>
  <c r="Y103" i="5"/>
  <c r="X489" i="5"/>
  <c r="Y489" i="5"/>
  <c r="X84" i="5"/>
  <c r="Y84" i="5"/>
  <c r="X124" i="5"/>
  <c r="Y124" i="5"/>
  <c r="Y528" i="5"/>
  <c r="X528" i="5"/>
  <c r="X322" i="5"/>
  <c r="Y322" i="5"/>
  <c r="Y461" i="5"/>
  <c r="X461" i="5"/>
  <c r="X513" i="5"/>
  <c r="Y513" i="5"/>
  <c r="X388" i="5"/>
  <c r="Y388" i="5"/>
  <c r="Y358" i="5"/>
  <c r="X358" i="5"/>
  <c r="X441" i="5"/>
  <c r="Y441" i="5"/>
  <c r="AH111" i="4"/>
  <c r="AH73" i="4"/>
  <c r="B74" i="2"/>
  <c r="B76" i="2"/>
  <c r="B77" i="2" s="1"/>
  <c r="Y7" i="5"/>
  <c r="X7" i="5"/>
  <c r="AH12" i="4"/>
  <c r="AM53" i="4"/>
  <c r="W53" i="4"/>
  <c r="Y53" i="4" s="1"/>
  <c r="AR53" i="4" s="1"/>
  <c r="AH81" i="4"/>
  <c r="AM13" i="4"/>
  <c r="W13" i="4"/>
  <c r="Y13" i="4" s="1"/>
  <c r="AR13" i="4" s="1"/>
  <c r="AM41" i="4"/>
  <c r="W41" i="4"/>
  <c r="Y41" i="4" s="1"/>
  <c r="AR41" i="4" s="1"/>
  <c r="AH107" i="4"/>
  <c r="AH149" i="4"/>
  <c r="AM127" i="4"/>
  <c r="W127" i="4"/>
  <c r="Y127" i="4" s="1"/>
  <c r="AR127" i="4" s="1"/>
  <c r="AM23" i="4" l="1"/>
  <c r="AM44" i="4"/>
  <c r="W45" i="4"/>
  <c r="Y45" i="4" s="1"/>
  <c r="AR45" i="4" s="1"/>
  <c r="AM58" i="4"/>
  <c r="W99" i="4"/>
  <c r="Y99" i="4" s="1"/>
  <c r="AR99" i="4" s="1"/>
  <c r="W98" i="4"/>
  <c r="Y98" i="4" s="1"/>
  <c r="AR98" i="4" s="1"/>
  <c r="AM141" i="4"/>
  <c r="W50" i="4"/>
  <c r="Y50" i="4" s="1"/>
  <c r="AR50" i="4" s="1"/>
  <c r="AM89" i="4"/>
  <c r="AM24" i="4"/>
  <c r="W156" i="4"/>
  <c r="Y156" i="4" s="1"/>
  <c r="AR156" i="4" s="1"/>
  <c r="W102" i="4"/>
  <c r="Y102" i="4" s="1"/>
  <c r="AR102" i="4" s="1"/>
  <c r="W114" i="4"/>
  <c r="Y114" i="4" s="1"/>
  <c r="AR114" i="4" s="1"/>
  <c r="W134" i="4"/>
  <c r="Y134" i="4" s="1"/>
  <c r="AR134" i="4" s="1"/>
  <c r="W52" i="4"/>
  <c r="Y52" i="4" s="1"/>
  <c r="AR52" i="4" s="1"/>
  <c r="AM28" i="4"/>
  <c r="W154" i="4"/>
  <c r="Y154" i="4" s="1"/>
  <c r="AR154" i="4" s="1"/>
  <c r="W83" i="4"/>
  <c r="Y83" i="4" s="1"/>
  <c r="AR83" i="4" s="1"/>
  <c r="W69" i="4"/>
  <c r="Y69" i="4" s="1"/>
  <c r="AR69" i="4" s="1"/>
  <c r="W132" i="4"/>
  <c r="Y132" i="4" s="1"/>
  <c r="AR132" i="4" s="1"/>
  <c r="AM35" i="4"/>
  <c r="W138" i="4"/>
  <c r="Y138" i="4" s="1"/>
  <c r="AR138" i="4" s="1"/>
  <c r="W39" i="4"/>
  <c r="Y39" i="4" s="1"/>
  <c r="AR39" i="4" s="1"/>
  <c r="W112" i="4"/>
  <c r="Y112" i="4" s="1"/>
  <c r="AR112" i="4" s="1"/>
  <c r="W150" i="4"/>
  <c r="Y150" i="4" s="1"/>
  <c r="AR150" i="4" s="1"/>
  <c r="AM60" i="4"/>
  <c r="AM9" i="5"/>
  <c r="AN9" i="5" s="1"/>
  <c r="AC9" i="5"/>
  <c r="W75" i="4"/>
  <c r="Y75" i="4" s="1"/>
  <c r="AR75" i="4" s="1"/>
  <c r="AM9" i="4"/>
  <c r="W143" i="4"/>
  <c r="Y143" i="4" s="1"/>
  <c r="AR143" i="4" s="1"/>
  <c r="AM49" i="4"/>
  <c r="AM101" i="4"/>
  <c r="AM27" i="4"/>
  <c r="AM106" i="4"/>
  <c r="AM96" i="4"/>
  <c r="W86" i="4"/>
  <c r="Y86" i="4" s="1"/>
  <c r="AR86" i="4" s="1"/>
  <c r="AM118" i="4"/>
  <c r="AM84" i="4"/>
  <c r="W126" i="4"/>
  <c r="Y126" i="4" s="1"/>
  <c r="AR126" i="4" s="1"/>
  <c r="W29" i="4"/>
  <c r="Y29" i="4" s="1"/>
  <c r="AR29" i="4" s="1"/>
  <c r="W92" i="4"/>
  <c r="Y92" i="4" s="1"/>
  <c r="AR92" i="4" s="1"/>
  <c r="W100" i="4"/>
  <c r="Y100" i="4" s="1"/>
  <c r="AR100" i="4" s="1"/>
  <c r="AM104" i="4"/>
  <c r="W14" i="4"/>
  <c r="Y14" i="4" s="1"/>
  <c r="AR14" i="4" s="1"/>
  <c r="W57" i="4"/>
  <c r="Y57" i="4" s="1"/>
  <c r="AR57" i="4" s="1"/>
  <c r="AM55" i="4"/>
  <c r="W64" i="4"/>
  <c r="Y64" i="4" s="1"/>
  <c r="AR64" i="4" s="1"/>
  <c r="W130" i="4"/>
  <c r="Y130" i="4" s="1"/>
  <c r="AR130" i="4" s="1"/>
  <c r="AM115" i="4"/>
  <c r="W7" i="4"/>
  <c r="Y7" i="4" s="1"/>
  <c r="AR7" i="4" s="1"/>
  <c r="W61" i="4"/>
  <c r="Y61" i="4" s="1"/>
  <c r="AR61" i="4" s="1"/>
  <c r="W80" i="4"/>
  <c r="Y80" i="4" s="1"/>
  <c r="AR80" i="4" s="1"/>
  <c r="W73" i="4"/>
  <c r="Y73" i="4" s="1"/>
  <c r="AR73" i="4" s="1"/>
  <c r="AM85" i="4"/>
  <c r="W10" i="4"/>
  <c r="Y10" i="4" s="1"/>
  <c r="AR10" i="4" s="1"/>
  <c r="AM31" i="4"/>
  <c r="W151" i="4"/>
  <c r="Y151" i="4" s="1"/>
  <c r="AR151" i="4" s="1"/>
  <c r="AM42" i="4"/>
  <c r="AM88" i="4"/>
  <c r="AM82" i="4"/>
  <c r="W145" i="4"/>
  <c r="Y145" i="4" s="1"/>
  <c r="AR145" i="4" s="1"/>
  <c r="W125" i="4"/>
  <c r="Y125" i="4" s="1"/>
  <c r="AR125" i="4" s="1"/>
  <c r="AE19" i="4"/>
  <c r="W43" i="4"/>
  <c r="Y43" i="4" s="1"/>
  <c r="AR43" i="4" s="1"/>
  <c r="W123" i="4"/>
  <c r="Y123" i="4" s="1"/>
  <c r="AR123" i="4" s="1"/>
  <c r="AH19" i="4"/>
  <c r="W94" i="4"/>
  <c r="Y94" i="4" s="1"/>
  <c r="AR94" i="4" s="1"/>
  <c r="AM38" i="4"/>
  <c r="W66" i="4"/>
  <c r="Y66" i="4" s="1"/>
  <c r="AR66" i="4" s="1"/>
  <c r="AM117" i="4"/>
  <c r="AM155" i="4"/>
  <c r="W20" i="4"/>
  <c r="Y20" i="4" s="1"/>
  <c r="AR20" i="4" s="1"/>
  <c r="W157" i="4"/>
  <c r="Y157" i="4" s="1"/>
  <c r="AR157" i="4" s="1"/>
  <c r="W70" i="4"/>
  <c r="Y70" i="4" s="1"/>
  <c r="AR70" i="4" s="1"/>
  <c r="W103" i="4"/>
  <c r="Y103" i="4" s="1"/>
  <c r="AR103" i="4" s="1"/>
  <c r="W47" i="4"/>
  <c r="Y47" i="4" s="1"/>
  <c r="AR47" i="4" s="1"/>
  <c r="W119" i="4"/>
  <c r="Y119" i="4" s="1"/>
  <c r="AR119" i="4" s="1"/>
  <c r="W144" i="4"/>
  <c r="Y144" i="4" s="1"/>
  <c r="AR144" i="4" s="1"/>
  <c r="W111" i="4"/>
  <c r="Y111" i="4" s="1"/>
  <c r="AR111" i="4" s="1"/>
  <c r="W97" i="4"/>
  <c r="Y97" i="4" s="1"/>
  <c r="AR97" i="4" s="1"/>
  <c r="W46" i="4"/>
  <c r="Y46" i="4" s="1"/>
  <c r="AR46" i="4" s="1"/>
  <c r="W22" i="4"/>
  <c r="Y22" i="4" s="1"/>
  <c r="AR22" i="4" s="1"/>
  <c r="W74" i="4"/>
  <c r="Y74" i="4" s="1"/>
  <c r="AR74" i="4" s="1"/>
  <c r="W25" i="4"/>
  <c r="Y25" i="4" s="1"/>
  <c r="AR25" i="4" s="1"/>
  <c r="W91" i="4"/>
  <c r="Y91" i="4" s="1"/>
  <c r="AR91" i="4" s="1"/>
  <c r="W87" i="4"/>
  <c r="Y87" i="4" s="1"/>
  <c r="AR87" i="4" s="1"/>
  <c r="AM110" i="4"/>
  <c r="W107" i="4"/>
  <c r="Y107" i="4" s="1"/>
  <c r="AR107" i="4" s="1"/>
  <c r="AM122" i="4"/>
  <c r="W121" i="4"/>
  <c r="Y121" i="4" s="1"/>
  <c r="AR121" i="4" s="1"/>
  <c r="W131" i="4"/>
  <c r="Y131" i="4" s="1"/>
  <c r="AR131" i="4" s="1"/>
  <c r="W72" i="4"/>
  <c r="Y72" i="4" s="1"/>
  <c r="AR72" i="4" s="1"/>
  <c r="W71" i="4"/>
  <c r="Y71" i="4" s="1"/>
  <c r="AR71" i="4" s="1"/>
  <c r="W36" i="4"/>
  <c r="Y36" i="4" s="1"/>
  <c r="AR36" i="4" s="1"/>
  <c r="W34" i="4"/>
  <c r="Y34" i="4" s="1"/>
  <c r="AR34" i="4" s="1"/>
  <c r="W133" i="4"/>
  <c r="Y133" i="4" s="1"/>
  <c r="AR133" i="4" s="1"/>
  <c r="W56" i="4"/>
  <c r="Y56" i="4" s="1"/>
  <c r="AR56" i="4" s="1"/>
  <c r="W95" i="4"/>
  <c r="Y95" i="4" s="1"/>
  <c r="AR95" i="4" s="1"/>
  <c r="W12" i="4"/>
  <c r="Y12" i="4" s="1"/>
  <c r="AR12" i="4" s="1"/>
  <c r="W147" i="4"/>
  <c r="Y147" i="4" s="1"/>
  <c r="AR147" i="4" s="1"/>
  <c r="W81" i="4"/>
  <c r="Y81" i="4" s="1"/>
  <c r="AR81" i="4" s="1"/>
  <c r="W152" i="4"/>
  <c r="Y152" i="4" s="1"/>
  <c r="AR152" i="4" s="1"/>
  <c r="W8" i="4"/>
  <c r="Y8" i="4" s="1"/>
  <c r="AR8" i="4" s="1"/>
  <c r="W93" i="4"/>
  <c r="Y93" i="4" s="1"/>
  <c r="AR93" i="4" s="1"/>
  <c r="W48" i="4"/>
  <c r="Y48" i="4" s="1"/>
  <c r="AR48" i="4" s="1"/>
  <c r="W59" i="4"/>
  <c r="Y59" i="4" s="1"/>
  <c r="AR59" i="4" s="1"/>
  <c r="W79" i="4"/>
  <c r="Y79" i="4" s="1"/>
  <c r="AR79" i="4" s="1"/>
  <c r="AM108" i="4"/>
  <c r="AM16" i="4"/>
  <c r="W139" i="4"/>
  <c r="Y139" i="4" s="1"/>
  <c r="AR139" i="4" s="1"/>
  <c r="AE11" i="4"/>
  <c r="R37" i="5"/>
  <c r="S37" i="5"/>
  <c r="AU37" i="5"/>
  <c r="BL37" i="5"/>
  <c r="AT37" i="5"/>
  <c r="AE76" i="4"/>
  <c r="AE44" i="4"/>
  <c r="BC9" i="5"/>
  <c r="BE9" i="5" s="1"/>
  <c r="AZ9" i="5"/>
  <c r="BB9" i="5" s="1"/>
  <c r="Q9" i="5"/>
  <c r="R9" i="5" s="1"/>
  <c r="AJ9" i="5"/>
  <c r="Z9" i="5"/>
  <c r="AB9" i="5" s="1"/>
  <c r="W9" i="5"/>
  <c r="Y9" i="5" s="1"/>
  <c r="T9" i="5"/>
  <c r="V9" i="5" s="1"/>
  <c r="AW9" i="5"/>
  <c r="AY9" i="5" s="1"/>
  <c r="AP9" i="5"/>
  <c r="AQ9" i="5" s="1"/>
  <c r="AE88" i="4"/>
  <c r="AE140" i="4"/>
  <c r="AE33" i="4"/>
  <c r="AE37" i="4"/>
  <c r="AE65" i="4"/>
  <c r="AE82" i="4"/>
  <c r="AE24" i="4"/>
  <c r="AE77" i="4"/>
  <c r="AE89" i="4"/>
  <c r="AE16" i="4"/>
  <c r="AE85" i="4"/>
  <c r="AE67" i="4"/>
  <c r="AE90" i="4"/>
  <c r="AE106" i="4"/>
  <c r="AE155" i="4"/>
  <c r="AE35" i="4"/>
  <c r="AE116" i="4"/>
  <c r="AE60" i="4"/>
  <c r="AE104" i="4"/>
  <c r="AE148" i="4"/>
  <c r="AE32" i="4"/>
  <c r="AE146" i="4"/>
  <c r="AE51" i="4"/>
  <c r="AE31" i="4"/>
  <c r="AE78" i="4"/>
  <c r="AE96" i="4"/>
  <c r="AE128" i="4"/>
  <c r="AE118" i="4"/>
  <c r="AE27" i="4"/>
  <c r="AE40" i="4"/>
  <c r="AE62" i="4"/>
  <c r="AE84" i="4"/>
  <c r="AE17" i="4"/>
  <c r="AE149" i="4"/>
  <c r="AE23" i="4"/>
  <c r="AE28" i="4"/>
  <c r="AE122" i="4"/>
  <c r="AE117" i="4"/>
  <c r="AE110" i="4"/>
  <c r="AE136" i="4"/>
  <c r="AE124" i="4"/>
  <c r="AE55" i="4"/>
  <c r="AE42" i="4"/>
  <c r="AE141" i="4"/>
  <c r="AS10" i="5"/>
  <c r="AU10" i="5" s="1"/>
  <c r="AE38" i="4"/>
  <c r="AE115" i="4"/>
  <c r="AE54" i="4"/>
  <c r="AE137" i="4"/>
  <c r="Z146" i="4"/>
  <c r="AN146" i="4" s="1"/>
  <c r="Z53" i="4"/>
  <c r="AN53" i="4" s="1"/>
  <c r="Z153" i="4"/>
  <c r="AN153" i="4" s="1"/>
  <c r="Z105" i="4"/>
  <c r="AN105" i="4" s="1"/>
  <c r="Z40" i="4"/>
  <c r="AN40" i="4" s="1"/>
  <c r="Z136" i="4"/>
  <c r="AN136" i="4" s="1"/>
  <c r="Z101" i="4"/>
  <c r="AN101" i="4" s="1"/>
  <c r="Z142" i="4"/>
  <c r="AN142" i="4" s="1"/>
  <c r="AE113" i="4"/>
  <c r="Z116" i="4"/>
  <c r="AN116" i="4" s="1"/>
  <c r="Z11" i="4"/>
  <c r="AN11" i="4" s="1"/>
  <c r="Z149" i="4"/>
  <c r="AN149" i="4" s="1"/>
  <c r="Z141" i="4"/>
  <c r="AN141" i="4" s="1"/>
  <c r="Z15" i="4"/>
  <c r="AF15" i="4" s="1"/>
  <c r="AG15" i="4" s="1"/>
  <c r="AI15" i="4" s="1"/>
  <c r="Z122" i="4"/>
  <c r="AN122" i="4" s="1"/>
  <c r="Z19" i="4"/>
  <c r="AN19" i="4" s="1"/>
  <c r="Z9" i="4"/>
  <c r="AN9" i="4" s="1"/>
  <c r="Z65" i="4"/>
  <c r="AN65" i="4" s="1"/>
  <c r="Z124" i="4"/>
  <c r="AN124" i="4" s="1"/>
  <c r="Z140" i="4"/>
  <c r="AN140" i="4" s="1"/>
  <c r="Z17" i="4"/>
  <c r="AN17" i="4" s="1"/>
  <c r="Z89" i="4"/>
  <c r="AN89" i="4" s="1"/>
  <c r="Z78" i="4"/>
  <c r="AN78" i="4" s="1"/>
  <c r="Z106" i="4"/>
  <c r="X106" i="4" s="1"/>
  <c r="AJ106" i="4" s="1"/>
  <c r="Z13" i="4"/>
  <c r="AN13" i="4" s="1"/>
  <c r="Z128" i="4"/>
  <c r="AN128" i="4" s="1"/>
  <c r="Z117" i="4"/>
  <c r="AN117" i="4" s="1"/>
  <c r="Z96" i="4"/>
  <c r="X96" i="4" s="1"/>
  <c r="Z58" i="4"/>
  <c r="AN58" i="4" s="1"/>
  <c r="AE15" i="4"/>
  <c r="Z82" i="4"/>
  <c r="AN82" i="4" s="1"/>
  <c r="Z37" i="4"/>
  <c r="AN37" i="4" s="1"/>
  <c r="Z35" i="4"/>
  <c r="AN35" i="4" s="1"/>
  <c r="Z51" i="4"/>
  <c r="AN51" i="4" s="1"/>
  <c r="Z33" i="4"/>
  <c r="AN33" i="4" s="1"/>
  <c r="Z109" i="4"/>
  <c r="AN109" i="4" s="1"/>
  <c r="Z44" i="4"/>
  <c r="AN44" i="4" s="1"/>
  <c r="Z68" i="4"/>
  <c r="AN68" i="4" s="1"/>
  <c r="Z41" i="4"/>
  <c r="AN41" i="4" s="1"/>
  <c r="Z108" i="4"/>
  <c r="AN108" i="4" s="1"/>
  <c r="Z148" i="4"/>
  <c r="AN148" i="4" s="1"/>
  <c r="AE153" i="4"/>
  <c r="Z27" i="4"/>
  <c r="AF27" i="4" s="1"/>
  <c r="AG27" i="4" s="1"/>
  <c r="AI27" i="4" s="1"/>
  <c r="Z23" i="4"/>
  <c r="AF23" i="4" s="1"/>
  <c r="AG23" i="4" s="1"/>
  <c r="AI23" i="4" s="1"/>
  <c r="Z31" i="4"/>
  <c r="AN31" i="4" s="1"/>
  <c r="Z49" i="4"/>
  <c r="AN49" i="4" s="1"/>
  <c r="B40" i="5"/>
  <c r="Q325" i="5"/>
  <c r="Q321" i="5"/>
  <c r="Q86" i="5"/>
  <c r="Q230" i="5"/>
  <c r="Q248" i="5"/>
  <c r="Q414" i="5"/>
  <c r="Q81" i="5"/>
  <c r="Q314" i="5"/>
  <c r="Q132" i="5"/>
  <c r="Q198" i="5"/>
  <c r="Q477" i="5"/>
  <c r="Q188" i="5"/>
  <c r="Q173" i="5"/>
  <c r="Q342" i="5"/>
  <c r="Q65" i="5"/>
  <c r="Q363" i="5"/>
  <c r="Q392" i="5"/>
  <c r="Q443" i="5"/>
  <c r="Q245" i="5"/>
  <c r="Q84" i="5"/>
  <c r="Q98" i="5"/>
  <c r="Q444" i="5"/>
  <c r="Q439" i="5"/>
  <c r="Q227" i="5"/>
  <c r="Q526" i="5"/>
  <c r="Q537" i="5"/>
  <c r="Q144" i="5"/>
  <c r="Q253" i="5"/>
  <c r="Q515" i="5"/>
  <c r="Q31" i="5"/>
  <c r="Q87" i="5"/>
  <c r="Q540" i="5"/>
  <c r="Q531" i="5"/>
  <c r="Q67" i="5"/>
  <c r="Q467" i="5"/>
  <c r="Q546" i="5"/>
  <c r="Q196" i="5"/>
  <c r="Q296" i="5"/>
  <c r="Q200" i="5"/>
  <c r="Q344" i="5"/>
  <c r="Q510" i="5"/>
  <c r="Q36" i="5"/>
  <c r="Q165" i="5"/>
  <c r="Q228" i="5"/>
  <c r="Q504" i="5"/>
  <c r="Q465" i="5"/>
  <c r="Q93" i="5"/>
  <c r="Q129" i="5"/>
  <c r="Q426" i="5"/>
  <c r="Q297" i="5"/>
  <c r="Q139" i="5"/>
  <c r="Q522" i="5"/>
  <c r="Q496" i="5"/>
  <c r="Q492" i="5"/>
  <c r="Q534" i="5"/>
  <c r="Q214" i="5"/>
  <c r="Q417" i="5"/>
  <c r="Q178" i="5"/>
  <c r="Q291" i="5"/>
  <c r="Q174" i="5"/>
  <c r="Q449" i="5"/>
  <c r="Q138" i="5"/>
  <c r="Q91" i="5"/>
  <c r="Q19" i="5"/>
  <c r="Q210" i="5"/>
  <c r="Q286" i="5"/>
  <c r="Q378" i="5"/>
  <c r="Q307" i="5"/>
  <c r="Q423" i="5"/>
  <c r="Q386" i="5"/>
  <c r="Q303" i="5"/>
  <c r="Q194" i="5"/>
  <c r="Q514" i="5"/>
  <c r="Q312" i="5"/>
  <c r="Q319" i="5"/>
  <c r="Q156" i="5"/>
  <c r="Q104" i="5"/>
  <c r="Q75" i="5"/>
  <c r="Q183" i="5"/>
  <c r="Q298" i="5"/>
  <c r="Q304" i="5"/>
  <c r="Q360" i="5"/>
  <c r="Q182" i="5"/>
  <c r="Q544" i="5"/>
  <c r="Q83" i="5"/>
  <c r="Q306" i="5"/>
  <c r="Q427" i="5"/>
  <c r="Q372" i="5"/>
  <c r="Q205" i="5"/>
  <c r="Q333" i="5"/>
  <c r="Q311" i="5"/>
  <c r="Q55" i="5"/>
  <c r="Q106" i="5"/>
  <c r="Q300" i="5"/>
  <c r="Q415" i="5"/>
  <c r="Q452" i="5"/>
  <c r="Q96" i="5"/>
  <c r="Q451" i="5"/>
  <c r="Q490" i="5"/>
  <c r="Q487" i="5"/>
  <c r="Q56" i="5"/>
  <c r="Q284" i="5"/>
  <c r="Q154" i="5"/>
  <c r="Q545" i="5"/>
  <c r="Q223" i="5"/>
  <c r="Q63" i="5"/>
  <c r="Q420" i="5"/>
  <c r="Q299" i="5"/>
  <c r="Q374" i="5"/>
  <c r="Q43" i="5"/>
  <c r="Q268" i="5"/>
  <c r="Q499" i="5"/>
  <c r="Q283" i="5"/>
  <c r="Q66" i="5"/>
  <c r="Q424" i="5"/>
  <c r="Q117" i="5"/>
  <c r="Q85" i="5"/>
  <c r="Q226" i="5"/>
  <c r="Q366" i="5"/>
  <c r="Q163" i="5"/>
  <c r="Q12" i="5"/>
  <c r="Q455" i="5"/>
  <c r="Q42" i="5"/>
  <c r="Q259" i="5"/>
  <c r="Q362" i="5"/>
  <c r="Q350" i="5"/>
  <c r="Q553" i="5"/>
  <c r="Q364" i="5"/>
  <c r="Q263" i="5"/>
  <c r="Q199" i="5"/>
  <c r="Q213" i="5"/>
  <c r="Q471" i="5"/>
  <c r="Q233" i="5"/>
  <c r="Q68" i="5"/>
  <c r="Q278" i="5"/>
  <c r="Q39" i="5"/>
  <c r="Q119" i="5"/>
  <c r="Q369" i="5"/>
  <c r="Q167" i="5"/>
  <c r="Q155" i="5"/>
  <c r="Q516" i="5"/>
  <c r="Q302" i="5"/>
  <c r="Q288" i="5"/>
  <c r="Q440" i="5"/>
  <c r="Q435" i="5"/>
  <c r="Q246" i="5"/>
  <c r="Q145" i="5"/>
  <c r="Q256" i="5"/>
  <c r="Q502" i="5"/>
  <c r="Q122" i="5"/>
  <c r="Q527" i="5"/>
  <c r="Q403" i="5"/>
  <c r="Q557" i="5"/>
  <c r="Q34" i="5"/>
  <c r="Q51" i="5"/>
  <c r="Q219" i="5"/>
  <c r="Q456" i="5"/>
  <c r="Q150" i="5"/>
  <c r="Q482" i="5"/>
  <c r="Q501" i="5"/>
  <c r="Q405" i="5"/>
  <c r="Q550" i="5"/>
  <c r="Q35" i="5"/>
  <c r="Q375" i="5"/>
  <c r="Q180" i="5"/>
  <c r="Q128" i="5"/>
  <c r="Q221" i="5"/>
  <c r="Q277" i="5"/>
  <c r="Q78" i="5"/>
  <c r="Q361" i="5"/>
  <c r="Q385" i="5"/>
  <c r="Q425" i="5"/>
  <c r="Q82" i="5"/>
  <c r="Q244" i="5"/>
  <c r="Q279" i="5"/>
  <c r="Q54" i="5"/>
  <c r="Q285" i="5"/>
  <c r="Q473" i="5"/>
  <c r="Q479" i="5"/>
  <c r="Q90" i="5"/>
  <c r="Q368" i="5"/>
  <c r="Q142" i="5"/>
  <c r="Q530" i="5"/>
  <c r="Q541" i="5"/>
  <c r="Q266" i="5"/>
  <c r="Q184" i="5"/>
  <c r="Q393" i="5"/>
  <c r="Q433" i="5"/>
  <c r="Q400" i="5"/>
  <c r="Q293" i="5"/>
  <c r="Q190" i="5"/>
  <c r="Q135" i="5"/>
  <c r="Q357" i="5"/>
  <c r="Q281" i="5"/>
  <c r="Q429" i="5"/>
  <c r="Q265" i="5"/>
  <c r="Q322" i="5"/>
  <c r="Q346" i="5"/>
  <c r="Q404" i="5"/>
  <c r="Q125" i="5"/>
  <c r="Q29" i="5"/>
  <c r="Q315" i="5"/>
  <c r="Q488" i="5"/>
  <c r="Q290" i="5"/>
  <c r="Q112" i="5"/>
  <c r="Q337" i="5"/>
  <c r="Q464" i="5"/>
  <c r="Q320" i="5"/>
  <c r="Q396" i="5"/>
  <c r="Q551" i="5"/>
  <c r="Q345" i="5"/>
  <c r="Q203" i="5"/>
  <c r="Q185" i="5"/>
  <c r="Q116" i="5"/>
  <c r="Q399" i="5"/>
  <c r="Q453" i="5"/>
  <c r="Q419" i="5"/>
  <c r="Q186" i="5"/>
  <c r="Q238" i="5"/>
  <c r="Q40" i="5"/>
  <c r="Q161" i="5"/>
  <c r="Q519" i="5"/>
  <c r="Q218" i="5"/>
  <c r="Q232" i="5"/>
  <c r="Q74" i="5"/>
  <c r="Q229" i="5"/>
  <c r="Q518" i="5"/>
  <c r="Q44" i="5"/>
  <c r="Q484" i="5"/>
  <c r="Q371" i="5"/>
  <c r="Q395" i="5"/>
  <c r="Q32" i="5"/>
  <c r="Q381" i="5"/>
  <c r="Q412" i="5"/>
  <c r="Q115" i="5"/>
  <c r="Q241" i="5"/>
  <c r="Q343" i="5"/>
  <c r="Q428" i="5"/>
  <c r="Q222" i="5"/>
  <c r="Q261" i="5"/>
  <c r="Q397" i="5"/>
  <c r="Q442" i="5"/>
  <c r="Q347" i="5"/>
  <c r="Q323" i="5"/>
  <c r="Q349" i="5"/>
  <c r="Q367" i="5"/>
  <c r="Q476" i="5"/>
  <c r="Q47" i="5"/>
  <c r="Q57" i="5"/>
  <c r="Q411" i="5"/>
  <c r="Q50" i="5"/>
  <c r="Q326" i="5"/>
  <c r="Q525" i="5"/>
  <c r="Q489" i="5"/>
  <c r="Q548" i="5"/>
  <c r="Q348" i="5"/>
  <c r="Q120" i="5"/>
  <c r="Q513" i="5"/>
  <c r="Q335" i="5"/>
  <c r="Q70" i="5"/>
  <c r="Q192" i="5"/>
  <c r="Q158" i="5"/>
  <c r="Q264" i="5"/>
  <c r="Q401" i="5"/>
  <c r="Q383" i="5"/>
  <c r="Q413" i="5"/>
  <c r="Q354" i="5"/>
  <c r="Q462" i="5"/>
  <c r="Q46" i="5"/>
  <c r="Q421" i="5"/>
  <c r="Q62" i="5"/>
  <c r="Q258" i="5"/>
  <c r="Q536" i="5"/>
  <c r="Q494" i="5"/>
  <c r="Q267" i="5"/>
  <c r="Q270" i="5"/>
  <c r="Q422" i="5"/>
  <c r="Q556" i="5"/>
  <c r="Q376" i="5"/>
  <c r="Q272" i="5"/>
  <c r="Q370" i="5"/>
  <c r="Q176" i="5"/>
  <c r="Q549" i="5"/>
  <c r="Q432" i="5"/>
  <c r="Q448" i="5"/>
  <c r="Q324" i="5"/>
  <c r="Q49" i="5"/>
  <c r="Q239" i="5"/>
  <c r="Q377" i="5"/>
  <c r="Q497" i="5"/>
  <c r="Q201" i="5"/>
  <c r="Q147" i="5"/>
  <c r="Q149" i="5"/>
  <c r="Q262" i="5"/>
  <c r="Q33" i="5"/>
  <c r="Q13" i="5"/>
  <c r="Q124" i="5"/>
  <c r="Q500" i="5"/>
  <c r="Q359" i="5"/>
  <c r="Q503" i="5"/>
  <c r="Q231" i="5"/>
  <c r="Q274" i="5"/>
  <c r="Q133" i="5"/>
  <c r="Q280" i="5"/>
  <c r="Q365" i="5"/>
  <c r="Q136" i="5"/>
  <c r="Q217" i="5"/>
  <c r="Q20" i="5"/>
  <c r="Q109" i="5"/>
  <c r="Q472" i="5"/>
  <c r="Q52" i="5"/>
  <c r="Q543" i="5"/>
  <c r="Q252" i="5"/>
  <c r="Q88" i="5"/>
  <c r="Q108" i="5"/>
  <c r="Q105" i="5"/>
  <c r="Q168" i="5"/>
  <c r="Q162" i="5"/>
  <c r="Q209" i="5"/>
  <c r="Q273" i="5"/>
  <c r="Q206" i="5"/>
  <c r="Q48" i="5"/>
  <c r="Q131" i="5"/>
  <c r="Q507" i="5"/>
  <c r="Q103" i="5"/>
  <c r="Q339" i="5"/>
  <c r="Q140" i="5"/>
  <c r="Q114" i="5"/>
  <c r="Q294" i="5"/>
  <c r="Q212" i="5"/>
  <c r="Q317" i="5"/>
  <c r="Q41" i="5"/>
  <c r="Q469" i="5"/>
  <c r="Q529" i="5"/>
  <c r="Q169" i="5"/>
  <c r="Q99" i="5"/>
  <c r="Q28" i="5"/>
  <c r="Q524" i="5"/>
  <c r="Q235" i="5"/>
  <c r="Q295" i="5"/>
  <c r="Q305" i="5"/>
  <c r="Q387" i="5"/>
  <c r="Q454" i="5"/>
  <c r="Q24" i="5"/>
  <c r="Q25" i="5"/>
  <c r="Q26" i="5"/>
  <c r="Q250" i="5"/>
  <c r="Q177" i="5"/>
  <c r="Q410" i="5"/>
  <c r="Q191" i="5"/>
  <c r="Q539" i="5"/>
  <c r="Q391" i="5"/>
  <c r="Q505" i="5"/>
  <c r="Q151" i="5"/>
  <c r="Q208" i="5"/>
  <c r="Q79" i="5"/>
  <c r="Q554" i="5"/>
  <c r="Q157" i="5"/>
  <c r="Q102" i="5"/>
  <c r="Q560" i="5"/>
  <c r="Q276" i="5"/>
  <c r="Q193" i="5"/>
  <c r="Q520" i="5"/>
  <c r="Q181" i="5"/>
  <c r="Q373" i="5"/>
  <c r="Q532" i="5"/>
  <c r="Q64" i="5"/>
  <c r="Q146" i="5"/>
  <c r="Q224" i="5"/>
  <c r="Q384" i="5"/>
  <c r="Q445" i="5"/>
  <c r="Q301" i="5"/>
  <c r="Q22" i="5"/>
  <c r="Q254" i="5"/>
  <c r="Q80" i="5"/>
  <c r="Q195" i="5"/>
  <c r="Q94" i="5"/>
  <c r="Q495" i="5"/>
  <c r="Q166" i="5"/>
  <c r="Q95" i="5"/>
  <c r="Q331" i="5"/>
  <c r="Q552" i="5"/>
  <c r="Q338" i="5"/>
  <c r="Q528" i="5"/>
  <c r="Q380" i="5"/>
  <c r="Q394" i="5"/>
  <c r="Q351" i="5"/>
  <c r="Q59" i="5"/>
  <c r="Q535" i="5"/>
  <c r="Q30" i="5"/>
  <c r="Q398" i="5"/>
  <c r="Q127" i="5"/>
  <c r="Q111" i="5"/>
  <c r="Q508" i="5"/>
  <c r="Q76" i="5"/>
  <c r="Q164" i="5"/>
  <c r="Q447" i="5"/>
  <c r="Q388" i="5"/>
  <c r="Q60" i="5"/>
  <c r="Q459" i="5"/>
  <c r="Q523" i="5"/>
  <c r="Q436" i="5"/>
  <c r="Q101" i="5"/>
  <c r="Q275" i="5"/>
  <c r="Q498" i="5"/>
  <c r="Q559" i="5"/>
  <c r="Q355" i="5"/>
  <c r="Q460" i="5"/>
  <c r="Q416" i="5"/>
  <c r="Q441" i="5"/>
  <c r="Q249" i="5"/>
  <c r="Q407" i="5"/>
  <c r="Q511" i="5"/>
  <c r="Q352" i="5"/>
  <c r="Q356" i="5"/>
  <c r="Q309" i="5"/>
  <c r="Q287" i="5"/>
  <c r="Q409" i="5"/>
  <c r="Q316" i="5"/>
  <c r="Q77" i="5"/>
  <c r="Q328" i="5"/>
  <c r="Q237" i="5"/>
  <c r="Q204" i="5"/>
  <c r="Q255" i="5"/>
  <c r="Q211" i="5"/>
  <c r="Q521" i="5"/>
  <c r="Q332" i="5"/>
  <c r="Q318" i="5"/>
  <c r="Q329" i="5"/>
  <c r="Q269" i="5"/>
  <c r="Q53" i="5"/>
  <c r="Q358" i="5"/>
  <c r="Q547" i="5"/>
  <c r="Q558" i="5"/>
  <c r="Q450" i="5"/>
  <c r="Q437" i="5"/>
  <c r="Q71" i="5"/>
  <c r="Q121" i="5"/>
  <c r="Q555" i="5"/>
  <c r="Q172" i="5"/>
  <c r="Q197" i="5"/>
  <c r="Q97" i="5"/>
  <c r="Q179" i="5"/>
  <c r="Q533" i="5"/>
  <c r="Q491" i="5"/>
  <c r="Q382" i="5"/>
  <c r="Q481" i="5"/>
  <c r="Q225" i="5"/>
  <c r="Q340" i="5"/>
  <c r="Q457" i="5"/>
  <c r="Q542" i="5"/>
  <c r="Q148" i="5"/>
  <c r="Q216" i="5"/>
  <c r="Q159" i="5"/>
  <c r="Q478" i="5"/>
  <c r="Q509" i="5"/>
  <c r="Q257" i="5"/>
  <c r="Q327" i="5"/>
  <c r="Q483" i="5"/>
  <c r="Q100" i="5"/>
  <c r="Q390" i="5"/>
  <c r="Q271" i="5"/>
  <c r="Q61" i="5"/>
  <c r="Q175" i="5"/>
  <c r="Q113" i="5"/>
  <c r="Q458" i="5"/>
  <c r="Q334" i="5"/>
  <c r="Q493" i="5"/>
  <c r="Q408" i="5"/>
  <c r="Q134" i="5"/>
  <c r="Q202" i="5"/>
  <c r="Q470" i="5"/>
  <c r="Q207" i="5"/>
  <c r="Q260" i="5"/>
  <c r="Q438" i="5"/>
  <c r="Q289" i="5"/>
  <c r="Q21" i="5"/>
  <c r="Q475" i="5"/>
  <c r="Q282" i="5"/>
  <c r="Q189" i="5"/>
  <c r="Q220" i="5"/>
  <c r="Q89" i="5"/>
  <c r="Q506" i="5"/>
  <c r="Q152" i="5"/>
  <c r="Q379" i="5"/>
  <c r="Q402" i="5"/>
  <c r="Q130" i="5"/>
  <c r="Q118" i="5"/>
  <c r="Q110" i="5"/>
  <c r="Q538" i="5"/>
  <c r="Q310" i="5"/>
  <c r="Q215" i="5"/>
  <c r="Q107" i="5"/>
  <c r="Q126" i="5"/>
  <c r="Q123" i="5"/>
  <c r="Q153" i="5"/>
  <c r="Q292" i="5"/>
  <c r="Q170" i="5"/>
  <c r="Q8" i="5"/>
  <c r="Q466" i="5"/>
  <c r="Q485" i="5"/>
  <c r="Q406" i="5"/>
  <c r="Q336" i="5"/>
  <c r="Q143" i="5"/>
  <c r="Q45" i="5"/>
  <c r="Q27" i="5"/>
  <c r="Q418" i="5"/>
  <c r="Q243" i="5"/>
  <c r="Q160" i="5"/>
  <c r="Q341" i="5"/>
  <c r="Q58" i="5"/>
  <c r="Q92" i="5"/>
  <c r="Q308" i="5"/>
  <c r="Q313" i="5"/>
  <c r="Q187" i="5"/>
  <c r="Q430" i="5"/>
  <c r="Q446" i="5"/>
  <c r="Q463" i="5"/>
  <c r="Q486" i="5"/>
  <c r="Q38" i="5"/>
  <c r="Q389" i="5"/>
  <c r="Q73" i="5"/>
  <c r="Q330" i="5"/>
  <c r="Q353" i="5"/>
  <c r="Q517" i="5"/>
  <c r="Q434" i="5"/>
  <c r="Q69" i="5"/>
  <c r="Q247" i="5"/>
  <c r="Q141" i="5"/>
  <c r="Q431" i="5"/>
  <c r="Q72" i="5"/>
  <c r="Q171" i="5"/>
  <c r="Q512" i="5"/>
  <c r="Q242" i="5"/>
  <c r="Q474" i="5"/>
  <c r="Q461" i="5"/>
  <c r="Q480" i="5"/>
  <c r="Q137" i="5"/>
  <c r="Q236" i="5"/>
  <c r="Q240" i="5"/>
  <c r="Q251" i="5"/>
  <c r="Q468" i="5"/>
  <c r="Q23" i="5"/>
  <c r="Q234" i="5"/>
  <c r="O11" i="5"/>
  <c r="AC11" i="5" s="1"/>
  <c r="Z26" i="4"/>
  <c r="AN26" i="4" s="1"/>
  <c r="AQ537" i="5"/>
  <c r="AR537" i="5"/>
  <c r="AQ200" i="5"/>
  <c r="AR200" i="5"/>
  <c r="AQ321" i="5"/>
  <c r="AR321" i="5"/>
  <c r="AR85" i="5"/>
  <c r="AQ85" i="5"/>
  <c r="AQ127" i="5"/>
  <c r="AR127" i="5"/>
  <c r="AQ54" i="5"/>
  <c r="AR54" i="5"/>
  <c r="AQ241" i="5"/>
  <c r="AR241" i="5"/>
  <c r="AQ483" i="5"/>
  <c r="AR483" i="5"/>
  <c r="AR273" i="5"/>
  <c r="AQ273" i="5"/>
  <c r="AR46" i="5"/>
  <c r="AQ46" i="5"/>
  <c r="AQ365" i="5"/>
  <c r="AR365" i="5"/>
  <c r="AR383" i="5"/>
  <c r="AQ383" i="5"/>
  <c r="AQ191" i="5"/>
  <c r="AR191" i="5"/>
  <c r="AR124" i="5"/>
  <c r="AQ124" i="5"/>
  <c r="AQ251" i="5"/>
  <c r="AR251" i="5"/>
  <c r="AR285" i="5"/>
  <c r="AQ285" i="5"/>
  <c r="AR58" i="5"/>
  <c r="AQ58" i="5"/>
  <c r="AQ555" i="5"/>
  <c r="AR555" i="5"/>
  <c r="AR45" i="5"/>
  <c r="AQ45" i="5"/>
  <c r="AR185" i="5"/>
  <c r="AQ185" i="5"/>
  <c r="AQ231" i="5"/>
  <c r="AR231" i="5"/>
  <c r="AQ278" i="5"/>
  <c r="AR278" i="5"/>
  <c r="AR541" i="5"/>
  <c r="AQ541" i="5"/>
  <c r="AQ93" i="5"/>
  <c r="AR93" i="5"/>
  <c r="AR253" i="5"/>
  <c r="AQ253" i="5"/>
  <c r="AR366" i="5"/>
  <c r="AQ366" i="5"/>
  <c r="AR337" i="5"/>
  <c r="AQ337" i="5"/>
  <c r="AR190" i="5"/>
  <c r="AQ190" i="5"/>
  <c r="AQ414" i="5"/>
  <c r="AR414" i="5"/>
  <c r="AQ227" i="5"/>
  <c r="AR227" i="5"/>
  <c r="AR38" i="5"/>
  <c r="AQ38" i="5"/>
  <c r="AR216" i="5"/>
  <c r="AQ216" i="5"/>
  <c r="AR477" i="5"/>
  <c r="AQ477" i="5"/>
  <c r="AQ63" i="5"/>
  <c r="AR63" i="5"/>
  <c r="AQ160" i="5"/>
  <c r="AR160" i="5"/>
  <c r="AR458" i="5"/>
  <c r="AQ458" i="5"/>
  <c r="AQ438" i="5"/>
  <c r="AR438" i="5"/>
  <c r="AQ433" i="5"/>
  <c r="AR433" i="5"/>
  <c r="AR302" i="5"/>
  <c r="AQ302" i="5"/>
  <c r="AR8" i="5"/>
  <c r="AQ8" i="5"/>
  <c r="AQ369" i="5"/>
  <c r="AR369" i="5"/>
  <c r="AQ295" i="5"/>
  <c r="AR295" i="5"/>
  <c r="AR493" i="5"/>
  <c r="AQ493" i="5"/>
  <c r="AQ298" i="5"/>
  <c r="AR298" i="5"/>
  <c r="AR148" i="5"/>
  <c r="AQ148" i="5"/>
  <c r="AQ91" i="5"/>
  <c r="AR91" i="5"/>
  <c r="AR183" i="5"/>
  <c r="AQ183" i="5"/>
  <c r="AQ75" i="5"/>
  <c r="AR75" i="5"/>
  <c r="AQ511" i="5"/>
  <c r="AR511" i="5"/>
  <c r="AR169" i="5"/>
  <c r="AQ169" i="5"/>
  <c r="AQ498" i="5"/>
  <c r="AR498" i="5"/>
  <c r="AQ514" i="5"/>
  <c r="AR514" i="5"/>
  <c r="AR275" i="5"/>
  <c r="AQ275" i="5"/>
  <c r="AQ145" i="5"/>
  <c r="AR145" i="5"/>
  <c r="AR304" i="5"/>
  <c r="AQ304" i="5"/>
  <c r="AQ77" i="5"/>
  <c r="AR77" i="5"/>
  <c r="AR208" i="5"/>
  <c r="AQ208" i="5"/>
  <c r="AR103" i="5"/>
  <c r="AQ103" i="5"/>
  <c r="AQ196" i="5"/>
  <c r="AR196" i="5"/>
  <c r="AQ370" i="5"/>
  <c r="AR370" i="5"/>
  <c r="AQ377" i="5"/>
  <c r="AR377" i="5"/>
  <c r="AR203" i="5"/>
  <c r="AQ203" i="5"/>
  <c r="AQ371" i="5"/>
  <c r="AR371" i="5"/>
  <c r="AQ199" i="5"/>
  <c r="AR199" i="5"/>
  <c r="AR48" i="5"/>
  <c r="AQ48" i="5"/>
  <c r="AQ415" i="5"/>
  <c r="AR415" i="5"/>
  <c r="AR167" i="5"/>
  <c r="AQ167" i="5"/>
  <c r="AR362" i="5"/>
  <c r="AQ362" i="5"/>
  <c r="Z67" i="4"/>
  <c r="AN67" i="4" s="1"/>
  <c r="AS500" i="5"/>
  <c r="AS56" i="5"/>
  <c r="AS123" i="5"/>
  <c r="AS511" i="5"/>
  <c r="AS246" i="5"/>
  <c r="AS432" i="5"/>
  <c r="AS266" i="5"/>
  <c r="AS405" i="5"/>
  <c r="AS525" i="5"/>
  <c r="AS93" i="5"/>
  <c r="AS121" i="5"/>
  <c r="AS174" i="5"/>
  <c r="AS25" i="5"/>
  <c r="AS404" i="5"/>
  <c r="AS387" i="5"/>
  <c r="AS394" i="5"/>
  <c r="AS245" i="5"/>
  <c r="AS496" i="5"/>
  <c r="AS552" i="5"/>
  <c r="AS472" i="5"/>
  <c r="AS558" i="5"/>
  <c r="AS26" i="5"/>
  <c r="AS376" i="5"/>
  <c r="AS191" i="5"/>
  <c r="AS217" i="5"/>
  <c r="AS308" i="5"/>
  <c r="AS183" i="5"/>
  <c r="AS315" i="5"/>
  <c r="AS261" i="5"/>
  <c r="AS350" i="5"/>
  <c r="AS354" i="5"/>
  <c r="AS393" i="5"/>
  <c r="AS352" i="5"/>
  <c r="AS471" i="5"/>
  <c r="AS464" i="5"/>
  <c r="AS294" i="5"/>
  <c r="AS255" i="5"/>
  <c r="AS374" i="5"/>
  <c r="AS96" i="5"/>
  <c r="AS186" i="5"/>
  <c r="AS491" i="5"/>
  <c r="AS438" i="5"/>
  <c r="AS157" i="5"/>
  <c r="AS264" i="5"/>
  <c r="AS94" i="5"/>
  <c r="AS66" i="5"/>
  <c r="AS189" i="5"/>
  <c r="AS286" i="5"/>
  <c r="AS312" i="5"/>
  <c r="AS547" i="5"/>
  <c r="AS288" i="5"/>
  <c r="AS528" i="5"/>
  <c r="AS441" i="5"/>
  <c r="AS473" i="5"/>
  <c r="AS262" i="5"/>
  <c r="AS160" i="5"/>
  <c r="AS453" i="5"/>
  <c r="AS375" i="5"/>
  <c r="AS281" i="5"/>
  <c r="AS142" i="5"/>
  <c r="AS177" i="5"/>
  <c r="AS402" i="5"/>
  <c r="AS38" i="5"/>
  <c r="AS369" i="5"/>
  <c r="AS234" i="5"/>
  <c r="AS470" i="5"/>
  <c r="AS372" i="5"/>
  <c r="AS447" i="5"/>
  <c r="Z110" i="4"/>
  <c r="X110" i="4" s="1"/>
  <c r="Z155" i="4"/>
  <c r="AN155" i="4" s="1"/>
  <c r="Z28" i="4"/>
  <c r="AN28" i="4" s="1"/>
  <c r="Z115" i="4"/>
  <c r="AN115" i="4" s="1"/>
  <c r="U10" i="5"/>
  <c r="V10" i="5"/>
  <c r="AE9" i="4"/>
  <c r="Z45" i="4"/>
  <c r="X45" i="4" s="1"/>
  <c r="AA45" i="4" s="1"/>
  <c r="AE58" i="4"/>
  <c r="Z42" i="4"/>
  <c r="X42" i="4" s="1"/>
  <c r="AA42" i="4" s="1"/>
  <c r="AL187" i="5"/>
  <c r="AK187" i="5"/>
  <c r="AL160" i="5"/>
  <c r="AK160" i="5"/>
  <c r="AK180" i="5"/>
  <c r="AL180" i="5"/>
  <c r="AL522" i="5"/>
  <c r="AK522" i="5"/>
  <c r="AK48" i="5"/>
  <c r="AL48" i="5"/>
  <c r="AL433" i="5"/>
  <c r="AK433" i="5"/>
  <c r="AL115" i="5"/>
  <c r="AK115" i="5"/>
  <c r="AL85" i="5"/>
  <c r="AK85" i="5"/>
  <c r="AL407" i="5"/>
  <c r="AK407" i="5"/>
  <c r="AL361" i="5"/>
  <c r="AK361" i="5"/>
  <c r="AL455" i="5"/>
  <c r="AK455" i="5"/>
  <c r="AL348" i="5"/>
  <c r="AK348" i="5"/>
  <c r="AL87" i="5"/>
  <c r="AK87" i="5"/>
  <c r="AK203" i="5"/>
  <c r="AL203" i="5"/>
  <c r="AL548" i="5"/>
  <c r="AK548" i="5"/>
  <c r="AL294" i="5"/>
  <c r="AK294" i="5"/>
  <c r="AL218" i="5"/>
  <c r="AK218" i="5"/>
  <c r="AL262" i="5"/>
  <c r="AK262" i="5"/>
  <c r="AL185" i="5"/>
  <c r="AK185" i="5"/>
  <c r="AK338" i="5"/>
  <c r="AL338" i="5"/>
  <c r="AK289" i="5"/>
  <c r="AL289" i="5"/>
  <c r="AL82" i="5"/>
  <c r="AK82" i="5"/>
  <c r="AK473" i="5"/>
  <c r="AL473" i="5"/>
  <c r="AL287" i="5"/>
  <c r="AK287" i="5"/>
  <c r="AK129" i="5"/>
  <c r="AL129" i="5"/>
  <c r="AL546" i="5"/>
  <c r="AK546" i="5"/>
  <c r="AL20" i="5"/>
  <c r="AK20" i="5"/>
  <c r="AL377" i="5"/>
  <c r="AK377" i="5"/>
  <c r="AL173" i="5"/>
  <c r="AK173" i="5"/>
  <c r="AL75" i="5"/>
  <c r="AK75" i="5"/>
  <c r="AL229" i="5"/>
  <c r="AK229" i="5"/>
  <c r="AL305" i="5"/>
  <c r="AK305" i="5"/>
  <c r="AL398" i="5"/>
  <c r="AK398" i="5"/>
  <c r="AL457" i="5"/>
  <c r="AK457" i="5"/>
  <c r="AK194" i="5"/>
  <c r="AL194" i="5"/>
  <c r="AK88" i="5"/>
  <c r="AL88" i="5"/>
  <c r="AL336" i="5"/>
  <c r="AK336" i="5"/>
  <c r="AL528" i="5"/>
  <c r="AK528" i="5"/>
  <c r="AK284" i="5"/>
  <c r="AL284" i="5"/>
  <c r="AK504" i="5"/>
  <c r="AL504" i="5"/>
  <c r="AL413" i="5"/>
  <c r="AK413" i="5"/>
  <c r="AK470" i="5"/>
  <c r="AL470" i="5"/>
  <c r="AK507" i="5"/>
  <c r="AL507" i="5"/>
  <c r="AL315" i="5"/>
  <c r="AK315" i="5"/>
  <c r="AL288" i="5"/>
  <c r="AK288" i="5"/>
  <c r="AK461" i="5"/>
  <c r="AL461" i="5"/>
  <c r="AL269" i="5"/>
  <c r="AK269" i="5"/>
  <c r="AK312" i="5"/>
  <c r="AL312" i="5"/>
  <c r="AK206" i="5"/>
  <c r="AL206" i="5"/>
  <c r="AL57" i="5"/>
  <c r="AK57" i="5"/>
  <c r="AL553" i="5"/>
  <c r="AK553" i="5"/>
  <c r="AL257" i="5"/>
  <c r="AK257" i="5"/>
  <c r="AK280" i="5"/>
  <c r="AL280" i="5"/>
  <c r="AL420" i="5"/>
  <c r="AK420" i="5"/>
  <c r="AK392" i="5"/>
  <c r="AL392" i="5"/>
  <c r="AK152" i="5"/>
  <c r="AL152" i="5"/>
  <c r="AL298" i="5"/>
  <c r="AK298" i="5"/>
  <c r="AK379" i="5"/>
  <c r="AL379" i="5"/>
  <c r="AK277" i="5"/>
  <c r="AL277" i="5"/>
  <c r="AL125" i="5"/>
  <c r="AK125" i="5"/>
  <c r="AL557" i="5"/>
  <c r="AK557" i="5"/>
  <c r="AK234" i="5"/>
  <c r="AL234" i="5"/>
  <c r="AL552" i="5"/>
  <c r="AK552" i="5"/>
  <c r="AK513" i="5"/>
  <c r="AL513" i="5"/>
  <c r="AL535" i="5"/>
  <c r="AK535" i="5"/>
  <c r="AK148" i="5"/>
  <c r="AL148" i="5"/>
  <c r="AK502" i="5"/>
  <c r="AL502" i="5"/>
  <c r="AE109" i="4"/>
  <c r="Z21" i="4"/>
  <c r="Z63" i="4"/>
  <c r="X63" i="4" s="1"/>
  <c r="AA63" i="4" s="1"/>
  <c r="AQ526" i="5"/>
  <c r="AR526" i="5"/>
  <c r="AQ119" i="5"/>
  <c r="AR119" i="5"/>
  <c r="AR55" i="5"/>
  <c r="AQ55" i="5"/>
  <c r="AR425" i="5"/>
  <c r="AQ425" i="5"/>
  <c r="AR328" i="5"/>
  <c r="AQ328" i="5"/>
  <c r="AR143" i="5"/>
  <c r="AQ143" i="5"/>
  <c r="AR176" i="5"/>
  <c r="AQ176" i="5"/>
  <c r="AQ500" i="5"/>
  <c r="AR500" i="5"/>
  <c r="AQ134" i="5"/>
  <c r="AR134" i="5"/>
  <c r="AR542" i="5"/>
  <c r="AQ542" i="5"/>
  <c r="AR505" i="5"/>
  <c r="AQ505" i="5"/>
  <c r="AQ226" i="5"/>
  <c r="AR226" i="5"/>
  <c r="AQ65" i="5"/>
  <c r="AR65" i="5"/>
  <c r="AQ528" i="5"/>
  <c r="AR528" i="5"/>
  <c r="AQ305" i="5"/>
  <c r="AR305" i="5"/>
  <c r="AR288" i="5"/>
  <c r="AQ288" i="5"/>
  <c r="AQ106" i="5"/>
  <c r="AR106" i="5"/>
  <c r="AR331" i="5"/>
  <c r="AQ331" i="5"/>
  <c r="AQ389" i="5"/>
  <c r="AR389" i="5"/>
  <c r="AR94" i="5"/>
  <c r="AQ94" i="5"/>
  <c r="AR174" i="5"/>
  <c r="AQ174" i="5"/>
  <c r="AR508" i="5"/>
  <c r="AQ508" i="5"/>
  <c r="AR342" i="5"/>
  <c r="AQ342" i="5"/>
  <c r="AR111" i="5"/>
  <c r="AQ111" i="5"/>
  <c r="AQ250" i="5"/>
  <c r="AR250" i="5"/>
  <c r="AR34" i="5"/>
  <c r="AQ34" i="5"/>
  <c r="AR472" i="5"/>
  <c r="AQ472" i="5"/>
  <c r="AQ29" i="5"/>
  <c r="AR29" i="5"/>
  <c r="AQ195" i="5"/>
  <c r="AR195" i="5"/>
  <c r="AR359" i="5"/>
  <c r="AQ359" i="5"/>
  <c r="AR59" i="5"/>
  <c r="AQ59" i="5"/>
  <c r="AR291" i="5"/>
  <c r="AQ291" i="5"/>
  <c r="AQ171" i="5"/>
  <c r="AR171" i="5"/>
  <c r="AQ32" i="5"/>
  <c r="AR32" i="5"/>
  <c r="AQ348" i="5"/>
  <c r="AR348" i="5"/>
  <c r="AQ69" i="5"/>
  <c r="AR69" i="5"/>
  <c r="AQ515" i="5"/>
  <c r="AR515" i="5"/>
  <c r="AQ90" i="5"/>
  <c r="AR90" i="5"/>
  <c r="AR361" i="5"/>
  <c r="AQ361" i="5"/>
  <c r="AQ489" i="5"/>
  <c r="AR489" i="5"/>
  <c r="AR107" i="5"/>
  <c r="AQ107" i="5"/>
  <c r="AR266" i="5"/>
  <c r="AQ266" i="5"/>
  <c r="AQ152" i="5"/>
  <c r="AR152" i="5"/>
  <c r="AR398" i="5"/>
  <c r="AQ398" i="5"/>
  <c r="AQ286" i="5"/>
  <c r="AR286" i="5"/>
  <c r="AQ271" i="5"/>
  <c r="AR271" i="5"/>
  <c r="AQ422" i="5"/>
  <c r="AR422" i="5"/>
  <c r="AQ70" i="5"/>
  <c r="AR70" i="5"/>
  <c r="AQ181" i="5"/>
  <c r="AR181" i="5"/>
  <c r="AR538" i="5"/>
  <c r="AQ538" i="5"/>
  <c r="AQ512" i="5"/>
  <c r="AR512" i="5"/>
  <c r="AQ552" i="5"/>
  <c r="AR552" i="5"/>
  <c r="AQ475" i="5"/>
  <c r="AR475" i="5"/>
  <c r="AQ265" i="5"/>
  <c r="AR265" i="5"/>
  <c r="AR247" i="5"/>
  <c r="AQ247" i="5"/>
  <c r="AR394" i="5"/>
  <c r="AQ394" i="5"/>
  <c r="AR41" i="5"/>
  <c r="AQ41" i="5"/>
  <c r="AR112" i="5"/>
  <c r="AQ112" i="5"/>
  <c r="AR482" i="5"/>
  <c r="AQ482" i="5"/>
  <c r="AQ42" i="5"/>
  <c r="AR42" i="5"/>
  <c r="AQ403" i="5"/>
  <c r="AR403" i="5"/>
  <c r="AQ243" i="5"/>
  <c r="AR243" i="5"/>
  <c r="AQ442" i="5"/>
  <c r="AR442" i="5"/>
  <c r="AQ50" i="5"/>
  <c r="AR50" i="5"/>
  <c r="AR507" i="5"/>
  <c r="AQ507" i="5"/>
  <c r="AR294" i="5"/>
  <c r="AQ294" i="5"/>
  <c r="AR26" i="5"/>
  <c r="AQ26" i="5"/>
  <c r="AQ461" i="5"/>
  <c r="AR461" i="5"/>
  <c r="Z99" i="4"/>
  <c r="AN99" i="4" s="1"/>
  <c r="AS101" i="5"/>
  <c r="AS89" i="5"/>
  <c r="AS389" i="5"/>
  <c r="AS328" i="5"/>
  <c r="AS193" i="5"/>
  <c r="AS415" i="5"/>
  <c r="AS451" i="5"/>
  <c r="AS251" i="5"/>
  <c r="AS310" i="5"/>
  <c r="AS247" i="5"/>
  <c r="AS167" i="5"/>
  <c r="AS533" i="5"/>
  <c r="AS492" i="5"/>
  <c r="AS468" i="5"/>
  <c r="AS137" i="5"/>
  <c r="AS55" i="5"/>
  <c r="AS559" i="5"/>
  <c r="AS370" i="5"/>
  <c r="AS333" i="5"/>
  <c r="AS113" i="5"/>
  <c r="AS519" i="5"/>
  <c r="AS424" i="5"/>
  <c r="AS345" i="5"/>
  <c r="AS321" i="5"/>
  <c r="AS182" i="5"/>
  <c r="AS557" i="5"/>
  <c r="AS293" i="5"/>
  <c r="AS274" i="5"/>
  <c r="AS187" i="5"/>
  <c r="AS421" i="5"/>
  <c r="AS481" i="5"/>
  <c r="AS159" i="5"/>
  <c r="AS110" i="5"/>
  <c r="AS50" i="5"/>
  <c r="AS400" i="5"/>
  <c r="AS460" i="5"/>
  <c r="AS283" i="5"/>
  <c r="AS554" i="5"/>
  <c r="AS147" i="5"/>
  <c r="AS220" i="5"/>
  <c r="AS324" i="5"/>
  <c r="AS8" i="5"/>
  <c r="AS42" i="5"/>
  <c r="AS499" i="5"/>
  <c r="AS419" i="5"/>
  <c r="AS348" i="5"/>
  <c r="AS278" i="5"/>
  <c r="AS362" i="5"/>
  <c r="AS486" i="5"/>
  <c r="AS291" i="5"/>
  <c r="AS502" i="5"/>
  <c r="AS368" i="5"/>
  <c r="AS90" i="5"/>
  <c r="AS120" i="5"/>
  <c r="AS175" i="5"/>
  <c r="AS326" i="5"/>
  <c r="AS126" i="5"/>
  <c r="AS363" i="5"/>
  <c r="AS41" i="5"/>
  <c r="AS52" i="5"/>
  <c r="AS230" i="5"/>
  <c r="AS60" i="5"/>
  <c r="AS455" i="5"/>
  <c r="AS319" i="5"/>
  <c r="AS198" i="5"/>
  <c r="AS200" i="5"/>
  <c r="AS82" i="5"/>
  <c r="AS351" i="5"/>
  <c r="AO10" i="5"/>
  <c r="AN10" i="5"/>
  <c r="Z55" i="4"/>
  <c r="AN55" i="4" s="1"/>
  <c r="AE26" i="4"/>
  <c r="Z76" i="4"/>
  <c r="AN76" i="4" s="1"/>
  <c r="AL210" i="5"/>
  <c r="AK210" i="5"/>
  <c r="AL500" i="5"/>
  <c r="AK500" i="5"/>
  <c r="AL177" i="5"/>
  <c r="AK177" i="5"/>
  <c r="AK95" i="5"/>
  <c r="AL95" i="5"/>
  <c r="AK181" i="5"/>
  <c r="AL181" i="5"/>
  <c r="AL373" i="5"/>
  <c r="AK373" i="5"/>
  <c r="AL543" i="5"/>
  <c r="AK543" i="5"/>
  <c r="AK281" i="5"/>
  <c r="AL281" i="5"/>
  <c r="AK450" i="5"/>
  <c r="AL450" i="5"/>
  <c r="AL278" i="5"/>
  <c r="AK278" i="5"/>
  <c r="AL376" i="5"/>
  <c r="AK376" i="5"/>
  <c r="AK271" i="5"/>
  <c r="AL271" i="5"/>
  <c r="AK275" i="5"/>
  <c r="AL275" i="5"/>
  <c r="AK74" i="5"/>
  <c r="AL74" i="5"/>
  <c r="AK474" i="5"/>
  <c r="AL474" i="5"/>
  <c r="AL367" i="5"/>
  <c r="AK367" i="5"/>
  <c r="AK538" i="5"/>
  <c r="AL538" i="5"/>
  <c r="AK415" i="5"/>
  <c r="AL415" i="5"/>
  <c r="AK33" i="5"/>
  <c r="AL33" i="5"/>
  <c r="AL189" i="5"/>
  <c r="AK189" i="5"/>
  <c r="AK204" i="5"/>
  <c r="AL204" i="5"/>
  <c r="AL201" i="5"/>
  <c r="AK201" i="5"/>
  <c r="AL518" i="5"/>
  <c r="AK518" i="5"/>
  <c r="AL114" i="5"/>
  <c r="AK114" i="5"/>
  <c r="AL349" i="5"/>
  <c r="AK349" i="5"/>
  <c r="AL333" i="5"/>
  <c r="AK333" i="5"/>
  <c r="AL195" i="5"/>
  <c r="AK195" i="5"/>
  <c r="AL468" i="5"/>
  <c r="AK468" i="5"/>
  <c r="AK559" i="5"/>
  <c r="AL559" i="5"/>
  <c r="AK23" i="5"/>
  <c r="AL23" i="5"/>
  <c r="AL347" i="5"/>
  <c r="AK347" i="5"/>
  <c r="AL427" i="5"/>
  <c r="AK427" i="5"/>
  <c r="AL103" i="5"/>
  <c r="AK103" i="5"/>
  <c r="AK265" i="5"/>
  <c r="AL265" i="5"/>
  <c r="AL157" i="5"/>
  <c r="AK157" i="5"/>
  <c r="AL49" i="5"/>
  <c r="AK49" i="5"/>
  <c r="AK357" i="5"/>
  <c r="AL357" i="5"/>
  <c r="AL418" i="5"/>
  <c r="AK418" i="5"/>
  <c r="AL240" i="5"/>
  <c r="AK240" i="5"/>
  <c r="AL108" i="5"/>
  <c r="AK108" i="5"/>
  <c r="AL490" i="5"/>
  <c r="AK490" i="5"/>
  <c r="AK448" i="5"/>
  <c r="AL448" i="5"/>
  <c r="AL241" i="5"/>
  <c r="AK241" i="5"/>
  <c r="AK79" i="5"/>
  <c r="AL79" i="5"/>
  <c r="AL469" i="5"/>
  <c r="AK469" i="5"/>
  <c r="AL558" i="5"/>
  <c r="AK558" i="5"/>
  <c r="AK508" i="5"/>
  <c r="AL508" i="5"/>
  <c r="AL365" i="5"/>
  <c r="AK365" i="5"/>
  <c r="AK370" i="5"/>
  <c r="AL370" i="5"/>
  <c r="AK151" i="5"/>
  <c r="AL151" i="5"/>
  <c r="AK179" i="5"/>
  <c r="AL179" i="5"/>
  <c r="AK253" i="5"/>
  <c r="AL253" i="5"/>
  <c r="AL498" i="5"/>
  <c r="AK498" i="5"/>
  <c r="AK478" i="5"/>
  <c r="AL478" i="5"/>
  <c r="AL481" i="5"/>
  <c r="AK481" i="5"/>
  <c r="AL335" i="5"/>
  <c r="AK335" i="5"/>
  <c r="AK100" i="5"/>
  <c r="AL100" i="5"/>
  <c r="AK212" i="5"/>
  <c r="AL212" i="5"/>
  <c r="AK184" i="5"/>
  <c r="AL184" i="5"/>
  <c r="AK380" i="5"/>
  <c r="AL380" i="5"/>
  <c r="AL62" i="5"/>
  <c r="AK62" i="5"/>
  <c r="AK163" i="5"/>
  <c r="AL163" i="5"/>
  <c r="AK405" i="5"/>
  <c r="AL405" i="5"/>
  <c r="AK45" i="5"/>
  <c r="AL45" i="5"/>
  <c r="AK273" i="5"/>
  <c r="AL273" i="5"/>
  <c r="AL464" i="5"/>
  <c r="AK464" i="5"/>
  <c r="AK489" i="5"/>
  <c r="AL489" i="5"/>
  <c r="AL102" i="5"/>
  <c r="AK102" i="5"/>
  <c r="AE105" i="4"/>
  <c r="AR463" i="5"/>
  <c r="AQ463" i="5"/>
  <c r="AR405" i="5"/>
  <c r="AQ405" i="5"/>
  <c r="AR527" i="5"/>
  <c r="AQ527" i="5"/>
  <c r="AQ62" i="5"/>
  <c r="AR62" i="5"/>
  <c r="AQ267" i="5"/>
  <c r="AR267" i="5"/>
  <c r="AR339" i="5"/>
  <c r="AQ339" i="5"/>
  <c r="AR123" i="5"/>
  <c r="AQ123" i="5"/>
  <c r="AR260" i="5"/>
  <c r="AQ260" i="5"/>
  <c r="AQ406" i="5"/>
  <c r="AR406" i="5"/>
  <c r="AR544" i="5"/>
  <c r="AQ544" i="5"/>
  <c r="AQ192" i="5"/>
  <c r="AR192" i="5"/>
  <c r="AR99" i="5"/>
  <c r="AQ99" i="5"/>
  <c r="AQ307" i="5"/>
  <c r="AR307" i="5"/>
  <c r="AR518" i="5"/>
  <c r="AQ518" i="5"/>
  <c r="AR363" i="5"/>
  <c r="AQ363" i="5"/>
  <c r="AQ395" i="5"/>
  <c r="AR395" i="5"/>
  <c r="AQ101" i="5"/>
  <c r="AR101" i="5"/>
  <c r="AR378" i="5"/>
  <c r="AQ378" i="5"/>
  <c r="AQ404" i="5"/>
  <c r="AR404" i="5"/>
  <c r="AQ374" i="5"/>
  <c r="AR374" i="5"/>
  <c r="AR142" i="5"/>
  <c r="AQ142" i="5"/>
  <c r="AQ7" i="5"/>
  <c r="AR7" i="5"/>
  <c r="AR419" i="5"/>
  <c r="AQ419" i="5"/>
  <c r="AR329" i="5"/>
  <c r="AQ329" i="5"/>
  <c r="AQ138" i="5"/>
  <c r="AR138" i="5"/>
  <c r="AQ513" i="5"/>
  <c r="AR513" i="5"/>
  <c r="AR133" i="5"/>
  <c r="AQ133" i="5"/>
  <c r="AR409" i="5"/>
  <c r="AQ409" i="5"/>
  <c r="AQ153" i="5"/>
  <c r="AR153" i="5"/>
  <c r="AQ256" i="5"/>
  <c r="AR256" i="5"/>
  <c r="AR418" i="5"/>
  <c r="AQ418" i="5"/>
  <c r="AQ385" i="5"/>
  <c r="AR385" i="5"/>
  <c r="AQ117" i="5"/>
  <c r="AR117" i="5"/>
  <c r="AQ311" i="5"/>
  <c r="AR311" i="5"/>
  <c r="AR407" i="5"/>
  <c r="AQ407" i="5"/>
  <c r="AR66" i="5"/>
  <c r="AQ66" i="5"/>
  <c r="AR300" i="5"/>
  <c r="AQ300" i="5"/>
  <c r="AQ235" i="5"/>
  <c r="AR235" i="5"/>
  <c r="AR384" i="5"/>
  <c r="AQ384" i="5"/>
  <c r="AQ397" i="5"/>
  <c r="AR397" i="5"/>
  <c r="AQ367" i="5"/>
  <c r="AR367" i="5"/>
  <c r="AQ173" i="5"/>
  <c r="AR173" i="5"/>
  <c r="AQ23" i="5"/>
  <c r="AR23" i="5"/>
  <c r="AQ202" i="5"/>
  <c r="AR202" i="5"/>
  <c r="AR178" i="5"/>
  <c r="AQ178" i="5"/>
  <c r="AR557" i="5"/>
  <c r="AQ557" i="5"/>
  <c r="AR217" i="5"/>
  <c r="AQ217" i="5"/>
  <c r="AQ333" i="5"/>
  <c r="AR333" i="5"/>
  <c r="AQ416" i="5"/>
  <c r="AR416" i="5"/>
  <c r="AQ434" i="5"/>
  <c r="AR434" i="5"/>
  <c r="AQ180" i="5"/>
  <c r="AR180" i="5"/>
  <c r="AR390" i="5"/>
  <c r="AQ390" i="5"/>
  <c r="AR558" i="5"/>
  <c r="AQ558" i="5"/>
  <c r="AQ401" i="5"/>
  <c r="AR401" i="5"/>
  <c r="AQ56" i="5"/>
  <c r="AR56" i="5"/>
  <c r="AR212" i="5"/>
  <c r="AQ212" i="5"/>
  <c r="AR175" i="5"/>
  <c r="AQ175" i="5"/>
  <c r="AQ249" i="5"/>
  <c r="AR249" i="5"/>
  <c r="AR31" i="5"/>
  <c r="AQ31" i="5"/>
  <c r="AQ447" i="5"/>
  <c r="AR447" i="5"/>
  <c r="AR441" i="5"/>
  <c r="AQ441" i="5"/>
  <c r="AR313" i="5"/>
  <c r="AQ313" i="5"/>
  <c r="AR470" i="5"/>
  <c r="AQ470" i="5"/>
  <c r="AQ545" i="5"/>
  <c r="AR545" i="5"/>
  <c r="AR234" i="5"/>
  <c r="AQ234" i="5"/>
  <c r="AQ122" i="5"/>
  <c r="AR122" i="5"/>
  <c r="AQ165" i="5"/>
  <c r="AR165" i="5"/>
  <c r="AQ156" i="5"/>
  <c r="AR156" i="5"/>
  <c r="AH7" i="5"/>
  <c r="AG7" i="5"/>
  <c r="B236" i="2" s="1"/>
  <c r="BI7" i="5"/>
  <c r="X67" i="4"/>
  <c r="AA67" i="4" s="1"/>
  <c r="AS31" i="5"/>
  <c r="AS440" i="5"/>
  <c r="AS136" i="5"/>
  <c r="AS458" i="5"/>
  <c r="AS516" i="5"/>
  <c r="AS118" i="5"/>
  <c r="AS267" i="5"/>
  <c r="AS551" i="5"/>
  <c r="AS316" i="5"/>
  <c r="AS268" i="5"/>
  <c r="AS131" i="5"/>
  <c r="AS498" i="5"/>
  <c r="AS144" i="5"/>
  <c r="AS401" i="5"/>
  <c r="AS367" i="5"/>
  <c r="AS334" i="5"/>
  <c r="AS105" i="5"/>
  <c r="AS311" i="5"/>
  <c r="AS206" i="5"/>
  <c r="AS107" i="5"/>
  <c r="AS361" i="5"/>
  <c r="AS414" i="5"/>
  <c r="AS542" i="5"/>
  <c r="AS538" i="5"/>
  <c r="AS406" i="5"/>
  <c r="AS63" i="5"/>
  <c r="AS339" i="5"/>
  <c r="AS409" i="5"/>
  <c r="AS518" i="5"/>
  <c r="AS258" i="5"/>
  <c r="AS146" i="5"/>
  <c r="AS382" i="5"/>
  <c r="AS487" i="5"/>
  <c r="AS531" i="5"/>
  <c r="AS364" i="5"/>
  <c r="AS69" i="5"/>
  <c r="AS240" i="5"/>
  <c r="AS40" i="5"/>
  <c r="AS97" i="5"/>
  <c r="AS163" i="5"/>
  <c r="AS548" i="5"/>
  <c r="AS222" i="5"/>
  <c r="AS306" i="5"/>
  <c r="AS233" i="5"/>
  <c r="AS366" i="5"/>
  <c r="AS546" i="5"/>
  <c r="AS320" i="5"/>
  <c r="AS457" i="5"/>
  <c r="AS536" i="5"/>
  <c r="AS73" i="5"/>
  <c r="AS232" i="5"/>
  <c r="AS379" i="5"/>
  <c r="AS475" i="5"/>
  <c r="AS488" i="5"/>
  <c r="AS466" i="5"/>
  <c r="AS24" i="5"/>
  <c r="AS482" i="5"/>
  <c r="AS383" i="5"/>
  <c r="AS506" i="5"/>
  <c r="AS119" i="5"/>
  <c r="AS84" i="5"/>
  <c r="AS517" i="5"/>
  <c r="AS149" i="5"/>
  <c r="AS210" i="5"/>
  <c r="AS21" i="5"/>
  <c r="AS51" i="5"/>
  <c r="AS196" i="5"/>
  <c r="AS280" i="5"/>
  <c r="Z38" i="4"/>
  <c r="AN38" i="4" s="1"/>
  <c r="AQ10" i="5"/>
  <c r="AR10" i="5"/>
  <c r="Z24" i="4"/>
  <c r="AN24" i="4" s="1"/>
  <c r="AE53" i="4"/>
  <c r="Z104" i="4"/>
  <c r="AN104" i="4" s="1"/>
  <c r="AL259" i="5"/>
  <c r="AK259" i="5"/>
  <c r="AL515" i="5"/>
  <c r="AK515" i="5"/>
  <c r="AK445" i="5"/>
  <c r="AL445" i="5"/>
  <c r="AK319" i="5"/>
  <c r="AL319" i="5"/>
  <c r="AK314" i="5"/>
  <c r="AL314" i="5"/>
  <c r="AL306" i="5"/>
  <c r="AK306" i="5"/>
  <c r="AK91" i="5"/>
  <c r="AL91" i="5"/>
  <c r="AL22" i="5"/>
  <c r="AK22" i="5"/>
  <c r="AL499" i="5"/>
  <c r="AK499" i="5"/>
  <c r="AK484" i="5"/>
  <c r="AL484" i="5"/>
  <c r="AL109" i="5"/>
  <c r="AK109" i="5"/>
  <c r="AL282" i="5"/>
  <c r="AK282" i="5"/>
  <c r="AK50" i="5"/>
  <c r="AL50" i="5"/>
  <c r="AK145" i="5"/>
  <c r="AL145" i="5"/>
  <c r="AK267" i="5"/>
  <c r="AL267" i="5"/>
  <c r="AK224" i="5"/>
  <c r="AL224" i="5"/>
  <c r="AL211" i="5"/>
  <c r="AK211" i="5"/>
  <c r="AL24" i="5"/>
  <c r="AK24" i="5"/>
  <c r="AK399" i="5"/>
  <c r="AL399" i="5"/>
  <c r="AK199" i="5"/>
  <c r="AL199" i="5"/>
  <c r="AK293" i="5"/>
  <c r="AL293" i="5"/>
  <c r="AL493" i="5"/>
  <c r="AK493" i="5"/>
  <c r="AK439" i="5"/>
  <c r="AL439" i="5"/>
  <c r="AK72" i="5"/>
  <c r="AL72" i="5"/>
  <c r="AL363" i="5"/>
  <c r="AK363" i="5"/>
  <c r="AK42" i="5"/>
  <c r="AL42" i="5"/>
  <c r="AK110" i="5"/>
  <c r="AL110" i="5"/>
  <c r="AL389" i="5"/>
  <c r="AK389" i="5"/>
  <c r="AK297" i="5"/>
  <c r="AL297" i="5"/>
  <c r="AK456" i="5"/>
  <c r="AL456" i="5"/>
  <c r="AL434" i="5"/>
  <c r="AK434" i="5"/>
  <c r="AL52" i="5"/>
  <c r="AK52" i="5"/>
  <c r="AK81" i="5"/>
  <c r="AL81" i="5"/>
  <c r="AL40" i="5"/>
  <c r="AK40" i="5"/>
  <c r="AL364" i="5"/>
  <c r="AK364" i="5"/>
  <c r="AL369" i="5"/>
  <c r="AK369" i="5"/>
  <c r="AK283" i="5"/>
  <c r="AL283" i="5"/>
  <c r="AL28" i="5"/>
  <c r="AK28" i="5"/>
  <c r="AK342" i="5"/>
  <c r="AL342" i="5"/>
  <c r="AK143" i="5"/>
  <c r="AL143" i="5"/>
  <c r="AL406" i="5"/>
  <c r="AK406" i="5"/>
  <c r="AL154" i="5"/>
  <c r="AK154" i="5"/>
  <c r="AK475" i="5"/>
  <c r="AL475" i="5"/>
  <c r="AL161" i="5"/>
  <c r="AK161" i="5"/>
  <c r="AL134" i="5"/>
  <c r="AK134" i="5"/>
  <c r="AK279" i="5"/>
  <c r="AL279" i="5"/>
  <c r="AK409" i="5"/>
  <c r="AL409" i="5"/>
  <c r="AK337" i="5"/>
  <c r="AL337" i="5"/>
  <c r="AK260" i="5"/>
  <c r="AL260" i="5"/>
  <c r="AL209" i="5"/>
  <c r="AK209" i="5"/>
  <c r="AL190" i="5"/>
  <c r="AK190" i="5"/>
  <c r="AL200" i="5"/>
  <c r="AK200" i="5"/>
  <c r="AL471" i="5"/>
  <c r="AK471" i="5"/>
  <c r="AK86" i="5"/>
  <c r="AL86" i="5"/>
  <c r="AL93" i="5"/>
  <c r="AK93" i="5"/>
  <c r="AL496" i="5"/>
  <c r="AK496" i="5"/>
  <c r="AK453" i="5"/>
  <c r="AL453" i="5"/>
  <c r="AL126" i="5"/>
  <c r="AK126" i="5"/>
  <c r="AK105" i="5"/>
  <c r="AL105" i="5"/>
  <c r="AL13" i="5"/>
  <c r="AK13" i="5"/>
  <c r="AL326" i="5"/>
  <c r="AK326" i="5"/>
  <c r="AK136" i="5"/>
  <c r="AL136" i="5"/>
  <c r="AK252" i="5"/>
  <c r="AL252" i="5"/>
  <c r="AK213" i="5"/>
  <c r="AL213" i="5"/>
  <c r="AK451" i="5"/>
  <c r="AL451" i="5"/>
  <c r="AL491" i="5"/>
  <c r="AK491" i="5"/>
  <c r="AK386" i="5"/>
  <c r="AL386" i="5"/>
  <c r="AL458" i="5"/>
  <c r="AK458" i="5"/>
  <c r="AQ553" i="5"/>
  <c r="AR553" i="5"/>
  <c r="AQ549" i="5"/>
  <c r="AR549" i="5"/>
  <c r="AR381" i="5"/>
  <c r="AQ381" i="5"/>
  <c r="AQ529" i="5"/>
  <c r="AR529" i="5"/>
  <c r="AQ290" i="5"/>
  <c r="AR290" i="5"/>
  <c r="AR150" i="5"/>
  <c r="AQ150" i="5"/>
  <c r="AR282" i="5"/>
  <c r="AQ282" i="5"/>
  <c r="AQ388" i="5"/>
  <c r="AR388" i="5"/>
  <c r="AQ81" i="5"/>
  <c r="AR81" i="5"/>
  <c r="AR87" i="5"/>
  <c r="AQ87" i="5"/>
  <c r="AQ548" i="5"/>
  <c r="AR548" i="5"/>
  <c r="AQ224" i="5"/>
  <c r="AR224" i="5"/>
  <c r="AQ476" i="5"/>
  <c r="AR476" i="5"/>
  <c r="AQ543" i="5"/>
  <c r="AR543" i="5"/>
  <c r="AQ24" i="5"/>
  <c r="AR24" i="5"/>
  <c r="AR44" i="5"/>
  <c r="AQ44" i="5"/>
  <c r="AQ182" i="5"/>
  <c r="AR182" i="5"/>
  <c r="AR244" i="5"/>
  <c r="AQ244" i="5"/>
  <c r="AQ72" i="5"/>
  <c r="AR72" i="5"/>
  <c r="AQ480" i="5"/>
  <c r="AR480" i="5"/>
  <c r="AQ163" i="5"/>
  <c r="AR163" i="5"/>
  <c r="AR444" i="5"/>
  <c r="AQ444" i="5"/>
  <c r="AQ522" i="5"/>
  <c r="AR522" i="5"/>
  <c r="AR502" i="5"/>
  <c r="AQ502" i="5"/>
  <c r="AQ308" i="5"/>
  <c r="AR308" i="5"/>
  <c r="AR314" i="5"/>
  <c r="AQ314" i="5"/>
  <c r="AR262" i="5"/>
  <c r="AQ262" i="5"/>
  <c r="AR151" i="5"/>
  <c r="AQ151" i="5"/>
  <c r="AR457" i="5"/>
  <c r="AQ457" i="5"/>
  <c r="AQ509" i="5"/>
  <c r="AR509" i="5"/>
  <c r="AQ125" i="5"/>
  <c r="AR125" i="5"/>
  <c r="AR467" i="5"/>
  <c r="AQ467" i="5"/>
  <c r="AR310" i="5"/>
  <c r="AQ310" i="5"/>
  <c r="AR560" i="5"/>
  <c r="AQ560" i="5"/>
  <c r="AR490" i="5"/>
  <c r="AQ490" i="5"/>
  <c r="AR86" i="5"/>
  <c r="AQ86" i="5"/>
  <c r="AQ469" i="5"/>
  <c r="AR469" i="5"/>
  <c r="AR13" i="5"/>
  <c r="AQ13" i="5"/>
  <c r="AQ535" i="5"/>
  <c r="AR535" i="5"/>
  <c r="AQ80" i="5"/>
  <c r="AR80" i="5"/>
  <c r="AQ373" i="5"/>
  <c r="AR373" i="5"/>
  <c r="AQ254" i="5"/>
  <c r="AR254" i="5"/>
  <c r="AR471" i="5"/>
  <c r="AQ471" i="5"/>
  <c r="AR450" i="5"/>
  <c r="AQ450" i="5"/>
  <c r="AR499" i="5"/>
  <c r="AQ499" i="5"/>
  <c r="AQ354" i="5"/>
  <c r="AR354" i="5"/>
  <c r="AQ530" i="5"/>
  <c r="AR530" i="5"/>
  <c r="AR324" i="5"/>
  <c r="AQ324" i="5"/>
  <c r="AQ193" i="5"/>
  <c r="AR193" i="5"/>
  <c r="AR462" i="5"/>
  <c r="AQ462" i="5"/>
  <c r="AR35" i="5"/>
  <c r="AQ35" i="5"/>
  <c r="AQ36" i="5"/>
  <c r="AR36" i="5"/>
  <c r="AQ74" i="5"/>
  <c r="AR74" i="5"/>
  <c r="AQ326" i="5"/>
  <c r="AR326" i="5"/>
  <c r="AQ400" i="5"/>
  <c r="AR400" i="5"/>
  <c r="AQ399" i="5"/>
  <c r="AR399" i="5"/>
  <c r="AR287" i="5"/>
  <c r="AQ287" i="5"/>
  <c r="AR108" i="5"/>
  <c r="AQ108" i="5"/>
  <c r="AR82" i="5"/>
  <c r="AQ82" i="5"/>
  <c r="AQ351" i="5"/>
  <c r="AR351" i="5"/>
  <c r="AQ280" i="5"/>
  <c r="AR280" i="5"/>
  <c r="AR89" i="5"/>
  <c r="AQ89" i="5"/>
  <c r="AR491" i="5"/>
  <c r="AQ491" i="5"/>
  <c r="AQ417" i="5"/>
  <c r="AR417" i="5"/>
  <c r="AR22" i="5"/>
  <c r="AQ22" i="5"/>
  <c r="AR188" i="5"/>
  <c r="AQ188" i="5"/>
  <c r="AQ236" i="5"/>
  <c r="AR236" i="5"/>
  <c r="AQ540" i="5"/>
  <c r="AR540" i="5"/>
  <c r="AS150" i="5"/>
  <c r="AS494" i="5"/>
  <c r="AS152" i="5"/>
  <c r="AS114" i="5"/>
  <c r="AS302" i="5"/>
  <c r="AS398" i="5"/>
  <c r="AS76" i="5"/>
  <c r="AS340" i="5"/>
  <c r="AS106" i="5"/>
  <c r="AS27" i="5"/>
  <c r="AS74" i="5"/>
  <c r="AS34" i="5"/>
  <c r="AS493" i="5"/>
  <c r="AS250" i="5"/>
  <c r="AS425" i="5"/>
  <c r="AS469" i="5"/>
  <c r="AS178" i="5"/>
  <c r="AS36" i="5"/>
  <c r="AS197" i="5"/>
  <c r="AS244" i="5"/>
  <c r="AS59" i="5"/>
  <c r="AS480" i="5"/>
  <c r="AS545" i="5"/>
  <c r="AS433" i="5"/>
  <c r="AS225" i="5"/>
  <c r="AS242" i="5"/>
  <c r="AS289" i="5"/>
  <c r="AS243" i="5"/>
  <c r="AS169" i="5"/>
  <c r="AS249" i="5"/>
  <c r="AS436" i="5"/>
  <c r="AS426" i="5"/>
  <c r="AS78" i="5"/>
  <c r="AS260" i="5"/>
  <c r="AS195" i="5"/>
  <c r="AS332" i="5"/>
  <c r="AS165" i="5"/>
  <c r="AS413" i="5"/>
  <c r="AS64" i="5"/>
  <c r="AS342" i="5"/>
  <c r="AS33" i="5"/>
  <c r="AS184" i="5"/>
  <c r="AS560" i="5"/>
  <c r="AS248" i="5"/>
  <c r="AS125" i="5"/>
  <c r="AS228" i="5"/>
  <c r="AS530" i="5"/>
  <c r="AS109" i="5"/>
  <c r="AS507" i="5"/>
  <c r="AS397" i="5"/>
  <c r="AS403" i="5"/>
  <c r="AS344" i="5"/>
  <c r="AS478" i="5"/>
  <c r="AS161" i="5"/>
  <c r="AS85" i="5"/>
  <c r="AS128" i="5"/>
  <c r="AS275" i="5"/>
  <c r="AS223" i="5"/>
  <c r="AS508" i="5"/>
  <c r="AS57" i="5"/>
  <c r="AS117" i="5"/>
  <c r="AS429" i="5"/>
  <c r="AS391" i="5"/>
  <c r="AS509" i="5"/>
  <c r="AS211" i="5"/>
  <c r="AS92" i="5"/>
  <c r="AS479" i="5"/>
  <c r="AS535" i="5"/>
  <c r="AK10" i="5"/>
  <c r="AL10" i="5"/>
  <c r="AE41" i="4"/>
  <c r="AE101" i="4"/>
  <c r="AE142" i="4"/>
  <c r="AL533" i="5"/>
  <c r="AK533" i="5"/>
  <c r="AK524" i="5"/>
  <c r="AL524" i="5"/>
  <c r="AL155" i="5"/>
  <c r="AK155" i="5"/>
  <c r="AK202" i="5"/>
  <c r="AL202" i="5"/>
  <c r="AK222" i="5"/>
  <c r="AL222" i="5"/>
  <c r="AK362" i="5"/>
  <c r="AL362" i="5"/>
  <c r="AL358" i="5"/>
  <c r="AK358" i="5"/>
  <c r="AL43" i="5"/>
  <c r="AK43" i="5"/>
  <c r="AL272" i="5"/>
  <c r="AK272" i="5"/>
  <c r="AL270" i="5"/>
  <c r="AK270" i="5"/>
  <c r="AK130" i="5"/>
  <c r="AL130" i="5"/>
  <c r="AK67" i="5"/>
  <c r="AL67" i="5"/>
  <c r="AK251" i="5"/>
  <c r="AL251" i="5"/>
  <c r="AK44" i="5"/>
  <c r="AL44" i="5"/>
  <c r="AK63" i="5"/>
  <c r="AL63" i="5"/>
  <c r="AK397" i="5"/>
  <c r="AL397" i="5"/>
  <c r="AK142" i="5"/>
  <c r="AL142" i="5"/>
  <c r="AK530" i="5"/>
  <c r="AL530" i="5"/>
  <c r="AL303" i="5"/>
  <c r="AK303" i="5"/>
  <c r="AL111" i="5"/>
  <c r="AK111" i="5"/>
  <c r="AL208" i="5"/>
  <c r="AK208" i="5"/>
  <c r="AL463" i="5"/>
  <c r="AK463" i="5"/>
  <c r="AL410" i="5"/>
  <c r="AK410" i="5"/>
  <c r="AK316" i="5"/>
  <c r="AL316" i="5"/>
  <c r="AL138" i="5"/>
  <c r="AK138" i="5"/>
  <c r="AL169" i="5"/>
  <c r="AK169" i="5"/>
  <c r="AL383" i="5"/>
  <c r="AK383" i="5"/>
  <c r="AL176" i="5"/>
  <c r="AK176" i="5"/>
  <c r="AL242" i="5"/>
  <c r="AK242" i="5"/>
  <c r="AK116" i="5"/>
  <c r="AL116" i="5"/>
  <c r="AK551" i="5"/>
  <c r="AL551" i="5"/>
  <c r="AK300" i="5"/>
  <c r="AL300" i="5"/>
  <c r="AK78" i="5"/>
  <c r="AL78" i="5"/>
  <c r="AL90" i="5"/>
  <c r="AK90" i="5"/>
  <c r="AL393" i="5"/>
  <c r="AK393" i="5"/>
  <c r="AL384" i="5"/>
  <c r="AK384" i="5"/>
  <c r="AL308" i="5"/>
  <c r="AK308" i="5"/>
  <c r="AK555" i="5"/>
  <c r="AL555" i="5"/>
  <c r="AK340" i="5"/>
  <c r="AL340" i="5"/>
  <c r="AK431" i="5"/>
  <c r="AL431" i="5"/>
  <c r="AK98" i="5"/>
  <c r="AL98" i="5"/>
  <c r="AK196" i="5"/>
  <c r="AL196" i="5"/>
  <c r="AK547" i="5"/>
  <c r="AL547" i="5"/>
  <c r="AL80" i="5"/>
  <c r="AK80" i="5"/>
  <c r="AK311" i="5"/>
  <c r="AL311" i="5"/>
  <c r="AL274" i="5"/>
  <c r="AK274" i="5"/>
  <c r="AL127" i="5"/>
  <c r="AK127" i="5"/>
  <c r="AK495" i="5"/>
  <c r="AL495" i="5"/>
  <c r="AK159" i="5"/>
  <c r="AL159" i="5"/>
  <c r="AK430" i="5"/>
  <c r="AL430" i="5"/>
  <c r="AK71" i="5"/>
  <c r="AL71" i="5"/>
  <c r="AK519" i="5"/>
  <c r="AL519" i="5"/>
  <c r="AK64" i="5"/>
  <c r="AL64" i="5"/>
  <c r="AK215" i="5"/>
  <c r="AL215" i="5"/>
  <c r="AK465" i="5"/>
  <c r="AL465" i="5"/>
  <c r="AK232" i="5"/>
  <c r="AL232" i="5"/>
  <c r="AK193" i="5"/>
  <c r="AL193" i="5"/>
  <c r="AL122" i="5"/>
  <c r="AK122" i="5"/>
  <c r="AL291" i="5"/>
  <c r="AK291" i="5"/>
  <c r="AL511" i="5"/>
  <c r="AK511" i="5"/>
  <c r="AK30" i="5"/>
  <c r="AL30" i="5"/>
  <c r="AK411" i="5"/>
  <c r="AL411" i="5"/>
  <c r="AL483" i="5"/>
  <c r="AK483" i="5"/>
  <c r="AK245" i="5"/>
  <c r="AL245" i="5"/>
  <c r="AK341" i="5"/>
  <c r="AL341" i="5"/>
  <c r="AL150" i="5"/>
  <c r="AK150" i="5"/>
  <c r="AK395" i="5"/>
  <c r="AL395" i="5"/>
  <c r="AK372" i="5"/>
  <c r="AL372" i="5"/>
  <c r="AL387" i="5"/>
  <c r="AK387" i="5"/>
  <c r="Z127" i="4"/>
  <c r="AN127" i="4" s="1"/>
  <c r="AE18" i="4"/>
  <c r="B237" i="2"/>
  <c r="B271" i="2"/>
  <c r="H103" i="1" s="1"/>
  <c r="AR421" i="5"/>
  <c r="AQ421" i="5"/>
  <c r="AQ237" i="5"/>
  <c r="AR237" i="5"/>
  <c r="AR484" i="5"/>
  <c r="AQ484" i="5"/>
  <c r="AR408" i="5"/>
  <c r="AQ408" i="5"/>
  <c r="AR189" i="5"/>
  <c r="AQ189" i="5"/>
  <c r="AQ448" i="5"/>
  <c r="AR448" i="5"/>
  <c r="AQ443" i="5"/>
  <c r="AR443" i="5"/>
  <c r="AQ179" i="5"/>
  <c r="AR179" i="5"/>
  <c r="AR306" i="5"/>
  <c r="AQ306" i="5"/>
  <c r="AQ503" i="5"/>
  <c r="AR503" i="5"/>
  <c r="AR352" i="5"/>
  <c r="AQ352" i="5"/>
  <c r="AR452" i="5"/>
  <c r="AQ452" i="5"/>
  <c r="AR53" i="5"/>
  <c r="AQ53" i="5"/>
  <c r="AQ454" i="5"/>
  <c r="AR454" i="5"/>
  <c r="AR346" i="5"/>
  <c r="AQ346" i="5"/>
  <c r="AR164" i="5"/>
  <c r="AQ164" i="5"/>
  <c r="AR451" i="5"/>
  <c r="AQ451" i="5"/>
  <c r="AQ205" i="5"/>
  <c r="AR205" i="5"/>
  <c r="AR358" i="5"/>
  <c r="AQ358" i="5"/>
  <c r="AQ84" i="5"/>
  <c r="AR84" i="5"/>
  <c r="AR423" i="5"/>
  <c r="AQ423" i="5"/>
  <c r="AQ255" i="5"/>
  <c r="AR255" i="5"/>
  <c r="AQ559" i="5"/>
  <c r="AR559" i="5"/>
  <c r="AR495" i="5"/>
  <c r="AQ495" i="5"/>
  <c r="AR525" i="5"/>
  <c r="AQ525" i="5"/>
  <c r="AQ372" i="5"/>
  <c r="AR372" i="5"/>
  <c r="AQ83" i="5"/>
  <c r="AR83" i="5"/>
  <c r="AQ335" i="5"/>
  <c r="AR335" i="5"/>
  <c r="AR312" i="5"/>
  <c r="AQ312" i="5"/>
  <c r="AQ347" i="5"/>
  <c r="AR347" i="5"/>
  <c r="AR318" i="5"/>
  <c r="AQ318" i="5"/>
  <c r="AQ264" i="5"/>
  <c r="AR264" i="5"/>
  <c r="AQ141" i="5"/>
  <c r="AR141" i="5"/>
  <c r="AR412" i="5"/>
  <c r="AQ412" i="5"/>
  <c r="AR468" i="5"/>
  <c r="AQ468" i="5"/>
  <c r="AR186" i="5"/>
  <c r="AQ186" i="5"/>
  <c r="AR350" i="5"/>
  <c r="AQ350" i="5"/>
  <c r="AR129" i="5"/>
  <c r="AQ129" i="5"/>
  <c r="AQ546" i="5"/>
  <c r="AR546" i="5"/>
  <c r="AQ162" i="5"/>
  <c r="AR162" i="5"/>
  <c r="AQ341" i="5"/>
  <c r="AR341" i="5"/>
  <c r="AR532" i="5"/>
  <c r="AQ532" i="5"/>
  <c r="AQ268" i="5"/>
  <c r="AR268" i="5"/>
  <c r="AQ547" i="5"/>
  <c r="AR547" i="5"/>
  <c r="AQ100" i="5"/>
  <c r="AR100" i="5"/>
  <c r="AR316" i="5"/>
  <c r="AQ316" i="5"/>
  <c r="AR95" i="5"/>
  <c r="AQ95" i="5"/>
  <c r="AR172" i="5"/>
  <c r="AQ172" i="5"/>
  <c r="AQ336" i="5"/>
  <c r="AR336" i="5"/>
  <c r="AR229" i="5"/>
  <c r="AQ229" i="5"/>
  <c r="AQ473" i="5"/>
  <c r="AR473" i="5"/>
  <c r="AQ131" i="5"/>
  <c r="AR131" i="5"/>
  <c r="AR496" i="5"/>
  <c r="AQ496" i="5"/>
  <c r="AQ424" i="5"/>
  <c r="AR424" i="5"/>
  <c r="AR453" i="5"/>
  <c r="AQ453" i="5"/>
  <c r="AQ177" i="5"/>
  <c r="AR177" i="5"/>
  <c r="AQ279" i="5"/>
  <c r="AR279" i="5"/>
  <c r="AQ221" i="5"/>
  <c r="AR221" i="5"/>
  <c r="AR114" i="5"/>
  <c r="AQ114" i="5"/>
  <c r="AR380" i="5"/>
  <c r="AQ380" i="5"/>
  <c r="AQ539" i="5"/>
  <c r="AR539" i="5"/>
  <c r="AR64" i="5"/>
  <c r="AQ64" i="5"/>
  <c r="AR78" i="5"/>
  <c r="AQ78" i="5"/>
  <c r="AR550" i="5"/>
  <c r="AQ550" i="5"/>
  <c r="AQ76" i="5"/>
  <c r="AR76" i="5"/>
  <c r="AR154" i="5"/>
  <c r="AQ154" i="5"/>
  <c r="AQ360" i="5"/>
  <c r="AR360" i="5"/>
  <c r="AQ252" i="5"/>
  <c r="AR252" i="5"/>
  <c r="AR71" i="5"/>
  <c r="AQ71" i="5"/>
  <c r="Z88" i="4"/>
  <c r="AN88" i="4" s="1"/>
  <c r="AS138" i="5"/>
  <c r="AS133" i="5"/>
  <c r="AS437" i="5"/>
  <c r="AS221" i="5"/>
  <c r="AS214" i="5"/>
  <c r="AS537" i="5"/>
  <c r="AS23" i="5"/>
  <c r="AS173" i="5"/>
  <c r="AS443" i="5"/>
  <c r="AS501" i="5"/>
  <c r="AS454" i="5"/>
  <c r="AS456" i="5"/>
  <c r="AS263" i="5"/>
  <c r="AS68" i="5"/>
  <c r="AS343" i="5"/>
  <c r="AS207" i="5"/>
  <c r="AS378" i="5"/>
  <c r="AS513" i="5"/>
  <c r="AS148" i="5"/>
  <c r="AS81" i="5"/>
  <c r="AS216" i="5"/>
  <c r="AS179" i="5"/>
  <c r="AS504" i="5"/>
  <c r="AS271" i="5"/>
  <c r="AS323" i="5"/>
  <c r="AS72" i="5"/>
  <c r="AS392" i="5"/>
  <c r="AS407" i="5"/>
  <c r="AS236" i="5"/>
  <c r="AS314" i="5"/>
  <c r="AS341" i="5"/>
  <c r="AS540" i="5"/>
  <c r="AS520" i="5"/>
  <c r="AS127" i="5"/>
  <c r="AS273" i="5"/>
  <c r="AS180" i="5"/>
  <c r="AS282" i="5"/>
  <c r="AS219" i="5"/>
  <c r="AS534" i="5"/>
  <c r="AS396" i="5"/>
  <c r="AS465" i="5"/>
  <c r="AS449" i="5"/>
  <c r="AS172" i="5"/>
  <c r="AS124" i="5"/>
  <c r="AS301" i="5"/>
  <c r="AS284" i="5"/>
  <c r="AS430" i="5"/>
  <c r="AS505" i="5"/>
  <c r="AS20" i="5"/>
  <c r="AS45" i="5"/>
  <c r="AS215" i="5"/>
  <c r="AS532" i="5"/>
  <c r="AS62" i="5"/>
  <c r="AS313" i="5"/>
  <c r="AS235" i="5"/>
  <c r="AS416" i="5"/>
  <c r="AS86" i="5"/>
  <c r="AS13" i="5"/>
  <c r="AS7" i="5"/>
  <c r="AS524" i="5"/>
  <c r="AS58" i="5"/>
  <c r="AS53" i="5"/>
  <c r="AS420" i="5"/>
  <c r="AS98" i="5"/>
  <c r="AS19" i="5"/>
  <c r="AS371" i="5"/>
  <c r="AS22" i="5"/>
  <c r="AS553" i="5"/>
  <c r="AY10" i="5"/>
  <c r="AX10" i="5"/>
  <c r="BF10" i="5"/>
  <c r="AB10" i="5"/>
  <c r="AA10" i="5"/>
  <c r="AE108" i="4"/>
  <c r="AE21" i="4"/>
  <c r="AK12" i="5"/>
  <c r="AL12" i="5"/>
  <c r="AL182" i="5"/>
  <c r="AK182" i="5"/>
  <c r="AK444" i="5"/>
  <c r="AL444" i="5"/>
  <c r="AL133" i="5"/>
  <c r="AK133" i="5"/>
  <c r="AL135" i="5"/>
  <c r="AK135" i="5"/>
  <c r="AK104" i="5"/>
  <c r="AL104" i="5"/>
  <c r="AK539" i="5"/>
  <c r="AL539" i="5"/>
  <c r="AK345" i="5"/>
  <c r="AL345" i="5"/>
  <c r="AK205" i="5"/>
  <c r="AL205" i="5"/>
  <c r="AL526" i="5"/>
  <c r="AK526" i="5"/>
  <c r="AK26" i="5"/>
  <c r="AL26" i="5"/>
  <c r="AL137" i="5"/>
  <c r="AK137" i="5"/>
  <c r="AL32" i="5"/>
  <c r="AK32" i="5"/>
  <c r="AK414" i="5"/>
  <c r="AL414" i="5"/>
  <c r="AL19" i="5"/>
  <c r="AK19" i="5"/>
  <c r="AK118" i="5"/>
  <c r="AL118" i="5"/>
  <c r="AK223" i="5"/>
  <c r="AL223" i="5"/>
  <c r="AL436" i="5"/>
  <c r="AK436" i="5"/>
  <c r="AL388" i="5"/>
  <c r="AK388" i="5"/>
  <c r="AL140" i="5"/>
  <c r="AK140" i="5"/>
  <c r="AK246" i="5"/>
  <c r="AL246" i="5"/>
  <c r="AL92" i="5"/>
  <c r="AK92" i="5"/>
  <c r="AL442" i="5"/>
  <c r="AK442" i="5"/>
  <c r="AK178" i="5"/>
  <c r="AL178" i="5"/>
  <c r="AL191" i="5"/>
  <c r="AK191" i="5"/>
  <c r="AL53" i="5"/>
  <c r="AK53" i="5"/>
  <c r="AL422" i="5"/>
  <c r="AK422" i="5"/>
  <c r="AL492" i="5"/>
  <c r="AK492" i="5"/>
  <c r="AK454" i="5"/>
  <c r="AL454" i="5"/>
  <c r="AL501" i="5"/>
  <c r="AK501" i="5"/>
  <c r="AL402" i="5"/>
  <c r="AK402" i="5"/>
  <c r="AK425" i="5"/>
  <c r="AL425" i="5"/>
  <c r="AK268" i="5"/>
  <c r="AL268" i="5"/>
  <c r="AK231" i="5"/>
  <c r="AL231" i="5"/>
  <c r="AK175" i="5"/>
  <c r="AL175" i="5"/>
  <c r="AK226" i="5"/>
  <c r="AL226" i="5"/>
  <c r="AL84" i="5"/>
  <c r="AK84" i="5"/>
  <c r="AL263" i="5"/>
  <c r="AK263" i="5"/>
  <c r="AL381" i="5"/>
  <c r="AK381" i="5"/>
  <c r="AL96" i="5"/>
  <c r="AK96" i="5"/>
  <c r="AL330" i="5"/>
  <c r="AK330" i="5"/>
  <c r="AL485" i="5"/>
  <c r="AK485" i="5"/>
  <c r="AK497" i="5"/>
  <c r="AL497" i="5"/>
  <c r="AK225" i="5"/>
  <c r="AL225" i="5"/>
  <c r="AK247" i="5"/>
  <c r="AL247" i="5"/>
  <c r="AL346" i="5"/>
  <c r="AK346" i="5"/>
  <c r="AL172" i="5"/>
  <c r="AK172" i="5"/>
  <c r="AK545" i="5"/>
  <c r="AL545" i="5"/>
  <c r="AL101" i="5"/>
  <c r="AK101" i="5"/>
  <c r="AL146" i="5"/>
  <c r="AK146" i="5"/>
  <c r="AK168" i="5"/>
  <c r="AL168" i="5"/>
  <c r="AL31" i="5"/>
  <c r="AK31" i="5"/>
  <c r="AL437" i="5"/>
  <c r="AK437" i="5"/>
  <c r="AL516" i="5"/>
  <c r="AK516" i="5"/>
  <c r="AL394" i="5"/>
  <c r="AK394" i="5"/>
  <c r="AK237" i="5"/>
  <c r="AL237" i="5"/>
  <c r="AL250" i="5"/>
  <c r="AK250" i="5"/>
  <c r="AL89" i="5"/>
  <c r="AK89" i="5"/>
  <c r="AK302" i="5"/>
  <c r="AL302" i="5"/>
  <c r="AL59" i="5"/>
  <c r="AK59" i="5"/>
  <c r="AL228" i="5"/>
  <c r="AK228" i="5"/>
  <c r="AL460" i="5"/>
  <c r="AK460" i="5"/>
  <c r="AK197" i="5"/>
  <c r="AL197" i="5"/>
  <c r="AK525" i="5"/>
  <c r="AL525" i="5"/>
  <c r="AK509" i="5"/>
  <c r="AL509" i="5"/>
  <c r="AL351" i="5"/>
  <c r="AK351" i="5"/>
  <c r="AL54" i="5"/>
  <c r="AK54" i="5"/>
  <c r="AL541" i="5"/>
  <c r="AK541" i="5"/>
  <c r="AL396" i="5"/>
  <c r="AK396" i="5"/>
  <c r="AE30" i="4"/>
  <c r="AR322" i="5"/>
  <c r="AQ322" i="5"/>
  <c r="AR445" i="5"/>
  <c r="AQ445" i="5"/>
  <c r="AR353" i="5"/>
  <c r="AQ353" i="5"/>
  <c r="AQ149" i="5"/>
  <c r="AR149" i="5"/>
  <c r="AQ232" i="5"/>
  <c r="AR232" i="5"/>
  <c r="AR344" i="5"/>
  <c r="AQ344" i="5"/>
  <c r="AR79" i="5"/>
  <c r="AQ79" i="5"/>
  <c r="AQ464" i="5"/>
  <c r="AR464" i="5"/>
  <c r="AR386" i="5"/>
  <c r="AQ386" i="5"/>
  <c r="AQ355" i="5"/>
  <c r="AR355" i="5"/>
  <c r="AR68" i="5"/>
  <c r="AQ68" i="5"/>
  <c r="AQ158" i="5"/>
  <c r="AR158" i="5"/>
  <c r="AR97" i="5"/>
  <c r="AQ97" i="5"/>
  <c r="AQ98" i="5"/>
  <c r="AR98" i="5"/>
  <c r="AQ501" i="5"/>
  <c r="AR501" i="5"/>
  <c r="AR92" i="5"/>
  <c r="AQ92" i="5"/>
  <c r="AR375" i="5"/>
  <c r="AQ375" i="5"/>
  <c r="AR30" i="5"/>
  <c r="AQ30" i="5"/>
  <c r="AQ51" i="5"/>
  <c r="AR51" i="5"/>
  <c r="AR446" i="5"/>
  <c r="AQ446" i="5"/>
  <c r="AQ497" i="5"/>
  <c r="AR497" i="5"/>
  <c r="AR319" i="5"/>
  <c r="AQ319" i="5"/>
  <c r="AQ284" i="5"/>
  <c r="AR284" i="5"/>
  <c r="AQ109" i="5"/>
  <c r="AR109" i="5"/>
  <c r="AR228" i="5"/>
  <c r="AQ228" i="5"/>
  <c r="AQ204" i="5"/>
  <c r="AR204" i="5"/>
  <c r="AQ60" i="5"/>
  <c r="AR60" i="5"/>
  <c r="AQ121" i="5"/>
  <c r="AR121" i="5"/>
  <c r="AQ379" i="5"/>
  <c r="AR379" i="5"/>
  <c r="AR428" i="5"/>
  <c r="AQ428" i="5"/>
  <c r="AQ19" i="5"/>
  <c r="AR19" i="5"/>
  <c r="AR270" i="5"/>
  <c r="AQ270" i="5"/>
  <c r="AR349" i="5"/>
  <c r="AQ349" i="5"/>
  <c r="AQ431" i="5"/>
  <c r="AR431" i="5"/>
  <c r="AR432" i="5"/>
  <c r="AQ432" i="5"/>
  <c r="AQ356" i="5"/>
  <c r="AR356" i="5"/>
  <c r="AQ128" i="5"/>
  <c r="AR128" i="5"/>
  <c r="AR449" i="5"/>
  <c r="AQ449" i="5"/>
  <c r="AQ168" i="5"/>
  <c r="AR168" i="5"/>
  <c r="AR488" i="5"/>
  <c r="AQ488" i="5"/>
  <c r="AR338" i="5"/>
  <c r="AQ338" i="5"/>
  <c r="AQ437" i="5"/>
  <c r="AR437" i="5"/>
  <c r="AR197" i="5"/>
  <c r="AQ197" i="5"/>
  <c r="AQ136" i="5"/>
  <c r="AR136" i="5"/>
  <c r="AR269" i="5"/>
  <c r="AQ269" i="5"/>
  <c r="AR492" i="5"/>
  <c r="AQ492" i="5"/>
  <c r="AR239" i="5"/>
  <c r="AQ239" i="5"/>
  <c r="AR296" i="5"/>
  <c r="AQ296" i="5"/>
  <c r="AQ309" i="5"/>
  <c r="AR309" i="5"/>
  <c r="AQ439" i="5"/>
  <c r="AR439" i="5"/>
  <c r="AQ456" i="5"/>
  <c r="AR456" i="5"/>
  <c r="AQ20" i="5"/>
  <c r="AR20" i="5"/>
  <c r="AQ194" i="5"/>
  <c r="AR194" i="5"/>
  <c r="AR27" i="5"/>
  <c r="AQ27" i="5"/>
  <c r="AR47" i="5"/>
  <c r="AQ47" i="5"/>
  <c r="AQ485" i="5"/>
  <c r="AR485" i="5"/>
  <c r="AR215" i="5"/>
  <c r="AQ215" i="5"/>
  <c r="AR207" i="5"/>
  <c r="AQ207" i="5"/>
  <c r="AR263" i="5"/>
  <c r="AQ263" i="5"/>
  <c r="AQ57" i="5"/>
  <c r="AR57" i="5"/>
  <c r="AQ220" i="5"/>
  <c r="AR220" i="5"/>
  <c r="AQ61" i="5"/>
  <c r="AR61" i="5"/>
  <c r="AQ219" i="5"/>
  <c r="AR219" i="5"/>
  <c r="AR340" i="5"/>
  <c r="AQ340" i="5"/>
  <c r="AR413" i="5"/>
  <c r="AQ413" i="5"/>
  <c r="AQ242" i="5"/>
  <c r="AR242" i="5"/>
  <c r="AR210" i="5"/>
  <c r="AQ210" i="5"/>
  <c r="AR198" i="5"/>
  <c r="AQ198" i="5"/>
  <c r="AQ88" i="5"/>
  <c r="AR88" i="5"/>
  <c r="X99" i="4"/>
  <c r="AS358" i="5"/>
  <c r="AS203" i="5"/>
  <c r="AS322" i="5"/>
  <c r="AS151" i="5"/>
  <c r="AS388" i="5"/>
  <c r="AS325" i="5"/>
  <c r="AS171" i="5"/>
  <c r="AS360" i="5"/>
  <c r="AS115" i="5"/>
  <c r="AS122" i="5"/>
  <c r="AS229" i="5"/>
  <c r="AS140" i="5"/>
  <c r="AS467" i="5"/>
  <c r="AS292" i="5"/>
  <c r="AS428" i="5"/>
  <c r="AS309" i="5"/>
  <c r="AS541" i="5"/>
  <c r="AS338" i="5"/>
  <c r="AS373" i="5"/>
  <c r="AS459" i="5"/>
  <c r="AS185" i="5"/>
  <c r="AS49" i="5"/>
  <c r="AS192" i="5"/>
  <c r="AS28" i="5"/>
  <c r="AS329" i="5"/>
  <c r="AS103" i="5"/>
  <c r="AS158" i="5"/>
  <c r="AS99" i="5"/>
  <c r="AS194" i="5"/>
  <c r="AS12" i="5"/>
  <c r="AS238" i="5"/>
  <c r="AS461" i="5"/>
  <c r="AS384" i="5"/>
  <c r="AS296" i="5"/>
  <c r="AS75" i="5"/>
  <c r="AS410" i="5"/>
  <c r="AS241" i="5"/>
  <c r="AS490" i="5"/>
  <c r="AS139" i="5"/>
  <c r="AS411" i="5"/>
  <c r="AS497" i="5"/>
  <c r="AS153" i="5"/>
  <c r="AS295" i="5"/>
  <c r="AS347" i="5"/>
  <c r="AS155" i="5"/>
  <c r="AS162" i="5"/>
  <c r="AS181" i="5"/>
  <c r="AS224" i="5"/>
  <c r="AS503" i="5"/>
  <c r="AS539" i="5"/>
  <c r="AS446" i="5"/>
  <c r="AS549" i="5"/>
  <c r="AS71" i="5"/>
  <c r="AS297" i="5"/>
  <c r="AS290" i="5"/>
  <c r="AS476" i="5"/>
  <c r="AS380" i="5"/>
  <c r="AS448" i="5"/>
  <c r="AS442" i="5"/>
  <c r="AS87" i="5"/>
  <c r="AS35" i="5"/>
  <c r="AS212" i="5"/>
  <c r="AS417" i="5"/>
  <c r="AS272" i="5"/>
  <c r="AS381" i="5"/>
  <c r="AS265" i="5"/>
  <c r="AS353" i="5"/>
  <c r="AS156" i="5"/>
  <c r="AE120" i="4"/>
  <c r="BE10" i="5"/>
  <c r="BD10" i="5"/>
  <c r="BA10" i="5"/>
  <c r="BB10" i="5"/>
  <c r="AE129" i="4"/>
  <c r="Z129" i="4"/>
  <c r="AN129" i="4" s="1"/>
  <c r="AE63" i="4"/>
  <c r="AE68" i="4"/>
  <c r="AK21" i="5"/>
  <c r="AL21" i="5"/>
  <c r="AL359" i="5"/>
  <c r="AK359" i="5"/>
  <c r="AK488" i="5"/>
  <c r="AL488" i="5"/>
  <c r="AL99" i="5"/>
  <c r="AK99" i="5"/>
  <c r="AL266" i="5"/>
  <c r="AK266" i="5"/>
  <c r="AK186" i="5"/>
  <c r="AL186" i="5"/>
  <c r="AL236" i="5"/>
  <c r="AK236" i="5"/>
  <c r="AK467" i="5"/>
  <c r="AL467" i="5"/>
  <c r="AL344" i="5"/>
  <c r="AK344" i="5"/>
  <c r="AL371" i="5"/>
  <c r="AK371" i="5"/>
  <c r="AK292" i="5"/>
  <c r="AL292" i="5"/>
  <c r="AK353" i="5"/>
  <c r="AL353" i="5"/>
  <c r="AK38" i="5"/>
  <c r="AL38" i="5"/>
  <c r="AK554" i="5"/>
  <c r="AL554" i="5"/>
  <c r="AK41" i="5"/>
  <c r="AL41" i="5"/>
  <c r="AK117" i="5"/>
  <c r="AL117" i="5"/>
  <c r="AL360" i="5"/>
  <c r="AK360" i="5"/>
  <c r="AL404" i="5"/>
  <c r="AK404" i="5"/>
  <c r="AL479" i="5"/>
  <c r="AK479" i="5"/>
  <c r="AK276" i="5"/>
  <c r="AL276" i="5"/>
  <c r="AK505" i="5"/>
  <c r="AL505" i="5"/>
  <c r="AK435" i="5"/>
  <c r="AL435" i="5"/>
  <c r="AK58" i="5"/>
  <c r="AL58" i="5"/>
  <c r="AL423" i="5"/>
  <c r="AK423" i="5"/>
  <c r="AL452" i="5"/>
  <c r="AK452" i="5"/>
  <c r="AL239" i="5"/>
  <c r="AK239" i="5"/>
  <c r="AL112" i="5"/>
  <c r="AK112" i="5"/>
  <c r="AL243" i="5"/>
  <c r="AK243" i="5"/>
  <c r="AL290" i="5"/>
  <c r="AK290" i="5"/>
  <c r="AL123" i="5"/>
  <c r="AK123" i="5"/>
  <c r="AL147" i="5"/>
  <c r="AK147" i="5"/>
  <c r="AK534" i="5"/>
  <c r="AL534" i="5"/>
  <c r="AL537" i="5"/>
  <c r="AK537" i="5"/>
  <c r="AL132" i="5"/>
  <c r="AK132" i="5"/>
  <c r="AK106" i="5"/>
  <c r="AL106" i="5"/>
  <c r="AL158" i="5"/>
  <c r="AK158" i="5"/>
  <c r="AK477" i="5"/>
  <c r="AL477" i="5"/>
  <c r="AK421" i="5"/>
  <c r="AL421" i="5"/>
  <c r="AK77" i="5"/>
  <c r="AL77" i="5"/>
  <c r="AL113" i="5"/>
  <c r="AK113" i="5"/>
  <c r="AL174" i="5"/>
  <c r="AK174" i="5"/>
  <c r="AL494" i="5"/>
  <c r="AK494" i="5"/>
  <c r="AK27" i="5"/>
  <c r="AL27" i="5"/>
  <c r="AK317" i="5"/>
  <c r="AL317" i="5"/>
  <c r="AK285" i="5"/>
  <c r="AL285" i="5"/>
  <c r="AK141" i="5"/>
  <c r="AL141" i="5"/>
  <c r="AL188" i="5"/>
  <c r="AK188" i="5"/>
  <c r="AK227" i="5"/>
  <c r="AL227" i="5"/>
  <c r="AK35" i="5"/>
  <c r="AL35" i="5"/>
  <c r="AL527" i="5"/>
  <c r="AK527" i="5"/>
  <c r="AL55" i="5"/>
  <c r="AK55" i="5"/>
  <c r="AK264" i="5"/>
  <c r="AL264" i="5"/>
  <c r="AK107" i="5"/>
  <c r="AL107" i="5"/>
  <c r="AL332" i="5"/>
  <c r="AK332" i="5"/>
  <c r="AL400" i="5"/>
  <c r="AK400" i="5"/>
  <c r="AL356" i="5"/>
  <c r="AK356" i="5"/>
  <c r="AL323" i="5"/>
  <c r="AK323" i="5"/>
  <c r="AL254" i="5"/>
  <c r="AK254" i="5"/>
  <c r="AL153" i="5"/>
  <c r="AK153" i="5"/>
  <c r="AL131" i="5"/>
  <c r="AK131" i="5"/>
  <c r="AK385" i="5"/>
  <c r="AL385" i="5"/>
  <c r="AL459" i="5"/>
  <c r="AK459" i="5"/>
  <c r="AL390" i="5"/>
  <c r="AK390" i="5"/>
  <c r="AL324" i="5"/>
  <c r="AK324" i="5"/>
  <c r="AK432" i="5"/>
  <c r="AL432" i="5"/>
  <c r="AK443" i="5"/>
  <c r="AL443" i="5"/>
  <c r="AK249" i="5"/>
  <c r="AL249" i="5"/>
  <c r="AK325" i="5"/>
  <c r="AL325" i="5"/>
  <c r="B99" i="2"/>
  <c r="H32" i="1"/>
  <c r="Z18" i="4"/>
  <c r="Z135" i="4"/>
  <c r="AR521" i="5"/>
  <c r="AQ521" i="5"/>
  <c r="AR130" i="5"/>
  <c r="AQ130" i="5"/>
  <c r="AQ137" i="5"/>
  <c r="AR137" i="5"/>
  <c r="AQ323" i="5"/>
  <c r="AR323" i="5"/>
  <c r="AQ429" i="5"/>
  <c r="AR429" i="5"/>
  <c r="AQ436" i="5"/>
  <c r="AR436" i="5"/>
  <c r="AQ440" i="5"/>
  <c r="AR440" i="5"/>
  <c r="AQ201" i="5"/>
  <c r="AR201" i="5"/>
  <c r="AQ494" i="5"/>
  <c r="AR494" i="5"/>
  <c r="AR135" i="5"/>
  <c r="AQ135" i="5"/>
  <c r="AQ426" i="5"/>
  <c r="AR426" i="5"/>
  <c r="AQ230" i="5"/>
  <c r="AR230" i="5"/>
  <c r="AR170" i="5"/>
  <c r="AQ170" i="5"/>
  <c r="AR261" i="5"/>
  <c r="AQ261" i="5"/>
  <c r="AQ33" i="5"/>
  <c r="AR33" i="5"/>
  <c r="AQ96" i="5"/>
  <c r="AR96" i="5"/>
  <c r="AR320" i="5"/>
  <c r="AQ320" i="5"/>
  <c r="AQ184" i="5"/>
  <c r="AR184" i="5"/>
  <c r="AR430" i="5"/>
  <c r="AQ430" i="5"/>
  <c r="AQ218" i="5"/>
  <c r="AR218" i="5"/>
  <c r="AQ396" i="5"/>
  <c r="AR396" i="5"/>
  <c r="AQ487" i="5"/>
  <c r="AR487" i="5"/>
  <c r="AQ52" i="5"/>
  <c r="AR52" i="5"/>
  <c r="AR486" i="5"/>
  <c r="AQ486" i="5"/>
  <c r="AQ259" i="5"/>
  <c r="AR259" i="5"/>
  <c r="AQ43" i="5"/>
  <c r="AR43" i="5"/>
  <c r="AR159" i="5"/>
  <c r="AQ159" i="5"/>
  <c r="AQ332" i="5"/>
  <c r="AR332" i="5"/>
  <c r="AQ248" i="5"/>
  <c r="AR248" i="5"/>
  <c r="AR28" i="5"/>
  <c r="AQ28" i="5"/>
  <c r="AR187" i="5"/>
  <c r="AQ187" i="5"/>
  <c r="AR478" i="5"/>
  <c r="AQ478" i="5"/>
  <c r="AR317" i="5"/>
  <c r="AQ317" i="5"/>
  <c r="AR116" i="5"/>
  <c r="AQ116" i="5"/>
  <c r="AQ132" i="5"/>
  <c r="AR132" i="5"/>
  <c r="AR410" i="5"/>
  <c r="AQ410" i="5"/>
  <c r="AQ455" i="5"/>
  <c r="AR455" i="5"/>
  <c r="AR206" i="5"/>
  <c r="AQ206" i="5"/>
  <c r="AQ533" i="5"/>
  <c r="AR533" i="5"/>
  <c r="AQ364" i="5"/>
  <c r="AR364" i="5"/>
  <c r="AR481" i="5"/>
  <c r="AQ481" i="5"/>
  <c r="AQ510" i="5"/>
  <c r="AR510" i="5"/>
  <c r="AQ40" i="5"/>
  <c r="AR40" i="5"/>
  <c r="AQ297" i="5"/>
  <c r="AR297" i="5"/>
  <c r="AR325" i="5"/>
  <c r="AQ325" i="5"/>
  <c r="AQ420" i="5"/>
  <c r="AR420" i="5"/>
  <c r="AQ315" i="5"/>
  <c r="AR315" i="5"/>
  <c r="AQ504" i="5"/>
  <c r="AR504" i="5"/>
  <c r="AR343" i="5"/>
  <c r="AQ343" i="5"/>
  <c r="AR281" i="5"/>
  <c r="AQ281" i="5"/>
  <c r="AR73" i="5"/>
  <c r="AQ73" i="5"/>
  <c r="AR246" i="5"/>
  <c r="AQ246" i="5"/>
  <c r="AR536" i="5"/>
  <c r="AQ536" i="5"/>
  <c r="AQ157" i="5"/>
  <c r="AR157" i="5"/>
  <c r="AR67" i="5"/>
  <c r="AQ67" i="5"/>
  <c r="AR140" i="5"/>
  <c r="AQ140" i="5"/>
  <c r="AR368" i="5"/>
  <c r="AQ368" i="5"/>
  <c r="AR115" i="5"/>
  <c r="AQ115" i="5"/>
  <c r="AQ411" i="5"/>
  <c r="AR411" i="5"/>
  <c r="AQ276" i="5"/>
  <c r="AR276" i="5"/>
  <c r="AQ556" i="5"/>
  <c r="AR556" i="5"/>
  <c r="AQ144" i="5"/>
  <c r="AR144" i="5"/>
  <c r="AQ474" i="5"/>
  <c r="AR474" i="5"/>
  <c r="AR102" i="5"/>
  <c r="AQ102" i="5"/>
  <c r="AQ299" i="5"/>
  <c r="AR299" i="5"/>
  <c r="AQ233" i="5"/>
  <c r="AR233" i="5"/>
  <c r="AQ465" i="5"/>
  <c r="AR465" i="5"/>
  <c r="Z30" i="4"/>
  <c r="X30" i="4" s="1"/>
  <c r="AJ30" i="4" s="1"/>
  <c r="Z113" i="4"/>
  <c r="Z118" i="4"/>
  <c r="AN118" i="4" s="1"/>
  <c r="Z120" i="4"/>
  <c r="AN120" i="4" s="1"/>
  <c r="AS46" i="5"/>
  <c r="AS529" i="5"/>
  <c r="AS434" i="5"/>
  <c r="AS237" i="5"/>
  <c r="AS299" i="5"/>
  <c r="AS452" i="5"/>
  <c r="AS239" i="5"/>
  <c r="AS257" i="5"/>
  <c r="AS190" i="5"/>
  <c r="AS427" i="5"/>
  <c r="AS543" i="5"/>
  <c r="AS408" i="5"/>
  <c r="AS550" i="5"/>
  <c r="AS166" i="5"/>
  <c r="AS130" i="5"/>
  <c r="AS111" i="5"/>
  <c r="AS32" i="5"/>
  <c r="AS218" i="5"/>
  <c r="AS277" i="5"/>
  <c r="AS318" i="5"/>
  <c r="AS30" i="5"/>
  <c r="AS483" i="5"/>
  <c r="AS304" i="5"/>
  <c r="AS39" i="5"/>
  <c r="AS202" i="5"/>
  <c r="AS514" i="5"/>
  <c r="AS349" i="5"/>
  <c r="AS254" i="5"/>
  <c r="AS523" i="5"/>
  <c r="AS47" i="5"/>
  <c r="AS204" i="5"/>
  <c r="AS418" i="5"/>
  <c r="AS208" i="5"/>
  <c r="AS445" i="5"/>
  <c r="AS317" i="5"/>
  <c r="AS199" i="5"/>
  <c r="AS462" i="5"/>
  <c r="AS555" i="5"/>
  <c r="AS170" i="5"/>
  <c r="AS300" i="5"/>
  <c r="AS102" i="5"/>
  <c r="AS108" i="5"/>
  <c r="AS253" i="5"/>
  <c r="AS164" i="5"/>
  <c r="AS355" i="5"/>
  <c r="AS444" i="5"/>
  <c r="AS270" i="5"/>
  <c r="AS431" i="5"/>
  <c r="AS331" i="5"/>
  <c r="AS279" i="5"/>
  <c r="AS423" i="5"/>
  <c r="AS359" i="5"/>
  <c r="AS439" i="5"/>
  <c r="AS474" i="5"/>
  <c r="AS54" i="5"/>
  <c r="AS489" i="5"/>
  <c r="AS29" i="5"/>
  <c r="AS385" i="5"/>
  <c r="AS100" i="5"/>
  <c r="AS67" i="5"/>
  <c r="AS80" i="5"/>
  <c r="AS346" i="5"/>
  <c r="AS116" i="5"/>
  <c r="AS477" i="5"/>
  <c r="AS205" i="5"/>
  <c r="AS154" i="5"/>
  <c r="AS285" i="5"/>
  <c r="AS129" i="5"/>
  <c r="AS435" i="5"/>
  <c r="Z77" i="4"/>
  <c r="Z16" i="4"/>
  <c r="Z90" i="4"/>
  <c r="Z137" i="4"/>
  <c r="AN137" i="4" s="1"/>
  <c r="Z84" i="4"/>
  <c r="Q10" i="5"/>
  <c r="Z54" i="4"/>
  <c r="AE49" i="4"/>
  <c r="AE127" i="4"/>
  <c r="AE13" i="4"/>
  <c r="Z62" i="4"/>
  <c r="AN62" i="4" s="1"/>
  <c r="AL238" i="5"/>
  <c r="AK238" i="5"/>
  <c r="AK412" i="5"/>
  <c r="AL412" i="5"/>
  <c r="AK166" i="5"/>
  <c r="AL166" i="5"/>
  <c r="AK366" i="5"/>
  <c r="AL366" i="5"/>
  <c r="AK532" i="5"/>
  <c r="AL532" i="5"/>
  <c r="AL156" i="5"/>
  <c r="AK156" i="5"/>
  <c r="AL255" i="5"/>
  <c r="AK255" i="5"/>
  <c r="AL480" i="5"/>
  <c r="AK480" i="5"/>
  <c r="AK446" i="5"/>
  <c r="AL446" i="5"/>
  <c r="AK76" i="5"/>
  <c r="AL76" i="5"/>
  <c r="AK544" i="5"/>
  <c r="AL544" i="5"/>
  <c r="AL472" i="5"/>
  <c r="AK472" i="5"/>
  <c r="AK318" i="5"/>
  <c r="AL318" i="5"/>
  <c r="AL139" i="5"/>
  <c r="AK139" i="5"/>
  <c r="AL339" i="5"/>
  <c r="AK339" i="5"/>
  <c r="AK506" i="5"/>
  <c r="AL506" i="5"/>
  <c r="AL8" i="5"/>
  <c r="AK8" i="5"/>
  <c r="AK487" i="5"/>
  <c r="AL487" i="5"/>
  <c r="AL198" i="5"/>
  <c r="AK198" i="5"/>
  <c r="AL449" i="5"/>
  <c r="AK449" i="5"/>
  <c r="AK216" i="5"/>
  <c r="AL216" i="5"/>
  <c r="AK523" i="5"/>
  <c r="AL523" i="5"/>
  <c r="AL66" i="5"/>
  <c r="AK66" i="5"/>
  <c r="AK65" i="5"/>
  <c r="AL65" i="5"/>
  <c r="AK328" i="5"/>
  <c r="AL328" i="5"/>
  <c r="AK56" i="5"/>
  <c r="AL56" i="5"/>
  <c r="AK408" i="5"/>
  <c r="AL408" i="5"/>
  <c r="AK307" i="5"/>
  <c r="AL307" i="5"/>
  <c r="AL322" i="5"/>
  <c r="AK322" i="5"/>
  <c r="AL221" i="5"/>
  <c r="AK221" i="5"/>
  <c r="AL514" i="5"/>
  <c r="AK514" i="5"/>
  <c r="AL556" i="5"/>
  <c r="AK556" i="5"/>
  <c r="AK517" i="5"/>
  <c r="AL517" i="5"/>
  <c r="AK355" i="5"/>
  <c r="AL355" i="5"/>
  <c r="AK235" i="5"/>
  <c r="AL235" i="5"/>
  <c r="AL39" i="5"/>
  <c r="AK39" i="5"/>
  <c r="AL70" i="5"/>
  <c r="AK70" i="5"/>
  <c r="AK549" i="5"/>
  <c r="AL549" i="5"/>
  <c r="AL183" i="5"/>
  <c r="AK183" i="5"/>
  <c r="AK46" i="5"/>
  <c r="AL46" i="5"/>
  <c r="AK529" i="5"/>
  <c r="AL529" i="5"/>
  <c r="AK375" i="5"/>
  <c r="AL375" i="5"/>
  <c r="AK310" i="5"/>
  <c r="AL310" i="5"/>
  <c r="AK29" i="5"/>
  <c r="AL29" i="5"/>
  <c r="AL417" i="5"/>
  <c r="AK417" i="5"/>
  <c r="AK429" i="5"/>
  <c r="AL429" i="5"/>
  <c r="AL119" i="5"/>
  <c r="AK119" i="5"/>
  <c r="AL25" i="5"/>
  <c r="AK25" i="5"/>
  <c r="AK144" i="5"/>
  <c r="AL144" i="5"/>
  <c r="AK83" i="5"/>
  <c r="AL83" i="5"/>
  <c r="AK428" i="5"/>
  <c r="AL428" i="5"/>
  <c r="AL256" i="5"/>
  <c r="AK256" i="5"/>
  <c r="AL304" i="5"/>
  <c r="AK304" i="5"/>
  <c r="AK207" i="5"/>
  <c r="AL207" i="5"/>
  <c r="AL352" i="5"/>
  <c r="AK352" i="5"/>
  <c r="AK214" i="5"/>
  <c r="AL214" i="5"/>
  <c r="AK329" i="5"/>
  <c r="AL329" i="5"/>
  <c r="AK354" i="5"/>
  <c r="AL354" i="5"/>
  <c r="AL60" i="5"/>
  <c r="AK60" i="5"/>
  <c r="AK327" i="5"/>
  <c r="AL327" i="5"/>
  <c r="AL164" i="5"/>
  <c r="AK164" i="5"/>
  <c r="AK512" i="5"/>
  <c r="AL512" i="5"/>
  <c r="AL233" i="5"/>
  <c r="AK233" i="5"/>
  <c r="AL560" i="5"/>
  <c r="AK560" i="5"/>
  <c r="AK68" i="5"/>
  <c r="AL68" i="5"/>
  <c r="AK343" i="5"/>
  <c r="AL343" i="5"/>
  <c r="AK382" i="5"/>
  <c r="AL382" i="5"/>
  <c r="AK482" i="5"/>
  <c r="AL482" i="5"/>
  <c r="B112" i="2"/>
  <c r="P64" i="5"/>
  <c r="P134" i="5"/>
  <c r="P272" i="5"/>
  <c r="P386" i="5"/>
  <c r="P314" i="5"/>
  <c r="P422" i="5"/>
  <c r="P518" i="5"/>
  <c r="P487" i="5"/>
  <c r="P96" i="5"/>
  <c r="P341" i="5"/>
  <c r="P338" i="5"/>
  <c r="P521" i="5"/>
  <c r="P203" i="5"/>
  <c r="P349" i="5"/>
  <c r="P73" i="5"/>
  <c r="P469" i="5"/>
  <c r="P178" i="5"/>
  <c r="P331" i="5"/>
  <c r="P510" i="5"/>
  <c r="P260" i="5"/>
  <c r="P266" i="5"/>
  <c r="P537" i="5"/>
  <c r="P102" i="5"/>
  <c r="P493" i="5"/>
  <c r="P377" i="5"/>
  <c r="P21" i="5"/>
  <c r="P228" i="5"/>
  <c r="P438" i="5"/>
  <c r="P542" i="5"/>
  <c r="P113" i="5"/>
  <c r="P119" i="5"/>
  <c r="P224" i="5"/>
  <c r="P138" i="5"/>
  <c r="P230" i="5"/>
  <c r="P396" i="5"/>
  <c r="P249" i="5"/>
  <c r="P81" i="5"/>
  <c r="P388" i="5"/>
  <c r="P441" i="5"/>
  <c r="P529" i="5"/>
  <c r="P88" i="5"/>
  <c r="P218" i="5"/>
  <c r="P307" i="5"/>
  <c r="P559" i="5"/>
  <c r="P327" i="5"/>
  <c r="P397" i="5"/>
  <c r="P297" i="5"/>
  <c r="P553" i="5"/>
  <c r="P263" i="5"/>
  <c r="P26" i="5"/>
  <c r="P33" i="5"/>
  <c r="P294" i="5"/>
  <c r="P121" i="5"/>
  <c r="P532" i="5"/>
  <c r="P100" i="5"/>
  <c r="P124" i="5"/>
  <c r="P244" i="5"/>
  <c r="P333" i="5"/>
  <c r="P336" i="5"/>
  <c r="P94" i="5"/>
  <c r="P412" i="5"/>
  <c r="P190" i="5"/>
  <c r="P46" i="5"/>
  <c r="P72" i="5"/>
  <c r="P195" i="5"/>
  <c r="P447" i="5"/>
  <c r="P211" i="5"/>
  <c r="P186" i="5"/>
  <c r="P450" i="5"/>
  <c r="P210" i="5"/>
  <c r="P496" i="5"/>
  <c r="P363" i="5"/>
  <c r="P161" i="5"/>
  <c r="P429" i="5"/>
  <c r="P346" i="5"/>
  <c r="P492" i="5"/>
  <c r="P282" i="5"/>
  <c r="P455" i="5"/>
  <c r="P362" i="5"/>
  <c r="P382" i="5"/>
  <c r="P87" i="5"/>
  <c r="P295" i="5"/>
  <c r="P387" i="5"/>
  <c r="P216" i="5"/>
  <c r="P471" i="5"/>
  <c r="P558" i="5"/>
  <c r="P85" i="5"/>
  <c r="P419" i="5"/>
  <c r="P271" i="5"/>
  <c r="P131" i="5"/>
  <c r="P407" i="5"/>
  <c r="P368" i="5"/>
  <c r="P342" i="5"/>
  <c r="P316" i="5"/>
  <c r="P552" i="5"/>
  <c r="P172" i="5"/>
  <c r="P474" i="5"/>
  <c r="P142" i="5"/>
  <c r="P52" i="5"/>
  <c r="P460" i="5"/>
  <c r="P433" i="5"/>
  <c r="P536" i="5"/>
  <c r="P115" i="5"/>
  <c r="P554" i="5"/>
  <c r="P321" i="5"/>
  <c r="P240" i="5"/>
  <c r="P29" i="5"/>
  <c r="P483" i="5"/>
  <c r="P262" i="5"/>
  <c r="P531" i="5"/>
  <c r="P373" i="5"/>
  <c r="P185" i="5"/>
  <c r="P478" i="5"/>
  <c r="P315" i="5"/>
  <c r="P501" i="5"/>
  <c r="P44" i="5"/>
  <c r="P239" i="5"/>
  <c r="P465" i="5"/>
  <c r="P160" i="5"/>
  <c r="P132" i="5"/>
  <c r="P220" i="5"/>
  <c r="P504" i="5"/>
  <c r="AF504" i="5" s="1"/>
  <c r="P151" i="5"/>
  <c r="P439" i="5"/>
  <c r="P428" i="5"/>
  <c r="P13" i="5"/>
  <c r="P527" i="5"/>
  <c r="P326" i="5"/>
  <c r="P24" i="5"/>
  <c r="P278" i="5"/>
  <c r="P414" i="5"/>
  <c r="P390" i="5"/>
  <c r="P143" i="5"/>
  <c r="P183" i="5"/>
  <c r="P393" i="5"/>
  <c r="P395" i="5"/>
  <c r="P226" i="5"/>
  <c r="P275" i="5"/>
  <c r="P51" i="5"/>
  <c r="P188" i="5"/>
  <c r="P117" i="5"/>
  <c r="P49" i="5"/>
  <c r="P313" i="5"/>
  <c r="P201" i="5"/>
  <c r="P212" i="5"/>
  <c r="P545" i="5"/>
  <c r="P173" i="5"/>
  <c r="P423" i="5"/>
  <c r="P540" i="5"/>
  <c r="P329" i="5"/>
  <c r="P348" i="5"/>
  <c r="P385" i="5"/>
  <c r="P371" i="5"/>
  <c r="P352" i="5"/>
  <c r="P446" i="5"/>
  <c r="P456" i="5"/>
  <c r="P443" i="5"/>
  <c r="P56" i="5"/>
  <c r="P191" i="5"/>
  <c r="P509" i="5"/>
  <c r="P19" i="5"/>
  <c r="P372" i="5"/>
  <c r="P366" i="5"/>
  <c r="P175" i="5"/>
  <c r="P182" i="5"/>
  <c r="P485" i="5"/>
  <c r="P415" i="5"/>
  <c r="P476" i="5"/>
  <c r="P357" i="5"/>
  <c r="P500" i="5"/>
  <c r="P281" i="5"/>
  <c r="P293" i="5"/>
  <c r="P61" i="5"/>
  <c r="P425" i="5"/>
  <c r="P413" i="5"/>
  <c r="P445" i="5"/>
  <c r="P320" i="5"/>
  <c r="P120" i="5"/>
  <c r="P417" i="5"/>
  <c r="P421" i="5"/>
  <c r="P149" i="5"/>
  <c r="P147" i="5"/>
  <c r="P71" i="5"/>
  <c r="P528" i="5"/>
  <c r="P475" i="5"/>
  <c r="P379" i="5"/>
  <c r="P358" i="5"/>
  <c r="P97" i="5"/>
  <c r="P106" i="5"/>
  <c r="P511" i="5"/>
  <c r="P136" i="5"/>
  <c r="P208" i="5"/>
  <c r="P243" i="5"/>
  <c r="P221" i="5"/>
  <c r="P227" i="5"/>
  <c r="P364" i="5"/>
  <c r="P549" i="5"/>
  <c r="P63" i="5"/>
  <c r="P36" i="5"/>
  <c r="P376" i="5"/>
  <c r="P280" i="5"/>
  <c r="P125" i="5"/>
  <c r="P309" i="5"/>
  <c r="P296" i="5"/>
  <c r="P225" i="5"/>
  <c r="P473" i="5"/>
  <c r="P384" i="5"/>
  <c r="P356" i="5"/>
  <c r="P93" i="5"/>
  <c r="P380" i="5"/>
  <c r="P264" i="5"/>
  <c r="P337" i="5"/>
  <c r="P156" i="5"/>
  <c r="P223" i="5"/>
  <c r="P80" i="5"/>
  <c r="P95" i="5"/>
  <c r="P401" i="5"/>
  <c r="P108" i="5"/>
  <c r="P277" i="5"/>
  <c r="P520" i="5"/>
  <c r="P111" i="5"/>
  <c r="P232" i="5"/>
  <c r="P375" i="5"/>
  <c r="P525" i="5"/>
  <c r="P524" i="5"/>
  <c r="P128" i="5"/>
  <c r="P53" i="5"/>
  <c r="P304" i="5"/>
  <c r="P389" i="5"/>
  <c r="P38" i="5"/>
  <c r="P58" i="5"/>
  <c r="P68" i="5"/>
  <c r="P361" i="5"/>
  <c r="P35" i="5"/>
  <c r="P99" i="5"/>
  <c r="P45" i="5"/>
  <c r="P43" i="5"/>
  <c r="P265" i="5"/>
  <c r="P32" i="5"/>
  <c r="P470" i="5"/>
  <c r="P259" i="5"/>
  <c r="P39" i="5"/>
  <c r="P404" i="5"/>
  <c r="P189" i="5"/>
  <c r="P530" i="5"/>
  <c r="P541" i="5"/>
  <c r="P353" i="5"/>
  <c r="P145" i="5"/>
  <c r="P416" i="5"/>
  <c r="P205" i="5"/>
  <c r="P28" i="5"/>
  <c r="P305" i="5"/>
  <c r="P166" i="5"/>
  <c r="P497" i="5"/>
  <c r="P405" i="5"/>
  <c r="P513" i="5"/>
  <c r="P241" i="5"/>
  <c r="P168" i="5"/>
  <c r="AF168" i="5" s="1"/>
  <c r="P23" i="5"/>
  <c r="P484" i="5"/>
  <c r="P141" i="5"/>
  <c r="P453" i="5"/>
  <c r="P30" i="5"/>
  <c r="P279" i="5"/>
  <c r="P179" i="5"/>
  <c r="P468" i="5"/>
  <c r="P204" i="5"/>
  <c r="P430" i="5"/>
  <c r="P82" i="5"/>
  <c r="P459" i="5"/>
  <c r="P199" i="5"/>
  <c r="P463" i="5"/>
  <c r="P253" i="5"/>
  <c r="P202" i="5"/>
  <c r="P519" i="5"/>
  <c r="P383" i="5"/>
  <c r="P135" i="5"/>
  <c r="P479" i="5"/>
  <c r="P535" i="5"/>
  <c r="P308" i="5"/>
  <c r="P503" i="5"/>
  <c r="P79" i="5"/>
  <c r="P420" i="5"/>
  <c r="P154" i="5"/>
  <c r="P302" i="5"/>
  <c r="P323" i="5"/>
  <c r="P392" i="5"/>
  <c r="P381" i="5"/>
  <c r="P548" i="5"/>
  <c r="P369" i="5"/>
  <c r="P57" i="5"/>
  <c r="P229" i="5"/>
  <c r="P286" i="5"/>
  <c r="P86" i="5"/>
  <c r="P318" i="5"/>
  <c r="P440" i="5"/>
  <c r="P289" i="5"/>
  <c r="P98" i="5"/>
  <c r="AF98" i="5" s="1"/>
  <c r="P55" i="5"/>
  <c r="P345" i="5"/>
  <c r="P139" i="5"/>
  <c r="P66" i="5"/>
  <c r="P325" i="5"/>
  <c r="P50" i="5"/>
  <c r="P452" i="5"/>
  <c r="P284" i="5"/>
  <c r="P20" i="5"/>
  <c r="P488" i="5"/>
  <c r="P60" i="5"/>
  <c r="P498" i="5"/>
  <c r="P126" i="5"/>
  <c r="P48" i="5"/>
  <c r="P538" i="5"/>
  <c r="P69" i="5"/>
  <c r="P411" i="5"/>
  <c r="P129" i="5"/>
  <c r="P47" i="5"/>
  <c r="P27" i="5"/>
  <c r="P255" i="5"/>
  <c r="P472" i="5"/>
  <c r="P122" i="5"/>
  <c r="P546" i="5"/>
  <c r="P180" i="5"/>
  <c r="P192" i="5"/>
  <c r="P110" i="5"/>
  <c r="P219" i="5"/>
  <c r="P155" i="5"/>
  <c r="P270" i="5"/>
  <c r="P105" i="5"/>
  <c r="P22" i="5"/>
  <c r="AF22" i="5" s="1"/>
  <c r="P551" i="5"/>
  <c r="P543" i="5"/>
  <c r="P242" i="5"/>
  <c r="P269" i="5"/>
  <c r="P322" i="5"/>
  <c r="P408" i="5"/>
  <c r="P334" i="5"/>
  <c r="P451" i="5"/>
  <c r="P394" i="5"/>
  <c r="P65" i="5"/>
  <c r="P170" i="5"/>
  <c r="P365" i="5"/>
  <c r="P347" i="5"/>
  <c r="P339" i="5"/>
  <c r="P410" i="5"/>
  <c r="P177" i="5"/>
  <c r="P324" i="5"/>
  <c r="P299" i="5"/>
  <c r="P311" i="5"/>
  <c r="P252" i="5"/>
  <c r="P557" i="5"/>
  <c r="P477" i="5"/>
  <c r="P198" i="5"/>
  <c r="P344" i="5"/>
  <c r="P254" i="5"/>
  <c r="P359" i="5"/>
  <c r="P250" i="5"/>
  <c r="P506" i="5"/>
  <c r="P499" i="5"/>
  <c r="P200" i="5"/>
  <c r="P140" i="5"/>
  <c r="P157" i="5"/>
  <c r="P54" i="5"/>
  <c r="P235" i="5"/>
  <c r="P480" i="5"/>
  <c r="P448" i="5"/>
  <c r="P12" i="5"/>
  <c r="P152" i="5"/>
  <c r="P237" i="5"/>
  <c r="P214" i="5"/>
  <c r="P146" i="5"/>
  <c r="P206" i="5"/>
  <c r="P332" i="5"/>
  <c r="P354" i="5"/>
  <c r="P165" i="5"/>
  <c r="P83" i="5"/>
  <c r="P458" i="5"/>
  <c r="P426" i="5"/>
  <c r="P424" i="5"/>
  <c r="P312" i="5"/>
  <c r="P84" i="5"/>
  <c r="P174" i="5"/>
  <c r="P187" i="5"/>
  <c r="P317" i="5"/>
  <c r="P403" i="5"/>
  <c r="P298" i="5"/>
  <c r="P355" i="5"/>
  <c r="P461" i="5"/>
  <c r="P163" i="5"/>
  <c r="P123" i="5"/>
  <c r="P505" i="5"/>
  <c r="P402" i="5"/>
  <c r="P194" i="5"/>
  <c r="P514" i="5"/>
  <c r="P103" i="5"/>
  <c r="P162" i="5"/>
  <c r="P350" i="5"/>
  <c r="P256" i="5"/>
  <c r="P274" i="5"/>
  <c r="P268" i="5"/>
  <c r="P442" i="5"/>
  <c r="P550" i="5"/>
  <c r="P9" i="5"/>
  <c r="P107" i="5"/>
  <c r="P11" i="5"/>
  <c r="P556" i="5"/>
  <c r="P547" i="5"/>
  <c r="P292" i="5"/>
  <c r="P181" i="5"/>
  <c r="P112" i="5"/>
  <c r="AF112" i="5" s="1"/>
  <c r="P467" i="5"/>
  <c r="P427" i="5"/>
  <c r="P303" i="5"/>
  <c r="P409" i="5"/>
  <c r="P515" i="5"/>
  <c r="AF515" i="5" s="1"/>
  <c r="P248" i="5"/>
  <c r="AF248" i="5" s="1"/>
  <c r="P251" i="5"/>
  <c r="P434" i="5"/>
  <c r="P114" i="5"/>
  <c r="P287" i="5"/>
  <c r="P158" i="5"/>
  <c r="P233" i="5"/>
  <c r="P222" i="5"/>
  <c r="P197" i="5"/>
  <c r="P306" i="5"/>
  <c r="P75" i="5"/>
  <c r="P482" i="5"/>
  <c r="P10" i="5"/>
  <c r="P399" i="5"/>
  <c r="P457" i="5"/>
  <c r="P153" i="5"/>
  <c r="P90" i="5"/>
  <c r="P491" i="5"/>
  <c r="P276" i="5"/>
  <c r="P502" i="5"/>
  <c r="P234" i="5"/>
  <c r="P508" i="5"/>
  <c r="P137" i="5"/>
  <c r="P406" i="5"/>
  <c r="P74" i="5"/>
  <c r="P70" i="5"/>
  <c r="P370" i="5"/>
  <c r="P522" i="5"/>
  <c r="P169" i="5"/>
  <c r="P319" i="5"/>
  <c r="P523" i="5"/>
  <c r="P76" i="5"/>
  <c r="P301" i="5"/>
  <c r="P539" i="5"/>
  <c r="P300" i="5"/>
  <c r="P283" i="5"/>
  <c r="P351" i="5"/>
  <c r="P398" i="5"/>
  <c r="P526" i="5"/>
  <c r="P42" i="5"/>
  <c r="P247" i="5"/>
  <c r="P437" i="5"/>
  <c r="P290" i="5"/>
  <c r="P534" i="5"/>
  <c r="P335" i="5"/>
  <c r="P164" i="5"/>
  <c r="P454" i="5"/>
  <c r="P560" i="5"/>
  <c r="P231" i="5"/>
  <c r="P466" i="5"/>
  <c r="P449" i="5"/>
  <c r="P343" i="5"/>
  <c r="P116" i="5"/>
  <c r="P273" i="5"/>
  <c r="P236" i="5"/>
  <c r="P62" i="5"/>
  <c r="P310" i="5"/>
  <c r="P291" i="5"/>
  <c r="P418" i="5"/>
  <c r="P367" i="5"/>
  <c r="P481" i="5"/>
  <c r="P89" i="5"/>
  <c r="P444" i="5"/>
  <c r="P245" i="5"/>
  <c r="P431" i="5"/>
  <c r="P101" i="5"/>
  <c r="P104" i="5"/>
  <c r="AF104" i="5" s="1"/>
  <c r="P130" i="5"/>
  <c r="P31" i="5"/>
  <c r="P432" i="5"/>
  <c r="P489" i="5"/>
  <c r="P109" i="5"/>
  <c r="P41" i="5"/>
  <c r="P391" i="5"/>
  <c r="P159" i="5"/>
  <c r="P127" i="5"/>
  <c r="P374" i="5"/>
  <c r="P40" i="5"/>
  <c r="P544" i="5"/>
  <c r="P517" i="5"/>
  <c r="P176" i="5"/>
  <c r="P285" i="5"/>
  <c r="AF285" i="5" s="1"/>
  <c r="P507" i="5"/>
  <c r="P67" i="5"/>
  <c r="P258" i="5"/>
  <c r="P462" i="5"/>
  <c r="P436" i="5"/>
  <c r="P495" i="5"/>
  <c r="P209" i="5"/>
  <c r="P213" i="5"/>
  <c r="P246" i="5"/>
  <c r="P8" i="5"/>
  <c r="P133" i="5"/>
  <c r="P486" i="5"/>
  <c r="P533" i="5"/>
  <c r="P435" i="5"/>
  <c r="P215" i="5"/>
  <c r="P59" i="5"/>
  <c r="P340" i="5"/>
  <c r="P328" i="5"/>
  <c r="P78" i="5"/>
  <c r="P91" i="5"/>
  <c r="P555" i="5"/>
  <c r="P34" i="5"/>
  <c r="P360" i="5"/>
  <c r="P288" i="5"/>
  <c r="P217" i="5"/>
  <c r="P400" i="5"/>
  <c r="P184" i="5"/>
  <c r="P516" i="5"/>
  <c r="P148" i="5"/>
  <c r="P490" i="5"/>
  <c r="P378" i="5"/>
  <c r="P150" i="5"/>
  <c r="P261" i="5"/>
  <c r="P238" i="5"/>
  <c r="P167" i="5"/>
  <c r="P464" i="5"/>
  <c r="P25" i="5"/>
  <c r="P257" i="5"/>
  <c r="P193" i="5"/>
  <c r="P144" i="5"/>
  <c r="P207" i="5"/>
  <c r="P118" i="5"/>
  <c r="P512" i="5"/>
  <c r="P494" i="5"/>
  <c r="P77" i="5"/>
  <c r="P267" i="5"/>
  <c r="P171" i="5"/>
  <c r="P196" i="5"/>
  <c r="AF196" i="5" s="1"/>
  <c r="P92" i="5"/>
  <c r="P330" i="5"/>
  <c r="AQ517" i="5"/>
  <c r="AR517" i="5"/>
  <c r="AQ554" i="5"/>
  <c r="AR554" i="5"/>
  <c r="AQ147" i="5"/>
  <c r="AR147" i="5"/>
  <c r="AR520" i="5"/>
  <c r="AQ520" i="5"/>
  <c r="AR519" i="5"/>
  <c r="AQ519" i="5"/>
  <c r="AQ459" i="5"/>
  <c r="AR459" i="5"/>
  <c r="AQ258" i="5"/>
  <c r="AR258" i="5"/>
  <c r="AR376" i="5"/>
  <c r="AQ376" i="5"/>
  <c r="AQ506" i="5"/>
  <c r="AR506" i="5"/>
  <c r="AR25" i="5"/>
  <c r="AQ25" i="5"/>
  <c r="AQ466" i="5"/>
  <c r="AR466" i="5"/>
  <c r="AR551" i="5"/>
  <c r="AQ551" i="5"/>
  <c r="AQ391" i="5"/>
  <c r="AR391" i="5"/>
  <c r="AQ301" i="5"/>
  <c r="AR301" i="5"/>
  <c r="AQ293" i="5"/>
  <c r="AR293" i="5"/>
  <c r="AQ223" i="5"/>
  <c r="AR223" i="5"/>
  <c r="AQ105" i="5"/>
  <c r="AR105" i="5"/>
  <c r="AQ387" i="5"/>
  <c r="AR387" i="5"/>
  <c r="AQ49" i="5"/>
  <c r="AR49" i="5"/>
  <c r="AR257" i="5"/>
  <c r="AQ257" i="5"/>
  <c r="AR245" i="5"/>
  <c r="AQ245" i="5"/>
  <c r="AR274" i="5"/>
  <c r="AQ274" i="5"/>
  <c r="AR238" i="5"/>
  <c r="AQ238" i="5"/>
  <c r="AQ392" i="5"/>
  <c r="AR392" i="5"/>
  <c r="AQ240" i="5"/>
  <c r="AR240" i="5"/>
  <c r="AQ460" i="5"/>
  <c r="AR460" i="5"/>
  <c r="AR146" i="5"/>
  <c r="AQ146" i="5"/>
  <c r="AR523" i="5"/>
  <c r="AQ523" i="5"/>
  <c r="AR393" i="5"/>
  <c r="AQ393" i="5"/>
  <c r="AQ277" i="5"/>
  <c r="AR277" i="5"/>
  <c r="AQ21" i="5"/>
  <c r="AR21" i="5"/>
  <c r="AR283" i="5"/>
  <c r="AQ283" i="5"/>
  <c r="AQ357" i="5"/>
  <c r="AR357" i="5"/>
  <c r="AR222" i="5"/>
  <c r="AQ222" i="5"/>
  <c r="AR327" i="5"/>
  <c r="AQ327" i="5"/>
  <c r="AQ211" i="5"/>
  <c r="AR211" i="5"/>
  <c r="AQ161" i="5"/>
  <c r="AR161" i="5"/>
  <c r="AQ126" i="5"/>
  <c r="AR126" i="5"/>
  <c r="AQ120" i="5"/>
  <c r="AR120" i="5"/>
  <c r="AR155" i="5"/>
  <c r="AQ155" i="5"/>
  <c r="AQ12" i="5"/>
  <c r="AR12" i="5"/>
  <c r="AR289" i="5"/>
  <c r="AQ289" i="5"/>
  <c r="AR139" i="5"/>
  <c r="AQ139" i="5"/>
  <c r="AR516" i="5"/>
  <c r="AQ516" i="5"/>
  <c r="AQ214" i="5"/>
  <c r="AR214" i="5"/>
  <c r="AR118" i="5"/>
  <c r="AQ118" i="5"/>
  <c r="AQ382" i="5"/>
  <c r="AR382" i="5"/>
  <c r="AQ435" i="5"/>
  <c r="AR435" i="5"/>
  <c r="AR524" i="5"/>
  <c r="AQ524" i="5"/>
  <c r="AR39" i="5"/>
  <c r="AQ39" i="5"/>
  <c r="AQ110" i="5"/>
  <c r="AR110" i="5"/>
  <c r="AR272" i="5"/>
  <c r="AQ272" i="5"/>
  <c r="AR330" i="5"/>
  <c r="AQ330" i="5"/>
  <c r="AQ531" i="5"/>
  <c r="AR531" i="5"/>
  <c r="AR303" i="5"/>
  <c r="AQ303" i="5"/>
  <c r="AR345" i="5"/>
  <c r="AQ345" i="5"/>
  <c r="AQ292" i="5"/>
  <c r="AR292" i="5"/>
  <c r="AQ534" i="5"/>
  <c r="AR534" i="5"/>
  <c r="AR104" i="5"/>
  <c r="AQ104" i="5"/>
  <c r="AR209" i="5"/>
  <c r="AQ209" i="5"/>
  <c r="AQ427" i="5"/>
  <c r="AR427" i="5"/>
  <c r="AR166" i="5"/>
  <c r="AQ166" i="5"/>
  <c r="AR113" i="5"/>
  <c r="AQ113" i="5"/>
  <c r="AR334" i="5"/>
  <c r="AQ334" i="5"/>
  <c r="AR479" i="5"/>
  <c r="AQ479" i="5"/>
  <c r="AQ225" i="5"/>
  <c r="AR225" i="5"/>
  <c r="AR402" i="5"/>
  <c r="AQ402" i="5"/>
  <c r="AQ213" i="5"/>
  <c r="AR213" i="5"/>
  <c r="AS226" i="5"/>
  <c r="AS44" i="5"/>
  <c r="AS377" i="5"/>
  <c r="AS305" i="5"/>
  <c r="AS327" i="5"/>
  <c r="AS91" i="5"/>
  <c r="AS259" i="5"/>
  <c r="AS495" i="5"/>
  <c r="AS48" i="5"/>
  <c r="AS276" i="5"/>
  <c r="AS365" i="5"/>
  <c r="AS104" i="5"/>
  <c r="AS70" i="5"/>
  <c r="AS168" i="5"/>
  <c r="AS395" i="5"/>
  <c r="AS43" i="5"/>
  <c r="AS143" i="5"/>
  <c r="AS485" i="5"/>
  <c r="AS269" i="5"/>
  <c r="AS399" i="5"/>
  <c r="AS335" i="5"/>
  <c r="AS544" i="5"/>
  <c r="AS356" i="5"/>
  <c r="AS307" i="5"/>
  <c r="AS252" i="5"/>
  <c r="AS390" i="5"/>
  <c r="AS463" i="5"/>
  <c r="AS227" i="5"/>
  <c r="AS298" i="5"/>
  <c r="AS112" i="5"/>
  <c r="AS135" i="5"/>
  <c r="AS450" i="5"/>
  <c r="AS512" i="5"/>
  <c r="AS209" i="5"/>
  <c r="AS515" i="5"/>
  <c r="AS336" i="5"/>
  <c r="AS141" i="5"/>
  <c r="AS188" i="5"/>
  <c r="AS484" i="5"/>
  <c r="AS287" i="5"/>
  <c r="AS77" i="5"/>
  <c r="AS83" i="5"/>
  <c r="AS145" i="5"/>
  <c r="AS231" i="5"/>
  <c r="AS330" i="5"/>
  <c r="AS522" i="5"/>
  <c r="AS132" i="5"/>
  <c r="AS556" i="5"/>
  <c r="AS521" i="5"/>
  <c r="AS526" i="5"/>
  <c r="AS134" i="5"/>
  <c r="AS201" i="5"/>
  <c r="AS95" i="5"/>
  <c r="AS422" i="5"/>
  <c r="AS256" i="5"/>
  <c r="AS88" i="5"/>
  <c r="AS79" i="5"/>
  <c r="AS303" i="5"/>
  <c r="AS61" i="5"/>
  <c r="AS337" i="5"/>
  <c r="AS176" i="5"/>
  <c r="AS412" i="5"/>
  <c r="AS386" i="5"/>
  <c r="AS357" i="5"/>
  <c r="AS213" i="5"/>
  <c r="AS65" i="5"/>
  <c r="AS527" i="5"/>
  <c r="AS510" i="5"/>
  <c r="Z32" i="4"/>
  <c r="AN32" i="4" s="1"/>
  <c r="Z85" i="4"/>
  <c r="AN85" i="4" s="1"/>
  <c r="X10" i="5"/>
  <c r="Y10" i="5"/>
  <c r="AE132" i="4"/>
  <c r="AE135" i="4"/>
  <c r="Z60" i="4"/>
  <c r="AK170" i="5"/>
  <c r="AL170" i="5"/>
  <c r="AL295" i="5"/>
  <c r="AK295" i="5"/>
  <c r="AL162" i="5"/>
  <c r="AK162" i="5"/>
  <c r="AL378" i="5"/>
  <c r="AK378" i="5"/>
  <c r="AL171" i="5"/>
  <c r="AK171" i="5"/>
  <c r="AL520" i="5"/>
  <c r="AK520" i="5"/>
  <c r="AL230" i="5"/>
  <c r="AK230" i="5"/>
  <c r="AL334" i="5"/>
  <c r="AK334" i="5"/>
  <c r="AK124" i="5"/>
  <c r="AL124" i="5"/>
  <c r="AL167" i="5"/>
  <c r="AK167" i="5"/>
  <c r="AL258" i="5"/>
  <c r="AK258" i="5"/>
  <c r="AK97" i="5"/>
  <c r="AL97" i="5"/>
  <c r="AL536" i="5"/>
  <c r="AK536" i="5"/>
  <c r="AK217" i="5"/>
  <c r="AL217" i="5"/>
  <c r="AL374" i="5"/>
  <c r="AK374" i="5"/>
  <c r="AL550" i="5"/>
  <c r="AK550" i="5"/>
  <c r="AL286" i="5"/>
  <c r="AK286" i="5"/>
  <c r="AK320" i="5"/>
  <c r="AL320" i="5"/>
  <c r="AK165" i="5"/>
  <c r="AL165" i="5"/>
  <c r="AK321" i="5"/>
  <c r="AL321" i="5"/>
  <c r="AL447" i="5"/>
  <c r="AK447" i="5"/>
  <c r="AL426" i="5"/>
  <c r="AK426" i="5"/>
  <c r="AK401" i="5"/>
  <c r="AL401" i="5"/>
  <c r="AL368" i="5"/>
  <c r="AK368" i="5"/>
  <c r="AL69" i="5"/>
  <c r="AK69" i="5"/>
  <c r="AL61" i="5"/>
  <c r="AK61" i="5"/>
  <c r="AK261" i="5"/>
  <c r="AL261" i="5"/>
  <c r="AK34" i="5"/>
  <c r="AL34" i="5"/>
  <c r="AL440" i="5"/>
  <c r="AK440" i="5"/>
  <c r="AK47" i="5"/>
  <c r="AL47" i="5"/>
  <c r="AK309" i="5"/>
  <c r="AL309" i="5"/>
  <c r="AL121" i="5"/>
  <c r="AK121" i="5"/>
  <c r="AL128" i="5"/>
  <c r="AK128" i="5"/>
  <c r="AK219" i="5"/>
  <c r="AL219" i="5"/>
  <c r="AL466" i="5"/>
  <c r="AK466" i="5"/>
  <c r="AL419" i="5"/>
  <c r="AK419" i="5"/>
  <c r="AL149" i="5"/>
  <c r="AK149" i="5"/>
  <c r="AL486" i="5"/>
  <c r="AK486" i="5"/>
  <c r="AK299" i="5"/>
  <c r="AL299" i="5"/>
  <c r="AL542" i="5"/>
  <c r="AK542" i="5"/>
  <c r="AL531" i="5"/>
  <c r="AK531" i="5"/>
  <c r="AL540" i="5"/>
  <c r="AK540" i="5"/>
  <c r="AL403" i="5"/>
  <c r="AK403" i="5"/>
  <c r="AL36" i="5"/>
  <c r="AK36" i="5"/>
  <c r="AL510" i="5"/>
  <c r="AK510" i="5"/>
  <c r="AK7" i="5"/>
  <c r="AL7" i="5"/>
  <c r="AL391" i="5"/>
  <c r="AK391" i="5"/>
  <c r="AL424" i="5"/>
  <c r="AK424" i="5"/>
  <c r="AL503" i="5"/>
  <c r="AK503" i="5"/>
  <c r="AK521" i="5"/>
  <c r="AL521" i="5"/>
  <c r="AK120" i="5"/>
  <c r="AL120" i="5"/>
  <c r="AK438" i="5"/>
  <c r="AL438" i="5"/>
  <c r="AL51" i="5"/>
  <c r="AK51" i="5"/>
  <c r="AK313" i="5"/>
  <c r="AL313" i="5"/>
  <c r="AL192" i="5"/>
  <c r="AK192" i="5"/>
  <c r="AK220" i="5"/>
  <c r="AL220" i="5"/>
  <c r="AK296" i="5"/>
  <c r="AL296" i="5"/>
  <c r="AL462" i="5"/>
  <c r="AK462" i="5"/>
  <c r="AL301" i="5"/>
  <c r="AK301" i="5"/>
  <c r="AL476" i="5"/>
  <c r="AK476" i="5"/>
  <c r="AL244" i="5"/>
  <c r="AK244" i="5"/>
  <c r="AK331" i="5"/>
  <c r="AL331" i="5"/>
  <c r="AL441" i="5"/>
  <c r="AK441" i="5"/>
  <c r="AL416" i="5"/>
  <c r="AK416" i="5"/>
  <c r="AK350" i="5"/>
  <c r="AL350" i="5"/>
  <c r="AL94" i="5"/>
  <c r="AK94" i="5"/>
  <c r="AL248" i="5"/>
  <c r="AK248" i="5"/>
  <c r="AK73" i="5"/>
  <c r="AL73" i="5"/>
  <c r="AF163" i="5" l="1"/>
  <c r="AF135" i="5"/>
  <c r="AF540" i="5"/>
  <c r="AF314" i="5"/>
  <c r="AF416" i="5"/>
  <c r="AF357" i="5"/>
  <c r="AF220" i="5"/>
  <c r="AG220" i="5" s="1"/>
  <c r="AF263" i="5"/>
  <c r="AH263" i="5" s="1"/>
  <c r="AF377" i="5"/>
  <c r="AF96" i="5"/>
  <c r="Z83" i="4"/>
  <c r="AN83" i="4" s="1"/>
  <c r="AF449" i="5"/>
  <c r="AF233" i="5"/>
  <c r="AF56" i="5"/>
  <c r="AG56" i="5" s="1"/>
  <c r="AF374" i="5"/>
  <c r="AG374" i="5" s="1"/>
  <c r="AF400" i="5"/>
  <c r="AG400" i="5" s="1"/>
  <c r="AF343" i="5"/>
  <c r="AH343" i="5" s="1"/>
  <c r="AF502" i="5"/>
  <c r="AH502" i="5" s="1"/>
  <c r="AF180" i="5"/>
  <c r="AH180" i="5" s="1"/>
  <c r="AE45" i="4"/>
  <c r="Z98" i="4"/>
  <c r="X98" i="4" s="1"/>
  <c r="AJ98" i="4" s="1"/>
  <c r="AE98" i="4"/>
  <c r="AE99" i="4"/>
  <c r="AF83" i="5"/>
  <c r="AF496" i="5"/>
  <c r="AG496" i="5" s="1"/>
  <c r="AF448" i="5"/>
  <c r="BI448" i="5" s="1"/>
  <c r="AF349" i="5"/>
  <c r="BI349" i="5" s="1"/>
  <c r="AF422" i="5"/>
  <c r="AF516" i="5"/>
  <c r="AF82" i="5"/>
  <c r="AG82" i="5" s="1"/>
  <c r="AF106" i="5"/>
  <c r="AF423" i="5"/>
  <c r="BI423" i="5" s="1"/>
  <c r="AF173" i="5"/>
  <c r="AG173" i="5" s="1"/>
  <c r="AF103" i="5"/>
  <c r="AF410" i="5"/>
  <c r="AH410" i="5" s="1"/>
  <c r="AF161" i="5"/>
  <c r="AF231" i="5"/>
  <c r="AF525" i="5"/>
  <c r="AH525" i="5" s="1"/>
  <c r="AF185" i="5"/>
  <c r="AG185" i="5" s="1"/>
  <c r="AF554" i="5"/>
  <c r="AG554" i="5" s="1"/>
  <c r="AF469" i="5"/>
  <c r="AH469" i="5" s="1"/>
  <c r="AF109" i="5"/>
  <c r="AG109" i="5" s="1"/>
  <c r="AF322" i="5"/>
  <c r="AG322" i="5" s="1"/>
  <c r="AF535" i="5"/>
  <c r="AF71" i="5"/>
  <c r="AF373" i="5"/>
  <c r="AF85" i="5"/>
  <c r="AH85" i="5" s="1"/>
  <c r="AF362" i="5"/>
  <c r="AG362" i="5" s="1"/>
  <c r="AF46" i="5"/>
  <c r="BI46" i="5" s="1"/>
  <c r="AF149" i="5"/>
  <c r="AG149" i="5" s="1"/>
  <c r="AF192" i="5"/>
  <c r="BI192" i="5" s="1"/>
  <c r="AF484" i="5"/>
  <c r="AF305" i="5"/>
  <c r="AF456" i="5"/>
  <c r="AH456" i="5" s="1"/>
  <c r="AF368" i="5"/>
  <c r="BI368" i="5" s="1"/>
  <c r="AF517" i="5"/>
  <c r="AG517" i="5" s="1"/>
  <c r="Z102" i="4"/>
  <c r="AN102" i="4" s="1"/>
  <c r="Z132" i="4"/>
  <c r="AE83" i="4"/>
  <c r="AE29" i="4"/>
  <c r="AE150" i="4"/>
  <c r="X130" i="4"/>
  <c r="AA130" i="4" s="1"/>
  <c r="AC130" i="4" s="1"/>
  <c r="AD130" i="4" s="1"/>
  <c r="Z150" i="4"/>
  <c r="AN150" i="4" s="1"/>
  <c r="Z29" i="4"/>
  <c r="AN29" i="4" s="1"/>
  <c r="Z50" i="4"/>
  <c r="AN50" i="4" s="1"/>
  <c r="AE50" i="4"/>
  <c r="AF225" i="5"/>
  <c r="AH225" i="5" s="1"/>
  <c r="AF239" i="5"/>
  <c r="AF273" i="5"/>
  <c r="AF47" i="5"/>
  <c r="AH47" i="5" s="1"/>
  <c r="AF143" i="5"/>
  <c r="AH143" i="5" s="1"/>
  <c r="Z156" i="4"/>
  <c r="AN156" i="4" s="1"/>
  <c r="Z80" i="4"/>
  <c r="AN80" i="4" s="1"/>
  <c r="AE14" i="4"/>
  <c r="Z14" i="4"/>
  <c r="AN14" i="4" s="1"/>
  <c r="AE69" i="4"/>
  <c r="Z57" i="4"/>
  <c r="AN57" i="4" s="1"/>
  <c r="AF274" i="5"/>
  <c r="AG274" i="5" s="1"/>
  <c r="AE102" i="4"/>
  <c r="Z69" i="4"/>
  <c r="AN69" i="4" s="1"/>
  <c r="AE156" i="4"/>
  <c r="AE138" i="4"/>
  <c r="AE143" i="4"/>
  <c r="Z39" i="4"/>
  <c r="AN39" i="4" s="1"/>
  <c r="Z138" i="4"/>
  <c r="AF138" i="4" s="1"/>
  <c r="AG138" i="4" s="1"/>
  <c r="AI138" i="4" s="1"/>
  <c r="Z134" i="4"/>
  <c r="X134" i="4" s="1"/>
  <c r="AJ134" i="4" s="1"/>
  <c r="Z91" i="4"/>
  <c r="X91" i="4" s="1"/>
  <c r="AK91" i="4" s="1"/>
  <c r="AL91" i="4" s="1"/>
  <c r="AE134" i="4"/>
  <c r="Z71" i="4"/>
  <c r="X71" i="4" s="1"/>
  <c r="AJ71" i="4" s="1"/>
  <c r="Z52" i="4"/>
  <c r="AN52" i="4" s="1"/>
  <c r="AE126" i="4"/>
  <c r="AE52" i="4"/>
  <c r="AE39" i="4"/>
  <c r="AE154" i="4"/>
  <c r="AE145" i="4"/>
  <c r="Z154" i="4"/>
  <c r="AN154" i="4" s="1"/>
  <c r="AE114" i="4"/>
  <c r="Z119" i="4"/>
  <c r="AN119" i="4" s="1"/>
  <c r="Z114" i="4"/>
  <c r="AN114" i="4" s="1"/>
  <c r="Z145" i="4"/>
  <c r="AN145" i="4" s="1"/>
  <c r="AE57" i="4"/>
  <c r="Z81" i="4"/>
  <c r="AN81" i="4" s="1"/>
  <c r="AF74" i="5"/>
  <c r="AH74" i="5" s="1"/>
  <c r="AF197" i="5"/>
  <c r="AH197" i="5" s="1"/>
  <c r="AF292" i="5"/>
  <c r="AG292" i="5" s="1"/>
  <c r="AF381" i="5"/>
  <c r="AH381" i="5" s="1"/>
  <c r="AF308" i="5"/>
  <c r="AH308" i="5" s="1"/>
  <c r="AF132" i="5"/>
  <c r="AH132" i="5" s="1"/>
  <c r="AF419" i="5"/>
  <c r="AG419" i="5" s="1"/>
  <c r="AF124" i="5"/>
  <c r="AH124" i="5" s="1"/>
  <c r="AF224" i="5"/>
  <c r="AG224" i="5" s="1"/>
  <c r="AF257" i="5"/>
  <c r="BI257" i="5" s="1"/>
  <c r="AF435" i="5"/>
  <c r="AG435" i="5" s="1"/>
  <c r="AF547" i="5"/>
  <c r="AG547" i="5" s="1"/>
  <c r="AF505" i="5"/>
  <c r="BI505" i="5" s="1"/>
  <c r="AF557" i="5"/>
  <c r="AG557" i="5" s="1"/>
  <c r="AF325" i="5"/>
  <c r="AH325" i="5" s="1"/>
  <c r="AF392" i="5"/>
  <c r="AH392" i="5" s="1"/>
  <c r="AF405" i="5"/>
  <c r="AG405" i="5" s="1"/>
  <c r="AF119" i="5"/>
  <c r="AG119" i="5" s="1"/>
  <c r="AF25" i="5"/>
  <c r="AH25" i="5" s="1"/>
  <c r="AF526" i="5"/>
  <c r="AF523" i="5"/>
  <c r="AH523" i="5" s="1"/>
  <c r="AF252" i="5"/>
  <c r="AH252" i="5" s="1"/>
  <c r="AF365" i="5"/>
  <c r="AG365" i="5" s="1"/>
  <c r="AF223" i="5"/>
  <c r="AH223" i="5" s="1"/>
  <c r="AF531" i="5"/>
  <c r="AG531" i="5" s="1"/>
  <c r="AF536" i="5"/>
  <c r="AG536" i="5" s="1"/>
  <c r="AF210" i="5"/>
  <c r="BI210" i="5" s="1"/>
  <c r="AF397" i="5"/>
  <c r="AG397" i="5" s="1"/>
  <c r="AF113" i="5"/>
  <c r="AH113" i="5" s="1"/>
  <c r="Z112" i="4"/>
  <c r="AN112" i="4" s="1"/>
  <c r="Z64" i="4"/>
  <c r="AN64" i="4" s="1"/>
  <c r="AF480" i="5"/>
  <c r="AH480" i="5" s="1"/>
  <c r="AF110" i="5"/>
  <c r="AG110" i="5" s="1"/>
  <c r="AF141" i="5"/>
  <c r="AH141" i="5" s="1"/>
  <c r="AF389" i="5"/>
  <c r="AG389" i="5" s="1"/>
  <c r="AF111" i="5"/>
  <c r="AG111" i="5" s="1"/>
  <c r="AF266" i="5"/>
  <c r="AG266" i="5" s="1"/>
  <c r="AF78" i="5"/>
  <c r="BI78" i="5" s="1"/>
  <c r="AF287" i="5"/>
  <c r="AH287" i="5" s="1"/>
  <c r="AF206" i="5"/>
  <c r="AG206" i="5" s="1"/>
  <c r="AF383" i="5"/>
  <c r="BI383" i="5" s="1"/>
  <c r="AF45" i="5"/>
  <c r="BI45" i="5" s="1"/>
  <c r="AF304" i="5"/>
  <c r="BI304" i="5" s="1"/>
  <c r="AF94" i="5"/>
  <c r="AG94" i="5" s="1"/>
  <c r="AF294" i="5"/>
  <c r="AG294" i="5" s="1"/>
  <c r="Z126" i="4"/>
  <c r="AN126" i="4" s="1"/>
  <c r="AE64" i="4"/>
  <c r="AF283" i="5"/>
  <c r="AG283" i="5" s="1"/>
  <c r="AF57" i="5"/>
  <c r="AH57" i="5" s="1"/>
  <c r="AF28" i="5"/>
  <c r="AG28" i="5" s="1"/>
  <c r="AF417" i="5"/>
  <c r="AH417" i="5" s="1"/>
  <c r="AF29" i="5"/>
  <c r="AH29" i="5" s="1"/>
  <c r="AF211" i="5"/>
  <c r="AG211" i="5" s="1"/>
  <c r="AF396" i="5"/>
  <c r="BI396" i="5" s="1"/>
  <c r="AF510" i="5"/>
  <c r="AH510" i="5" s="1"/>
  <c r="AF207" i="5"/>
  <c r="BI207" i="5" s="1"/>
  <c r="AF340" i="5"/>
  <c r="AG340" i="5" s="1"/>
  <c r="AF370" i="5"/>
  <c r="AH370" i="5" s="1"/>
  <c r="AF276" i="5"/>
  <c r="AG276" i="5" s="1"/>
  <c r="AF514" i="5"/>
  <c r="AG514" i="5" s="1"/>
  <c r="AF426" i="5"/>
  <c r="AG426" i="5" s="1"/>
  <c r="AF205" i="5"/>
  <c r="AH205" i="5" s="1"/>
  <c r="AF380" i="5"/>
  <c r="AG380" i="5" s="1"/>
  <c r="AF120" i="5"/>
  <c r="BI120" i="5" s="1"/>
  <c r="AE112" i="4"/>
  <c r="AF406" i="5"/>
  <c r="AG406" i="5" s="1"/>
  <c r="AF126" i="5"/>
  <c r="AH126" i="5" s="1"/>
  <c r="AF30" i="5"/>
  <c r="AH30" i="5" s="1"/>
  <c r="AF191" i="5"/>
  <c r="BI191" i="5" s="1"/>
  <c r="AF552" i="5"/>
  <c r="AG552" i="5" s="1"/>
  <c r="AF390" i="5"/>
  <c r="AG390" i="5" s="1"/>
  <c r="AF216" i="5"/>
  <c r="AH216" i="5" s="1"/>
  <c r="AF328" i="5"/>
  <c r="AH328" i="5" s="1"/>
  <c r="AF446" i="5"/>
  <c r="AG446" i="5" s="1"/>
  <c r="AF379" i="5"/>
  <c r="AH379" i="5" s="1"/>
  <c r="AF447" i="5"/>
  <c r="AG447" i="5" s="1"/>
  <c r="AF21" i="5"/>
  <c r="AG21" i="5" s="1"/>
  <c r="AF331" i="5"/>
  <c r="AH331" i="5" s="1"/>
  <c r="AF512" i="5"/>
  <c r="AH512" i="5" s="1"/>
  <c r="AF491" i="5"/>
  <c r="AH491" i="5" s="1"/>
  <c r="AF251" i="5"/>
  <c r="AG251" i="5" s="1"/>
  <c r="AF107" i="5"/>
  <c r="AH107" i="5" s="1"/>
  <c r="AF408" i="5"/>
  <c r="AH408" i="5" s="1"/>
  <c r="AF160" i="5"/>
  <c r="AH160" i="5" s="1"/>
  <c r="AF498" i="5"/>
  <c r="AH498" i="5" s="1"/>
  <c r="AF511" i="5"/>
  <c r="AG511" i="5" s="1"/>
  <c r="AF485" i="5"/>
  <c r="AH485" i="5" s="1"/>
  <c r="AF329" i="5"/>
  <c r="AH329" i="5" s="1"/>
  <c r="AF499" i="5"/>
  <c r="AH499" i="5" s="1"/>
  <c r="AF32" i="5"/>
  <c r="AG32" i="5" s="1"/>
  <c r="AF348" i="5"/>
  <c r="BI348" i="5" s="1"/>
  <c r="AO9" i="5"/>
  <c r="AE91" i="4"/>
  <c r="AF363" i="5"/>
  <c r="AH363" i="5" s="1"/>
  <c r="AF453" i="5"/>
  <c r="AG453" i="5" s="1"/>
  <c r="AF541" i="5"/>
  <c r="BI541" i="5" s="1"/>
  <c r="AF232" i="5"/>
  <c r="AH232" i="5" s="1"/>
  <c r="AE100" i="4"/>
  <c r="Z100" i="4"/>
  <c r="AN100" i="4" s="1"/>
  <c r="AF129" i="5"/>
  <c r="AG129" i="5" s="1"/>
  <c r="AF364" i="5"/>
  <c r="AG364" i="5" s="1"/>
  <c r="AF9" i="5"/>
  <c r="AG9" i="5" s="1"/>
  <c r="AF54" i="5"/>
  <c r="AG54" i="5" s="1"/>
  <c r="AF277" i="5"/>
  <c r="AH277" i="5" s="1"/>
  <c r="AF227" i="5"/>
  <c r="AH227" i="5" s="1"/>
  <c r="AF501" i="5"/>
  <c r="AH501" i="5" s="1"/>
  <c r="AF261" i="5"/>
  <c r="AG261" i="5" s="1"/>
  <c r="AF298" i="5"/>
  <c r="AG298" i="5" s="1"/>
  <c r="AF214" i="5"/>
  <c r="AH214" i="5" s="1"/>
  <c r="AF344" i="5"/>
  <c r="AH344" i="5" s="1"/>
  <c r="AF39" i="5"/>
  <c r="AH39" i="5" s="1"/>
  <c r="AF125" i="5"/>
  <c r="AG125" i="5" s="1"/>
  <c r="AF372" i="5"/>
  <c r="AH372" i="5" s="1"/>
  <c r="AF545" i="5"/>
  <c r="AH545" i="5" s="1"/>
  <c r="Z86" i="4"/>
  <c r="AN86" i="4" s="1"/>
  <c r="AF194" i="5"/>
  <c r="AH194" i="5" s="1"/>
  <c r="AF403" i="5"/>
  <c r="AH403" i="5" s="1"/>
  <c r="AF452" i="5"/>
  <c r="AG452" i="5" s="1"/>
  <c r="AF320" i="5"/>
  <c r="AG320" i="5" s="1"/>
  <c r="AF19" i="5"/>
  <c r="BI19" i="5" s="1"/>
  <c r="Z75" i="4"/>
  <c r="AN75" i="4" s="1"/>
  <c r="AE75" i="4"/>
  <c r="AF440" i="5"/>
  <c r="AH440" i="5" s="1"/>
  <c r="Z73" i="4"/>
  <c r="AN73" i="4" s="1"/>
  <c r="AE66" i="4"/>
  <c r="AF459" i="5"/>
  <c r="AG459" i="5" s="1"/>
  <c r="AF38" i="5"/>
  <c r="BI38" i="5" s="1"/>
  <c r="AF234" i="5"/>
  <c r="AH234" i="5" s="1"/>
  <c r="AF543" i="5"/>
  <c r="AG543" i="5" s="1"/>
  <c r="AF189" i="5"/>
  <c r="AG189" i="5" s="1"/>
  <c r="AF258" i="5"/>
  <c r="AH258" i="5" s="1"/>
  <c r="AF461" i="5"/>
  <c r="AH461" i="5" s="1"/>
  <c r="AF175" i="5"/>
  <c r="AG175" i="5" s="1"/>
  <c r="AF118" i="5"/>
  <c r="AH118" i="5" s="1"/>
  <c r="AF127" i="5"/>
  <c r="BI127" i="5" s="1"/>
  <c r="AF114" i="5"/>
  <c r="BI114" i="5" s="1"/>
  <c r="AF146" i="5"/>
  <c r="AG146" i="5" s="1"/>
  <c r="AF99" i="5"/>
  <c r="AH99" i="5" s="1"/>
  <c r="AF309" i="5"/>
  <c r="BI309" i="5" s="1"/>
  <c r="AF358" i="5"/>
  <c r="AG358" i="5" s="1"/>
  <c r="AF272" i="5"/>
  <c r="AH272" i="5" s="1"/>
  <c r="AF92" i="5"/>
  <c r="AG92" i="5" s="1"/>
  <c r="AF460" i="5"/>
  <c r="BI460" i="5" s="1"/>
  <c r="AF391" i="5"/>
  <c r="AH391" i="5" s="1"/>
  <c r="AF401" i="5"/>
  <c r="AH401" i="5" s="1"/>
  <c r="AF280" i="5"/>
  <c r="AG280" i="5" s="1"/>
  <c r="AF24" i="5"/>
  <c r="BI24" i="5" s="1"/>
  <c r="AF195" i="5"/>
  <c r="AG195" i="5" s="1"/>
  <c r="AF247" i="5"/>
  <c r="AH247" i="5" s="1"/>
  <c r="AF470" i="5"/>
  <c r="AG470" i="5" s="1"/>
  <c r="AF528" i="5"/>
  <c r="AG528" i="5" s="1"/>
  <c r="AF509" i="5"/>
  <c r="AH509" i="5" s="1"/>
  <c r="AF172" i="5"/>
  <c r="BI172" i="5" s="1"/>
  <c r="AF560" i="5"/>
  <c r="AH560" i="5" s="1"/>
  <c r="AF153" i="5"/>
  <c r="AH153" i="5" s="1"/>
  <c r="AF255" i="5"/>
  <c r="AG255" i="5" s="1"/>
  <c r="AF10" i="5"/>
  <c r="AG10" i="5" s="1"/>
  <c r="Z92" i="4"/>
  <c r="AN92" i="4" s="1"/>
  <c r="AE92" i="4"/>
  <c r="AF8" i="5"/>
  <c r="BI8" i="5" s="1"/>
  <c r="AD11" i="5"/>
  <c r="AE11" i="5"/>
  <c r="AF12" i="5"/>
  <c r="AH12" i="5" s="1"/>
  <c r="AF13" i="5"/>
  <c r="AG13" i="5" s="1"/>
  <c r="AD9" i="5"/>
  <c r="AE9" i="5"/>
  <c r="Z143" i="4"/>
  <c r="AN143" i="4" s="1"/>
  <c r="Z12" i="4"/>
  <c r="AN12" i="4" s="1"/>
  <c r="AF462" i="5"/>
  <c r="AG462" i="5" s="1"/>
  <c r="AF40" i="5"/>
  <c r="AG40" i="5" s="1"/>
  <c r="AF432" i="5"/>
  <c r="BI432" i="5" s="1"/>
  <c r="AF164" i="5"/>
  <c r="AH164" i="5" s="1"/>
  <c r="AF84" i="5"/>
  <c r="BI84" i="5" s="1"/>
  <c r="AF156" i="5"/>
  <c r="AG156" i="5" s="1"/>
  <c r="AF117" i="5"/>
  <c r="AH117" i="5" s="1"/>
  <c r="AF433" i="5"/>
  <c r="AG433" i="5" s="1"/>
  <c r="AF471" i="5"/>
  <c r="AG471" i="5" s="1"/>
  <c r="AF203" i="5"/>
  <c r="AH203" i="5" s="1"/>
  <c r="AF184" i="5"/>
  <c r="AG184" i="5" s="1"/>
  <c r="AF312" i="5"/>
  <c r="AG312" i="5" s="1"/>
  <c r="AF229" i="5"/>
  <c r="AH229" i="5" s="1"/>
  <c r="AF97" i="5"/>
  <c r="AG97" i="5" s="1"/>
  <c r="AF186" i="5"/>
  <c r="AG186" i="5" s="1"/>
  <c r="AF67" i="5"/>
  <c r="AG67" i="5" s="1"/>
  <c r="AF394" i="5"/>
  <c r="AH394" i="5" s="1"/>
  <c r="AF551" i="5"/>
  <c r="BI551" i="5" s="1"/>
  <c r="AF411" i="5"/>
  <c r="BI411" i="5" s="1"/>
  <c r="AF281" i="5"/>
  <c r="AG281" i="5" s="1"/>
  <c r="AF151" i="5"/>
  <c r="AH151" i="5" s="1"/>
  <c r="Z61" i="4"/>
  <c r="AN61" i="4" s="1"/>
  <c r="AE94" i="4"/>
  <c r="AE79" i="4"/>
  <c r="Z74" i="4"/>
  <c r="X74" i="4" s="1"/>
  <c r="AK74" i="4" s="1"/>
  <c r="AL74" i="4" s="1"/>
  <c r="AE12" i="4"/>
  <c r="X94" i="4"/>
  <c r="AA94" i="4" s="1"/>
  <c r="AQ94" i="4" s="1"/>
  <c r="Z131" i="4"/>
  <c r="AN131" i="4" s="1"/>
  <c r="AE74" i="4"/>
  <c r="Z130" i="4"/>
  <c r="AN130" i="4" s="1"/>
  <c r="AE130" i="4"/>
  <c r="AE131" i="4"/>
  <c r="AE103" i="4"/>
  <c r="Z94" i="4"/>
  <c r="AN94" i="4" s="1"/>
  <c r="Z95" i="4"/>
  <c r="AN95" i="4" s="1"/>
  <c r="AE70" i="4"/>
  <c r="Z66" i="4"/>
  <c r="AN66" i="4" s="1"/>
  <c r="AE119" i="4"/>
  <c r="AE73" i="4"/>
  <c r="Z22" i="4"/>
  <c r="X22" i="4" s="1"/>
  <c r="AJ22" i="4" s="1"/>
  <c r="AE61" i="4"/>
  <c r="Z121" i="4"/>
  <c r="AN121" i="4" s="1"/>
  <c r="Z59" i="4"/>
  <c r="X59" i="4" s="1"/>
  <c r="AA59" i="4" s="1"/>
  <c r="AC59" i="4" s="1"/>
  <c r="AD59" i="4" s="1"/>
  <c r="Z103" i="4"/>
  <c r="AN103" i="4" s="1"/>
  <c r="AE86" i="4"/>
  <c r="AE95" i="4"/>
  <c r="AE121" i="4"/>
  <c r="AF319" i="5"/>
  <c r="AH319" i="5" s="1"/>
  <c r="AF332" i="5"/>
  <c r="AH332" i="5" s="1"/>
  <c r="AF250" i="5"/>
  <c r="AG250" i="5" s="1"/>
  <c r="AF311" i="5"/>
  <c r="AG311" i="5" s="1"/>
  <c r="AF139" i="5"/>
  <c r="AH139" i="5" s="1"/>
  <c r="AF166" i="5"/>
  <c r="AH166" i="5" s="1"/>
  <c r="AF549" i="5"/>
  <c r="AG549" i="5" s="1"/>
  <c r="AF182" i="5"/>
  <c r="BI182" i="5" s="1"/>
  <c r="AF450" i="5"/>
  <c r="AH450" i="5" s="1"/>
  <c r="AF542" i="5"/>
  <c r="BI542" i="5" s="1"/>
  <c r="Z7" i="4"/>
  <c r="AN7" i="4" s="1"/>
  <c r="Z70" i="4"/>
  <c r="AN70" i="4" s="1"/>
  <c r="AE7" i="4"/>
  <c r="AF555" i="5"/>
  <c r="AG555" i="5" s="1"/>
  <c r="AF454" i="5"/>
  <c r="AH454" i="5" s="1"/>
  <c r="AF123" i="5"/>
  <c r="AG123" i="5" s="1"/>
  <c r="AF49" i="5"/>
  <c r="AH49" i="5" s="1"/>
  <c r="AF183" i="5"/>
  <c r="AH183" i="5" s="1"/>
  <c r="AF190" i="5"/>
  <c r="AH190" i="5" s="1"/>
  <c r="AF299" i="5"/>
  <c r="AH299" i="5" s="1"/>
  <c r="AF430" i="5"/>
  <c r="AH430" i="5" s="1"/>
  <c r="AF188" i="5"/>
  <c r="BI188" i="5" s="1"/>
  <c r="AF44" i="5"/>
  <c r="AG44" i="5" s="1"/>
  <c r="AF522" i="5"/>
  <c r="BI522" i="5" s="1"/>
  <c r="AF20" i="5"/>
  <c r="BI20" i="5" s="1"/>
  <c r="AF55" i="5"/>
  <c r="AH55" i="5" s="1"/>
  <c r="AF407" i="5"/>
  <c r="AG407" i="5" s="1"/>
  <c r="AF307" i="5"/>
  <c r="AH307" i="5" s="1"/>
  <c r="AF228" i="5"/>
  <c r="AH228" i="5" s="1"/>
  <c r="AF507" i="5"/>
  <c r="AG507" i="5" s="1"/>
  <c r="AF290" i="5"/>
  <c r="AG290" i="5" s="1"/>
  <c r="AF177" i="5"/>
  <c r="AG177" i="5" s="1"/>
  <c r="AF546" i="5"/>
  <c r="AG546" i="5" s="1"/>
  <c r="AF79" i="5"/>
  <c r="AH79" i="5" s="1"/>
  <c r="AF275" i="5"/>
  <c r="AH275" i="5" s="1"/>
  <c r="AF240" i="5"/>
  <c r="BI240" i="5" s="1"/>
  <c r="AF295" i="5"/>
  <c r="AH295" i="5" s="1"/>
  <c r="AF230" i="5"/>
  <c r="AG230" i="5" s="1"/>
  <c r="Z87" i="4"/>
  <c r="AN87" i="4" s="1"/>
  <c r="AF59" i="5"/>
  <c r="AH59" i="5" s="1"/>
  <c r="AF466" i="5"/>
  <c r="AG466" i="5" s="1"/>
  <c r="AF437" i="5"/>
  <c r="AG437" i="5" s="1"/>
  <c r="AF70" i="5"/>
  <c r="AG70" i="5" s="1"/>
  <c r="AF181" i="5"/>
  <c r="AH181" i="5" s="1"/>
  <c r="AF105" i="5"/>
  <c r="AG105" i="5" s="1"/>
  <c r="AF289" i="5"/>
  <c r="AH289" i="5" s="1"/>
  <c r="AF503" i="5"/>
  <c r="AH503" i="5" s="1"/>
  <c r="AF253" i="5"/>
  <c r="AG253" i="5" s="1"/>
  <c r="AF241" i="5"/>
  <c r="AG241" i="5" s="1"/>
  <c r="AF259" i="5"/>
  <c r="BI259" i="5" s="1"/>
  <c r="AF243" i="5"/>
  <c r="AG243" i="5" s="1"/>
  <c r="Z125" i="4"/>
  <c r="AN125" i="4" s="1"/>
  <c r="AF171" i="5"/>
  <c r="AH171" i="5" s="1"/>
  <c r="AF215" i="5"/>
  <c r="AG215" i="5" s="1"/>
  <c r="AF41" i="5"/>
  <c r="BI41" i="5" s="1"/>
  <c r="AF301" i="5"/>
  <c r="AH301" i="5" s="1"/>
  <c r="AF90" i="5"/>
  <c r="AH90" i="5" s="1"/>
  <c r="AF152" i="5"/>
  <c r="AG152" i="5" s="1"/>
  <c r="AF270" i="5"/>
  <c r="AH270" i="5" s="1"/>
  <c r="AF95" i="5"/>
  <c r="AG95" i="5" s="1"/>
  <c r="AF326" i="5"/>
  <c r="BI326" i="5" s="1"/>
  <c r="AF493" i="5"/>
  <c r="AH493" i="5" s="1"/>
  <c r="AF487" i="5"/>
  <c r="BI487" i="5" s="1"/>
  <c r="AE80" i="4"/>
  <c r="AF155" i="5"/>
  <c r="AH155" i="5" s="1"/>
  <c r="AF318" i="5"/>
  <c r="AG318" i="5" s="1"/>
  <c r="AF353" i="5"/>
  <c r="AG353" i="5" s="1"/>
  <c r="AF375" i="5"/>
  <c r="AG375" i="5" s="1"/>
  <c r="AF100" i="5"/>
  <c r="AH100" i="5" s="1"/>
  <c r="AF77" i="5"/>
  <c r="AH77" i="5" s="1"/>
  <c r="AF148" i="5"/>
  <c r="AG148" i="5" s="1"/>
  <c r="AF533" i="5"/>
  <c r="AH533" i="5" s="1"/>
  <c r="AF544" i="5"/>
  <c r="BI544" i="5" s="1"/>
  <c r="AF256" i="5"/>
  <c r="AH256" i="5" s="1"/>
  <c r="AF174" i="5"/>
  <c r="AG174" i="5" s="1"/>
  <c r="AF219" i="5"/>
  <c r="AH219" i="5" s="1"/>
  <c r="AF323" i="5"/>
  <c r="AG323" i="5" s="1"/>
  <c r="AF265" i="5"/>
  <c r="AH265" i="5" s="1"/>
  <c r="AF147" i="5"/>
  <c r="BI147" i="5" s="1"/>
  <c r="AF425" i="5"/>
  <c r="AH425" i="5" s="1"/>
  <c r="AE125" i="4"/>
  <c r="AF494" i="5"/>
  <c r="AH494" i="5" s="1"/>
  <c r="AF89" i="5"/>
  <c r="AG89" i="5" s="1"/>
  <c r="AF508" i="5"/>
  <c r="AG508" i="5" s="1"/>
  <c r="AF170" i="5"/>
  <c r="AG170" i="5" s="1"/>
  <c r="AF286" i="5"/>
  <c r="AG286" i="5" s="1"/>
  <c r="AF443" i="5"/>
  <c r="AH443" i="5" s="1"/>
  <c r="AF412" i="5"/>
  <c r="AG412" i="5" s="1"/>
  <c r="AF327" i="5"/>
  <c r="AH327" i="5" s="1"/>
  <c r="AF260" i="5"/>
  <c r="AH260" i="5" s="1"/>
  <c r="AF521" i="5"/>
  <c r="AH521" i="5" s="1"/>
  <c r="AE144" i="4"/>
  <c r="AF246" i="5"/>
  <c r="BI246" i="5" s="1"/>
  <c r="AF550" i="5"/>
  <c r="AG550" i="5" s="1"/>
  <c r="AF451" i="5"/>
  <c r="AG451" i="5" s="1"/>
  <c r="AF369" i="5"/>
  <c r="AG369" i="5" s="1"/>
  <c r="AF500" i="5"/>
  <c r="AG500" i="5" s="1"/>
  <c r="AF315" i="5"/>
  <c r="AG315" i="5" s="1"/>
  <c r="AF333" i="5"/>
  <c r="AH333" i="5" s="1"/>
  <c r="AF26" i="5"/>
  <c r="BI26" i="5" s="1"/>
  <c r="AF442" i="5"/>
  <c r="AG442" i="5" s="1"/>
  <c r="AF458" i="5"/>
  <c r="AH458" i="5" s="1"/>
  <c r="AF198" i="5"/>
  <c r="AH198" i="5" s="1"/>
  <c r="AF538" i="5"/>
  <c r="BI538" i="5" s="1"/>
  <c r="AF361" i="5"/>
  <c r="AG361" i="5" s="1"/>
  <c r="AF524" i="5"/>
  <c r="AH524" i="5" s="1"/>
  <c r="AF212" i="5"/>
  <c r="AG212" i="5" s="1"/>
  <c r="AF321" i="5"/>
  <c r="AG321" i="5" s="1"/>
  <c r="AF88" i="5"/>
  <c r="AG88" i="5" s="1"/>
  <c r="AF178" i="5"/>
  <c r="AH178" i="5" s="1"/>
  <c r="Z144" i="4"/>
  <c r="AN144" i="4" s="1"/>
  <c r="AF193" i="5"/>
  <c r="AG193" i="5" s="1"/>
  <c r="AF360" i="5"/>
  <c r="AH360" i="5" s="1"/>
  <c r="AF176" i="5"/>
  <c r="AH176" i="5" s="1"/>
  <c r="AF431" i="5"/>
  <c r="AH431" i="5" s="1"/>
  <c r="AF48" i="5"/>
  <c r="AG48" i="5" s="1"/>
  <c r="AF513" i="5"/>
  <c r="AG513" i="5" s="1"/>
  <c r="AF34" i="5"/>
  <c r="BI34" i="5" s="1"/>
  <c r="AF495" i="5"/>
  <c r="AG495" i="5" s="1"/>
  <c r="AF199" i="5"/>
  <c r="AG199" i="5" s="1"/>
  <c r="AF384" i="5"/>
  <c r="BI384" i="5" s="1"/>
  <c r="AF36" i="5"/>
  <c r="AF136" i="5"/>
  <c r="AH136" i="5" s="1"/>
  <c r="AF413" i="5"/>
  <c r="AH413" i="5" s="1"/>
  <c r="AF313" i="5"/>
  <c r="BI313" i="5" s="1"/>
  <c r="AF297" i="5"/>
  <c r="AH297" i="5" s="1"/>
  <c r="AF441" i="5"/>
  <c r="BI441" i="5" s="1"/>
  <c r="AF73" i="5"/>
  <c r="AH73" i="5" s="1"/>
  <c r="AE87" i="4"/>
  <c r="AF436" i="5"/>
  <c r="AG436" i="5" s="1"/>
  <c r="AF137" i="5"/>
  <c r="BI137" i="5" s="1"/>
  <c r="AF457" i="5"/>
  <c r="AH457" i="5" s="1"/>
  <c r="AF409" i="5"/>
  <c r="BI409" i="5" s="1"/>
  <c r="AF27" i="5"/>
  <c r="BI27" i="5" s="1"/>
  <c r="AF66" i="5"/>
  <c r="AG66" i="5" s="1"/>
  <c r="AF497" i="5"/>
  <c r="AH497" i="5" s="1"/>
  <c r="AF473" i="5"/>
  <c r="AG473" i="5" s="1"/>
  <c r="AF63" i="5"/>
  <c r="AH63" i="5" s="1"/>
  <c r="AF558" i="5"/>
  <c r="AH558" i="5" s="1"/>
  <c r="AF455" i="5"/>
  <c r="AG455" i="5" s="1"/>
  <c r="AF537" i="5"/>
  <c r="AG537" i="5" s="1"/>
  <c r="AF169" i="5"/>
  <c r="AH169" i="5" s="1"/>
  <c r="AF209" i="5"/>
  <c r="AG209" i="5" s="1"/>
  <c r="AF268" i="5"/>
  <c r="BI268" i="5" s="1"/>
  <c r="AF200" i="5"/>
  <c r="AG200" i="5" s="1"/>
  <c r="AF279" i="5"/>
  <c r="AH279" i="5" s="1"/>
  <c r="AF356" i="5"/>
  <c r="AG356" i="5" s="1"/>
  <c r="AF376" i="5"/>
  <c r="AH376" i="5" s="1"/>
  <c r="AF476" i="5"/>
  <c r="AH476" i="5" s="1"/>
  <c r="AF395" i="5"/>
  <c r="AG395" i="5" s="1"/>
  <c r="AF553" i="5"/>
  <c r="AG553" i="5" s="1"/>
  <c r="AF62" i="5"/>
  <c r="AH62" i="5" s="1"/>
  <c r="AF222" i="5"/>
  <c r="AG222" i="5" s="1"/>
  <c r="AF58" i="5"/>
  <c r="BI58" i="5" s="1"/>
  <c r="AF80" i="5"/>
  <c r="AH80" i="5" s="1"/>
  <c r="AF415" i="5"/>
  <c r="AH415" i="5" s="1"/>
  <c r="AF527" i="5"/>
  <c r="AG527" i="5" s="1"/>
  <c r="AF102" i="5"/>
  <c r="AG102" i="5" s="1"/>
  <c r="AE111" i="4"/>
  <c r="AF464" i="5"/>
  <c r="BI464" i="5" s="1"/>
  <c r="AF91" i="5"/>
  <c r="AG91" i="5" s="1"/>
  <c r="AF486" i="5"/>
  <c r="AH486" i="5" s="1"/>
  <c r="AF398" i="5"/>
  <c r="BI398" i="5" s="1"/>
  <c r="AF399" i="5"/>
  <c r="AH399" i="5" s="1"/>
  <c r="AF303" i="5"/>
  <c r="AH303" i="5" s="1"/>
  <c r="AF60" i="5"/>
  <c r="AH60" i="5" s="1"/>
  <c r="AF530" i="5"/>
  <c r="AG530" i="5" s="1"/>
  <c r="AF61" i="5"/>
  <c r="AH61" i="5" s="1"/>
  <c r="AF282" i="5"/>
  <c r="BI282" i="5" s="1"/>
  <c r="AF81" i="5"/>
  <c r="BI81" i="5" s="1"/>
  <c r="AE8" i="4"/>
  <c r="AF133" i="5"/>
  <c r="AG133" i="5" s="1"/>
  <c r="AF481" i="5"/>
  <c r="AH481" i="5" s="1"/>
  <c r="AF427" i="5"/>
  <c r="BI427" i="5" s="1"/>
  <c r="AF65" i="5"/>
  <c r="AG65" i="5" s="1"/>
  <c r="AF154" i="5"/>
  <c r="AG154" i="5" s="1"/>
  <c r="AF439" i="5"/>
  <c r="BI439" i="5" s="1"/>
  <c r="Z34" i="4"/>
  <c r="AN34" i="4" s="1"/>
  <c r="AF130" i="5"/>
  <c r="BI130" i="5" s="1"/>
  <c r="AF534" i="5"/>
  <c r="AH534" i="5" s="1"/>
  <c r="AF482" i="5"/>
  <c r="AG482" i="5" s="1"/>
  <c r="AF355" i="5"/>
  <c r="AG355" i="5" s="1"/>
  <c r="AF204" i="5"/>
  <c r="AH204" i="5" s="1"/>
  <c r="AF23" i="5"/>
  <c r="AG23" i="5" s="1"/>
  <c r="AF404" i="5"/>
  <c r="AH404" i="5" s="1"/>
  <c r="AF53" i="5"/>
  <c r="AG53" i="5" s="1"/>
  <c r="AF264" i="5"/>
  <c r="AG264" i="5" s="1"/>
  <c r="AF366" i="5"/>
  <c r="AH366" i="5" s="1"/>
  <c r="AF52" i="5"/>
  <c r="AG52" i="5" s="1"/>
  <c r="AF336" i="5"/>
  <c r="AH336" i="5" s="1"/>
  <c r="AF33" i="5"/>
  <c r="AH33" i="5" s="1"/>
  <c r="AF338" i="5"/>
  <c r="AG338" i="5" s="1"/>
  <c r="AF69" i="5"/>
  <c r="AG69" i="5" s="1"/>
  <c r="AF202" i="5"/>
  <c r="AG202" i="5" s="1"/>
  <c r="AF221" i="5"/>
  <c r="AH221" i="5" s="1"/>
  <c r="AF278" i="5"/>
  <c r="AH278" i="5" s="1"/>
  <c r="AF218" i="5"/>
  <c r="AH218" i="5" s="1"/>
  <c r="AE10" i="4"/>
  <c r="Z10" i="4"/>
  <c r="AN10" i="4" s="1"/>
  <c r="AF288" i="5"/>
  <c r="AG288" i="5" s="1"/>
  <c r="AF539" i="5"/>
  <c r="AG539" i="5" s="1"/>
  <c r="AF140" i="5"/>
  <c r="BI140" i="5" s="1"/>
  <c r="AF548" i="5"/>
  <c r="AH548" i="5" s="1"/>
  <c r="AF93" i="5"/>
  <c r="AH93" i="5" s="1"/>
  <c r="AF478" i="5"/>
  <c r="BI478" i="5" s="1"/>
  <c r="AF474" i="5"/>
  <c r="AG474" i="5" s="1"/>
  <c r="AF87" i="5"/>
  <c r="AH87" i="5" s="1"/>
  <c r="AF64" i="5"/>
  <c r="BI64" i="5" s="1"/>
  <c r="Z111" i="4"/>
  <c r="AN111" i="4" s="1"/>
  <c r="AF488" i="5"/>
  <c r="AH488" i="5" s="1"/>
  <c r="AF345" i="5"/>
  <c r="AH345" i="5" s="1"/>
  <c r="AF520" i="5"/>
  <c r="AG520" i="5" s="1"/>
  <c r="AF483" i="5"/>
  <c r="AG483" i="5" s="1"/>
  <c r="AF249" i="5"/>
  <c r="AG249" i="5" s="1"/>
  <c r="AF438" i="5"/>
  <c r="AG438" i="5" s="1"/>
  <c r="AE123" i="4"/>
  <c r="Z48" i="4"/>
  <c r="AN48" i="4" s="1"/>
  <c r="Z46" i="4"/>
  <c r="X46" i="4" s="1"/>
  <c r="AA46" i="4" s="1"/>
  <c r="AF330" i="5"/>
  <c r="BI330" i="5" s="1"/>
  <c r="AF238" i="5"/>
  <c r="AH238" i="5" s="1"/>
  <c r="AF467" i="5"/>
  <c r="BI467" i="5" s="1"/>
  <c r="AF424" i="5"/>
  <c r="AG424" i="5" s="1"/>
  <c r="AF420" i="5"/>
  <c r="AG420" i="5" s="1"/>
  <c r="AF51" i="5"/>
  <c r="AG51" i="5" s="1"/>
  <c r="AE157" i="4"/>
  <c r="Z157" i="4"/>
  <c r="AN157" i="4" s="1"/>
  <c r="AE151" i="4"/>
  <c r="AE46" i="4"/>
  <c r="AF351" i="5"/>
  <c r="AH351" i="5" s="1"/>
  <c r="AF359" i="5"/>
  <c r="AH359" i="5" s="1"/>
  <c r="AF217" i="5"/>
  <c r="AH217" i="5" s="1"/>
  <c r="AF418" i="5"/>
  <c r="AG418" i="5" s="1"/>
  <c r="AF35" i="5"/>
  <c r="BI35" i="5" s="1"/>
  <c r="AF108" i="5"/>
  <c r="AH108" i="5" s="1"/>
  <c r="AF131" i="5"/>
  <c r="AG131" i="5" s="1"/>
  <c r="AF429" i="5"/>
  <c r="AH429" i="5" s="1"/>
  <c r="AF235" i="5"/>
  <c r="AG235" i="5" s="1"/>
  <c r="AF144" i="5"/>
  <c r="AH144" i="5" s="1"/>
  <c r="AF213" i="5"/>
  <c r="AH213" i="5" s="1"/>
  <c r="AF101" i="5"/>
  <c r="AG101" i="5" s="1"/>
  <c r="AF291" i="5"/>
  <c r="AG291" i="5" s="1"/>
  <c r="AF334" i="5"/>
  <c r="AH334" i="5" s="1"/>
  <c r="AF179" i="5"/>
  <c r="AH179" i="5" s="1"/>
  <c r="AE48" i="4"/>
  <c r="Z56" i="4"/>
  <c r="X56" i="4" s="1"/>
  <c r="AJ56" i="4" s="1"/>
  <c r="AF378" i="5"/>
  <c r="AH378" i="5" s="1"/>
  <c r="AF310" i="5"/>
  <c r="AG310" i="5" s="1"/>
  <c r="AF317" i="5"/>
  <c r="AH317" i="5" s="1"/>
  <c r="AF477" i="5"/>
  <c r="BI477" i="5" s="1"/>
  <c r="AF50" i="5"/>
  <c r="AH50" i="5" s="1"/>
  <c r="AF145" i="5"/>
  <c r="BI145" i="5" s="1"/>
  <c r="AF208" i="5"/>
  <c r="AG208" i="5" s="1"/>
  <c r="AF445" i="5"/>
  <c r="AG445" i="5" s="1"/>
  <c r="AF385" i="5"/>
  <c r="AH385" i="5" s="1"/>
  <c r="AF201" i="5"/>
  <c r="AG201" i="5" s="1"/>
  <c r="AF72" i="5"/>
  <c r="AH72" i="5" s="1"/>
  <c r="Z123" i="4"/>
  <c r="X123" i="4" s="1"/>
  <c r="AJ123" i="4" s="1"/>
  <c r="AF267" i="5"/>
  <c r="AG267" i="5" s="1"/>
  <c r="AF490" i="5"/>
  <c r="BI490" i="5" s="1"/>
  <c r="AF245" i="5"/>
  <c r="AG245" i="5" s="1"/>
  <c r="AF42" i="5"/>
  <c r="AG42" i="5" s="1"/>
  <c r="AF76" i="5"/>
  <c r="AG76" i="5" s="1"/>
  <c r="AF187" i="5"/>
  <c r="AH187" i="5" s="1"/>
  <c r="AF165" i="5"/>
  <c r="AH165" i="5" s="1"/>
  <c r="AF347" i="5"/>
  <c r="AG347" i="5" s="1"/>
  <c r="AF393" i="5"/>
  <c r="AH393" i="5" s="1"/>
  <c r="AF115" i="5"/>
  <c r="AH115" i="5" s="1"/>
  <c r="AF518" i="5"/>
  <c r="AH518" i="5" s="1"/>
  <c r="AF167" i="5"/>
  <c r="AH167" i="5" s="1"/>
  <c r="AF335" i="5"/>
  <c r="AH335" i="5" s="1"/>
  <c r="AF236" i="5"/>
  <c r="AH236" i="5" s="1"/>
  <c r="AF354" i="5"/>
  <c r="AG354" i="5" s="1"/>
  <c r="AF506" i="5"/>
  <c r="AH506" i="5" s="1"/>
  <c r="AF86" i="5"/>
  <c r="AG86" i="5" s="1"/>
  <c r="AF479" i="5"/>
  <c r="AH479" i="5" s="1"/>
  <c r="AF316" i="5"/>
  <c r="AG316" i="5" s="1"/>
  <c r="Z151" i="4"/>
  <c r="AN151" i="4" s="1"/>
  <c r="AE56" i="4"/>
  <c r="AF489" i="5"/>
  <c r="AG489" i="5" s="1"/>
  <c r="AF444" i="5"/>
  <c r="AG444" i="5" s="1"/>
  <c r="AF556" i="5"/>
  <c r="AH556" i="5" s="1"/>
  <c r="AF269" i="5"/>
  <c r="AH269" i="5" s="1"/>
  <c r="AF465" i="5"/>
  <c r="AH465" i="5" s="1"/>
  <c r="AF532" i="5"/>
  <c r="AH532" i="5" s="1"/>
  <c r="AF388" i="5"/>
  <c r="AH388" i="5" s="1"/>
  <c r="X153" i="4"/>
  <c r="AA153" i="4" s="1"/>
  <c r="AQ153" i="4" s="1"/>
  <c r="AF158" i="5"/>
  <c r="BI158" i="5" s="1"/>
  <c r="AF350" i="5"/>
  <c r="BI350" i="5" s="1"/>
  <c r="AF242" i="5"/>
  <c r="AG242" i="5" s="1"/>
  <c r="AF302" i="5"/>
  <c r="AH302" i="5" s="1"/>
  <c r="AF43" i="5"/>
  <c r="AH43" i="5" s="1"/>
  <c r="AF428" i="5"/>
  <c r="AH428" i="5" s="1"/>
  <c r="AF262" i="5"/>
  <c r="AG262" i="5" s="1"/>
  <c r="AF342" i="5"/>
  <c r="AG342" i="5" s="1"/>
  <c r="AF121" i="5"/>
  <c r="AG121" i="5" s="1"/>
  <c r="AF31" i="5"/>
  <c r="BI31" i="5" s="1"/>
  <c r="AF116" i="5"/>
  <c r="BI116" i="5" s="1"/>
  <c r="AF162" i="5"/>
  <c r="AG162" i="5" s="1"/>
  <c r="AF337" i="5"/>
  <c r="AH337" i="5" s="1"/>
  <c r="AF296" i="5"/>
  <c r="AG296" i="5" s="1"/>
  <c r="AF421" i="5"/>
  <c r="AG421" i="5" s="1"/>
  <c r="AF293" i="5"/>
  <c r="AH293" i="5" s="1"/>
  <c r="AF492" i="5"/>
  <c r="AG492" i="5" s="1"/>
  <c r="AF559" i="5"/>
  <c r="AH559" i="5" s="1"/>
  <c r="AF386" i="5"/>
  <c r="AH386" i="5" s="1"/>
  <c r="AF367" i="5"/>
  <c r="AG367" i="5" s="1"/>
  <c r="AF254" i="5"/>
  <c r="AH254" i="5" s="1"/>
  <c r="AF324" i="5"/>
  <c r="AH324" i="5" s="1"/>
  <c r="AF519" i="5"/>
  <c r="BI519" i="5" s="1"/>
  <c r="AF414" i="5"/>
  <c r="AH414" i="5" s="1"/>
  <c r="AF387" i="5"/>
  <c r="AG387" i="5" s="1"/>
  <c r="AF346" i="5"/>
  <c r="AH346" i="5" s="1"/>
  <c r="AF159" i="5"/>
  <c r="AG159" i="5" s="1"/>
  <c r="AF300" i="5"/>
  <c r="AH300" i="5" s="1"/>
  <c r="AF75" i="5"/>
  <c r="AH75" i="5" s="1"/>
  <c r="AF434" i="5"/>
  <c r="BI434" i="5" s="1"/>
  <c r="AF157" i="5"/>
  <c r="AH157" i="5" s="1"/>
  <c r="AF284" i="5"/>
  <c r="AH284" i="5" s="1"/>
  <c r="AF468" i="5"/>
  <c r="AH468" i="5" s="1"/>
  <c r="AF128" i="5"/>
  <c r="AH128" i="5" s="1"/>
  <c r="AF352" i="5"/>
  <c r="AH352" i="5" s="1"/>
  <c r="AF142" i="5"/>
  <c r="AH142" i="5" s="1"/>
  <c r="AF341" i="5"/>
  <c r="AG341" i="5" s="1"/>
  <c r="AF134" i="5"/>
  <c r="AG134" i="5" s="1"/>
  <c r="AF150" i="5"/>
  <c r="AH150" i="5" s="1"/>
  <c r="AF306" i="5"/>
  <c r="AG306" i="5" s="1"/>
  <c r="AF237" i="5"/>
  <c r="AH237" i="5" s="1"/>
  <c r="AF122" i="5"/>
  <c r="BI122" i="5" s="1"/>
  <c r="AF475" i="5"/>
  <c r="AH475" i="5" s="1"/>
  <c r="AF371" i="5"/>
  <c r="AG371" i="5" s="1"/>
  <c r="AF226" i="5"/>
  <c r="AH226" i="5" s="1"/>
  <c r="AF271" i="5"/>
  <c r="AH271" i="5" s="1"/>
  <c r="AF244" i="5"/>
  <c r="AG244" i="5" s="1"/>
  <c r="AF138" i="5"/>
  <c r="AG138" i="5" s="1"/>
  <c r="AF402" i="5"/>
  <c r="BI402" i="5" s="1"/>
  <c r="AF339" i="5"/>
  <c r="AH339" i="5" s="1"/>
  <c r="AF472" i="5"/>
  <c r="BI472" i="5" s="1"/>
  <c r="AF463" i="5"/>
  <c r="AG463" i="5" s="1"/>
  <c r="AF68" i="5"/>
  <c r="AH68" i="5" s="1"/>
  <c r="AF382" i="5"/>
  <c r="AG382" i="5" s="1"/>
  <c r="AF529" i="5"/>
  <c r="AG529" i="5" s="1"/>
  <c r="Z43" i="4"/>
  <c r="AN43" i="4" s="1"/>
  <c r="AF122" i="4"/>
  <c r="AG122" i="4" s="1"/>
  <c r="AI122" i="4" s="1"/>
  <c r="X49" i="4"/>
  <c r="AA49" i="4" s="1"/>
  <c r="AP49" i="4" s="1"/>
  <c r="X111" i="4"/>
  <c r="AA111" i="4" s="1"/>
  <c r="AQ111" i="4" s="1"/>
  <c r="AE43" i="4"/>
  <c r="AE22" i="4"/>
  <c r="AE47" i="4"/>
  <c r="Z72" i="4"/>
  <c r="AN72" i="4" s="1"/>
  <c r="Z147" i="4"/>
  <c r="AN147" i="4" s="1"/>
  <c r="X129" i="4"/>
  <c r="AJ129" i="4" s="1"/>
  <c r="Z47" i="4"/>
  <c r="X47" i="4" s="1"/>
  <c r="AJ47" i="4" s="1"/>
  <c r="AE25" i="4"/>
  <c r="X155" i="4"/>
  <c r="AA155" i="4" s="1"/>
  <c r="AC155" i="4" s="1"/>
  <c r="AD155" i="4" s="1"/>
  <c r="Z20" i="4"/>
  <c r="AF20" i="4" s="1"/>
  <c r="AG20" i="4" s="1"/>
  <c r="AI20" i="4" s="1"/>
  <c r="AE20" i="4"/>
  <c r="X124" i="4"/>
  <c r="AJ124" i="4" s="1"/>
  <c r="X141" i="4"/>
  <c r="AA141" i="4" s="1"/>
  <c r="AC141" i="4" s="1"/>
  <c r="AD141" i="4" s="1"/>
  <c r="X137" i="4"/>
  <c r="AJ137" i="4" s="1"/>
  <c r="AE34" i="4"/>
  <c r="Z107" i="4"/>
  <c r="AN107" i="4" s="1"/>
  <c r="Z97" i="4"/>
  <c r="AN97" i="4" s="1"/>
  <c r="AE97" i="4"/>
  <c r="Z25" i="4"/>
  <c r="AN25" i="4" s="1"/>
  <c r="AE152" i="4"/>
  <c r="Z36" i="4"/>
  <c r="X36" i="4" s="1"/>
  <c r="AJ36" i="4" s="1"/>
  <c r="AE36" i="4"/>
  <c r="AE133" i="4"/>
  <c r="AE107" i="4"/>
  <c r="AE81" i="4"/>
  <c r="AE71" i="4"/>
  <c r="AE147" i="4"/>
  <c r="AE59" i="4"/>
  <c r="AE72" i="4"/>
  <c r="Z133" i="4"/>
  <c r="X133" i="4" s="1"/>
  <c r="AA133" i="4" s="1"/>
  <c r="AC133" i="4" s="1"/>
  <c r="AD133" i="4" s="1"/>
  <c r="Z139" i="4"/>
  <c r="AN139" i="4" s="1"/>
  <c r="AE139" i="4"/>
  <c r="Z8" i="4"/>
  <c r="AN8" i="4" s="1"/>
  <c r="AE93" i="4"/>
  <c r="Z93" i="4"/>
  <c r="AN93" i="4" s="1"/>
  <c r="Z152" i="4"/>
  <c r="Z79" i="4"/>
  <c r="AN79" i="4" s="1"/>
  <c r="X73" i="4"/>
  <c r="AJ73" i="4" s="1"/>
  <c r="X115" i="4"/>
  <c r="AA115" i="4" s="1"/>
  <c r="AP115" i="4" s="1"/>
  <c r="X148" i="4"/>
  <c r="AA148" i="4" s="1"/>
  <c r="AP148" i="4" s="1"/>
  <c r="X109" i="4"/>
  <c r="AA109" i="4" s="1"/>
  <c r="AQ109" i="4" s="1"/>
  <c r="BN37" i="5"/>
  <c r="BM37" i="5"/>
  <c r="BI37" i="5"/>
  <c r="AG37" i="5"/>
  <c r="AH37" i="5"/>
  <c r="X38" i="4"/>
  <c r="AJ38" i="4" s="1"/>
  <c r="AA110" i="4"/>
  <c r="AQ110" i="4" s="1"/>
  <c r="AR9" i="5"/>
  <c r="AF9" i="4"/>
  <c r="AG9" i="4" s="1"/>
  <c r="AI9" i="4" s="1"/>
  <c r="U9" i="5"/>
  <c r="X117" i="4"/>
  <c r="AJ117" i="4" s="1"/>
  <c r="X81" i="4"/>
  <c r="AJ81" i="4" s="1"/>
  <c r="AF68" i="4"/>
  <c r="AG68" i="4" s="1"/>
  <c r="AI68" i="4" s="1"/>
  <c r="X66" i="4"/>
  <c r="AA66" i="4" s="1"/>
  <c r="BD9" i="5"/>
  <c r="AG36" i="5"/>
  <c r="BF9" i="5"/>
  <c r="BG9" i="5" s="1"/>
  <c r="AX9" i="5"/>
  <c r="X65" i="4"/>
  <c r="AA65" i="4" s="1"/>
  <c r="AC65" i="4" s="1"/>
  <c r="AD65" i="4" s="1"/>
  <c r="X69" i="4"/>
  <c r="AJ69" i="4" s="1"/>
  <c r="X157" i="4"/>
  <c r="AA157" i="4" s="1"/>
  <c r="AQ157" i="4" s="1"/>
  <c r="X82" i="4"/>
  <c r="AA82" i="4" s="1"/>
  <c r="AP82" i="4" s="1"/>
  <c r="X142" i="4"/>
  <c r="AA142" i="4" s="1"/>
  <c r="AC142" i="4" s="1"/>
  <c r="AD142" i="4" s="1"/>
  <c r="AS9" i="5"/>
  <c r="AK9" i="5"/>
  <c r="AL9" i="5"/>
  <c r="BA9" i="5"/>
  <c r="S9" i="5"/>
  <c r="X78" i="4"/>
  <c r="AA78" i="4" s="1"/>
  <c r="AQ78" i="4" s="1"/>
  <c r="X149" i="4"/>
  <c r="AK149" i="4" s="1"/>
  <c r="AL149" i="4" s="1"/>
  <c r="AO149" i="4" s="1"/>
  <c r="X70" i="4"/>
  <c r="AJ70" i="4" s="1"/>
  <c r="AF65" i="4"/>
  <c r="AG65" i="4" s="1"/>
  <c r="AI65" i="4" s="1"/>
  <c r="AF82" i="4"/>
  <c r="AG82" i="4" s="1"/>
  <c r="AI82" i="4" s="1"/>
  <c r="X9" i="5"/>
  <c r="AA9" i="5"/>
  <c r="AF117" i="4"/>
  <c r="AG117" i="4" s="1"/>
  <c r="AI117" i="4" s="1"/>
  <c r="AF109" i="4"/>
  <c r="AG109" i="4" s="1"/>
  <c r="AI109" i="4" s="1"/>
  <c r="AF19" i="4"/>
  <c r="AG19" i="4" s="1"/>
  <c r="AI19" i="4" s="1"/>
  <c r="X19" i="4"/>
  <c r="AJ19" i="4" s="1"/>
  <c r="X147" i="4"/>
  <c r="AJ147" i="4" s="1"/>
  <c r="AA71" i="4"/>
  <c r="AQ71" i="4" s="1"/>
  <c r="X33" i="4"/>
  <c r="AA33" i="4" s="1"/>
  <c r="AC33" i="4" s="1"/>
  <c r="AD33" i="4" s="1"/>
  <c r="X51" i="4"/>
  <c r="AJ51" i="4" s="1"/>
  <c r="X87" i="4"/>
  <c r="AJ87" i="4" s="1"/>
  <c r="AA124" i="4"/>
  <c r="AC124" i="4" s="1"/>
  <c r="AD124" i="4" s="1"/>
  <c r="X146" i="4"/>
  <c r="AK146" i="4" s="1"/>
  <c r="AL146" i="4" s="1"/>
  <c r="AO146" i="4" s="1"/>
  <c r="X84" i="4"/>
  <c r="AJ84" i="4" s="1"/>
  <c r="AF33" i="4"/>
  <c r="AG33" i="4" s="1"/>
  <c r="AI33" i="4" s="1"/>
  <c r="AJ96" i="4"/>
  <c r="AA96" i="4"/>
  <c r="AP96" i="4" s="1"/>
  <c r="AA134" i="4"/>
  <c r="AC134" i="4" s="1"/>
  <c r="AD134" i="4" s="1"/>
  <c r="X132" i="4"/>
  <c r="AJ132" i="4" s="1"/>
  <c r="X120" i="4"/>
  <c r="AJ120" i="4" s="1"/>
  <c r="X62" i="4"/>
  <c r="AA62" i="4" s="1"/>
  <c r="AQ62" i="4" s="1"/>
  <c r="X76" i="4"/>
  <c r="AA76" i="4" s="1"/>
  <c r="AC76" i="4" s="1"/>
  <c r="AD76" i="4" s="1"/>
  <c r="X83" i="4"/>
  <c r="AA83" i="4" s="1"/>
  <c r="AC83" i="4" s="1"/>
  <c r="AD83" i="4" s="1"/>
  <c r="AA117" i="4"/>
  <c r="AQ117" i="4" s="1"/>
  <c r="X77" i="4"/>
  <c r="AJ77" i="4" s="1"/>
  <c r="AA73" i="4"/>
  <c r="AP73" i="4" s="1"/>
  <c r="X75" i="4"/>
  <c r="X143" i="4"/>
  <c r="AJ143" i="4" s="1"/>
  <c r="X112" i="4"/>
  <c r="AJ112" i="4" s="1"/>
  <c r="X144" i="4"/>
  <c r="AJ144" i="4" s="1"/>
  <c r="X125" i="4"/>
  <c r="AJ125" i="4" s="1"/>
  <c r="AA91" i="4"/>
  <c r="AQ91" i="4" s="1"/>
  <c r="X100" i="4"/>
  <c r="AA100" i="4" s="1"/>
  <c r="X119" i="4"/>
  <c r="AJ119" i="4" s="1"/>
  <c r="X57" i="4"/>
  <c r="AJ57" i="4" s="1"/>
  <c r="X118" i="4"/>
  <c r="AJ118" i="4" s="1"/>
  <c r="X116" i="4"/>
  <c r="AJ116" i="4" s="1"/>
  <c r="X126" i="4"/>
  <c r="AA126" i="4" s="1"/>
  <c r="AP126" i="4" s="1"/>
  <c r="X151" i="4"/>
  <c r="AA151" i="4" s="1"/>
  <c r="AQ151" i="4" s="1"/>
  <c r="X108" i="4"/>
  <c r="AA108" i="4" s="1"/>
  <c r="AQ108" i="4" s="1"/>
  <c r="X53" i="4"/>
  <c r="AA53" i="4" s="1"/>
  <c r="AC53" i="4" s="1"/>
  <c r="AD53" i="4" s="1"/>
  <c r="X114" i="4"/>
  <c r="AJ114" i="4" s="1"/>
  <c r="X61" i="4"/>
  <c r="AJ61" i="4" s="1"/>
  <c r="X92" i="4"/>
  <c r="X80" i="4"/>
  <c r="AJ80" i="4" s="1"/>
  <c r="X113" i="4"/>
  <c r="AJ113" i="4" s="1"/>
  <c r="X86" i="4"/>
  <c r="X139" i="4"/>
  <c r="AJ139" i="4" s="1"/>
  <c r="X68" i="4"/>
  <c r="AJ68" i="4" s="1"/>
  <c r="X122" i="4"/>
  <c r="AK122" i="4" s="1"/>
  <c r="AL122" i="4" s="1"/>
  <c r="AO122" i="4" s="1"/>
  <c r="X52" i="4"/>
  <c r="AJ52" i="4" s="1"/>
  <c r="X156" i="4"/>
  <c r="AA156" i="4" s="1"/>
  <c r="X97" i="4"/>
  <c r="AA97" i="4" s="1"/>
  <c r="X128" i="4"/>
  <c r="AA74" i="4"/>
  <c r="X58" i="4"/>
  <c r="AK58" i="4" s="1"/>
  <c r="AL58" i="4" s="1"/>
  <c r="AO58" i="4" s="1"/>
  <c r="X101" i="4"/>
  <c r="AJ101" i="4" s="1"/>
  <c r="X154" i="4"/>
  <c r="AJ154" i="4" s="1"/>
  <c r="X145" i="4"/>
  <c r="X105" i="4"/>
  <c r="X90" i="4"/>
  <c r="AJ90" i="4" s="1"/>
  <c r="X150" i="4"/>
  <c r="AA150" i="4" s="1"/>
  <c r="X88" i="4"/>
  <c r="AA88" i="4" s="1"/>
  <c r="X103" i="4"/>
  <c r="AJ103" i="4" s="1"/>
  <c r="X135" i="4"/>
  <c r="AA135" i="4" s="1"/>
  <c r="AA98" i="4"/>
  <c r="AP98" i="4" s="1"/>
  <c r="AA129" i="4"/>
  <c r="X60" i="4"/>
  <c r="AJ60" i="4" s="1"/>
  <c r="X136" i="4"/>
  <c r="AJ136" i="4" s="1"/>
  <c r="X131" i="4"/>
  <c r="X138" i="4"/>
  <c r="AJ138" i="4" s="1"/>
  <c r="X85" i="4"/>
  <c r="AA85" i="4" s="1"/>
  <c r="AA137" i="4"/>
  <c r="AC137" i="4" s="1"/>
  <c r="AD137" i="4" s="1"/>
  <c r="X127" i="4"/>
  <c r="AJ127" i="4" s="1"/>
  <c r="X95" i="4"/>
  <c r="AA95" i="4" s="1"/>
  <c r="X121" i="4"/>
  <c r="AJ121" i="4" s="1"/>
  <c r="X89" i="4"/>
  <c r="AJ89" i="4" s="1"/>
  <c r="AA106" i="4"/>
  <c r="AC106" i="4" s="1"/>
  <c r="AD106" i="4" s="1"/>
  <c r="X140" i="4"/>
  <c r="AA140" i="4" s="1"/>
  <c r="AA99" i="4"/>
  <c r="AC99" i="4" s="1"/>
  <c r="AD99" i="4" s="1"/>
  <c r="X102" i="4"/>
  <c r="AJ102" i="4" s="1"/>
  <c r="X104" i="4"/>
  <c r="AA104" i="4" s="1"/>
  <c r="AQ104" i="4" s="1"/>
  <c r="AF44" i="4"/>
  <c r="AG44" i="4" s="1"/>
  <c r="AI44" i="4" s="1"/>
  <c r="AF31" i="4"/>
  <c r="AG31" i="4" s="1"/>
  <c r="AI31" i="4" s="1"/>
  <c r="AG516" i="5"/>
  <c r="AH106" i="5"/>
  <c r="AG422" i="5"/>
  <c r="AH535" i="5"/>
  <c r="AH71" i="5"/>
  <c r="AH373" i="5"/>
  <c r="X31" i="4"/>
  <c r="AA31" i="4" s="1"/>
  <c r="AC31" i="4" s="1"/>
  <c r="AD31" i="4" s="1"/>
  <c r="AF35" i="4"/>
  <c r="AG35" i="4" s="1"/>
  <c r="AI35" i="4" s="1"/>
  <c r="AH22" i="5"/>
  <c r="AF104" i="4"/>
  <c r="AG104" i="4" s="1"/>
  <c r="AI104" i="4" s="1"/>
  <c r="X40" i="4"/>
  <c r="AA40" i="4" s="1"/>
  <c r="AQ40" i="4" s="1"/>
  <c r="AF40" i="4"/>
  <c r="AG40" i="4" s="1"/>
  <c r="AI40" i="4" s="1"/>
  <c r="X24" i="4"/>
  <c r="AA24" i="4" s="1"/>
  <c r="AQ24" i="4" s="1"/>
  <c r="X17" i="4"/>
  <c r="AJ17" i="4" s="1"/>
  <c r="AT10" i="5"/>
  <c r="X11" i="4"/>
  <c r="AJ11" i="4" s="1"/>
  <c r="AF146" i="4"/>
  <c r="AG146" i="4" s="1"/>
  <c r="AI146" i="4" s="1"/>
  <c r="AK106" i="4"/>
  <c r="AL106" i="4" s="1"/>
  <c r="BL10" i="5"/>
  <c r="BM10" i="5" s="1"/>
  <c r="X37" i="4"/>
  <c r="AJ37" i="4" s="1"/>
  <c r="AF149" i="4"/>
  <c r="AG149" i="4" s="1"/>
  <c r="AI149" i="4" s="1"/>
  <c r="AF37" i="4"/>
  <c r="AG37" i="4" s="1"/>
  <c r="AI37" i="4" s="1"/>
  <c r="AF11" i="4"/>
  <c r="AG11" i="4" s="1"/>
  <c r="AI11" i="4" s="1"/>
  <c r="X41" i="4"/>
  <c r="AJ41" i="4" s="1"/>
  <c r="X44" i="4"/>
  <c r="X54" i="4"/>
  <c r="AJ54" i="4" s="1"/>
  <c r="X55" i="4"/>
  <c r="AJ55" i="4" s="1"/>
  <c r="X50" i="4"/>
  <c r="AJ50" i="4" s="1"/>
  <c r="X26" i="4"/>
  <c r="AA26" i="4" s="1"/>
  <c r="AQ26" i="4" s="1"/>
  <c r="AF55" i="4"/>
  <c r="AG55" i="4" s="1"/>
  <c r="AI55" i="4" s="1"/>
  <c r="AH163" i="5"/>
  <c r="AG540" i="5"/>
  <c r="AG314" i="5"/>
  <c r="AF76" i="4"/>
  <c r="AG76" i="4" s="1"/>
  <c r="AI76" i="4" s="1"/>
  <c r="AF108" i="4"/>
  <c r="AG108" i="4" s="1"/>
  <c r="AI108" i="4" s="1"/>
  <c r="AF78" i="4"/>
  <c r="AG78" i="4" s="1"/>
  <c r="AI78" i="4" s="1"/>
  <c r="X39" i="4"/>
  <c r="X32" i="4"/>
  <c r="AA32" i="4" s="1"/>
  <c r="AC32" i="4" s="1"/>
  <c r="AD32" i="4" s="1"/>
  <c r="X35" i="4"/>
  <c r="AK35" i="4" s="1"/>
  <c r="AL35" i="4" s="1"/>
  <c r="AO35" i="4" s="1"/>
  <c r="AH484" i="5"/>
  <c r="AG305" i="5"/>
  <c r="BI103" i="5"/>
  <c r="AK98" i="4"/>
  <c r="AL98" i="4" s="1"/>
  <c r="X28" i="4"/>
  <c r="AA28" i="4" s="1"/>
  <c r="AP28" i="4" s="1"/>
  <c r="AH104" i="5"/>
  <c r="BI449" i="5"/>
  <c r="AG112" i="5"/>
  <c r="AG98" i="5"/>
  <c r="AG168" i="5"/>
  <c r="AH504" i="5"/>
  <c r="AH196" i="5"/>
  <c r="AG161" i="5"/>
  <c r="AH231" i="5"/>
  <c r="AH248" i="5"/>
  <c r="AG83" i="5"/>
  <c r="AF136" i="4"/>
  <c r="AG136" i="4" s="1"/>
  <c r="AI136" i="4" s="1"/>
  <c r="BI515" i="5"/>
  <c r="AF128" i="4"/>
  <c r="AG128" i="4" s="1"/>
  <c r="AI128" i="4" s="1"/>
  <c r="AH233" i="5"/>
  <c r="AH273" i="5"/>
  <c r="AH135" i="5"/>
  <c r="AG239" i="5"/>
  <c r="AF155" i="4"/>
  <c r="AG155" i="4" s="1"/>
  <c r="AI155" i="4" s="1"/>
  <c r="AF28" i="4"/>
  <c r="AG28" i="4" s="1"/>
  <c r="AI28" i="4" s="1"/>
  <c r="AH526" i="5"/>
  <c r="AF83" i="4"/>
  <c r="AG83" i="4" s="1"/>
  <c r="AI83" i="4" s="1"/>
  <c r="AF153" i="4"/>
  <c r="AG153" i="4" s="1"/>
  <c r="AI153" i="4" s="1"/>
  <c r="AH285" i="5"/>
  <c r="AG357" i="5"/>
  <c r="AF124" i="4"/>
  <c r="AG124" i="4" s="1"/>
  <c r="AI124" i="4" s="1"/>
  <c r="AF140" i="4"/>
  <c r="AG140" i="4" s="1"/>
  <c r="AI140" i="4" s="1"/>
  <c r="AK96" i="4"/>
  <c r="AL96" i="4" s="1"/>
  <c r="AF89" i="4"/>
  <c r="AG89" i="4" s="1"/>
  <c r="AI89" i="4" s="1"/>
  <c r="AF13" i="4"/>
  <c r="AG13" i="4" s="1"/>
  <c r="AI13" i="4" s="1"/>
  <c r="AF88" i="4"/>
  <c r="AG88" i="4" s="1"/>
  <c r="AI88" i="4" s="1"/>
  <c r="AF105" i="4"/>
  <c r="AG105" i="4" s="1"/>
  <c r="AI105" i="4" s="1"/>
  <c r="AF148" i="4"/>
  <c r="AG148" i="4" s="1"/>
  <c r="AI148" i="4" s="1"/>
  <c r="AF49" i="4"/>
  <c r="AG49" i="4" s="1"/>
  <c r="AI49" i="4" s="1"/>
  <c r="AF101" i="4"/>
  <c r="AG101" i="4" s="1"/>
  <c r="AI101" i="4" s="1"/>
  <c r="X13" i="4"/>
  <c r="AK13" i="4" s="1"/>
  <c r="AL13" i="4" s="1"/>
  <c r="AO13" i="4" s="1"/>
  <c r="AF141" i="4"/>
  <c r="AG141" i="4" s="1"/>
  <c r="AI141" i="4" s="1"/>
  <c r="AF142" i="4"/>
  <c r="AG142" i="4" s="1"/>
  <c r="AI142" i="4" s="1"/>
  <c r="AF67" i="4"/>
  <c r="AG67" i="4" s="1"/>
  <c r="AI67" i="4" s="1"/>
  <c r="AF26" i="4"/>
  <c r="AG26" i="4" s="1"/>
  <c r="AI26" i="4" s="1"/>
  <c r="AF38" i="4"/>
  <c r="AG38" i="4" s="1"/>
  <c r="AI38" i="4" s="1"/>
  <c r="AH416" i="5"/>
  <c r="AF115" i="4"/>
  <c r="AG115" i="4" s="1"/>
  <c r="AI115" i="4" s="1"/>
  <c r="AF129" i="4"/>
  <c r="AG129" i="4" s="1"/>
  <c r="AI129" i="4" s="1"/>
  <c r="AF116" i="4"/>
  <c r="AG116" i="4" s="1"/>
  <c r="AI116" i="4" s="1"/>
  <c r="AF53" i="4"/>
  <c r="AG53" i="4" s="1"/>
  <c r="AI53" i="4" s="1"/>
  <c r="X9" i="4"/>
  <c r="AF58" i="4"/>
  <c r="AG58" i="4" s="1"/>
  <c r="AI58" i="4" s="1"/>
  <c r="AF17" i="4"/>
  <c r="AG17" i="4" s="1"/>
  <c r="AI17" i="4" s="1"/>
  <c r="AN106" i="4"/>
  <c r="AF106" i="4"/>
  <c r="AG106" i="4" s="1"/>
  <c r="AI106" i="4" s="1"/>
  <c r="AN15" i="4"/>
  <c r="X15" i="4"/>
  <c r="AH377" i="5"/>
  <c r="AG96" i="5"/>
  <c r="AN23" i="4"/>
  <c r="X23" i="4"/>
  <c r="AK23" i="4" s="1"/>
  <c r="AL23" i="4" s="1"/>
  <c r="AF41" i="4"/>
  <c r="AG41" i="4" s="1"/>
  <c r="AI41" i="4" s="1"/>
  <c r="AN96" i="4"/>
  <c r="AF96" i="4"/>
  <c r="AG96" i="4" s="1"/>
  <c r="AI96" i="4" s="1"/>
  <c r="AN98" i="4"/>
  <c r="AF98" i="4"/>
  <c r="AG98" i="4" s="1"/>
  <c r="AI98" i="4" s="1"/>
  <c r="X29" i="4"/>
  <c r="AA30" i="4"/>
  <c r="AC30" i="4" s="1"/>
  <c r="AD30" i="4" s="1"/>
  <c r="AN27" i="4"/>
  <c r="X27" i="4"/>
  <c r="AJ27" i="4" s="1"/>
  <c r="AF51" i="4"/>
  <c r="AG51" i="4" s="1"/>
  <c r="AI51" i="4" s="1"/>
  <c r="AT522" i="5"/>
  <c r="AU522" i="5"/>
  <c r="BL522" i="5"/>
  <c r="AU65" i="5"/>
  <c r="AT65" i="5"/>
  <c r="BL65" i="5"/>
  <c r="AU213" i="5"/>
  <c r="AT213" i="5"/>
  <c r="BL213" i="5"/>
  <c r="AT79" i="5"/>
  <c r="AU79" i="5"/>
  <c r="BL79" i="5"/>
  <c r="AT521" i="5"/>
  <c r="AU521" i="5"/>
  <c r="BL521" i="5"/>
  <c r="AU77" i="5"/>
  <c r="AT77" i="5"/>
  <c r="BL77" i="5"/>
  <c r="AU512" i="5"/>
  <c r="AT512" i="5"/>
  <c r="BL512" i="5"/>
  <c r="AT252" i="5"/>
  <c r="AU252" i="5"/>
  <c r="BL252" i="5"/>
  <c r="AT143" i="5"/>
  <c r="AU143" i="5"/>
  <c r="BL143" i="5"/>
  <c r="AU48" i="5"/>
  <c r="AT48" i="5"/>
  <c r="BL48" i="5"/>
  <c r="AT226" i="5"/>
  <c r="AU226" i="5"/>
  <c r="BL226" i="5"/>
  <c r="AN90" i="4"/>
  <c r="AF90" i="4"/>
  <c r="AG90" i="4" s="1"/>
  <c r="AI90" i="4" s="1"/>
  <c r="AT346" i="5"/>
  <c r="AU346" i="5"/>
  <c r="BL346" i="5"/>
  <c r="AU474" i="5"/>
  <c r="AT474" i="5"/>
  <c r="BL474" i="5"/>
  <c r="AT444" i="5"/>
  <c r="AU444" i="5"/>
  <c r="BL444" i="5"/>
  <c r="AT555" i="5"/>
  <c r="AU555" i="5"/>
  <c r="BL555" i="5"/>
  <c r="AT47" i="5"/>
  <c r="AU47" i="5"/>
  <c r="BL47" i="5"/>
  <c r="AT483" i="5"/>
  <c r="AU483" i="5"/>
  <c r="BL483" i="5"/>
  <c r="AU166" i="5"/>
  <c r="AT166" i="5"/>
  <c r="BL166" i="5"/>
  <c r="AT452" i="5"/>
  <c r="AU452" i="5"/>
  <c r="BL452" i="5"/>
  <c r="AN30" i="4"/>
  <c r="AF30" i="4"/>
  <c r="AG30" i="4" s="1"/>
  <c r="AI30" i="4" s="1"/>
  <c r="AT212" i="5"/>
  <c r="AU212" i="5"/>
  <c r="BL212" i="5"/>
  <c r="AU297" i="5"/>
  <c r="AT297" i="5"/>
  <c r="BL297" i="5"/>
  <c r="AT162" i="5"/>
  <c r="AU162" i="5"/>
  <c r="BL162" i="5"/>
  <c r="AU490" i="5"/>
  <c r="AT490" i="5"/>
  <c r="BL490" i="5"/>
  <c r="AU12" i="5"/>
  <c r="AT12" i="5"/>
  <c r="BL12" i="5"/>
  <c r="AT49" i="5"/>
  <c r="AU49" i="5"/>
  <c r="BL49" i="5"/>
  <c r="AT292" i="5"/>
  <c r="AU292" i="5"/>
  <c r="BL292" i="5"/>
  <c r="AF118" i="4"/>
  <c r="AG118" i="4" s="1"/>
  <c r="AI118" i="4" s="1"/>
  <c r="AT22" i="5"/>
  <c r="AU22" i="5"/>
  <c r="BL22" i="5"/>
  <c r="AU7" i="5"/>
  <c r="AT7" i="5"/>
  <c r="B261" i="2" s="1"/>
  <c r="B266" i="2" s="1"/>
  <c r="BL7" i="5"/>
  <c r="AU124" i="5"/>
  <c r="AT124" i="5"/>
  <c r="BL124" i="5"/>
  <c r="AT180" i="5"/>
  <c r="AU180" i="5"/>
  <c r="BL180" i="5"/>
  <c r="AT407" i="5"/>
  <c r="AU407" i="5"/>
  <c r="BL407" i="5"/>
  <c r="AT81" i="5"/>
  <c r="AU81" i="5"/>
  <c r="BL81" i="5"/>
  <c r="AT456" i="5"/>
  <c r="AU456" i="5"/>
  <c r="BL456" i="5"/>
  <c r="AT221" i="5"/>
  <c r="AU221" i="5"/>
  <c r="BL221" i="5"/>
  <c r="AK30" i="4"/>
  <c r="AL30" i="4" s="1"/>
  <c r="AU479" i="5"/>
  <c r="AT479" i="5"/>
  <c r="BL479" i="5"/>
  <c r="AT508" i="5"/>
  <c r="AU508" i="5"/>
  <c r="BL508" i="5"/>
  <c r="AT403" i="5"/>
  <c r="AU403" i="5"/>
  <c r="BL403" i="5"/>
  <c r="AT560" i="5"/>
  <c r="AU560" i="5"/>
  <c r="BL560" i="5"/>
  <c r="AT195" i="5"/>
  <c r="AU195" i="5"/>
  <c r="BL195" i="5"/>
  <c r="AT289" i="5"/>
  <c r="AU289" i="5"/>
  <c r="BL289" i="5"/>
  <c r="AT197" i="5"/>
  <c r="AU197" i="5"/>
  <c r="BL197" i="5"/>
  <c r="AT34" i="5"/>
  <c r="AU34" i="5"/>
  <c r="BL34" i="5"/>
  <c r="AU114" i="5"/>
  <c r="AT114" i="5"/>
  <c r="BL114" i="5"/>
  <c r="AF137" i="4"/>
  <c r="AG137" i="4" s="1"/>
  <c r="AI137" i="4" s="1"/>
  <c r="AT21" i="5"/>
  <c r="AU21" i="5"/>
  <c r="BL21" i="5"/>
  <c r="AT119" i="5"/>
  <c r="AU119" i="5"/>
  <c r="BL119" i="5"/>
  <c r="AT379" i="5"/>
  <c r="AU379" i="5"/>
  <c r="BL379" i="5"/>
  <c r="AU233" i="5"/>
  <c r="AT233" i="5"/>
  <c r="BL233" i="5"/>
  <c r="AU69" i="5"/>
  <c r="AT69" i="5"/>
  <c r="BL69" i="5"/>
  <c r="AT409" i="5"/>
  <c r="AU409" i="5"/>
  <c r="BL409" i="5"/>
  <c r="AT107" i="5"/>
  <c r="AU107" i="5"/>
  <c r="BL107" i="5"/>
  <c r="AT498" i="5"/>
  <c r="AU498" i="5"/>
  <c r="BL498" i="5"/>
  <c r="AT458" i="5"/>
  <c r="AU458" i="5"/>
  <c r="BL458" i="5"/>
  <c r="AT319" i="5"/>
  <c r="AU319" i="5"/>
  <c r="BL319" i="5"/>
  <c r="AU326" i="5"/>
  <c r="AT326" i="5"/>
  <c r="BL326" i="5"/>
  <c r="AU362" i="5"/>
  <c r="AT362" i="5"/>
  <c r="BL362" i="5"/>
  <c r="AU220" i="5"/>
  <c r="AT220" i="5"/>
  <c r="BL220" i="5"/>
  <c r="AT159" i="5"/>
  <c r="AU159" i="5"/>
  <c r="BL159" i="5"/>
  <c r="AT321" i="5"/>
  <c r="AU321" i="5"/>
  <c r="BL321" i="5"/>
  <c r="AT55" i="5"/>
  <c r="AU55" i="5"/>
  <c r="BL55" i="5"/>
  <c r="AU251" i="5"/>
  <c r="AT251" i="5"/>
  <c r="BL251" i="5"/>
  <c r="BL470" i="5"/>
  <c r="AT470" i="5"/>
  <c r="AU470" i="5"/>
  <c r="AT375" i="5"/>
  <c r="AU375" i="5"/>
  <c r="BL375" i="5"/>
  <c r="AT547" i="5"/>
  <c r="AU547" i="5"/>
  <c r="BL547" i="5"/>
  <c r="AT438" i="5"/>
  <c r="AU438" i="5"/>
  <c r="BL438" i="5"/>
  <c r="AU471" i="5"/>
  <c r="AT471" i="5"/>
  <c r="BL471" i="5"/>
  <c r="AT308" i="5"/>
  <c r="AU308" i="5"/>
  <c r="BL308" i="5"/>
  <c r="AU496" i="5"/>
  <c r="AT496" i="5"/>
  <c r="BL496" i="5"/>
  <c r="AU93" i="5"/>
  <c r="AT93" i="5"/>
  <c r="BL93" i="5"/>
  <c r="AU56" i="5"/>
  <c r="AT56" i="5"/>
  <c r="BL56" i="5"/>
  <c r="AF119" i="4"/>
  <c r="AG119" i="4" s="1"/>
  <c r="AI119" i="4" s="1"/>
  <c r="R236" i="5"/>
  <c r="S236" i="5"/>
  <c r="R72" i="5"/>
  <c r="S72" i="5"/>
  <c r="R330" i="5"/>
  <c r="S330" i="5"/>
  <c r="S187" i="5"/>
  <c r="R187" i="5"/>
  <c r="R418" i="5"/>
  <c r="S418" i="5"/>
  <c r="R8" i="5"/>
  <c r="S8" i="5"/>
  <c r="S310" i="5"/>
  <c r="R310" i="5"/>
  <c r="R506" i="5"/>
  <c r="S506" i="5"/>
  <c r="R438" i="5"/>
  <c r="S438" i="5"/>
  <c r="R334" i="5"/>
  <c r="S334" i="5"/>
  <c r="R483" i="5"/>
  <c r="S483" i="5"/>
  <c r="R542" i="5"/>
  <c r="S542" i="5"/>
  <c r="S179" i="5"/>
  <c r="R179" i="5"/>
  <c r="R450" i="5"/>
  <c r="S450" i="5"/>
  <c r="R332" i="5"/>
  <c r="S332" i="5"/>
  <c r="R316" i="5"/>
  <c r="S316" i="5"/>
  <c r="S249" i="5"/>
  <c r="R249" i="5"/>
  <c r="R101" i="5"/>
  <c r="S101" i="5"/>
  <c r="S76" i="5"/>
  <c r="R76" i="5"/>
  <c r="S351" i="5"/>
  <c r="R351" i="5"/>
  <c r="R166" i="5"/>
  <c r="S166" i="5"/>
  <c r="S445" i="5"/>
  <c r="R445" i="5"/>
  <c r="R520" i="5"/>
  <c r="S520" i="5"/>
  <c r="R208" i="5"/>
  <c r="S208" i="5"/>
  <c r="R177" i="5"/>
  <c r="S177" i="5"/>
  <c r="R295" i="5"/>
  <c r="S295" i="5"/>
  <c r="R41" i="5"/>
  <c r="S41" i="5"/>
  <c r="R507" i="5"/>
  <c r="S507" i="5"/>
  <c r="R105" i="5"/>
  <c r="S105" i="5"/>
  <c r="S20" i="5"/>
  <c r="R20" i="5"/>
  <c r="S503" i="5"/>
  <c r="R503" i="5"/>
  <c r="S147" i="5"/>
  <c r="R147" i="5"/>
  <c r="S432" i="5"/>
  <c r="R432" i="5"/>
  <c r="R270" i="5"/>
  <c r="S270" i="5"/>
  <c r="S462" i="5"/>
  <c r="R462" i="5"/>
  <c r="R70" i="5"/>
  <c r="S70" i="5"/>
  <c r="R326" i="5"/>
  <c r="S326" i="5"/>
  <c r="S323" i="5"/>
  <c r="R323" i="5"/>
  <c r="S241" i="5"/>
  <c r="R241" i="5"/>
  <c r="R44" i="5"/>
  <c r="S44" i="5"/>
  <c r="S40" i="5"/>
  <c r="R40" i="5"/>
  <c r="S203" i="5"/>
  <c r="R203" i="5"/>
  <c r="R290" i="5"/>
  <c r="S290" i="5"/>
  <c r="R265" i="5"/>
  <c r="S265" i="5"/>
  <c r="S433" i="5"/>
  <c r="R433" i="5"/>
  <c r="R90" i="5"/>
  <c r="S90" i="5"/>
  <c r="S425" i="5"/>
  <c r="R425" i="5"/>
  <c r="R375" i="5"/>
  <c r="S375" i="5"/>
  <c r="S219" i="5"/>
  <c r="R219" i="5"/>
  <c r="R256" i="5"/>
  <c r="S256" i="5"/>
  <c r="S155" i="5"/>
  <c r="R155" i="5"/>
  <c r="R471" i="5"/>
  <c r="S471" i="5"/>
  <c r="R259" i="5"/>
  <c r="S259" i="5"/>
  <c r="S117" i="5"/>
  <c r="R117" i="5"/>
  <c r="R299" i="5"/>
  <c r="S299" i="5"/>
  <c r="R487" i="5"/>
  <c r="S487" i="5"/>
  <c r="R55" i="5"/>
  <c r="S55" i="5"/>
  <c r="R544" i="5"/>
  <c r="S544" i="5"/>
  <c r="S156" i="5"/>
  <c r="R156" i="5"/>
  <c r="R307" i="5"/>
  <c r="S307" i="5"/>
  <c r="R174" i="5"/>
  <c r="S174" i="5"/>
  <c r="R522" i="5"/>
  <c r="S522" i="5"/>
  <c r="S228" i="5"/>
  <c r="R228" i="5"/>
  <c r="R546" i="5"/>
  <c r="S546" i="5"/>
  <c r="R253" i="5"/>
  <c r="S253" i="5"/>
  <c r="R84" i="5"/>
  <c r="S84" i="5"/>
  <c r="R188" i="5"/>
  <c r="S188" i="5"/>
  <c r="S230" i="5"/>
  <c r="R230" i="5"/>
  <c r="AF127" i="4"/>
  <c r="AG127" i="4" s="1"/>
  <c r="AI127" i="4" s="1"/>
  <c r="AT412" i="5"/>
  <c r="AU412" i="5"/>
  <c r="BL412" i="5"/>
  <c r="AJ45" i="4"/>
  <c r="AK45" i="4"/>
  <c r="AL45" i="4" s="1"/>
  <c r="AU357" i="5"/>
  <c r="AT357" i="5"/>
  <c r="BL357" i="5"/>
  <c r="AU88" i="5"/>
  <c r="AT88" i="5"/>
  <c r="BL88" i="5"/>
  <c r="AU556" i="5"/>
  <c r="AT556" i="5"/>
  <c r="BL556" i="5"/>
  <c r="AT287" i="5"/>
  <c r="AU287" i="5"/>
  <c r="BL287" i="5"/>
  <c r="AT450" i="5"/>
  <c r="AU450" i="5"/>
  <c r="BL450" i="5"/>
  <c r="AU307" i="5"/>
  <c r="AT307" i="5"/>
  <c r="BL307" i="5"/>
  <c r="AT43" i="5"/>
  <c r="AU43" i="5"/>
  <c r="BL43" i="5"/>
  <c r="AU495" i="5"/>
  <c r="AT495" i="5"/>
  <c r="BL495" i="5"/>
  <c r="AQ45" i="4"/>
  <c r="AC45" i="4"/>
  <c r="AD45" i="4" s="1"/>
  <c r="AP45" i="4"/>
  <c r="AT435" i="5"/>
  <c r="AU435" i="5"/>
  <c r="BL435" i="5"/>
  <c r="AU80" i="5"/>
  <c r="AT80" i="5"/>
  <c r="BL80" i="5"/>
  <c r="AU439" i="5"/>
  <c r="AT439" i="5"/>
  <c r="BL439" i="5"/>
  <c r="AU355" i="5"/>
  <c r="AT355" i="5"/>
  <c r="BL355" i="5"/>
  <c r="AT462" i="5"/>
  <c r="AU462" i="5"/>
  <c r="BL462" i="5"/>
  <c r="AT523" i="5"/>
  <c r="AU523" i="5"/>
  <c r="BL523" i="5"/>
  <c r="AU30" i="5"/>
  <c r="AT30" i="5"/>
  <c r="BL30" i="5"/>
  <c r="AU550" i="5"/>
  <c r="AT550" i="5"/>
  <c r="BL550" i="5"/>
  <c r="AU299" i="5"/>
  <c r="AT299" i="5"/>
  <c r="BL299" i="5"/>
  <c r="AN135" i="4"/>
  <c r="AF135" i="4"/>
  <c r="AG135" i="4" s="1"/>
  <c r="AI135" i="4" s="1"/>
  <c r="AU35" i="5"/>
  <c r="AT35" i="5"/>
  <c r="BL35" i="5"/>
  <c r="AU71" i="5"/>
  <c r="AT71" i="5"/>
  <c r="BL71" i="5"/>
  <c r="AT155" i="5"/>
  <c r="AU155" i="5"/>
  <c r="BL155" i="5"/>
  <c r="AT241" i="5"/>
  <c r="AU241" i="5"/>
  <c r="BL241" i="5"/>
  <c r="AU194" i="5"/>
  <c r="AT194" i="5"/>
  <c r="BL194" i="5"/>
  <c r="AT185" i="5"/>
  <c r="AU185" i="5"/>
  <c r="BL185" i="5"/>
  <c r="AT467" i="5"/>
  <c r="AU467" i="5"/>
  <c r="BL467" i="5"/>
  <c r="AU325" i="5"/>
  <c r="AT325" i="5"/>
  <c r="BL325" i="5"/>
  <c r="AQ63" i="4"/>
  <c r="AC63" i="4"/>
  <c r="AD63" i="4" s="1"/>
  <c r="AP63" i="4"/>
  <c r="AT371" i="5"/>
  <c r="AU371" i="5"/>
  <c r="BL371" i="5"/>
  <c r="AU13" i="5"/>
  <c r="AT13" i="5"/>
  <c r="BL13" i="5"/>
  <c r="AT215" i="5"/>
  <c r="AU215" i="5"/>
  <c r="BL215" i="5"/>
  <c r="AU172" i="5"/>
  <c r="AT172" i="5"/>
  <c r="BL172" i="5"/>
  <c r="AU273" i="5"/>
  <c r="AT273" i="5"/>
  <c r="BL273" i="5"/>
  <c r="AU392" i="5"/>
  <c r="AT392" i="5"/>
  <c r="BL392" i="5"/>
  <c r="AT148" i="5"/>
  <c r="AU148" i="5"/>
  <c r="BL148" i="5"/>
  <c r="AT454" i="5"/>
  <c r="AU454" i="5"/>
  <c r="BL454" i="5"/>
  <c r="AU437" i="5"/>
  <c r="AT437" i="5"/>
  <c r="BL437" i="5"/>
  <c r="AT92" i="5"/>
  <c r="AU92" i="5"/>
  <c r="BL92" i="5"/>
  <c r="AU223" i="5"/>
  <c r="AT223" i="5"/>
  <c r="BL223" i="5"/>
  <c r="AU397" i="5"/>
  <c r="AT397" i="5"/>
  <c r="BL397" i="5"/>
  <c r="AU184" i="5"/>
  <c r="AT184" i="5"/>
  <c r="BL184" i="5"/>
  <c r="AU260" i="5"/>
  <c r="AT260" i="5"/>
  <c r="BL260" i="5"/>
  <c r="AU242" i="5"/>
  <c r="AT242" i="5"/>
  <c r="BL242" i="5"/>
  <c r="AU36" i="5"/>
  <c r="AT36" i="5"/>
  <c r="BL36" i="5"/>
  <c r="AU74" i="5"/>
  <c r="AT74" i="5"/>
  <c r="BL74" i="5"/>
  <c r="AT152" i="5"/>
  <c r="AU152" i="5"/>
  <c r="BL152" i="5"/>
  <c r="AT210" i="5"/>
  <c r="AU210" i="5"/>
  <c r="BL210" i="5"/>
  <c r="AU506" i="5"/>
  <c r="AT506" i="5"/>
  <c r="BL506" i="5"/>
  <c r="AU232" i="5"/>
  <c r="AT232" i="5"/>
  <c r="BL232" i="5"/>
  <c r="AT306" i="5"/>
  <c r="AU306" i="5"/>
  <c r="BL306" i="5"/>
  <c r="AT364" i="5"/>
  <c r="AU364" i="5"/>
  <c r="BL364" i="5"/>
  <c r="AT339" i="5"/>
  <c r="AU339" i="5"/>
  <c r="BL339" i="5"/>
  <c r="AT206" i="5"/>
  <c r="AU206" i="5"/>
  <c r="BL206" i="5"/>
  <c r="AU131" i="5"/>
  <c r="AT131" i="5"/>
  <c r="BL131" i="5"/>
  <c r="AT136" i="5"/>
  <c r="AU136" i="5"/>
  <c r="BL136" i="5"/>
  <c r="AF120" i="4"/>
  <c r="AG120" i="4" s="1"/>
  <c r="AI120" i="4" s="1"/>
  <c r="AQ130" i="4"/>
  <c r="AU455" i="5"/>
  <c r="AT455" i="5"/>
  <c r="BL455" i="5"/>
  <c r="AU175" i="5"/>
  <c r="AT175" i="5"/>
  <c r="BL175" i="5"/>
  <c r="AU278" i="5"/>
  <c r="AT278" i="5"/>
  <c r="BL278" i="5"/>
  <c r="AU147" i="5"/>
  <c r="AT147" i="5"/>
  <c r="BL147" i="5"/>
  <c r="AU481" i="5"/>
  <c r="AT481" i="5"/>
  <c r="BL481" i="5"/>
  <c r="AT345" i="5"/>
  <c r="AU345" i="5"/>
  <c r="BL345" i="5"/>
  <c r="AT137" i="5"/>
  <c r="AU137" i="5"/>
  <c r="BL137" i="5"/>
  <c r="AU451" i="5"/>
  <c r="AT451" i="5"/>
  <c r="BL451" i="5"/>
  <c r="AF24" i="4"/>
  <c r="AG24" i="4" s="1"/>
  <c r="AI24" i="4" s="1"/>
  <c r="AU234" i="5"/>
  <c r="AT234" i="5"/>
  <c r="BL234" i="5"/>
  <c r="AT453" i="5"/>
  <c r="AU453" i="5"/>
  <c r="BL453" i="5"/>
  <c r="AT312" i="5"/>
  <c r="AU312" i="5"/>
  <c r="BL312" i="5"/>
  <c r="AT491" i="5"/>
  <c r="AU491" i="5"/>
  <c r="BL491" i="5"/>
  <c r="AU352" i="5"/>
  <c r="AT352" i="5"/>
  <c r="BL352" i="5"/>
  <c r="AT217" i="5"/>
  <c r="AU217" i="5"/>
  <c r="BL217" i="5"/>
  <c r="AU245" i="5"/>
  <c r="AT245" i="5"/>
  <c r="BL245" i="5"/>
  <c r="AT525" i="5"/>
  <c r="AU525" i="5"/>
  <c r="BL525" i="5"/>
  <c r="AU500" i="5"/>
  <c r="AT500" i="5"/>
  <c r="BL500" i="5"/>
  <c r="R137" i="5"/>
  <c r="S137" i="5"/>
  <c r="R431" i="5"/>
  <c r="S431" i="5"/>
  <c r="R73" i="5"/>
  <c r="S73" i="5"/>
  <c r="R313" i="5"/>
  <c r="S313" i="5"/>
  <c r="S27" i="5"/>
  <c r="R27" i="5"/>
  <c r="S170" i="5"/>
  <c r="R170" i="5"/>
  <c r="S538" i="5"/>
  <c r="R538" i="5"/>
  <c r="S89" i="5"/>
  <c r="R89" i="5"/>
  <c r="S260" i="5"/>
  <c r="R260" i="5"/>
  <c r="S458" i="5"/>
  <c r="R458" i="5"/>
  <c r="S327" i="5"/>
  <c r="R327" i="5"/>
  <c r="S457" i="5"/>
  <c r="R457" i="5"/>
  <c r="R97" i="5"/>
  <c r="S97" i="5"/>
  <c r="R558" i="5"/>
  <c r="S558" i="5"/>
  <c r="S521" i="5"/>
  <c r="R521" i="5"/>
  <c r="R409" i="5"/>
  <c r="S409" i="5"/>
  <c r="R441" i="5"/>
  <c r="S441" i="5"/>
  <c r="R436" i="5"/>
  <c r="S436" i="5"/>
  <c r="R508" i="5"/>
  <c r="S508" i="5"/>
  <c r="S394" i="5"/>
  <c r="R394" i="5"/>
  <c r="S495" i="5"/>
  <c r="R495" i="5"/>
  <c r="R384" i="5"/>
  <c r="S384" i="5"/>
  <c r="S193" i="5"/>
  <c r="R193" i="5"/>
  <c r="S250" i="5"/>
  <c r="R250" i="5"/>
  <c r="R235" i="5"/>
  <c r="S235" i="5"/>
  <c r="R317" i="5"/>
  <c r="S317" i="5"/>
  <c r="R131" i="5"/>
  <c r="S131" i="5"/>
  <c r="S108" i="5"/>
  <c r="R108" i="5"/>
  <c r="R217" i="5"/>
  <c r="S217" i="5"/>
  <c r="S359" i="5"/>
  <c r="R359" i="5"/>
  <c r="S201" i="5"/>
  <c r="R201" i="5"/>
  <c r="S549" i="5"/>
  <c r="R549" i="5"/>
  <c r="R267" i="5"/>
  <c r="S267" i="5"/>
  <c r="R354" i="5"/>
  <c r="S354" i="5"/>
  <c r="S335" i="5"/>
  <c r="R335" i="5"/>
  <c r="S50" i="5"/>
  <c r="R50" i="5"/>
  <c r="S347" i="5"/>
  <c r="R347" i="5"/>
  <c r="S115" i="5"/>
  <c r="R115" i="5"/>
  <c r="R518" i="5"/>
  <c r="S518" i="5"/>
  <c r="R238" i="5"/>
  <c r="S238" i="5"/>
  <c r="S345" i="5"/>
  <c r="R345" i="5"/>
  <c r="R488" i="5"/>
  <c r="S488" i="5"/>
  <c r="R429" i="5"/>
  <c r="S429" i="5"/>
  <c r="R393" i="5"/>
  <c r="S393" i="5"/>
  <c r="S479" i="5"/>
  <c r="R479" i="5"/>
  <c r="S385" i="5"/>
  <c r="R385" i="5"/>
  <c r="S35" i="5"/>
  <c r="R35" i="5"/>
  <c r="S51" i="5"/>
  <c r="R51" i="5"/>
  <c r="S145" i="5"/>
  <c r="R145" i="5"/>
  <c r="R167" i="5"/>
  <c r="S167" i="5"/>
  <c r="R213" i="5"/>
  <c r="S213" i="5"/>
  <c r="S42" i="5"/>
  <c r="R42" i="5"/>
  <c r="R424" i="5"/>
  <c r="S424" i="5"/>
  <c r="S420" i="5"/>
  <c r="R420" i="5"/>
  <c r="S490" i="5"/>
  <c r="R490" i="5"/>
  <c r="S311" i="5"/>
  <c r="R311" i="5"/>
  <c r="R182" i="5"/>
  <c r="S182" i="5"/>
  <c r="R319" i="5"/>
  <c r="S319" i="5"/>
  <c r="R378" i="5"/>
  <c r="S378" i="5"/>
  <c r="S291" i="5"/>
  <c r="R291" i="5"/>
  <c r="R139" i="5"/>
  <c r="S139" i="5"/>
  <c r="S165" i="5"/>
  <c r="R165" i="5"/>
  <c r="R467" i="5"/>
  <c r="S467" i="5"/>
  <c r="R144" i="5"/>
  <c r="S144" i="5"/>
  <c r="R245" i="5"/>
  <c r="S245" i="5"/>
  <c r="S477" i="5"/>
  <c r="R477" i="5"/>
  <c r="S86" i="5"/>
  <c r="R86" i="5"/>
  <c r="AT132" i="5"/>
  <c r="AU132" i="5"/>
  <c r="BL132" i="5"/>
  <c r="AT484" i="5"/>
  <c r="AU484" i="5"/>
  <c r="BL484" i="5"/>
  <c r="AU135" i="5"/>
  <c r="AT135" i="5"/>
  <c r="BL135" i="5"/>
  <c r="AT356" i="5"/>
  <c r="AU356" i="5"/>
  <c r="BL356" i="5"/>
  <c r="AU395" i="5"/>
  <c r="AT395" i="5"/>
  <c r="BL395" i="5"/>
  <c r="AU259" i="5"/>
  <c r="AT259" i="5"/>
  <c r="BL259" i="5"/>
  <c r="AF85" i="4"/>
  <c r="AG85" i="4" s="1"/>
  <c r="AI85" i="4" s="1"/>
  <c r="AT129" i="5"/>
  <c r="AU129" i="5"/>
  <c r="BL129" i="5"/>
  <c r="AU67" i="5"/>
  <c r="AT67" i="5"/>
  <c r="BL67" i="5"/>
  <c r="AT359" i="5"/>
  <c r="AU359" i="5"/>
  <c r="BL359" i="5"/>
  <c r="AT164" i="5"/>
  <c r="AU164" i="5"/>
  <c r="BL164" i="5"/>
  <c r="AT199" i="5"/>
  <c r="AU199" i="5"/>
  <c r="BL199" i="5"/>
  <c r="AT254" i="5"/>
  <c r="AU254" i="5"/>
  <c r="BL254" i="5"/>
  <c r="AT318" i="5"/>
  <c r="AU318" i="5"/>
  <c r="BL318" i="5"/>
  <c r="AT408" i="5"/>
  <c r="AU408" i="5"/>
  <c r="BL408" i="5"/>
  <c r="AU237" i="5"/>
  <c r="AT237" i="5"/>
  <c r="BL237" i="5"/>
  <c r="AN18" i="4"/>
  <c r="AF18" i="4"/>
  <c r="AG18" i="4" s="1"/>
  <c r="AI18" i="4" s="1"/>
  <c r="X18" i="4"/>
  <c r="AJ18" i="4" s="1"/>
  <c r="AU156" i="5"/>
  <c r="BL156" i="5"/>
  <c r="AT156" i="5"/>
  <c r="AT87" i="5"/>
  <c r="AU87" i="5"/>
  <c r="BL87" i="5"/>
  <c r="AU549" i="5"/>
  <c r="AT549" i="5"/>
  <c r="BL549" i="5"/>
  <c r="AU347" i="5"/>
  <c r="AT347" i="5"/>
  <c r="BL347" i="5"/>
  <c r="AT410" i="5"/>
  <c r="AU410" i="5"/>
  <c r="BL410" i="5"/>
  <c r="AT99" i="5"/>
  <c r="AU99" i="5"/>
  <c r="BL99" i="5"/>
  <c r="AU459" i="5"/>
  <c r="AT459" i="5"/>
  <c r="BL459" i="5"/>
  <c r="AT140" i="5"/>
  <c r="AU140" i="5"/>
  <c r="BL140" i="5"/>
  <c r="AU388" i="5"/>
  <c r="AT388" i="5"/>
  <c r="BL388" i="5"/>
  <c r="AT19" i="5"/>
  <c r="AU19" i="5"/>
  <c r="BL19" i="5"/>
  <c r="AU86" i="5"/>
  <c r="AT86" i="5"/>
  <c r="BL86" i="5"/>
  <c r="AT45" i="5"/>
  <c r="AU45" i="5"/>
  <c r="BL45" i="5"/>
  <c r="AT449" i="5"/>
  <c r="AU449" i="5"/>
  <c r="BL449" i="5"/>
  <c r="AT127" i="5"/>
  <c r="AU127" i="5"/>
  <c r="BL127" i="5"/>
  <c r="AU72" i="5"/>
  <c r="AT72" i="5"/>
  <c r="BL72" i="5"/>
  <c r="AU513" i="5"/>
  <c r="AT513" i="5"/>
  <c r="BL513" i="5"/>
  <c r="AU501" i="5"/>
  <c r="AT501" i="5"/>
  <c r="BL501" i="5"/>
  <c r="AU133" i="5"/>
  <c r="AT133" i="5"/>
  <c r="BL133" i="5"/>
  <c r="AU211" i="5"/>
  <c r="AT211" i="5"/>
  <c r="BL211" i="5"/>
  <c r="AU275" i="5"/>
  <c r="AT275" i="5"/>
  <c r="BL275" i="5"/>
  <c r="AU507" i="5"/>
  <c r="AT507" i="5"/>
  <c r="BL507" i="5"/>
  <c r="AU33" i="5"/>
  <c r="AT33" i="5"/>
  <c r="BL33" i="5"/>
  <c r="AT78" i="5"/>
  <c r="AU78" i="5"/>
  <c r="BL78" i="5"/>
  <c r="AT225" i="5"/>
  <c r="AU225" i="5"/>
  <c r="BL225" i="5"/>
  <c r="AT178" i="5"/>
  <c r="AU178" i="5"/>
  <c r="BL178" i="5"/>
  <c r="AU27" i="5"/>
  <c r="AT27" i="5"/>
  <c r="BL27" i="5"/>
  <c r="AU494" i="5"/>
  <c r="AT494" i="5"/>
  <c r="BL494" i="5"/>
  <c r="AT149" i="5"/>
  <c r="BL149" i="5"/>
  <c r="AU149" i="5"/>
  <c r="AT383" i="5"/>
  <c r="AU383" i="5"/>
  <c r="BL383" i="5"/>
  <c r="AT73" i="5"/>
  <c r="AU73" i="5"/>
  <c r="BL73" i="5"/>
  <c r="AU222" i="5"/>
  <c r="AT222" i="5"/>
  <c r="BL222" i="5"/>
  <c r="AT531" i="5"/>
  <c r="AU531" i="5"/>
  <c r="BL531" i="5"/>
  <c r="AT63" i="5"/>
  <c r="AU63" i="5"/>
  <c r="BL63" i="5"/>
  <c r="AU311" i="5"/>
  <c r="AT311" i="5"/>
  <c r="BL311" i="5"/>
  <c r="AU268" i="5"/>
  <c r="AT268" i="5"/>
  <c r="BL268" i="5"/>
  <c r="AU440" i="5"/>
  <c r="AT440" i="5"/>
  <c r="BL440" i="5"/>
  <c r="AT60" i="5"/>
  <c r="AU60" i="5"/>
  <c r="BL60" i="5"/>
  <c r="AT120" i="5"/>
  <c r="AU120" i="5"/>
  <c r="BL120" i="5"/>
  <c r="AT348" i="5"/>
  <c r="AU348" i="5"/>
  <c r="BL348" i="5"/>
  <c r="AU554" i="5"/>
  <c r="AT554" i="5"/>
  <c r="BL554" i="5"/>
  <c r="AU421" i="5"/>
  <c r="AT421" i="5"/>
  <c r="BL421" i="5"/>
  <c r="AU424" i="5"/>
  <c r="AT424" i="5"/>
  <c r="BL424" i="5"/>
  <c r="AT468" i="5"/>
  <c r="AU468" i="5"/>
  <c r="BL468" i="5"/>
  <c r="AT415" i="5"/>
  <c r="AU415" i="5"/>
  <c r="BL415" i="5"/>
  <c r="AU369" i="5"/>
  <c r="AT369" i="5"/>
  <c r="BL369" i="5"/>
  <c r="AT160" i="5"/>
  <c r="AU160" i="5"/>
  <c r="BL160" i="5"/>
  <c r="AT286" i="5"/>
  <c r="AU286" i="5"/>
  <c r="BL286" i="5"/>
  <c r="AT186" i="5"/>
  <c r="AU186" i="5"/>
  <c r="BL186" i="5"/>
  <c r="AU393" i="5"/>
  <c r="AT393" i="5"/>
  <c r="BL393" i="5"/>
  <c r="AU191" i="5"/>
  <c r="AT191" i="5"/>
  <c r="BL191" i="5"/>
  <c r="AU394" i="5"/>
  <c r="AT394" i="5"/>
  <c r="BL394" i="5"/>
  <c r="AU405" i="5"/>
  <c r="AT405" i="5"/>
  <c r="BL405" i="5"/>
  <c r="Q11" i="5"/>
  <c r="AM11" i="5"/>
  <c r="T11" i="5"/>
  <c r="W11" i="5"/>
  <c r="BC11" i="5"/>
  <c r="AJ11" i="5"/>
  <c r="AP11" i="5"/>
  <c r="AZ11" i="5"/>
  <c r="Z11" i="5"/>
  <c r="AW11" i="5"/>
  <c r="R480" i="5"/>
  <c r="S480" i="5"/>
  <c r="R141" i="5"/>
  <c r="S141" i="5"/>
  <c r="R389" i="5"/>
  <c r="S389" i="5"/>
  <c r="S308" i="5"/>
  <c r="R308" i="5"/>
  <c r="S45" i="5"/>
  <c r="R45" i="5"/>
  <c r="R292" i="5"/>
  <c r="S292" i="5"/>
  <c r="S110" i="5"/>
  <c r="R110" i="5"/>
  <c r="S220" i="5"/>
  <c r="R220" i="5"/>
  <c r="R207" i="5"/>
  <c r="S207" i="5"/>
  <c r="S113" i="5"/>
  <c r="R113" i="5"/>
  <c r="S257" i="5"/>
  <c r="R257" i="5"/>
  <c r="R340" i="5"/>
  <c r="S340" i="5"/>
  <c r="R197" i="5"/>
  <c r="S197" i="5"/>
  <c r="S547" i="5"/>
  <c r="R547" i="5"/>
  <c r="S211" i="5"/>
  <c r="R211" i="5"/>
  <c r="S287" i="5"/>
  <c r="R287" i="5"/>
  <c r="S416" i="5"/>
  <c r="R416" i="5"/>
  <c r="S523" i="5"/>
  <c r="R523" i="5"/>
  <c r="R111" i="5"/>
  <c r="S111" i="5"/>
  <c r="R380" i="5"/>
  <c r="S380" i="5"/>
  <c r="S94" i="5"/>
  <c r="R94" i="5"/>
  <c r="S224" i="5"/>
  <c r="R224" i="5"/>
  <c r="S276" i="5"/>
  <c r="R276" i="5"/>
  <c r="S151" i="5"/>
  <c r="R151" i="5"/>
  <c r="R26" i="5"/>
  <c r="S26" i="5"/>
  <c r="S524" i="5"/>
  <c r="R524" i="5"/>
  <c r="R212" i="5"/>
  <c r="S212" i="5"/>
  <c r="R48" i="5"/>
  <c r="S48" i="5"/>
  <c r="R88" i="5"/>
  <c r="S88" i="5"/>
  <c r="R136" i="5"/>
  <c r="S136" i="5"/>
  <c r="R500" i="5"/>
  <c r="S500" i="5"/>
  <c r="S497" i="5"/>
  <c r="R497" i="5"/>
  <c r="S176" i="5"/>
  <c r="R176" i="5"/>
  <c r="R494" i="5"/>
  <c r="S494" i="5"/>
  <c r="R413" i="5"/>
  <c r="S413" i="5"/>
  <c r="R513" i="5"/>
  <c r="S513" i="5"/>
  <c r="S411" i="5"/>
  <c r="R411" i="5"/>
  <c r="R442" i="5"/>
  <c r="S442" i="5"/>
  <c r="R412" i="5"/>
  <c r="S412" i="5"/>
  <c r="R229" i="5"/>
  <c r="S229" i="5"/>
  <c r="R186" i="5"/>
  <c r="S186" i="5"/>
  <c r="S551" i="5"/>
  <c r="R551" i="5"/>
  <c r="R315" i="5"/>
  <c r="S315" i="5"/>
  <c r="R281" i="5"/>
  <c r="S281" i="5"/>
  <c r="S184" i="5"/>
  <c r="R184" i="5"/>
  <c r="S473" i="5"/>
  <c r="R473" i="5"/>
  <c r="S361" i="5"/>
  <c r="R361" i="5"/>
  <c r="R550" i="5"/>
  <c r="S550" i="5"/>
  <c r="R34" i="5"/>
  <c r="S34" i="5"/>
  <c r="S246" i="5"/>
  <c r="R246" i="5"/>
  <c r="R369" i="5"/>
  <c r="S369" i="5"/>
  <c r="R199" i="5"/>
  <c r="S199" i="5"/>
  <c r="R455" i="5"/>
  <c r="S455" i="5"/>
  <c r="R66" i="5"/>
  <c r="S66" i="5"/>
  <c r="R63" i="5"/>
  <c r="S63" i="5"/>
  <c r="S451" i="5"/>
  <c r="R451" i="5"/>
  <c r="S333" i="5"/>
  <c r="R333" i="5"/>
  <c r="R360" i="5"/>
  <c r="S360" i="5"/>
  <c r="R312" i="5"/>
  <c r="S312" i="5"/>
  <c r="S286" i="5"/>
  <c r="R286" i="5"/>
  <c r="S178" i="5"/>
  <c r="R178" i="5"/>
  <c r="R297" i="5"/>
  <c r="S297" i="5"/>
  <c r="S36" i="5"/>
  <c r="R36" i="5"/>
  <c r="R67" i="5"/>
  <c r="S67" i="5"/>
  <c r="S537" i="5"/>
  <c r="R537" i="5"/>
  <c r="S443" i="5"/>
  <c r="R443" i="5"/>
  <c r="R198" i="5"/>
  <c r="S198" i="5"/>
  <c r="S321" i="5"/>
  <c r="R321" i="5"/>
  <c r="AU256" i="5"/>
  <c r="AT256" i="5"/>
  <c r="BL256" i="5"/>
  <c r="AU544" i="5"/>
  <c r="AT544" i="5"/>
  <c r="BL544" i="5"/>
  <c r="AU168" i="5"/>
  <c r="AT168" i="5"/>
  <c r="BL168" i="5"/>
  <c r="AU91" i="5"/>
  <c r="AT91" i="5"/>
  <c r="BL91" i="5"/>
  <c r="AN54" i="4"/>
  <c r="AF54" i="4"/>
  <c r="AG54" i="4" s="1"/>
  <c r="AI54" i="4" s="1"/>
  <c r="AN84" i="4"/>
  <c r="AF84" i="4"/>
  <c r="AG84" i="4" s="1"/>
  <c r="AI84" i="4" s="1"/>
  <c r="AN77" i="4"/>
  <c r="AF77" i="4"/>
  <c r="AG77" i="4" s="1"/>
  <c r="AI77" i="4" s="1"/>
  <c r="AU285" i="5"/>
  <c r="AT285" i="5"/>
  <c r="BL285" i="5"/>
  <c r="AT100" i="5"/>
  <c r="AU100" i="5"/>
  <c r="BL100" i="5"/>
  <c r="AU423" i="5"/>
  <c r="BL423" i="5"/>
  <c r="AT423" i="5"/>
  <c r="AU253" i="5"/>
  <c r="AT253" i="5"/>
  <c r="BL253" i="5"/>
  <c r="AU317" i="5"/>
  <c r="AT317" i="5"/>
  <c r="BL317" i="5"/>
  <c r="AT349" i="5"/>
  <c r="AU349" i="5"/>
  <c r="BL349" i="5"/>
  <c r="AU277" i="5"/>
  <c r="AT277" i="5"/>
  <c r="BL277" i="5"/>
  <c r="AU543" i="5"/>
  <c r="AT543" i="5"/>
  <c r="BL543" i="5"/>
  <c r="AT434" i="5"/>
  <c r="AU434" i="5"/>
  <c r="BL434" i="5"/>
  <c r="AU353" i="5"/>
  <c r="AT353" i="5"/>
  <c r="BL353" i="5"/>
  <c r="AU442" i="5"/>
  <c r="AT442" i="5"/>
  <c r="BL442" i="5"/>
  <c r="AT446" i="5"/>
  <c r="AU446" i="5"/>
  <c r="BL446" i="5"/>
  <c r="AU295" i="5"/>
  <c r="AT295" i="5"/>
  <c r="BL295" i="5"/>
  <c r="AU75" i="5"/>
  <c r="AT75" i="5"/>
  <c r="BL75" i="5"/>
  <c r="AT158" i="5"/>
  <c r="AU158" i="5"/>
  <c r="BL158" i="5"/>
  <c r="AU373" i="5"/>
  <c r="AT373" i="5"/>
  <c r="BL373" i="5"/>
  <c r="AT229" i="5"/>
  <c r="AU229" i="5"/>
  <c r="BL229" i="5"/>
  <c r="AT151" i="5"/>
  <c r="AU151" i="5"/>
  <c r="BL151" i="5"/>
  <c r="AT98" i="5"/>
  <c r="AU98" i="5"/>
  <c r="BL98" i="5"/>
  <c r="AT416" i="5"/>
  <c r="AU416" i="5"/>
  <c r="BL416" i="5"/>
  <c r="AT20" i="5"/>
  <c r="AU20" i="5"/>
  <c r="BL20" i="5"/>
  <c r="AT465" i="5"/>
  <c r="AU465" i="5"/>
  <c r="BL465" i="5"/>
  <c r="AT520" i="5"/>
  <c r="AU520" i="5"/>
  <c r="BL520" i="5"/>
  <c r="AU323" i="5"/>
  <c r="AT323" i="5"/>
  <c r="BL323" i="5"/>
  <c r="AU378" i="5"/>
  <c r="AT378" i="5"/>
  <c r="BL378" i="5"/>
  <c r="AU443" i="5"/>
  <c r="AT443" i="5"/>
  <c r="BL443" i="5"/>
  <c r="AT138" i="5"/>
  <c r="AU138" i="5"/>
  <c r="BL138" i="5"/>
  <c r="AT509" i="5"/>
  <c r="AU509" i="5"/>
  <c r="BL509" i="5"/>
  <c r="AT128" i="5"/>
  <c r="AU128" i="5"/>
  <c r="BL128" i="5"/>
  <c r="AU109" i="5"/>
  <c r="AT109" i="5"/>
  <c r="BL109" i="5"/>
  <c r="AU342" i="5"/>
  <c r="AT342" i="5"/>
  <c r="BL342" i="5"/>
  <c r="AU426" i="5"/>
  <c r="AT426" i="5"/>
  <c r="BL426" i="5"/>
  <c r="AT433" i="5"/>
  <c r="AU433" i="5"/>
  <c r="BL433" i="5"/>
  <c r="AT469" i="5"/>
  <c r="AU469" i="5"/>
  <c r="BL469" i="5"/>
  <c r="AT106" i="5"/>
  <c r="AU106" i="5"/>
  <c r="BL106" i="5"/>
  <c r="AU150" i="5"/>
  <c r="AT150" i="5"/>
  <c r="BL150" i="5"/>
  <c r="AU517" i="5"/>
  <c r="AT517" i="5"/>
  <c r="BL517" i="5"/>
  <c r="AT482" i="5"/>
  <c r="AU482" i="5"/>
  <c r="BL482" i="5"/>
  <c r="AT536" i="5"/>
  <c r="AU536" i="5"/>
  <c r="BL536" i="5"/>
  <c r="AT548" i="5"/>
  <c r="AU548" i="5"/>
  <c r="BL548" i="5"/>
  <c r="AU487" i="5"/>
  <c r="AT487" i="5"/>
  <c r="BL487" i="5"/>
  <c r="AU406" i="5"/>
  <c r="AT406" i="5"/>
  <c r="BL406" i="5"/>
  <c r="AU105" i="5"/>
  <c r="AT105" i="5"/>
  <c r="BL105" i="5"/>
  <c r="AU316" i="5"/>
  <c r="AT316" i="5"/>
  <c r="BL316" i="5"/>
  <c r="AU31" i="5"/>
  <c r="AT31" i="5"/>
  <c r="BL31" i="5"/>
  <c r="AJ110" i="4"/>
  <c r="AK110" i="4"/>
  <c r="AL110" i="4" s="1"/>
  <c r="AU230" i="5"/>
  <c r="AT230" i="5"/>
  <c r="BL230" i="5"/>
  <c r="AT90" i="5"/>
  <c r="AU90" i="5"/>
  <c r="BL90" i="5"/>
  <c r="AT419" i="5"/>
  <c r="AU419" i="5"/>
  <c r="BL419" i="5"/>
  <c r="AT283" i="5"/>
  <c r="AU283" i="5"/>
  <c r="BL283" i="5"/>
  <c r="AU187" i="5"/>
  <c r="AT187" i="5"/>
  <c r="BL187" i="5"/>
  <c r="AT519" i="5"/>
  <c r="AU519" i="5"/>
  <c r="BL519" i="5"/>
  <c r="AU492" i="5"/>
  <c r="AT492" i="5"/>
  <c r="BL492" i="5"/>
  <c r="AT193" i="5"/>
  <c r="AU193" i="5"/>
  <c r="BL193" i="5"/>
  <c r="AN63" i="4"/>
  <c r="AF63" i="4"/>
  <c r="AG63" i="4" s="1"/>
  <c r="AI63" i="4" s="1"/>
  <c r="AT38" i="5"/>
  <c r="AU38" i="5"/>
  <c r="BL38" i="5"/>
  <c r="AT262" i="5"/>
  <c r="AU262" i="5"/>
  <c r="BL262" i="5"/>
  <c r="AU189" i="5"/>
  <c r="AT189" i="5"/>
  <c r="BL189" i="5"/>
  <c r="AT96" i="5"/>
  <c r="AU96" i="5"/>
  <c r="BL96" i="5"/>
  <c r="AU354" i="5"/>
  <c r="AT354" i="5"/>
  <c r="BL354" i="5"/>
  <c r="AU376" i="5"/>
  <c r="AT376" i="5"/>
  <c r="BL376" i="5"/>
  <c r="AT387" i="5"/>
  <c r="AU387" i="5"/>
  <c r="BL387" i="5"/>
  <c r="AT266" i="5"/>
  <c r="AU266" i="5"/>
  <c r="BL266" i="5"/>
  <c r="AF99" i="4"/>
  <c r="AG99" i="4" s="1"/>
  <c r="AI99" i="4" s="1"/>
  <c r="R234" i="5"/>
  <c r="S234" i="5"/>
  <c r="R461" i="5"/>
  <c r="S461" i="5"/>
  <c r="S247" i="5"/>
  <c r="R247" i="5"/>
  <c r="S38" i="5"/>
  <c r="R38" i="5"/>
  <c r="R92" i="5"/>
  <c r="S92" i="5"/>
  <c r="S143" i="5"/>
  <c r="R143" i="5"/>
  <c r="R153" i="5"/>
  <c r="S153" i="5"/>
  <c r="R118" i="5"/>
  <c r="S118" i="5"/>
  <c r="R189" i="5"/>
  <c r="S189" i="5"/>
  <c r="R470" i="5"/>
  <c r="S470" i="5"/>
  <c r="R175" i="5"/>
  <c r="S175" i="5"/>
  <c r="S509" i="5"/>
  <c r="R509" i="5"/>
  <c r="S225" i="5"/>
  <c r="R225" i="5"/>
  <c r="R172" i="5"/>
  <c r="S172" i="5"/>
  <c r="S358" i="5"/>
  <c r="R358" i="5"/>
  <c r="R255" i="5"/>
  <c r="S255" i="5"/>
  <c r="R309" i="5"/>
  <c r="S309" i="5"/>
  <c r="S460" i="5"/>
  <c r="R460" i="5"/>
  <c r="S459" i="5"/>
  <c r="R459" i="5"/>
  <c r="R127" i="5"/>
  <c r="S127" i="5"/>
  <c r="S528" i="5"/>
  <c r="R528" i="5"/>
  <c r="R195" i="5"/>
  <c r="S195" i="5"/>
  <c r="S146" i="5"/>
  <c r="R146" i="5"/>
  <c r="S560" i="5"/>
  <c r="R560" i="5"/>
  <c r="S505" i="5"/>
  <c r="R505" i="5"/>
  <c r="R25" i="5"/>
  <c r="S25" i="5"/>
  <c r="S28" i="5"/>
  <c r="R28" i="5"/>
  <c r="R294" i="5"/>
  <c r="S294" i="5"/>
  <c r="R206" i="5"/>
  <c r="S206" i="5"/>
  <c r="S252" i="5"/>
  <c r="R252" i="5"/>
  <c r="R365" i="5"/>
  <c r="S365" i="5"/>
  <c r="S124" i="5"/>
  <c r="R124" i="5"/>
  <c r="S377" i="5"/>
  <c r="R377" i="5"/>
  <c r="S370" i="5"/>
  <c r="R370" i="5"/>
  <c r="S536" i="5"/>
  <c r="R536" i="5"/>
  <c r="R383" i="5"/>
  <c r="S383" i="5"/>
  <c r="S120" i="5"/>
  <c r="R120" i="5"/>
  <c r="R57" i="5"/>
  <c r="S57" i="5"/>
  <c r="S397" i="5"/>
  <c r="R397" i="5"/>
  <c r="S381" i="5"/>
  <c r="R381" i="5"/>
  <c r="S74" i="5"/>
  <c r="R74" i="5"/>
  <c r="S419" i="5"/>
  <c r="R419" i="5"/>
  <c r="S396" i="5"/>
  <c r="R396" i="5"/>
  <c r="S29" i="5"/>
  <c r="R29" i="5"/>
  <c r="R357" i="5"/>
  <c r="S357" i="5"/>
  <c r="R266" i="5"/>
  <c r="S266" i="5"/>
  <c r="S285" i="5"/>
  <c r="R285" i="5"/>
  <c r="S78" i="5"/>
  <c r="R78" i="5"/>
  <c r="R405" i="5"/>
  <c r="S405" i="5"/>
  <c r="R557" i="5"/>
  <c r="S557" i="5"/>
  <c r="S435" i="5"/>
  <c r="R435" i="5"/>
  <c r="S119" i="5"/>
  <c r="R119" i="5"/>
  <c r="R263" i="5"/>
  <c r="S263" i="5"/>
  <c r="R12" i="5"/>
  <c r="S12" i="5"/>
  <c r="S283" i="5"/>
  <c r="R283" i="5"/>
  <c r="S223" i="5"/>
  <c r="R223" i="5"/>
  <c r="S96" i="5"/>
  <c r="R96" i="5"/>
  <c r="S205" i="5"/>
  <c r="R205" i="5"/>
  <c r="R304" i="5"/>
  <c r="S304" i="5"/>
  <c r="R514" i="5"/>
  <c r="S514" i="5"/>
  <c r="R210" i="5"/>
  <c r="S210" i="5"/>
  <c r="S417" i="5"/>
  <c r="R417" i="5"/>
  <c r="S426" i="5"/>
  <c r="R426" i="5"/>
  <c r="R510" i="5"/>
  <c r="S510" i="5"/>
  <c r="S531" i="5"/>
  <c r="R531" i="5"/>
  <c r="R526" i="5"/>
  <c r="S526" i="5"/>
  <c r="R392" i="5"/>
  <c r="S392" i="5"/>
  <c r="S132" i="5"/>
  <c r="R132" i="5"/>
  <c r="S325" i="5"/>
  <c r="R325" i="5"/>
  <c r="AT188" i="5"/>
  <c r="AU188" i="5"/>
  <c r="BL188" i="5"/>
  <c r="AN60" i="4"/>
  <c r="AF60" i="4"/>
  <c r="AG60" i="4" s="1"/>
  <c r="AI60" i="4" s="1"/>
  <c r="AU176" i="5"/>
  <c r="AT176" i="5"/>
  <c r="BL176" i="5"/>
  <c r="AU95" i="5"/>
  <c r="AT95" i="5"/>
  <c r="BL95" i="5"/>
  <c r="AT330" i="5"/>
  <c r="AU330" i="5"/>
  <c r="BL330" i="5"/>
  <c r="AU141" i="5"/>
  <c r="AT141" i="5"/>
  <c r="BL141" i="5"/>
  <c r="AT298" i="5"/>
  <c r="AU298" i="5"/>
  <c r="BL298" i="5"/>
  <c r="AU335" i="5"/>
  <c r="AT335" i="5"/>
  <c r="BL335" i="5"/>
  <c r="AT70" i="5"/>
  <c r="AU70" i="5"/>
  <c r="BL70" i="5"/>
  <c r="AT327" i="5"/>
  <c r="AU327" i="5"/>
  <c r="BL327" i="5"/>
  <c r="AU154" i="5"/>
  <c r="AT154" i="5"/>
  <c r="BL154" i="5"/>
  <c r="AT385" i="5"/>
  <c r="AU385" i="5"/>
  <c r="BL385" i="5"/>
  <c r="AT279" i="5"/>
  <c r="AU279" i="5"/>
  <c r="BL279" i="5"/>
  <c r="AT108" i="5"/>
  <c r="AU108" i="5"/>
  <c r="BL108" i="5"/>
  <c r="AU445" i="5"/>
  <c r="AT445" i="5"/>
  <c r="BL445" i="5"/>
  <c r="AU514" i="5"/>
  <c r="AT514" i="5"/>
  <c r="BL514" i="5"/>
  <c r="AU218" i="5"/>
  <c r="AT218" i="5"/>
  <c r="BL218" i="5"/>
  <c r="AT427" i="5"/>
  <c r="AU427" i="5"/>
  <c r="BL427" i="5"/>
  <c r="AT529" i="5"/>
  <c r="AU529" i="5"/>
  <c r="BL529" i="5"/>
  <c r="AU265" i="5"/>
  <c r="AT265" i="5"/>
  <c r="BL265" i="5"/>
  <c r="AU448" i="5"/>
  <c r="AT448" i="5"/>
  <c r="BL448" i="5"/>
  <c r="AT539" i="5"/>
  <c r="AU539" i="5"/>
  <c r="BL539" i="5"/>
  <c r="AT153" i="5"/>
  <c r="AU153" i="5"/>
  <c r="BL153" i="5"/>
  <c r="AU296" i="5"/>
  <c r="AT296" i="5"/>
  <c r="BL296" i="5"/>
  <c r="AU103" i="5"/>
  <c r="AT103" i="5"/>
  <c r="BL103" i="5"/>
  <c r="AU338" i="5"/>
  <c r="AT338" i="5"/>
  <c r="BL338" i="5"/>
  <c r="AT122" i="5"/>
  <c r="AU122" i="5"/>
  <c r="BL122" i="5"/>
  <c r="AU322" i="5"/>
  <c r="AT322" i="5"/>
  <c r="BL322" i="5"/>
  <c r="AU420" i="5"/>
  <c r="AT420" i="5"/>
  <c r="BL420" i="5"/>
  <c r="AU235" i="5"/>
  <c r="AT235" i="5"/>
  <c r="BL235" i="5"/>
  <c r="AT505" i="5"/>
  <c r="AU505" i="5"/>
  <c r="BL505" i="5"/>
  <c r="AU396" i="5"/>
  <c r="AT396" i="5"/>
  <c r="BL396" i="5"/>
  <c r="AT540" i="5"/>
  <c r="AU540" i="5"/>
  <c r="BL540" i="5"/>
  <c r="AU271" i="5"/>
  <c r="AT271" i="5"/>
  <c r="BL271" i="5"/>
  <c r="AT207" i="5"/>
  <c r="AU207" i="5"/>
  <c r="BL207" i="5"/>
  <c r="AU173" i="5"/>
  <c r="AT173" i="5"/>
  <c r="BL173" i="5"/>
  <c r="AU391" i="5"/>
  <c r="AT391" i="5"/>
  <c r="BL391" i="5"/>
  <c r="AU85" i="5"/>
  <c r="AT85" i="5"/>
  <c r="BL85" i="5"/>
  <c r="AT530" i="5"/>
  <c r="AU530" i="5"/>
  <c r="BL530" i="5"/>
  <c r="BL64" i="5"/>
  <c r="AT64" i="5"/>
  <c r="AU64" i="5"/>
  <c r="AU436" i="5"/>
  <c r="AT436" i="5"/>
  <c r="BL436" i="5"/>
  <c r="AU545" i="5"/>
  <c r="AT545" i="5"/>
  <c r="BL545" i="5"/>
  <c r="AT425" i="5"/>
  <c r="AU425" i="5"/>
  <c r="BL425" i="5"/>
  <c r="AT340" i="5"/>
  <c r="AU340" i="5"/>
  <c r="BL340" i="5"/>
  <c r="AT84" i="5"/>
  <c r="AU84" i="5"/>
  <c r="BL84" i="5"/>
  <c r="AT24" i="5"/>
  <c r="AU24" i="5"/>
  <c r="BL24" i="5"/>
  <c r="AU457" i="5"/>
  <c r="AT457" i="5"/>
  <c r="BL457" i="5"/>
  <c r="AU163" i="5"/>
  <c r="AT163" i="5"/>
  <c r="BL163" i="5"/>
  <c r="AU382" i="5"/>
  <c r="AT382" i="5"/>
  <c r="BL382" i="5"/>
  <c r="AU538" i="5"/>
  <c r="AT538" i="5"/>
  <c r="BL538" i="5"/>
  <c r="AU334" i="5"/>
  <c r="AT334" i="5"/>
  <c r="BL334" i="5"/>
  <c r="AT551" i="5"/>
  <c r="AU551" i="5"/>
  <c r="BL551" i="5"/>
  <c r="AJ67" i="4"/>
  <c r="AK67" i="4"/>
  <c r="AL67" i="4" s="1"/>
  <c r="AO67" i="4" s="1"/>
  <c r="AT351" i="5"/>
  <c r="AU351" i="5"/>
  <c r="BL351" i="5"/>
  <c r="BL52" i="5"/>
  <c r="AT52" i="5"/>
  <c r="AU52" i="5"/>
  <c r="AU368" i="5"/>
  <c r="AT368" i="5"/>
  <c r="BL368" i="5"/>
  <c r="AT499" i="5"/>
  <c r="AU499" i="5"/>
  <c r="BL499" i="5"/>
  <c r="AU460" i="5"/>
  <c r="AT460" i="5"/>
  <c r="BL460" i="5"/>
  <c r="AT274" i="5"/>
  <c r="AU274" i="5"/>
  <c r="BL274" i="5"/>
  <c r="AT113" i="5"/>
  <c r="AU113" i="5"/>
  <c r="BL113" i="5"/>
  <c r="AU533" i="5"/>
  <c r="AT533" i="5"/>
  <c r="BL533" i="5"/>
  <c r="AT328" i="5"/>
  <c r="AU328" i="5"/>
  <c r="BL328" i="5"/>
  <c r="AN21" i="4"/>
  <c r="AF21" i="4"/>
  <c r="AG21" i="4" s="1"/>
  <c r="AI21" i="4" s="1"/>
  <c r="X21" i="4"/>
  <c r="AJ21" i="4" s="1"/>
  <c r="AN42" i="4"/>
  <c r="AF42" i="4"/>
  <c r="AG42" i="4" s="1"/>
  <c r="AI42" i="4" s="1"/>
  <c r="AN45" i="4"/>
  <c r="AF45" i="4"/>
  <c r="AG45" i="4" s="1"/>
  <c r="AI45" i="4" s="1"/>
  <c r="AN110" i="4"/>
  <c r="AF110" i="4"/>
  <c r="AG110" i="4" s="1"/>
  <c r="AI110" i="4" s="1"/>
  <c r="AU402" i="5"/>
  <c r="AT402" i="5"/>
  <c r="BL402" i="5"/>
  <c r="AT473" i="5"/>
  <c r="AU473" i="5"/>
  <c r="BL473" i="5"/>
  <c r="AU66" i="5"/>
  <c r="AT66" i="5"/>
  <c r="BL66" i="5"/>
  <c r="AU374" i="5"/>
  <c r="AT374" i="5"/>
  <c r="BL374" i="5"/>
  <c r="AT350" i="5"/>
  <c r="AU350" i="5"/>
  <c r="BL350" i="5"/>
  <c r="AT26" i="5"/>
  <c r="AU26" i="5"/>
  <c r="BL26" i="5"/>
  <c r="AT404" i="5"/>
  <c r="AU404" i="5"/>
  <c r="BL404" i="5"/>
  <c r="AT432" i="5"/>
  <c r="AU432" i="5"/>
  <c r="BL432" i="5"/>
  <c r="S23" i="5"/>
  <c r="R23" i="5"/>
  <c r="S474" i="5"/>
  <c r="R474" i="5"/>
  <c r="R69" i="5"/>
  <c r="S69" i="5"/>
  <c r="S486" i="5"/>
  <c r="R486" i="5"/>
  <c r="R58" i="5"/>
  <c r="S58" i="5"/>
  <c r="R336" i="5"/>
  <c r="S336" i="5"/>
  <c r="S123" i="5"/>
  <c r="R123" i="5"/>
  <c r="S130" i="5"/>
  <c r="R130" i="5"/>
  <c r="R282" i="5"/>
  <c r="S282" i="5"/>
  <c r="S202" i="5"/>
  <c r="R202" i="5"/>
  <c r="R61" i="5"/>
  <c r="S61" i="5"/>
  <c r="R478" i="5"/>
  <c r="S478" i="5"/>
  <c r="S481" i="5"/>
  <c r="R481" i="5"/>
  <c r="S555" i="5"/>
  <c r="R555" i="5"/>
  <c r="S53" i="5"/>
  <c r="R53" i="5"/>
  <c r="S204" i="5"/>
  <c r="R204" i="5"/>
  <c r="R356" i="5"/>
  <c r="S356" i="5"/>
  <c r="R355" i="5"/>
  <c r="S355" i="5"/>
  <c r="R60" i="5"/>
  <c r="S60" i="5"/>
  <c r="R398" i="5"/>
  <c r="S398" i="5"/>
  <c r="S338" i="5"/>
  <c r="R338" i="5"/>
  <c r="S80" i="5"/>
  <c r="R80" i="5"/>
  <c r="R64" i="5"/>
  <c r="S64" i="5"/>
  <c r="S102" i="5"/>
  <c r="R102" i="5"/>
  <c r="S391" i="5"/>
  <c r="R391" i="5"/>
  <c r="S24" i="5"/>
  <c r="R24" i="5"/>
  <c r="S99" i="5"/>
  <c r="R99" i="5"/>
  <c r="S114" i="5"/>
  <c r="R114" i="5"/>
  <c r="S273" i="5"/>
  <c r="R273" i="5"/>
  <c r="R543" i="5"/>
  <c r="S543" i="5"/>
  <c r="R280" i="5"/>
  <c r="S280" i="5"/>
  <c r="R13" i="5"/>
  <c r="S13" i="5"/>
  <c r="R239" i="5"/>
  <c r="S239" i="5"/>
  <c r="S272" i="5"/>
  <c r="R272" i="5"/>
  <c r="S258" i="5"/>
  <c r="R258" i="5"/>
  <c r="R401" i="5"/>
  <c r="S401" i="5"/>
  <c r="S348" i="5"/>
  <c r="R348" i="5"/>
  <c r="R47" i="5"/>
  <c r="S47" i="5"/>
  <c r="S261" i="5"/>
  <c r="R261" i="5"/>
  <c r="S32" i="5"/>
  <c r="R32" i="5"/>
  <c r="S232" i="5"/>
  <c r="R232" i="5"/>
  <c r="S453" i="5"/>
  <c r="R453" i="5"/>
  <c r="S320" i="5"/>
  <c r="R320" i="5"/>
  <c r="R125" i="5"/>
  <c r="S125" i="5"/>
  <c r="S135" i="5"/>
  <c r="R135" i="5"/>
  <c r="S541" i="5"/>
  <c r="R541" i="5"/>
  <c r="R54" i="5"/>
  <c r="S54" i="5"/>
  <c r="S277" i="5"/>
  <c r="R277" i="5"/>
  <c r="S501" i="5"/>
  <c r="R501" i="5"/>
  <c r="S403" i="5"/>
  <c r="R403" i="5"/>
  <c r="R440" i="5"/>
  <c r="S440" i="5"/>
  <c r="S39" i="5"/>
  <c r="R39" i="5"/>
  <c r="S364" i="5"/>
  <c r="R364" i="5"/>
  <c r="S163" i="5"/>
  <c r="R163" i="5"/>
  <c r="S499" i="5"/>
  <c r="R499" i="5"/>
  <c r="S545" i="5"/>
  <c r="R545" i="5"/>
  <c r="S452" i="5"/>
  <c r="R452" i="5"/>
  <c r="S372" i="5"/>
  <c r="R372" i="5"/>
  <c r="R298" i="5"/>
  <c r="S298" i="5"/>
  <c r="R194" i="5"/>
  <c r="S194" i="5"/>
  <c r="S19" i="5"/>
  <c r="R19" i="5"/>
  <c r="S214" i="5"/>
  <c r="R214" i="5"/>
  <c r="S129" i="5"/>
  <c r="R129" i="5"/>
  <c r="R344" i="5"/>
  <c r="S344" i="5"/>
  <c r="R540" i="5"/>
  <c r="S540" i="5"/>
  <c r="R227" i="5"/>
  <c r="S227" i="5"/>
  <c r="R363" i="5"/>
  <c r="S363" i="5"/>
  <c r="S314" i="5"/>
  <c r="R314" i="5"/>
  <c r="AT510" i="5"/>
  <c r="AU510" i="5"/>
  <c r="BL510" i="5"/>
  <c r="AT337" i="5"/>
  <c r="AU337" i="5"/>
  <c r="BL337" i="5"/>
  <c r="AT201" i="5"/>
  <c r="AU201" i="5"/>
  <c r="BL201" i="5"/>
  <c r="AT231" i="5"/>
  <c r="AU231" i="5"/>
  <c r="BL231" i="5"/>
  <c r="AU336" i="5"/>
  <c r="AT336" i="5"/>
  <c r="BL336" i="5"/>
  <c r="AT227" i="5"/>
  <c r="AU227" i="5"/>
  <c r="BL227" i="5"/>
  <c r="AT399" i="5"/>
  <c r="AU399" i="5"/>
  <c r="BL399" i="5"/>
  <c r="AU104" i="5"/>
  <c r="AT104" i="5"/>
  <c r="BL104" i="5"/>
  <c r="AT305" i="5"/>
  <c r="AU305" i="5"/>
  <c r="BL305" i="5"/>
  <c r="AQ42" i="4"/>
  <c r="AC42" i="4"/>
  <c r="AD42" i="4" s="1"/>
  <c r="AP42" i="4"/>
  <c r="AU205" i="5"/>
  <c r="AT205" i="5"/>
  <c r="BL205" i="5"/>
  <c r="AT29" i="5"/>
  <c r="AU29" i="5"/>
  <c r="BL29" i="5"/>
  <c r="AT331" i="5"/>
  <c r="AU331" i="5"/>
  <c r="BL331" i="5"/>
  <c r="AU102" i="5"/>
  <c r="AT102" i="5"/>
  <c r="BL102" i="5"/>
  <c r="AU208" i="5"/>
  <c r="AT208" i="5"/>
  <c r="BL208" i="5"/>
  <c r="AU202" i="5"/>
  <c r="AT202" i="5"/>
  <c r="BL202" i="5"/>
  <c r="AU32" i="5"/>
  <c r="AT32" i="5"/>
  <c r="BL32" i="5"/>
  <c r="AU190" i="5"/>
  <c r="AT190" i="5"/>
  <c r="BL190" i="5"/>
  <c r="AU46" i="5"/>
  <c r="AT46" i="5"/>
  <c r="BL46" i="5"/>
  <c r="AJ63" i="4"/>
  <c r="AK63" i="4"/>
  <c r="AL63" i="4" s="1"/>
  <c r="AF32" i="4"/>
  <c r="AG32" i="4" s="1"/>
  <c r="AI32" i="4" s="1"/>
  <c r="AT381" i="5"/>
  <c r="AU381" i="5"/>
  <c r="BL381" i="5"/>
  <c r="AT380" i="5"/>
  <c r="AU380" i="5"/>
  <c r="BL380" i="5"/>
  <c r="AT503" i="5"/>
  <c r="AU503" i="5"/>
  <c r="BL503" i="5"/>
  <c r="AT497" i="5"/>
  <c r="AU497" i="5"/>
  <c r="BL497" i="5"/>
  <c r="AU384" i="5"/>
  <c r="AT384" i="5"/>
  <c r="BL384" i="5"/>
  <c r="AU329" i="5"/>
  <c r="AT329" i="5"/>
  <c r="BL329" i="5"/>
  <c r="AU541" i="5"/>
  <c r="AT541" i="5"/>
  <c r="BL541" i="5"/>
  <c r="AT115" i="5"/>
  <c r="AU115" i="5"/>
  <c r="BL115" i="5"/>
  <c r="AT203" i="5"/>
  <c r="AU203" i="5"/>
  <c r="BL203" i="5"/>
  <c r="BL53" i="5"/>
  <c r="AT53" i="5"/>
  <c r="AU53" i="5"/>
  <c r="AT313" i="5"/>
  <c r="AU313" i="5"/>
  <c r="BL313" i="5"/>
  <c r="AT430" i="5"/>
  <c r="AU430" i="5"/>
  <c r="BL430" i="5"/>
  <c r="AU534" i="5"/>
  <c r="AT534" i="5"/>
  <c r="BL534" i="5"/>
  <c r="AU341" i="5"/>
  <c r="AT341" i="5"/>
  <c r="BL341" i="5"/>
  <c r="AT504" i="5"/>
  <c r="AU504" i="5"/>
  <c r="BL504" i="5"/>
  <c r="AU343" i="5"/>
  <c r="AT343" i="5"/>
  <c r="BL343" i="5"/>
  <c r="AT23" i="5"/>
  <c r="AU23" i="5"/>
  <c r="BL23" i="5"/>
  <c r="BL429" i="5"/>
  <c r="AT429" i="5"/>
  <c r="AU429" i="5"/>
  <c r="AU161" i="5"/>
  <c r="AT161" i="5"/>
  <c r="BL161" i="5"/>
  <c r="AU228" i="5"/>
  <c r="AT228" i="5"/>
  <c r="BL228" i="5"/>
  <c r="AU413" i="5"/>
  <c r="AT413" i="5"/>
  <c r="BL413" i="5"/>
  <c r="AT249" i="5"/>
  <c r="AU249" i="5"/>
  <c r="BL249" i="5"/>
  <c r="AU480" i="5"/>
  <c r="AT480" i="5"/>
  <c r="BL480" i="5"/>
  <c r="AU250" i="5"/>
  <c r="AT250" i="5"/>
  <c r="BL250" i="5"/>
  <c r="AT76" i="5"/>
  <c r="AU76" i="5"/>
  <c r="BL76" i="5"/>
  <c r="AU280" i="5"/>
  <c r="AT280" i="5"/>
  <c r="BL280" i="5"/>
  <c r="AU466" i="5"/>
  <c r="AT466" i="5"/>
  <c r="BL466" i="5"/>
  <c r="AU320" i="5"/>
  <c r="AT320" i="5"/>
  <c r="BL320" i="5"/>
  <c r="AT97" i="5"/>
  <c r="AU97" i="5"/>
  <c r="BL97" i="5"/>
  <c r="AU146" i="5"/>
  <c r="AT146" i="5"/>
  <c r="BL146" i="5"/>
  <c r="AU542" i="5"/>
  <c r="AT542" i="5"/>
  <c r="BL542" i="5"/>
  <c r="AU367" i="5"/>
  <c r="AT367" i="5"/>
  <c r="BL367" i="5"/>
  <c r="AU267" i="5"/>
  <c r="AT267" i="5"/>
  <c r="BL267" i="5"/>
  <c r="AT82" i="5"/>
  <c r="AU82" i="5"/>
  <c r="BL82" i="5"/>
  <c r="AU41" i="5"/>
  <c r="AT41" i="5"/>
  <c r="BL41" i="5"/>
  <c r="AU502" i="5"/>
  <c r="AT502" i="5"/>
  <c r="BL502" i="5"/>
  <c r="AT42" i="5"/>
  <c r="AU42" i="5"/>
  <c r="BL42" i="5"/>
  <c r="AT400" i="5"/>
  <c r="AU400" i="5"/>
  <c r="BL400" i="5"/>
  <c r="AT293" i="5"/>
  <c r="AU293" i="5"/>
  <c r="BL293" i="5"/>
  <c r="AU333" i="5"/>
  <c r="AT333" i="5"/>
  <c r="BL333" i="5"/>
  <c r="AT167" i="5"/>
  <c r="AU167" i="5"/>
  <c r="BL167" i="5"/>
  <c r="AT389" i="5"/>
  <c r="AU389" i="5"/>
  <c r="BL389" i="5"/>
  <c r="AN132" i="4"/>
  <c r="AF132" i="4"/>
  <c r="AG132" i="4" s="1"/>
  <c r="AI132" i="4" s="1"/>
  <c r="AT177" i="5"/>
  <c r="AU177" i="5"/>
  <c r="BL177" i="5"/>
  <c r="AT441" i="5"/>
  <c r="AU441" i="5"/>
  <c r="BL441" i="5"/>
  <c r="AT94" i="5"/>
  <c r="AU94" i="5"/>
  <c r="BL94" i="5"/>
  <c r="AU255" i="5"/>
  <c r="AT255" i="5"/>
  <c r="BL255" i="5"/>
  <c r="AU261" i="5"/>
  <c r="AT261" i="5"/>
  <c r="BL261" i="5"/>
  <c r="AT558" i="5"/>
  <c r="AU558" i="5"/>
  <c r="BL558" i="5"/>
  <c r="AU25" i="5"/>
  <c r="AT25" i="5"/>
  <c r="BL25" i="5"/>
  <c r="AT246" i="5"/>
  <c r="AU246" i="5"/>
  <c r="BL246" i="5"/>
  <c r="S468" i="5"/>
  <c r="R468" i="5"/>
  <c r="R242" i="5"/>
  <c r="S242" i="5"/>
  <c r="R434" i="5"/>
  <c r="S434" i="5"/>
  <c r="R463" i="5"/>
  <c r="S463" i="5"/>
  <c r="S341" i="5"/>
  <c r="R341" i="5"/>
  <c r="S406" i="5"/>
  <c r="R406" i="5"/>
  <c r="R126" i="5"/>
  <c r="S126" i="5"/>
  <c r="S402" i="5"/>
  <c r="R402" i="5"/>
  <c r="S475" i="5"/>
  <c r="R475" i="5"/>
  <c r="S134" i="5"/>
  <c r="R134" i="5"/>
  <c r="S271" i="5"/>
  <c r="R271" i="5"/>
  <c r="S159" i="5"/>
  <c r="R159" i="5"/>
  <c r="S382" i="5"/>
  <c r="R382" i="5"/>
  <c r="R121" i="5"/>
  <c r="S121" i="5"/>
  <c r="R269" i="5"/>
  <c r="S269" i="5"/>
  <c r="S237" i="5"/>
  <c r="R237" i="5"/>
  <c r="R352" i="5"/>
  <c r="S352" i="5"/>
  <c r="S559" i="5"/>
  <c r="R559" i="5"/>
  <c r="S388" i="5"/>
  <c r="R388" i="5"/>
  <c r="S30" i="5"/>
  <c r="R30" i="5"/>
  <c r="S552" i="5"/>
  <c r="R552" i="5"/>
  <c r="S254" i="5"/>
  <c r="R254" i="5"/>
  <c r="R532" i="5"/>
  <c r="S532" i="5"/>
  <c r="R157" i="5"/>
  <c r="S157" i="5"/>
  <c r="R539" i="5"/>
  <c r="S539" i="5"/>
  <c r="R454" i="5"/>
  <c r="S454" i="5"/>
  <c r="S169" i="5"/>
  <c r="R169" i="5"/>
  <c r="R140" i="5"/>
  <c r="S140" i="5"/>
  <c r="R209" i="5"/>
  <c r="S209" i="5"/>
  <c r="S52" i="5"/>
  <c r="R52" i="5"/>
  <c r="S133" i="5"/>
  <c r="R133" i="5"/>
  <c r="S33" i="5"/>
  <c r="R33" i="5"/>
  <c r="R49" i="5"/>
  <c r="S49" i="5"/>
  <c r="R376" i="5"/>
  <c r="S376" i="5"/>
  <c r="S62" i="5"/>
  <c r="R62" i="5"/>
  <c r="S264" i="5"/>
  <c r="R264" i="5"/>
  <c r="R548" i="5"/>
  <c r="S548" i="5"/>
  <c r="S476" i="5"/>
  <c r="R476" i="5"/>
  <c r="R222" i="5"/>
  <c r="S222" i="5"/>
  <c r="S395" i="5"/>
  <c r="R395" i="5"/>
  <c r="R218" i="5"/>
  <c r="S218" i="5"/>
  <c r="S399" i="5"/>
  <c r="R399" i="5"/>
  <c r="S464" i="5"/>
  <c r="R464" i="5"/>
  <c r="S404" i="5"/>
  <c r="R404" i="5"/>
  <c r="R190" i="5"/>
  <c r="S190" i="5"/>
  <c r="R530" i="5"/>
  <c r="S530" i="5"/>
  <c r="S279" i="5"/>
  <c r="R279" i="5"/>
  <c r="S221" i="5"/>
  <c r="R221" i="5"/>
  <c r="R482" i="5"/>
  <c r="S482" i="5"/>
  <c r="S527" i="5"/>
  <c r="R527" i="5"/>
  <c r="S288" i="5"/>
  <c r="R288" i="5"/>
  <c r="S278" i="5"/>
  <c r="R278" i="5"/>
  <c r="S553" i="5"/>
  <c r="R553" i="5"/>
  <c r="R366" i="5"/>
  <c r="S366" i="5"/>
  <c r="R268" i="5"/>
  <c r="S268" i="5"/>
  <c r="S154" i="5"/>
  <c r="R154" i="5"/>
  <c r="R415" i="5"/>
  <c r="S415" i="5"/>
  <c r="R427" i="5"/>
  <c r="S427" i="5"/>
  <c r="R183" i="5"/>
  <c r="S183" i="5"/>
  <c r="S303" i="5"/>
  <c r="R303" i="5"/>
  <c r="R91" i="5"/>
  <c r="S91" i="5"/>
  <c r="R534" i="5"/>
  <c r="S534" i="5"/>
  <c r="R93" i="5"/>
  <c r="S93" i="5"/>
  <c r="R200" i="5"/>
  <c r="S200" i="5"/>
  <c r="R87" i="5"/>
  <c r="S87" i="5"/>
  <c r="S439" i="5"/>
  <c r="R439" i="5"/>
  <c r="S65" i="5"/>
  <c r="R65" i="5"/>
  <c r="S81" i="5"/>
  <c r="R81" i="5"/>
  <c r="AU422" i="5"/>
  <c r="AT422" i="5"/>
  <c r="BL422" i="5"/>
  <c r="AU527" i="5"/>
  <c r="AT527" i="5"/>
  <c r="BL527" i="5"/>
  <c r="AT61" i="5"/>
  <c r="AU61" i="5"/>
  <c r="BL61" i="5"/>
  <c r="AT134" i="5"/>
  <c r="AU134" i="5"/>
  <c r="BL134" i="5"/>
  <c r="AU145" i="5"/>
  <c r="AT145" i="5"/>
  <c r="BL145" i="5"/>
  <c r="AT515" i="5"/>
  <c r="AU515" i="5"/>
  <c r="BL515" i="5"/>
  <c r="AT463" i="5"/>
  <c r="AU463" i="5"/>
  <c r="BL463" i="5"/>
  <c r="AU269" i="5"/>
  <c r="AT269" i="5"/>
  <c r="BL269" i="5"/>
  <c r="AU365" i="5"/>
  <c r="AT365" i="5"/>
  <c r="BL365" i="5"/>
  <c r="AU377" i="5"/>
  <c r="AT377" i="5"/>
  <c r="BL377" i="5"/>
  <c r="AT477" i="5"/>
  <c r="AU477" i="5"/>
  <c r="BL477" i="5"/>
  <c r="AT489" i="5"/>
  <c r="AU489" i="5"/>
  <c r="BL489" i="5"/>
  <c r="AU431" i="5"/>
  <c r="AT431" i="5"/>
  <c r="BL431" i="5"/>
  <c r="AT300" i="5"/>
  <c r="AU300" i="5"/>
  <c r="BL300" i="5"/>
  <c r="AU418" i="5"/>
  <c r="AT418" i="5"/>
  <c r="BL418" i="5"/>
  <c r="AT39" i="5"/>
  <c r="AU39" i="5"/>
  <c r="BL39" i="5"/>
  <c r="AT111" i="5"/>
  <c r="AU111" i="5"/>
  <c r="BL111" i="5"/>
  <c r="AT257" i="5"/>
  <c r="AU257" i="5"/>
  <c r="BL257" i="5"/>
  <c r="AC67" i="4"/>
  <c r="AD67" i="4" s="1"/>
  <c r="AQ67" i="4"/>
  <c r="AP67" i="4"/>
  <c r="AF62" i="4"/>
  <c r="AG62" i="4" s="1"/>
  <c r="AI62" i="4" s="1"/>
  <c r="AU272" i="5"/>
  <c r="AT272" i="5"/>
  <c r="BL272" i="5"/>
  <c r="AU476" i="5"/>
  <c r="AT476" i="5"/>
  <c r="BL476" i="5"/>
  <c r="AT224" i="5"/>
  <c r="AU224" i="5"/>
  <c r="BL224" i="5"/>
  <c r="AU411" i="5"/>
  <c r="AT411" i="5"/>
  <c r="BL411" i="5"/>
  <c r="AT461" i="5"/>
  <c r="AU461" i="5"/>
  <c r="BL461" i="5"/>
  <c r="AU28" i="5"/>
  <c r="AT28" i="5"/>
  <c r="BL28" i="5"/>
  <c r="AT309" i="5"/>
  <c r="AU309" i="5"/>
  <c r="BL309" i="5"/>
  <c r="AU360" i="5"/>
  <c r="AT360" i="5"/>
  <c r="BL360" i="5"/>
  <c r="AT358" i="5"/>
  <c r="AU358" i="5"/>
  <c r="BL358" i="5"/>
  <c r="BH10" i="5"/>
  <c r="BG10" i="5"/>
  <c r="AT58" i="5"/>
  <c r="AU58" i="5"/>
  <c r="BL58" i="5"/>
  <c r="AT62" i="5"/>
  <c r="AU62" i="5"/>
  <c r="BL62" i="5"/>
  <c r="AT284" i="5"/>
  <c r="AU284" i="5"/>
  <c r="BL284" i="5"/>
  <c r="AT219" i="5"/>
  <c r="AU219" i="5"/>
  <c r="BL219" i="5"/>
  <c r="AT314" i="5"/>
  <c r="AU314" i="5"/>
  <c r="BL314" i="5"/>
  <c r="AU179" i="5"/>
  <c r="AT179" i="5"/>
  <c r="BL179" i="5"/>
  <c r="AT68" i="5"/>
  <c r="AU68" i="5"/>
  <c r="BL68" i="5"/>
  <c r="AT537" i="5"/>
  <c r="AU537" i="5"/>
  <c r="BL537" i="5"/>
  <c r="AU117" i="5"/>
  <c r="AT117" i="5"/>
  <c r="BL117" i="5"/>
  <c r="AT478" i="5"/>
  <c r="AU478" i="5"/>
  <c r="BL478" i="5"/>
  <c r="AU125" i="5"/>
  <c r="AT125" i="5"/>
  <c r="BL125" i="5"/>
  <c r="AU165" i="5"/>
  <c r="AT165" i="5"/>
  <c r="BL165" i="5"/>
  <c r="AU169" i="5"/>
  <c r="AT169" i="5"/>
  <c r="BL169" i="5"/>
  <c r="AT59" i="5"/>
  <c r="AU59" i="5"/>
  <c r="BL59" i="5"/>
  <c r="AU493" i="5"/>
  <c r="AT493" i="5"/>
  <c r="BL493" i="5"/>
  <c r="AT398" i="5"/>
  <c r="AU398" i="5"/>
  <c r="BL398" i="5"/>
  <c r="AU196" i="5"/>
  <c r="AT196" i="5"/>
  <c r="BL196" i="5"/>
  <c r="AT488" i="5"/>
  <c r="AU488" i="5"/>
  <c r="BL488" i="5"/>
  <c r="AT546" i="5"/>
  <c r="AU546" i="5"/>
  <c r="BL546" i="5"/>
  <c r="AT40" i="5"/>
  <c r="AU40" i="5"/>
  <c r="BL40" i="5"/>
  <c r="AT258" i="5"/>
  <c r="AU258" i="5"/>
  <c r="BL258" i="5"/>
  <c r="AT414" i="5"/>
  <c r="AU414" i="5"/>
  <c r="BL414" i="5"/>
  <c r="AT401" i="5"/>
  <c r="AU401" i="5"/>
  <c r="BL401" i="5"/>
  <c r="AU118" i="5"/>
  <c r="AT118" i="5"/>
  <c r="BL118" i="5"/>
  <c r="BK7" i="5"/>
  <c r="BJ7" i="5"/>
  <c r="BL200" i="5"/>
  <c r="AT200" i="5"/>
  <c r="AU200" i="5"/>
  <c r="AU363" i="5"/>
  <c r="AT363" i="5"/>
  <c r="BL363" i="5"/>
  <c r="AT291" i="5"/>
  <c r="BL291" i="5"/>
  <c r="AU291" i="5"/>
  <c r="AT8" i="5"/>
  <c r="AU8" i="5"/>
  <c r="BL8" i="5"/>
  <c r="AT50" i="5"/>
  <c r="AU50" i="5"/>
  <c r="BL50" i="5"/>
  <c r="AU557" i="5"/>
  <c r="AT557" i="5"/>
  <c r="BL557" i="5"/>
  <c r="AU370" i="5"/>
  <c r="AT370" i="5"/>
  <c r="BL370" i="5"/>
  <c r="AT247" i="5"/>
  <c r="AU247" i="5"/>
  <c r="BL247" i="5"/>
  <c r="AU89" i="5"/>
  <c r="AT89" i="5"/>
  <c r="BL89" i="5"/>
  <c r="AT447" i="5"/>
  <c r="AU447" i="5"/>
  <c r="BL447" i="5"/>
  <c r="AT142" i="5"/>
  <c r="AU142" i="5"/>
  <c r="BL142" i="5"/>
  <c r="AT528" i="5"/>
  <c r="AU528" i="5"/>
  <c r="BL528" i="5"/>
  <c r="AU264" i="5"/>
  <c r="AT264" i="5"/>
  <c r="BL264" i="5"/>
  <c r="AT294" i="5"/>
  <c r="AU294" i="5"/>
  <c r="BL294" i="5"/>
  <c r="AT315" i="5"/>
  <c r="AU315" i="5"/>
  <c r="BL315" i="5"/>
  <c r="AT472" i="5"/>
  <c r="AU472" i="5"/>
  <c r="BL472" i="5"/>
  <c r="AU174" i="5"/>
  <c r="AT174" i="5"/>
  <c r="BL174" i="5"/>
  <c r="AT511" i="5"/>
  <c r="AU511" i="5"/>
  <c r="BL511" i="5"/>
  <c r="R251" i="5"/>
  <c r="S251" i="5"/>
  <c r="R512" i="5"/>
  <c r="S512" i="5"/>
  <c r="S517" i="5"/>
  <c r="R517" i="5"/>
  <c r="S446" i="5"/>
  <c r="R446" i="5"/>
  <c r="S160" i="5"/>
  <c r="R160" i="5"/>
  <c r="R485" i="5"/>
  <c r="S485" i="5"/>
  <c r="S107" i="5"/>
  <c r="R107" i="5"/>
  <c r="R379" i="5"/>
  <c r="S379" i="5"/>
  <c r="R21" i="5"/>
  <c r="S21" i="5"/>
  <c r="R408" i="5"/>
  <c r="S408" i="5"/>
  <c r="S390" i="5"/>
  <c r="R390" i="5"/>
  <c r="S216" i="5"/>
  <c r="R216" i="5"/>
  <c r="R491" i="5"/>
  <c r="S491" i="5"/>
  <c r="S71" i="5"/>
  <c r="R71" i="5"/>
  <c r="S329" i="5"/>
  <c r="R329" i="5"/>
  <c r="S328" i="5"/>
  <c r="R328" i="5"/>
  <c r="R511" i="5"/>
  <c r="S511" i="5"/>
  <c r="S498" i="5"/>
  <c r="R498" i="5"/>
  <c r="R447" i="5"/>
  <c r="S447" i="5"/>
  <c r="R535" i="5"/>
  <c r="S535" i="5"/>
  <c r="R331" i="5"/>
  <c r="S331" i="5"/>
  <c r="R22" i="5"/>
  <c r="S22" i="5"/>
  <c r="S373" i="5"/>
  <c r="R373" i="5"/>
  <c r="S554" i="5"/>
  <c r="R554" i="5"/>
  <c r="R191" i="5"/>
  <c r="S191" i="5"/>
  <c r="R387" i="5"/>
  <c r="S387" i="5"/>
  <c r="R529" i="5"/>
  <c r="S529" i="5"/>
  <c r="S339" i="5"/>
  <c r="R339" i="5"/>
  <c r="R162" i="5"/>
  <c r="S162" i="5"/>
  <c r="R472" i="5"/>
  <c r="S472" i="5"/>
  <c r="R274" i="5"/>
  <c r="S274" i="5"/>
  <c r="S262" i="5"/>
  <c r="R262" i="5"/>
  <c r="S324" i="5"/>
  <c r="R324" i="5"/>
  <c r="S556" i="5"/>
  <c r="R556" i="5"/>
  <c r="S421" i="5"/>
  <c r="R421" i="5"/>
  <c r="R158" i="5"/>
  <c r="S158" i="5"/>
  <c r="R489" i="5"/>
  <c r="S489" i="5"/>
  <c r="S367" i="5"/>
  <c r="R367" i="5"/>
  <c r="R428" i="5"/>
  <c r="S428" i="5"/>
  <c r="S371" i="5"/>
  <c r="R371" i="5"/>
  <c r="R519" i="5"/>
  <c r="S519" i="5"/>
  <c r="R116" i="5"/>
  <c r="S116" i="5"/>
  <c r="S337" i="5"/>
  <c r="R337" i="5"/>
  <c r="S346" i="5"/>
  <c r="R346" i="5"/>
  <c r="R293" i="5"/>
  <c r="S293" i="5"/>
  <c r="R142" i="5"/>
  <c r="S142" i="5"/>
  <c r="S244" i="5"/>
  <c r="R244" i="5"/>
  <c r="S128" i="5"/>
  <c r="R128" i="5"/>
  <c r="R150" i="5"/>
  <c r="S150" i="5"/>
  <c r="S122" i="5"/>
  <c r="R122" i="5"/>
  <c r="R302" i="5"/>
  <c r="S302" i="5"/>
  <c r="S68" i="5"/>
  <c r="R68" i="5"/>
  <c r="S350" i="5"/>
  <c r="R350" i="5"/>
  <c r="S226" i="5"/>
  <c r="R226" i="5"/>
  <c r="R43" i="5"/>
  <c r="S43" i="5"/>
  <c r="S284" i="5"/>
  <c r="R284" i="5"/>
  <c r="R300" i="5"/>
  <c r="S300" i="5"/>
  <c r="S306" i="5"/>
  <c r="R306" i="5"/>
  <c r="R75" i="5"/>
  <c r="S75" i="5"/>
  <c r="R386" i="5"/>
  <c r="S386" i="5"/>
  <c r="S138" i="5"/>
  <c r="R138" i="5"/>
  <c r="R492" i="5"/>
  <c r="S492" i="5"/>
  <c r="R465" i="5"/>
  <c r="S465" i="5"/>
  <c r="S296" i="5"/>
  <c r="R296" i="5"/>
  <c r="R31" i="5"/>
  <c r="S31" i="5"/>
  <c r="S444" i="5"/>
  <c r="R444" i="5"/>
  <c r="R342" i="5"/>
  <c r="S342" i="5"/>
  <c r="R414" i="5"/>
  <c r="S414" i="5"/>
  <c r="AU386" i="5"/>
  <c r="AT386" i="5"/>
  <c r="BL386" i="5"/>
  <c r="AU112" i="5"/>
  <c r="AT112" i="5"/>
  <c r="BL112" i="5"/>
  <c r="AJ42" i="4"/>
  <c r="AK42" i="4"/>
  <c r="AL42" i="4" s="1"/>
  <c r="AT303" i="5"/>
  <c r="AU303" i="5"/>
  <c r="BL303" i="5"/>
  <c r="AT526" i="5"/>
  <c r="AU526" i="5"/>
  <c r="BL526" i="5"/>
  <c r="AT83" i="5"/>
  <c r="AU83" i="5"/>
  <c r="BL83" i="5"/>
  <c r="AT209" i="5"/>
  <c r="AU209" i="5"/>
  <c r="BL209" i="5"/>
  <c r="AT390" i="5"/>
  <c r="AU390" i="5"/>
  <c r="BL390" i="5"/>
  <c r="AU485" i="5"/>
  <c r="AT485" i="5"/>
  <c r="BL485" i="5"/>
  <c r="AT276" i="5"/>
  <c r="AU276" i="5"/>
  <c r="BL276" i="5"/>
  <c r="AU44" i="5"/>
  <c r="AT44" i="5"/>
  <c r="BL44" i="5"/>
  <c r="S10" i="5"/>
  <c r="R10" i="5"/>
  <c r="AF57" i="4"/>
  <c r="AG57" i="4" s="1"/>
  <c r="AI57" i="4" s="1"/>
  <c r="AN16" i="4"/>
  <c r="X16" i="4"/>
  <c r="AJ16" i="4" s="1"/>
  <c r="AF16" i="4"/>
  <c r="AG16" i="4" s="1"/>
  <c r="AI16" i="4" s="1"/>
  <c r="AT116" i="5"/>
  <c r="BL116" i="5"/>
  <c r="AU116" i="5"/>
  <c r="AU54" i="5"/>
  <c r="AT54" i="5"/>
  <c r="BL54" i="5"/>
  <c r="AU270" i="5"/>
  <c r="AT270" i="5"/>
  <c r="BL270" i="5"/>
  <c r="AT170" i="5"/>
  <c r="AU170" i="5"/>
  <c r="BL170" i="5"/>
  <c r="AU204" i="5"/>
  <c r="AT204" i="5"/>
  <c r="BL204" i="5"/>
  <c r="AU304" i="5"/>
  <c r="AT304" i="5"/>
  <c r="BL304" i="5"/>
  <c r="AU130" i="5"/>
  <c r="AT130" i="5"/>
  <c r="BL130" i="5"/>
  <c r="AT239" i="5"/>
  <c r="AU239" i="5"/>
  <c r="BL239" i="5"/>
  <c r="AN113" i="4"/>
  <c r="AF113" i="4"/>
  <c r="AG113" i="4" s="1"/>
  <c r="AI113" i="4" s="1"/>
  <c r="AT417" i="5"/>
  <c r="AU417" i="5"/>
  <c r="BL417" i="5"/>
  <c r="AT290" i="5"/>
  <c r="AU290" i="5"/>
  <c r="BL290" i="5"/>
  <c r="AT181" i="5"/>
  <c r="AU181" i="5"/>
  <c r="BL181" i="5"/>
  <c r="AU139" i="5"/>
  <c r="AT139" i="5"/>
  <c r="BL139" i="5"/>
  <c r="AT238" i="5"/>
  <c r="AU238" i="5"/>
  <c r="BL238" i="5"/>
  <c r="AT192" i="5"/>
  <c r="AU192" i="5"/>
  <c r="BL192" i="5"/>
  <c r="AT428" i="5"/>
  <c r="AU428" i="5"/>
  <c r="BL428" i="5"/>
  <c r="AT171" i="5"/>
  <c r="AU171" i="5"/>
  <c r="BL171" i="5"/>
  <c r="AJ99" i="4"/>
  <c r="AK99" i="4"/>
  <c r="AL99" i="4" s="1"/>
  <c r="AO99" i="4" s="1"/>
  <c r="AU553" i="5"/>
  <c r="AT553" i="5"/>
  <c r="BL553" i="5"/>
  <c r="AU524" i="5"/>
  <c r="BL524" i="5"/>
  <c r="AT524" i="5"/>
  <c r="AU532" i="5"/>
  <c r="AT532" i="5"/>
  <c r="BL532" i="5"/>
  <c r="AT301" i="5"/>
  <c r="AU301" i="5"/>
  <c r="BL301" i="5"/>
  <c r="AT282" i="5"/>
  <c r="AU282" i="5"/>
  <c r="BL282" i="5"/>
  <c r="AU236" i="5"/>
  <c r="AT236" i="5"/>
  <c r="BL236" i="5"/>
  <c r="AT216" i="5"/>
  <c r="AU216" i="5"/>
  <c r="BL216" i="5"/>
  <c r="AT263" i="5"/>
  <c r="AU263" i="5"/>
  <c r="BL263" i="5"/>
  <c r="AT214" i="5"/>
  <c r="AU214" i="5"/>
  <c r="BL214" i="5"/>
  <c r="AU535" i="5"/>
  <c r="AT535" i="5"/>
  <c r="BL535" i="5"/>
  <c r="AT57" i="5"/>
  <c r="AU57" i="5"/>
  <c r="BL57" i="5"/>
  <c r="AU344" i="5"/>
  <c r="AT344" i="5"/>
  <c r="BL344" i="5"/>
  <c r="AU248" i="5"/>
  <c r="AT248" i="5"/>
  <c r="BL248" i="5"/>
  <c r="AT332" i="5"/>
  <c r="AU332" i="5"/>
  <c r="BL332" i="5"/>
  <c r="AU243" i="5"/>
  <c r="AT243" i="5"/>
  <c r="BL243" i="5"/>
  <c r="AU244" i="5"/>
  <c r="AT244" i="5"/>
  <c r="BL244" i="5"/>
  <c r="AU302" i="5"/>
  <c r="AT302" i="5"/>
  <c r="BL302" i="5"/>
  <c r="AT51" i="5"/>
  <c r="AU51" i="5"/>
  <c r="BL51" i="5"/>
  <c r="AT475" i="5"/>
  <c r="AU475" i="5"/>
  <c r="BL475" i="5"/>
  <c r="AU366" i="5"/>
  <c r="AT366" i="5"/>
  <c r="BL366" i="5"/>
  <c r="AT240" i="5"/>
  <c r="AU240" i="5"/>
  <c r="BL240" i="5"/>
  <c r="AU518" i="5"/>
  <c r="AT518" i="5"/>
  <c r="BL518" i="5"/>
  <c r="AT361" i="5"/>
  <c r="AU361" i="5"/>
  <c r="BL361" i="5"/>
  <c r="AT144" i="5"/>
  <c r="AU144" i="5"/>
  <c r="BL144" i="5"/>
  <c r="AU516" i="5"/>
  <c r="AT516" i="5"/>
  <c r="BL516" i="5"/>
  <c r="AT198" i="5"/>
  <c r="AU198" i="5"/>
  <c r="BL198" i="5"/>
  <c r="AU126" i="5"/>
  <c r="AT126" i="5"/>
  <c r="BL126" i="5"/>
  <c r="BL486" i="5"/>
  <c r="AT486" i="5"/>
  <c r="AU486" i="5"/>
  <c r="AT324" i="5"/>
  <c r="AU324" i="5"/>
  <c r="BL324" i="5"/>
  <c r="AT110" i="5"/>
  <c r="AU110" i="5"/>
  <c r="BL110" i="5"/>
  <c r="AT182" i="5"/>
  <c r="AU182" i="5"/>
  <c r="BL182" i="5"/>
  <c r="AT559" i="5"/>
  <c r="AU559" i="5"/>
  <c r="BL559" i="5"/>
  <c r="AU310" i="5"/>
  <c r="AT310" i="5"/>
  <c r="BL310" i="5"/>
  <c r="AT101" i="5"/>
  <c r="AU101" i="5"/>
  <c r="BL101" i="5"/>
  <c r="AU372" i="5"/>
  <c r="AT372" i="5"/>
  <c r="BL372" i="5"/>
  <c r="AU281" i="5"/>
  <c r="AT281" i="5"/>
  <c r="BL281" i="5"/>
  <c r="AU288" i="5"/>
  <c r="AT288" i="5"/>
  <c r="BL288" i="5"/>
  <c r="AT157" i="5"/>
  <c r="AU157" i="5"/>
  <c r="BL157" i="5"/>
  <c r="AU464" i="5"/>
  <c r="AT464" i="5"/>
  <c r="BL464" i="5"/>
  <c r="AU183" i="5"/>
  <c r="AT183" i="5"/>
  <c r="BL183" i="5"/>
  <c r="AU552" i="5"/>
  <c r="AT552" i="5"/>
  <c r="BL552" i="5"/>
  <c r="AU121" i="5"/>
  <c r="AT121" i="5"/>
  <c r="BL121" i="5"/>
  <c r="AT123" i="5"/>
  <c r="AU123" i="5"/>
  <c r="BL123" i="5"/>
  <c r="S240" i="5"/>
  <c r="R240" i="5"/>
  <c r="R171" i="5"/>
  <c r="S171" i="5"/>
  <c r="R353" i="5"/>
  <c r="S353" i="5"/>
  <c r="S430" i="5"/>
  <c r="R430" i="5"/>
  <c r="R243" i="5"/>
  <c r="S243" i="5"/>
  <c r="R466" i="5"/>
  <c r="S466" i="5"/>
  <c r="S215" i="5"/>
  <c r="R215" i="5"/>
  <c r="R152" i="5"/>
  <c r="S152" i="5"/>
  <c r="R289" i="5"/>
  <c r="S289" i="5"/>
  <c r="S493" i="5"/>
  <c r="R493" i="5"/>
  <c r="R100" i="5"/>
  <c r="S100" i="5"/>
  <c r="S148" i="5"/>
  <c r="R148" i="5"/>
  <c r="R533" i="5"/>
  <c r="S533" i="5"/>
  <c r="S437" i="5"/>
  <c r="R437" i="5"/>
  <c r="R318" i="5"/>
  <c r="S318" i="5"/>
  <c r="S77" i="5"/>
  <c r="R77" i="5"/>
  <c r="R407" i="5"/>
  <c r="S407" i="5"/>
  <c r="R275" i="5"/>
  <c r="S275" i="5"/>
  <c r="S164" i="5"/>
  <c r="R164" i="5"/>
  <c r="S59" i="5"/>
  <c r="R59" i="5"/>
  <c r="S95" i="5"/>
  <c r="R95" i="5"/>
  <c r="S301" i="5"/>
  <c r="R301" i="5"/>
  <c r="S181" i="5"/>
  <c r="R181" i="5"/>
  <c r="S79" i="5"/>
  <c r="R79" i="5"/>
  <c r="S410" i="5"/>
  <c r="R410" i="5"/>
  <c r="S305" i="5"/>
  <c r="R305" i="5"/>
  <c r="R469" i="5"/>
  <c r="S469" i="5"/>
  <c r="R103" i="5"/>
  <c r="S103" i="5"/>
  <c r="S168" i="5"/>
  <c r="R168" i="5"/>
  <c r="S109" i="5"/>
  <c r="R109" i="5"/>
  <c r="R231" i="5"/>
  <c r="S231" i="5"/>
  <c r="S149" i="5"/>
  <c r="R149" i="5"/>
  <c r="R448" i="5"/>
  <c r="S448" i="5"/>
  <c r="S422" i="5"/>
  <c r="R422" i="5"/>
  <c r="S46" i="5"/>
  <c r="R46" i="5"/>
  <c r="R192" i="5"/>
  <c r="S192" i="5"/>
  <c r="R525" i="5"/>
  <c r="S525" i="5"/>
  <c r="R349" i="5"/>
  <c r="S349" i="5"/>
  <c r="R343" i="5"/>
  <c r="S343" i="5"/>
  <c r="S484" i="5"/>
  <c r="R484" i="5"/>
  <c r="R161" i="5"/>
  <c r="S161" i="5"/>
  <c r="R185" i="5"/>
  <c r="S185" i="5"/>
  <c r="S112" i="5"/>
  <c r="R112" i="5"/>
  <c r="S322" i="5"/>
  <c r="R322" i="5"/>
  <c r="R400" i="5"/>
  <c r="S400" i="5"/>
  <c r="S368" i="5"/>
  <c r="R368" i="5"/>
  <c r="S82" i="5"/>
  <c r="R82" i="5"/>
  <c r="R180" i="5"/>
  <c r="S180" i="5"/>
  <c r="S456" i="5"/>
  <c r="R456" i="5"/>
  <c r="R502" i="5"/>
  <c r="S502" i="5"/>
  <c r="S516" i="5"/>
  <c r="R516" i="5"/>
  <c r="R233" i="5"/>
  <c r="S233" i="5"/>
  <c r="R362" i="5"/>
  <c r="S362" i="5"/>
  <c r="S85" i="5"/>
  <c r="R85" i="5"/>
  <c r="R374" i="5"/>
  <c r="S374" i="5"/>
  <c r="S56" i="5"/>
  <c r="R56" i="5"/>
  <c r="R106" i="5"/>
  <c r="S106" i="5"/>
  <c r="S83" i="5"/>
  <c r="R83" i="5"/>
  <c r="S104" i="5"/>
  <c r="R104" i="5"/>
  <c r="R423" i="5"/>
  <c r="S423" i="5"/>
  <c r="S449" i="5"/>
  <c r="R449" i="5"/>
  <c r="R496" i="5"/>
  <c r="S496" i="5"/>
  <c r="R504" i="5"/>
  <c r="S504" i="5"/>
  <c r="S196" i="5"/>
  <c r="R196" i="5"/>
  <c r="R515" i="5"/>
  <c r="S515" i="5"/>
  <c r="R98" i="5"/>
  <c r="S98" i="5"/>
  <c r="R173" i="5"/>
  <c r="S173" i="5"/>
  <c r="S248" i="5"/>
  <c r="R248" i="5"/>
  <c r="AF156" i="4" l="1"/>
  <c r="AG156" i="4" s="1"/>
  <c r="AI156" i="4" s="1"/>
  <c r="AF29" i="4"/>
  <c r="AG29" i="4" s="1"/>
  <c r="AI29" i="4" s="1"/>
  <c r="AF80" i="4"/>
  <c r="AG80" i="4" s="1"/>
  <c r="AI80" i="4" s="1"/>
  <c r="AF50" i="4"/>
  <c r="AG50" i="4" s="1"/>
  <c r="AI50" i="4" s="1"/>
  <c r="AJ59" i="4"/>
  <c r="AP59" i="4"/>
  <c r="AP94" i="4"/>
  <c r="AF71" i="4"/>
  <c r="AG71" i="4" s="1"/>
  <c r="AI71" i="4" s="1"/>
  <c r="AK71" i="4"/>
  <c r="AL71" i="4" s="1"/>
  <c r="AQ59" i="4"/>
  <c r="AC94" i="4"/>
  <c r="AD94" i="4" s="1"/>
  <c r="AN71" i="4"/>
  <c r="AF100" i="4"/>
  <c r="AG100" i="4" s="1"/>
  <c r="AI100" i="4" s="1"/>
  <c r="AF86" i="4"/>
  <c r="AG86" i="4" s="1"/>
  <c r="AI86" i="4" s="1"/>
  <c r="AF102" i="4"/>
  <c r="AG102" i="4" s="1"/>
  <c r="AI102" i="4" s="1"/>
  <c r="AK59" i="4"/>
  <c r="AL59" i="4" s="1"/>
  <c r="AJ94" i="4"/>
  <c r="AJ130" i="4"/>
  <c r="AP130" i="4"/>
  <c r="AF150" i="4"/>
  <c r="AG150" i="4" s="1"/>
  <c r="AI150" i="4" s="1"/>
  <c r="X14" i="4"/>
  <c r="AJ14" i="4" s="1"/>
  <c r="AF14" i="4"/>
  <c r="AG14" i="4" s="1"/>
  <c r="AI14" i="4" s="1"/>
  <c r="AA56" i="4"/>
  <c r="AQ56" i="4" s="1"/>
  <c r="AF73" i="4"/>
  <c r="AG73" i="4" s="1"/>
  <c r="AI73" i="4" s="1"/>
  <c r="AF52" i="4"/>
  <c r="AG52" i="4" s="1"/>
  <c r="AI52" i="4" s="1"/>
  <c r="AJ91" i="4"/>
  <c r="AK94" i="4"/>
  <c r="AL94" i="4" s="1"/>
  <c r="AO94" i="4" s="1"/>
  <c r="AF69" i="4"/>
  <c r="AG69" i="4" s="1"/>
  <c r="AI69" i="4" s="1"/>
  <c r="AF154" i="4"/>
  <c r="AG154" i="4" s="1"/>
  <c r="AI154" i="4" s="1"/>
  <c r="AF94" i="4"/>
  <c r="AG94" i="4" s="1"/>
  <c r="AI94" i="4" s="1"/>
  <c r="AK134" i="4"/>
  <c r="AL134" i="4" s="1"/>
  <c r="AF81" i="4"/>
  <c r="AG81" i="4" s="1"/>
  <c r="AI81" i="4" s="1"/>
  <c r="AF134" i="4"/>
  <c r="AG134" i="4" s="1"/>
  <c r="AI134" i="4" s="1"/>
  <c r="AN134" i="4"/>
  <c r="AN138" i="4"/>
  <c r="AK39" i="4"/>
  <c r="AL39" i="4" s="1"/>
  <c r="AO39" i="4" s="1"/>
  <c r="AF112" i="4"/>
  <c r="AG112" i="4" s="1"/>
  <c r="AI112" i="4" s="1"/>
  <c r="AF145" i="4"/>
  <c r="AG145" i="4" s="1"/>
  <c r="AI145" i="4" s="1"/>
  <c r="AF39" i="4"/>
  <c r="AG39" i="4" s="1"/>
  <c r="AI39" i="4" s="1"/>
  <c r="AF126" i="4"/>
  <c r="AG126" i="4" s="1"/>
  <c r="AI126" i="4" s="1"/>
  <c r="AK145" i="4"/>
  <c r="AL145" i="4" s="1"/>
  <c r="AO145" i="4" s="1"/>
  <c r="AF46" i="4"/>
  <c r="AG46" i="4" s="1"/>
  <c r="AI46" i="4" s="1"/>
  <c r="AN46" i="4"/>
  <c r="AF75" i="4"/>
  <c r="AG75" i="4" s="1"/>
  <c r="AI75" i="4" s="1"/>
  <c r="AF74" i="4"/>
  <c r="AG74" i="4" s="1"/>
  <c r="AI74" i="4" s="1"/>
  <c r="AN74" i="4"/>
  <c r="AF91" i="4"/>
  <c r="AG91" i="4" s="1"/>
  <c r="AI91" i="4" s="1"/>
  <c r="AN91" i="4"/>
  <c r="AO91" i="4" s="1"/>
  <c r="AJ74" i="4"/>
  <c r="AF70" i="4"/>
  <c r="AG70" i="4" s="1"/>
  <c r="AI70" i="4" s="1"/>
  <c r="AF125" i="4"/>
  <c r="AG125" i="4" s="1"/>
  <c r="AI125" i="4" s="1"/>
  <c r="AK75" i="4"/>
  <c r="AL75" i="4" s="1"/>
  <c r="AO75" i="4" s="1"/>
  <c r="AF59" i="4"/>
  <c r="AG59" i="4" s="1"/>
  <c r="AI59" i="4" s="1"/>
  <c r="AN59" i="4"/>
  <c r="AF95" i="4"/>
  <c r="AG95" i="4" s="1"/>
  <c r="AI95" i="4" s="1"/>
  <c r="AF114" i="4"/>
  <c r="AG114" i="4" s="1"/>
  <c r="AI114" i="4" s="1"/>
  <c r="AF66" i="4"/>
  <c r="AG66" i="4" s="1"/>
  <c r="AI66" i="4" s="1"/>
  <c r="AF64" i="4"/>
  <c r="AG64" i="4" s="1"/>
  <c r="AI64" i="4" s="1"/>
  <c r="X64" i="4"/>
  <c r="AA64" i="4" s="1"/>
  <c r="AQ64" i="4" s="1"/>
  <c r="AA38" i="4"/>
  <c r="AC38" i="4" s="1"/>
  <c r="AD38" i="4" s="1"/>
  <c r="AK137" i="4"/>
  <c r="AL137" i="4" s="1"/>
  <c r="AO137" i="4" s="1"/>
  <c r="AF87" i="4"/>
  <c r="AG87" i="4" s="1"/>
  <c r="AI87" i="4" s="1"/>
  <c r="AF130" i="4"/>
  <c r="AG130" i="4" s="1"/>
  <c r="AI130" i="4" s="1"/>
  <c r="AF10" i="4"/>
  <c r="AG10" i="4" s="1"/>
  <c r="AI10" i="4" s="1"/>
  <c r="AF61" i="4"/>
  <c r="AG61" i="4" s="1"/>
  <c r="AI61" i="4" s="1"/>
  <c r="AF92" i="4"/>
  <c r="AG92" i="4" s="1"/>
  <c r="AI92" i="4" s="1"/>
  <c r="AK92" i="4"/>
  <c r="AL92" i="4" s="1"/>
  <c r="AO92" i="4" s="1"/>
  <c r="X10" i="4"/>
  <c r="AJ10" i="4" s="1"/>
  <c r="AK129" i="4"/>
  <c r="AL129" i="4" s="1"/>
  <c r="AO129" i="4" s="1"/>
  <c r="AK130" i="4"/>
  <c r="AL130" i="4" s="1"/>
  <c r="AO130" i="4" s="1"/>
  <c r="X12" i="4"/>
  <c r="AJ12" i="4" s="1"/>
  <c r="AF12" i="4"/>
  <c r="AG12" i="4" s="1"/>
  <c r="AI12" i="4" s="1"/>
  <c r="AF11" i="5"/>
  <c r="AG11" i="5" s="1"/>
  <c r="AF143" i="4"/>
  <c r="AG143" i="4" s="1"/>
  <c r="AI143" i="4" s="1"/>
  <c r="AJ66" i="4"/>
  <c r="AK38" i="4"/>
  <c r="AL38" i="4" s="1"/>
  <c r="AO38" i="4" s="1"/>
  <c r="AC115" i="4"/>
  <c r="AD115" i="4" s="1"/>
  <c r="AQ115" i="4"/>
  <c r="AK49" i="4"/>
  <c r="AL49" i="4" s="1"/>
  <c r="AO49" i="4" s="1"/>
  <c r="AK115" i="4"/>
  <c r="AL115" i="4" s="1"/>
  <c r="AO115" i="4" s="1"/>
  <c r="AJ49" i="4"/>
  <c r="AC49" i="4"/>
  <c r="AD49" i="4" s="1"/>
  <c r="AJ115" i="4"/>
  <c r="AF47" i="4"/>
  <c r="AG47" i="4" s="1"/>
  <c r="AI47" i="4" s="1"/>
  <c r="AQ49" i="4"/>
  <c r="AK47" i="4"/>
  <c r="AL47" i="4" s="1"/>
  <c r="AN22" i="4"/>
  <c r="BI319" i="5"/>
  <c r="BK319" i="5" s="1"/>
  <c r="AF22" i="4"/>
  <c r="AG22" i="4" s="1"/>
  <c r="AI22" i="4" s="1"/>
  <c r="AK131" i="4"/>
  <c r="AL131" i="4" s="1"/>
  <c r="AO131" i="4" s="1"/>
  <c r="AF72" i="4"/>
  <c r="AG72" i="4" s="1"/>
  <c r="AI72" i="4" s="1"/>
  <c r="AF103" i="4"/>
  <c r="AG103" i="4" s="1"/>
  <c r="AI103" i="4" s="1"/>
  <c r="AF131" i="4"/>
  <c r="AG131" i="4" s="1"/>
  <c r="AI131" i="4" s="1"/>
  <c r="X7" i="4"/>
  <c r="AJ7" i="4" s="1"/>
  <c r="AF7" i="4"/>
  <c r="AG7" i="4" s="1"/>
  <c r="AI7" i="4" s="1"/>
  <c r="AF121" i="4"/>
  <c r="AG121" i="4" s="1"/>
  <c r="AI121" i="4" s="1"/>
  <c r="AF56" i="4"/>
  <c r="AG56" i="4" s="1"/>
  <c r="AI56" i="4" s="1"/>
  <c r="AN56" i="4"/>
  <c r="AK124" i="4"/>
  <c r="AL124" i="4" s="1"/>
  <c r="AO124" i="4" s="1"/>
  <c r="AK56" i="4"/>
  <c r="AL56" i="4" s="1"/>
  <c r="AF151" i="4"/>
  <c r="AG151" i="4" s="1"/>
  <c r="AI151" i="4" s="1"/>
  <c r="AK155" i="4"/>
  <c r="AL155" i="4" s="1"/>
  <c r="AO155" i="4" s="1"/>
  <c r="X8" i="4"/>
  <c r="AJ8" i="4" s="1"/>
  <c r="AJ155" i="4"/>
  <c r="AF8" i="4"/>
  <c r="AG8" i="4" s="1"/>
  <c r="AI8" i="4" s="1"/>
  <c r="AF34" i="4"/>
  <c r="AG34" i="4" s="1"/>
  <c r="AI34" i="4" s="1"/>
  <c r="AF157" i="4"/>
  <c r="AG157" i="4" s="1"/>
  <c r="AI157" i="4" s="1"/>
  <c r="AP155" i="4"/>
  <c r="AQ155" i="4"/>
  <c r="AF97" i="4"/>
  <c r="AG97" i="4" s="1"/>
  <c r="AI97" i="4" s="1"/>
  <c r="X34" i="4"/>
  <c r="AA34" i="4" s="1"/>
  <c r="AC34" i="4" s="1"/>
  <c r="AD34" i="4" s="1"/>
  <c r="AF48" i="4"/>
  <c r="AG48" i="4" s="1"/>
  <c r="AI48" i="4" s="1"/>
  <c r="AN47" i="4"/>
  <c r="AF111" i="4"/>
  <c r="AG111" i="4" s="1"/>
  <c r="AI111" i="4" s="1"/>
  <c r="AJ111" i="4"/>
  <c r="AF144" i="4"/>
  <c r="AG144" i="4" s="1"/>
  <c r="AI144" i="4" s="1"/>
  <c r="AN20" i="4"/>
  <c r="X72" i="4"/>
  <c r="AA72" i="4" s="1"/>
  <c r="AQ72" i="4" s="1"/>
  <c r="X20" i="4"/>
  <c r="AJ20" i="4" s="1"/>
  <c r="AF139" i="4"/>
  <c r="AG139" i="4" s="1"/>
  <c r="AI139" i="4" s="1"/>
  <c r="AA47" i="4"/>
  <c r="AQ47" i="4" s="1"/>
  <c r="AK148" i="4"/>
  <c r="AL148" i="4" s="1"/>
  <c r="AO148" i="4" s="1"/>
  <c r="X48" i="4"/>
  <c r="AA48" i="4" s="1"/>
  <c r="AQ48" i="4" s="1"/>
  <c r="AF123" i="4"/>
  <c r="AG123" i="4" s="1"/>
  <c r="AI123" i="4" s="1"/>
  <c r="AK123" i="4"/>
  <c r="AL123" i="4" s="1"/>
  <c r="AA123" i="4"/>
  <c r="AQ123" i="4" s="1"/>
  <c r="AN123" i="4"/>
  <c r="AK111" i="4"/>
  <c r="AL111" i="4" s="1"/>
  <c r="AO111" i="4" s="1"/>
  <c r="X43" i="4"/>
  <c r="AA43" i="4" s="1"/>
  <c r="AC43" i="4" s="1"/>
  <c r="AD43" i="4" s="1"/>
  <c r="AC153" i="4"/>
  <c r="AD153" i="4" s="1"/>
  <c r="AP141" i="4"/>
  <c r="AQ141" i="4"/>
  <c r="AP153" i="4"/>
  <c r="AF43" i="4"/>
  <c r="AG43" i="4" s="1"/>
  <c r="AI43" i="4" s="1"/>
  <c r="AK153" i="4"/>
  <c r="AL153" i="4" s="1"/>
  <c r="AO153" i="4" s="1"/>
  <c r="AK141" i="4"/>
  <c r="AL141" i="4" s="1"/>
  <c r="AO141" i="4" s="1"/>
  <c r="AF147" i="4"/>
  <c r="AG147" i="4" s="1"/>
  <c r="AI147" i="4" s="1"/>
  <c r="AJ153" i="4"/>
  <c r="AJ141" i="4"/>
  <c r="AJ148" i="4"/>
  <c r="AP110" i="4"/>
  <c r="AC110" i="4"/>
  <c r="AD110" i="4" s="1"/>
  <c r="AF107" i="4"/>
  <c r="AG107" i="4" s="1"/>
  <c r="AI107" i="4" s="1"/>
  <c r="AQ148" i="4"/>
  <c r="X107" i="4"/>
  <c r="AA107" i="4" s="1"/>
  <c r="AC107" i="4" s="1"/>
  <c r="AD107" i="4" s="1"/>
  <c r="X152" i="4"/>
  <c r="AJ152" i="4" s="1"/>
  <c r="AF93" i="4"/>
  <c r="AG93" i="4" s="1"/>
  <c r="AI93" i="4" s="1"/>
  <c r="X25" i="4"/>
  <c r="AA25" i="4" s="1"/>
  <c r="AC25" i="4" s="1"/>
  <c r="AD25" i="4" s="1"/>
  <c r="AF25" i="4"/>
  <c r="AG25" i="4" s="1"/>
  <c r="AI25" i="4" s="1"/>
  <c r="X93" i="4"/>
  <c r="AF79" i="4"/>
  <c r="AG79" i="4" s="1"/>
  <c r="AI79" i="4" s="1"/>
  <c r="AA81" i="4"/>
  <c r="AP81" i="4" s="1"/>
  <c r="AF133" i="4"/>
  <c r="AG133" i="4" s="1"/>
  <c r="AI133" i="4" s="1"/>
  <c r="AK133" i="4"/>
  <c r="AL133" i="4" s="1"/>
  <c r="AN133" i="4"/>
  <c r="AJ133" i="4"/>
  <c r="AQ133" i="4"/>
  <c r="AP133" i="4"/>
  <c r="X79" i="4"/>
  <c r="AA79" i="4" s="1"/>
  <c r="AC79" i="4" s="1"/>
  <c r="AD79" i="4" s="1"/>
  <c r="AF152" i="4"/>
  <c r="AG152" i="4" s="1"/>
  <c r="AI152" i="4" s="1"/>
  <c r="AN152" i="4"/>
  <c r="AF36" i="4"/>
  <c r="AG36" i="4" s="1"/>
  <c r="AI36" i="4" s="1"/>
  <c r="AN36" i="4"/>
  <c r="AP109" i="4"/>
  <c r="AC109" i="4"/>
  <c r="AD109" i="4" s="1"/>
  <c r="AK109" i="4"/>
  <c r="AL109" i="4" s="1"/>
  <c r="AO109" i="4" s="1"/>
  <c r="AJ109" i="4"/>
  <c r="AK73" i="4"/>
  <c r="AL73" i="4" s="1"/>
  <c r="AO73" i="4" s="1"/>
  <c r="AC148" i="4"/>
  <c r="AD148" i="4" s="1"/>
  <c r="BJ37" i="5"/>
  <c r="BO37" i="5" s="1"/>
  <c r="BK37" i="5"/>
  <c r="BP37" i="5" s="1"/>
  <c r="AH19" i="5"/>
  <c r="AK117" i="4"/>
  <c r="AL117" i="4" s="1"/>
  <c r="AO117" i="4" s="1"/>
  <c r="AA147" i="4"/>
  <c r="AQ147" i="4" s="1"/>
  <c r="AK81" i="4"/>
  <c r="AL81" i="4" s="1"/>
  <c r="AO81" i="4" s="1"/>
  <c r="AA37" i="4"/>
  <c r="AC37" i="4" s="1"/>
  <c r="AD37" i="4" s="1"/>
  <c r="BI217" i="5"/>
  <c r="BK217" i="5" s="1"/>
  <c r="AG217" i="5"/>
  <c r="AK66" i="4"/>
  <c r="AL66" i="4" s="1"/>
  <c r="AO66" i="4" s="1"/>
  <c r="AA69" i="4"/>
  <c r="AQ69" i="4" s="1"/>
  <c r="AA41" i="4"/>
  <c r="AP41" i="4" s="1"/>
  <c r="AG472" i="5"/>
  <c r="AH122" i="5"/>
  <c r="AG122" i="5"/>
  <c r="AK69" i="4"/>
  <c r="AL69" i="4" s="1"/>
  <c r="AO69" i="4" s="1"/>
  <c r="AK142" i="4"/>
  <c r="AL142" i="4" s="1"/>
  <c r="AO142" i="4" s="1"/>
  <c r="AJ142" i="4"/>
  <c r="BI36" i="5"/>
  <c r="BJ36" i="5" s="1"/>
  <c r="AH36" i="5"/>
  <c r="BI199" i="5"/>
  <c r="BK199" i="5" s="1"/>
  <c r="AH444" i="5"/>
  <c r="AH199" i="5"/>
  <c r="AA52" i="4"/>
  <c r="AC52" i="4" s="1"/>
  <c r="AD52" i="4" s="1"/>
  <c r="BI216" i="5"/>
  <c r="BK216" i="5" s="1"/>
  <c r="AA70" i="4"/>
  <c r="AC70" i="4" s="1"/>
  <c r="AD70" i="4" s="1"/>
  <c r="AH274" i="5"/>
  <c r="AH201" i="5"/>
  <c r="AH539" i="5"/>
  <c r="BI106" i="5"/>
  <c r="BJ106" i="5" s="1"/>
  <c r="AG106" i="5"/>
  <c r="AG319" i="5"/>
  <c r="BI238" i="5"/>
  <c r="BK238" i="5" s="1"/>
  <c r="BI237" i="5"/>
  <c r="BJ237" i="5" s="1"/>
  <c r="AQ66" i="4"/>
  <c r="AC66" i="4"/>
  <c r="AD66" i="4" s="1"/>
  <c r="AP66" i="4"/>
  <c r="AA57" i="4"/>
  <c r="AQ57" i="4" s="1"/>
  <c r="BI379" i="5"/>
  <c r="BK379" i="5" s="1"/>
  <c r="AG55" i="5"/>
  <c r="AH116" i="5"/>
  <c r="AG350" i="5"/>
  <c r="AH245" i="5"/>
  <c r="AG379" i="5"/>
  <c r="AG116" i="5"/>
  <c r="AH350" i="5"/>
  <c r="BI444" i="5"/>
  <c r="BJ444" i="5" s="1"/>
  <c r="BH9" i="5"/>
  <c r="AG363" i="5"/>
  <c r="BI274" i="5"/>
  <c r="BJ274" i="5" s="1"/>
  <c r="BI387" i="5"/>
  <c r="BK387" i="5" s="1"/>
  <c r="AG216" i="5"/>
  <c r="AH387" i="5"/>
  <c r="BI245" i="5"/>
  <c r="BJ245" i="5" s="1"/>
  <c r="BI80" i="5"/>
  <c r="BK80" i="5" s="1"/>
  <c r="AK157" i="4"/>
  <c r="AL157" i="4" s="1"/>
  <c r="AO157" i="4" s="1"/>
  <c r="AH152" i="5"/>
  <c r="AG237" i="5"/>
  <c r="AK65" i="4"/>
  <c r="AL65" i="4" s="1"/>
  <c r="AO65" i="4" s="1"/>
  <c r="AQ65" i="4"/>
  <c r="AJ65" i="4"/>
  <c r="AP65" i="4"/>
  <c r="AK120" i="4"/>
  <c r="AL120" i="4" s="1"/>
  <c r="AO120" i="4" s="1"/>
  <c r="AJ157" i="4"/>
  <c r="AH472" i="5"/>
  <c r="AK88" i="4"/>
  <c r="AL88" i="4" s="1"/>
  <c r="AO88" i="4" s="1"/>
  <c r="AG238" i="5"/>
  <c r="BI167" i="5"/>
  <c r="BJ167" i="5" s="1"/>
  <c r="AJ88" i="4"/>
  <c r="AG167" i="5"/>
  <c r="BI436" i="5"/>
  <c r="BK436" i="5" s="1"/>
  <c r="AP157" i="4"/>
  <c r="AH436" i="5"/>
  <c r="BI267" i="5"/>
  <c r="BJ267" i="5" s="1"/>
  <c r="BI378" i="5"/>
  <c r="BJ378" i="5" s="1"/>
  <c r="AC157" i="4"/>
  <c r="AD157" i="4" s="1"/>
  <c r="AH267" i="5"/>
  <c r="AG378" i="5"/>
  <c r="AK84" i="4"/>
  <c r="AL84" i="4" s="1"/>
  <c r="AO84" i="4" s="1"/>
  <c r="AG335" i="5"/>
  <c r="BI508" i="5"/>
  <c r="BK508" i="5" s="1"/>
  <c r="AG477" i="5"/>
  <c r="BI108" i="5"/>
  <c r="BK108" i="5" s="1"/>
  <c r="AJ62" i="4"/>
  <c r="AH477" i="5"/>
  <c r="AC71" i="4"/>
  <c r="AD71" i="4" s="1"/>
  <c r="AQ82" i="4"/>
  <c r="AC82" i="4"/>
  <c r="AD82" i="4" s="1"/>
  <c r="AJ82" i="4"/>
  <c r="AH347" i="5"/>
  <c r="AG34" i="5"/>
  <c r="AH34" i="5"/>
  <c r="AG108" i="5"/>
  <c r="BI9" i="5"/>
  <c r="BK9" i="5" s="1"/>
  <c r="BI235" i="5"/>
  <c r="BK235" i="5" s="1"/>
  <c r="AK143" i="4"/>
  <c r="AL143" i="4" s="1"/>
  <c r="AO143" i="4" s="1"/>
  <c r="AH9" i="5"/>
  <c r="AH235" i="5"/>
  <c r="AP71" i="4"/>
  <c r="BI298" i="5"/>
  <c r="BJ298" i="5" s="1"/>
  <c r="BI250" i="5"/>
  <c r="BK250" i="5" s="1"/>
  <c r="BI354" i="5"/>
  <c r="BJ354" i="5" s="1"/>
  <c r="AK140" i="4"/>
  <c r="AL140" i="4" s="1"/>
  <c r="AO140" i="4" s="1"/>
  <c r="AH298" i="5"/>
  <c r="AH250" i="5"/>
  <c r="AH354" i="5"/>
  <c r="BI347" i="5"/>
  <c r="BK347" i="5" s="1"/>
  <c r="AJ140" i="4"/>
  <c r="AK62" i="4"/>
  <c r="AL62" i="4" s="1"/>
  <c r="AO62" i="4" s="1"/>
  <c r="AK82" i="4"/>
  <c r="AL82" i="4" s="1"/>
  <c r="AO82" i="4" s="1"/>
  <c r="BI86" i="5"/>
  <c r="BJ86" i="5" s="1"/>
  <c r="AQ142" i="4"/>
  <c r="BI429" i="5"/>
  <c r="BJ429" i="5" s="1"/>
  <c r="AP142" i="4"/>
  <c r="BI360" i="5"/>
  <c r="BK360" i="5" s="1"/>
  <c r="AG360" i="5"/>
  <c r="BI305" i="5"/>
  <c r="BK305" i="5" s="1"/>
  <c r="BI393" i="5"/>
  <c r="BK393" i="5" s="1"/>
  <c r="AH305" i="5"/>
  <c r="BL9" i="5"/>
  <c r="BN9" i="5" s="1"/>
  <c r="BI42" i="5"/>
  <c r="BK42" i="5" s="1"/>
  <c r="AH306" i="5"/>
  <c r="AH42" i="5"/>
  <c r="AG556" i="5"/>
  <c r="AH20" i="5"/>
  <c r="BI339" i="5"/>
  <c r="BK339" i="5" s="1"/>
  <c r="BI546" i="5"/>
  <c r="BJ546" i="5" s="1"/>
  <c r="BI483" i="5"/>
  <c r="BK483" i="5" s="1"/>
  <c r="BI516" i="5"/>
  <c r="BJ516" i="5" s="1"/>
  <c r="AG339" i="5"/>
  <c r="BI142" i="5"/>
  <c r="BJ142" i="5" s="1"/>
  <c r="AH516" i="5"/>
  <c r="BI201" i="5"/>
  <c r="BK201" i="5" s="1"/>
  <c r="BI306" i="5"/>
  <c r="BJ306" i="5" s="1"/>
  <c r="AH145" i="5"/>
  <c r="AU9" i="5"/>
  <c r="AG145" i="5"/>
  <c r="AT9" i="5"/>
  <c r="BI414" i="5"/>
  <c r="BJ414" i="5" s="1"/>
  <c r="AG488" i="5"/>
  <c r="AG394" i="5"/>
  <c r="AK136" i="4"/>
  <c r="AL136" i="4" s="1"/>
  <c r="AO136" i="4" s="1"/>
  <c r="AK95" i="4"/>
  <c r="AL95" i="4" s="1"/>
  <c r="AO95" i="4" s="1"/>
  <c r="AJ95" i="4"/>
  <c r="AA51" i="4"/>
  <c r="AC51" i="4" s="1"/>
  <c r="AD51" i="4" s="1"/>
  <c r="AK78" i="4"/>
  <c r="AL78" i="4" s="1"/>
  <c r="AO78" i="4" s="1"/>
  <c r="AP78" i="4"/>
  <c r="AJ78" i="4"/>
  <c r="AC78" i="4"/>
  <c r="AD78" i="4" s="1"/>
  <c r="BI424" i="5"/>
  <c r="BJ424" i="5" s="1"/>
  <c r="AH384" i="5"/>
  <c r="AK70" i="4"/>
  <c r="AL70" i="4" s="1"/>
  <c r="AO70" i="4" s="1"/>
  <c r="AA143" i="4"/>
  <c r="AQ143" i="4" s="1"/>
  <c r="AA87" i="4"/>
  <c r="AA139" i="4"/>
  <c r="AC139" i="4" s="1"/>
  <c r="AD139" i="4" s="1"/>
  <c r="AA61" i="4"/>
  <c r="AQ61" i="4" s="1"/>
  <c r="AG393" i="5"/>
  <c r="BI144" i="5"/>
  <c r="BJ144" i="5" s="1"/>
  <c r="BI344" i="5"/>
  <c r="BK344" i="5" s="1"/>
  <c r="BI82" i="5"/>
  <c r="BJ82" i="5" s="1"/>
  <c r="BI136" i="5"/>
  <c r="BK136" i="5" s="1"/>
  <c r="AG144" i="5"/>
  <c r="AG344" i="5"/>
  <c r="BI170" i="5"/>
  <c r="BJ170" i="5" s="1"/>
  <c r="AG136" i="5"/>
  <c r="AH170" i="5"/>
  <c r="BI479" i="5"/>
  <c r="BK479" i="5" s="1"/>
  <c r="AH490" i="5"/>
  <c r="AH251" i="5"/>
  <c r="BI394" i="5"/>
  <c r="BK394" i="5" s="1"/>
  <c r="BI488" i="5"/>
  <c r="BJ488" i="5" s="1"/>
  <c r="AG479" i="5"/>
  <c r="AG490" i="5"/>
  <c r="AK144" i="4"/>
  <c r="AL144" i="4" s="1"/>
  <c r="AO144" i="4" s="1"/>
  <c r="AP83" i="4"/>
  <c r="AQ83" i="4"/>
  <c r="AK83" i="4"/>
  <c r="AL83" i="4" s="1"/>
  <c r="AO83" i="4" s="1"/>
  <c r="AJ83" i="4"/>
  <c r="AK101" i="4"/>
  <c r="AL101" i="4" s="1"/>
  <c r="AO101" i="4" s="1"/>
  <c r="AP111" i="4"/>
  <c r="AC24" i="4"/>
  <c r="AD24" i="4" s="1"/>
  <c r="AC111" i="4"/>
  <c r="AD111" i="4" s="1"/>
  <c r="BI193" i="5"/>
  <c r="BK193" i="5" s="1"/>
  <c r="AH193" i="5"/>
  <c r="BI165" i="5"/>
  <c r="BK165" i="5" s="1"/>
  <c r="AG165" i="5"/>
  <c r="AH400" i="5"/>
  <c r="AK127" i="4"/>
  <c r="AL127" i="4" s="1"/>
  <c r="AO127" i="4" s="1"/>
  <c r="AA120" i="4"/>
  <c r="AP120" i="4" s="1"/>
  <c r="AA144" i="4"/>
  <c r="AJ149" i="4"/>
  <c r="AA149" i="4"/>
  <c r="AA154" i="4"/>
  <c r="AC154" i="4" s="1"/>
  <c r="AD154" i="4" s="1"/>
  <c r="AA118" i="4"/>
  <c r="AQ118" i="4" s="1"/>
  <c r="AA103" i="4"/>
  <c r="AA68" i="4"/>
  <c r="AQ68" i="4" s="1"/>
  <c r="AA125" i="4"/>
  <c r="AQ125" i="4" s="1"/>
  <c r="BI539" i="5"/>
  <c r="BK539" i="5" s="1"/>
  <c r="AG35" i="5"/>
  <c r="BI501" i="5"/>
  <c r="BK501" i="5" s="1"/>
  <c r="AG31" i="5"/>
  <c r="AG158" i="5"/>
  <c r="AG409" i="5"/>
  <c r="AH495" i="5"/>
  <c r="AG257" i="5"/>
  <c r="AG20" i="5"/>
  <c r="BI517" i="5"/>
  <c r="BJ517" i="5" s="1"/>
  <c r="AG90" i="5"/>
  <c r="AH35" i="5"/>
  <c r="AG501" i="5"/>
  <c r="BI335" i="5"/>
  <c r="BK335" i="5" s="1"/>
  <c r="AH31" i="5"/>
  <c r="AH158" i="5"/>
  <c r="AH409" i="5"/>
  <c r="AH257" i="5"/>
  <c r="AH546" i="5"/>
  <c r="AG414" i="5"/>
  <c r="AG467" i="5"/>
  <c r="AG317" i="5"/>
  <c r="AG503" i="5"/>
  <c r="BI128" i="5"/>
  <c r="BK128" i="5" s="1"/>
  <c r="AH467" i="5"/>
  <c r="AP62" i="4"/>
  <c r="AH483" i="5"/>
  <c r="BI47" i="5"/>
  <c r="BK47" i="5" s="1"/>
  <c r="AH508" i="5"/>
  <c r="AH348" i="5"/>
  <c r="BI499" i="5"/>
  <c r="BJ499" i="5" s="1"/>
  <c r="AH517" i="5"/>
  <c r="AK119" i="4"/>
  <c r="AL119" i="4" s="1"/>
  <c r="AO119" i="4" s="1"/>
  <c r="BI317" i="5"/>
  <c r="BK317" i="5" s="1"/>
  <c r="BI503" i="5"/>
  <c r="BK503" i="5" s="1"/>
  <c r="AG128" i="5"/>
  <c r="BI227" i="5"/>
  <c r="BK227" i="5" s="1"/>
  <c r="AC62" i="4"/>
  <c r="AD62" i="4" s="1"/>
  <c r="BI390" i="5"/>
  <c r="BJ390" i="5" s="1"/>
  <c r="BI117" i="5"/>
  <c r="BJ117" i="5" s="1"/>
  <c r="AG47" i="5"/>
  <c r="BI489" i="5"/>
  <c r="BJ489" i="5" s="1"/>
  <c r="AG348" i="5"/>
  <c r="AG499" i="5"/>
  <c r="BI90" i="5"/>
  <c r="BJ90" i="5" s="1"/>
  <c r="AG227" i="5"/>
  <c r="AH114" i="5"/>
  <c r="AH390" i="5"/>
  <c r="AG117" i="5"/>
  <c r="AH489" i="5"/>
  <c r="BI495" i="5"/>
  <c r="BK495" i="5" s="1"/>
  <c r="AG114" i="5"/>
  <c r="AK37" i="4"/>
  <c r="AL37" i="4" s="1"/>
  <c r="AO37" i="4" s="1"/>
  <c r="AG429" i="5"/>
  <c r="AH424" i="5"/>
  <c r="AH82" i="5"/>
  <c r="BI311" i="5"/>
  <c r="BJ311" i="5" s="1"/>
  <c r="AH86" i="5"/>
  <c r="AG384" i="5"/>
  <c r="BI408" i="5"/>
  <c r="BJ408" i="5" s="1"/>
  <c r="AG140" i="5"/>
  <c r="BI492" i="5"/>
  <c r="BK492" i="5" s="1"/>
  <c r="BI107" i="5"/>
  <c r="BK107" i="5" s="1"/>
  <c r="AH311" i="5"/>
  <c r="BI547" i="5"/>
  <c r="BJ547" i="5" s="1"/>
  <c r="AG408" i="5"/>
  <c r="BI131" i="5"/>
  <c r="BK131" i="5" s="1"/>
  <c r="BI214" i="5"/>
  <c r="BK214" i="5" s="1"/>
  <c r="BI346" i="5"/>
  <c r="BJ346" i="5" s="1"/>
  <c r="AH492" i="5"/>
  <c r="AG107" i="5"/>
  <c r="BI302" i="5"/>
  <c r="BK302" i="5" s="1"/>
  <c r="AH547" i="5"/>
  <c r="BI50" i="5"/>
  <c r="BJ50" i="5" s="1"/>
  <c r="AH131" i="5"/>
  <c r="AG214" i="5"/>
  <c r="AG346" i="5"/>
  <c r="BI359" i="5"/>
  <c r="BK359" i="5" s="1"/>
  <c r="AQ76" i="4"/>
  <c r="AG50" i="5"/>
  <c r="AG359" i="5"/>
  <c r="BI251" i="5"/>
  <c r="BK251" i="5" s="1"/>
  <c r="AG142" i="5"/>
  <c r="AK150" i="4"/>
  <c r="AL150" i="4" s="1"/>
  <c r="AO150" i="4" s="1"/>
  <c r="AH174" i="5"/>
  <c r="AK118" i="4"/>
  <c r="AL118" i="4" s="1"/>
  <c r="AO118" i="4" s="1"/>
  <c r="AJ150" i="4"/>
  <c r="BI556" i="5"/>
  <c r="BJ556" i="5" s="1"/>
  <c r="AQ33" i="4"/>
  <c r="BI400" i="5"/>
  <c r="BJ400" i="5" s="1"/>
  <c r="BI484" i="5"/>
  <c r="BJ484" i="5" s="1"/>
  <c r="BI115" i="5"/>
  <c r="BK115" i="5" s="1"/>
  <c r="AG115" i="5"/>
  <c r="AH149" i="5"/>
  <c r="AH102" i="5"/>
  <c r="BI385" i="5"/>
  <c r="BJ385" i="5" s="1"/>
  <c r="AG385" i="5"/>
  <c r="AG402" i="5"/>
  <c r="BI345" i="5"/>
  <c r="BJ345" i="5" s="1"/>
  <c r="AG30" i="5"/>
  <c r="AH402" i="5"/>
  <c r="AK103" i="4"/>
  <c r="AL103" i="4" s="1"/>
  <c r="AO103" i="4" s="1"/>
  <c r="BI174" i="5"/>
  <c r="BJ174" i="5" s="1"/>
  <c r="BI535" i="5"/>
  <c r="BK535" i="5" s="1"/>
  <c r="AG535" i="5"/>
  <c r="AP33" i="4"/>
  <c r="AK33" i="4"/>
  <c r="AL33" i="4" s="1"/>
  <c r="AO33" i="4" s="1"/>
  <c r="AJ33" i="4"/>
  <c r="AK68" i="4"/>
  <c r="AL68" i="4" s="1"/>
  <c r="AO68" i="4" s="1"/>
  <c r="AK60" i="4"/>
  <c r="AL60" i="4" s="1"/>
  <c r="AO60" i="4" s="1"/>
  <c r="AH41" i="5"/>
  <c r="BI525" i="5"/>
  <c r="BK525" i="5" s="1"/>
  <c r="AG525" i="5"/>
  <c r="BI161" i="5"/>
  <c r="BK161" i="5" s="1"/>
  <c r="AG403" i="5"/>
  <c r="AG484" i="5"/>
  <c r="AG41" i="5"/>
  <c r="AQ126" i="4"/>
  <c r="AH434" i="5"/>
  <c r="AH441" i="5"/>
  <c r="AC126" i="4"/>
  <c r="AD126" i="4" s="1"/>
  <c r="AG441" i="5"/>
  <c r="BI291" i="5"/>
  <c r="BK291" i="5" s="1"/>
  <c r="BI97" i="5"/>
  <c r="BK97" i="5" s="1"/>
  <c r="AP91" i="4"/>
  <c r="AH291" i="5"/>
  <c r="BI372" i="5"/>
  <c r="BK372" i="5" s="1"/>
  <c r="AH97" i="5"/>
  <c r="AC91" i="4"/>
  <c r="AD91" i="4" s="1"/>
  <c r="AJ156" i="4"/>
  <c r="AG372" i="5"/>
  <c r="BI51" i="5"/>
  <c r="BJ51" i="5" s="1"/>
  <c r="BI549" i="5"/>
  <c r="BK549" i="5" s="1"/>
  <c r="AK126" i="4"/>
  <c r="AL126" i="4" s="1"/>
  <c r="AO126" i="4" s="1"/>
  <c r="AH51" i="5"/>
  <c r="AH549" i="5"/>
  <c r="AJ126" i="4"/>
  <c r="BI224" i="5"/>
  <c r="BJ224" i="5" s="1"/>
  <c r="AA17" i="4"/>
  <c r="AQ17" i="4" s="1"/>
  <c r="AH224" i="5"/>
  <c r="AK87" i="4"/>
  <c r="AL87" i="4" s="1"/>
  <c r="AO87" i="4" s="1"/>
  <c r="AG469" i="5"/>
  <c r="BI263" i="5"/>
  <c r="BK263" i="5" s="1"/>
  <c r="BI381" i="5"/>
  <c r="BJ381" i="5" s="1"/>
  <c r="AH109" i="5"/>
  <c r="AP117" i="4"/>
  <c r="AQ96" i="4"/>
  <c r="AP24" i="4"/>
  <c r="AH420" i="5"/>
  <c r="AG456" i="5"/>
  <c r="AG518" i="5"/>
  <c r="AG38" i="5"/>
  <c r="AK154" i="4"/>
  <c r="AL154" i="4" s="1"/>
  <c r="AO154" i="4" s="1"/>
  <c r="AC96" i="4"/>
  <c r="AD96" i="4" s="1"/>
  <c r="AG81" i="5"/>
  <c r="BI176" i="5"/>
  <c r="BJ176" i="5" s="1"/>
  <c r="BI213" i="5"/>
  <c r="BK213" i="5" s="1"/>
  <c r="BI39" i="5"/>
  <c r="BK39" i="5" s="1"/>
  <c r="BI343" i="5"/>
  <c r="BJ343" i="5" s="1"/>
  <c r="AG345" i="5"/>
  <c r="AK36" i="4"/>
  <c r="AL36" i="4" s="1"/>
  <c r="AG176" i="5"/>
  <c r="AG213" i="5"/>
  <c r="AG39" i="5"/>
  <c r="AG343" i="5"/>
  <c r="BI413" i="5"/>
  <c r="BJ413" i="5" s="1"/>
  <c r="BI139" i="5"/>
  <c r="BK139" i="5" s="1"/>
  <c r="AK52" i="4"/>
  <c r="AL52" i="4" s="1"/>
  <c r="AO52" i="4" s="1"/>
  <c r="BI558" i="5"/>
  <c r="BJ558" i="5" s="1"/>
  <c r="AK24" i="4"/>
  <c r="AL24" i="4" s="1"/>
  <c r="AO24" i="4" s="1"/>
  <c r="AG413" i="5"/>
  <c r="BI420" i="5"/>
  <c r="BK420" i="5" s="1"/>
  <c r="BI456" i="5"/>
  <c r="BK456" i="5" s="1"/>
  <c r="AH471" i="5"/>
  <c r="AG139" i="5"/>
  <c r="BI518" i="5"/>
  <c r="BJ518" i="5" s="1"/>
  <c r="AG558" i="5"/>
  <c r="AJ24" i="4"/>
  <c r="AK51" i="4"/>
  <c r="AL51" i="4" s="1"/>
  <c r="AO51" i="4" s="1"/>
  <c r="BI521" i="5"/>
  <c r="BK521" i="5" s="1"/>
  <c r="BI327" i="5"/>
  <c r="BJ327" i="5" s="1"/>
  <c r="AG521" i="5"/>
  <c r="AG327" i="5"/>
  <c r="AG182" i="5"/>
  <c r="BI89" i="5"/>
  <c r="BK89" i="5" s="1"/>
  <c r="AH182" i="5"/>
  <c r="AH89" i="5"/>
  <c r="AH361" i="5"/>
  <c r="AK97" i="4"/>
  <c r="AL97" i="4" s="1"/>
  <c r="AO97" i="4" s="1"/>
  <c r="BI67" i="5"/>
  <c r="BJ67" i="5" s="1"/>
  <c r="AH67" i="5"/>
  <c r="BI537" i="5"/>
  <c r="BK537" i="5" s="1"/>
  <c r="BI168" i="5"/>
  <c r="BK168" i="5" s="1"/>
  <c r="AH537" i="5"/>
  <c r="AH168" i="5"/>
  <c r="BI66" i="5"/>
  <c r="BK66" i="5" s="1"/>
  <c r="AH66" i="5"/>
  <c r="BI361" i="5"/>
  <c r="BK361" i="5" s="1"/>
  <c r="AK17" i="4"/>
  <c r="AL17" i="4" s="1"/>
  <c r="AO17" i="4" s="1"/>
  <c r="AK40" i="4"/>
  <c r="AL40" i="4" s="1"/>
  <c r="AO40" i="4" s="1"/>
  <c r="AK151" i="4"/>
  <c r="AL151" i="4" s="1"/>
  <c r="AO151" i="4" s="1"/>
  <c r="AK147" i="4"/>
  <c r="AL147" i="4" s="1"/>
  <c r="AO147" i="4" s="1"/>
  <c r="BI49" i="5"/>
  <c r="BK49" i="5" s="1"/>
  <c r="AG545" i="5"/>
  <c r="BI52" i="5"/>
  <c r="BJ52" i="5" s="1"/>
  <c r="BI545" i="5"/>
  <c r="BJ545" i="5" s="1"/>
  <c r="AH52" i="5"/>
  <c r="BI338" i="5"/>
  <c r="BJ338" i="5" s="1"/>
  <c r="AH38" i="5"/>
  <c r="AQ137" i="4"/>
  <c r="AC40" i="4"/>
  <c r="AD40" i="4" s="1"/>
  <c r="AP40" i="4"/>
  <c r="AH338" i="5"/>
  <c r="AG198" i="5"/>
  <c r="BI91" i="5"/>
  <c r="BK91" i="5" s="1"/>
  <c r="BI198" i="5"/>
  <c r="BJ198" i="5" s="1"/>
  <c r="AH211" i="5"/>
  <c r="AG443" i="5"/>
  <c r="BI356" i="5"/>
  <c r="BJ356" i="5" s="1"/>
  <c r="BI98" i="5"/>
  <c r="BJ98" i="5" s="1"/>
  <c r="BI443" i="5"/>
  <c r="BJ443" i="5" s="1"/>
  <c r="AG465" i="5"/>
  <c r="AP104" i="4"/>
  <c r="AG326" i="5"/>
  <c r="BI95" i="5"/>
  <c r="BK95" i="5" s="1"/>
  <c r="AH98" i="5"/>
  <c r="AH81" i="5"/>
  <c r="AJ40" i="4"/>
  <c r="BI284" i="5"/>
  <c r="BJ284" i="5" s="1"/>
  <c r="BI446" i="5"/>
  <c r="BK446" i="5" s="1"/>
  <c r="AK104" i="4"/>
  <c r="AL104" i="4" s="1"/>
  <c r="AO104" i="4" s="1"/>
  <c r="AC104" i="4"/>
  <c r="AD104" i="4" s="1"/>
  <c r="BI437" i="5"/>
  <c r="BJ437" i="5" s="1"/>
  <c r="AG284" i="5"/>
  <c r="AH446" i="5"/>
  <c r="AG57" i="5"/>
  <c r="BI512" i="5"/>
  <c r="BK512" i="5" s="1"/>
  <c r="AJ104" i="4"/>
  <c r="AH437" i="5"/>
  <c r="BI293" i="5"/>
  <c r="BK293" i="5" s="1"/>
  <c r="AG512" i="5"/>
  <c r="AG293" i="5"/>
  <c r="AH21" i="5"/>
  <c r="BI465" i="5"/>
  <c r="BK465" i="5" s="1"/>
  <c r="AP137" i="4"/>
  <c r="AP106" i="4"/>
  <c r="BI152" i="5"/>
  <c r="BK152" i="5" s="1"/>
  <c r="BI197" i="5"/>
  <c r="BJ197" i="5" s="1"/>
  <c r="BK19" i="5"/>
  <c r="AJ151" i="4"/>
  <c r="BI496" i="5"/>
  <c r="BK496" i="5" s="1"/>
  <c r="BI63" i="5"/>
  <c r="BK63" i="5" s="1"/>
  <c r="AG63" i="5"/>
  <c r="AK77" i="4"/>
  <c r="AL77" i="4" s="1"/>
  <c r="AO77" i="4" s="1"/>
  <c r="AH522" i="5"/>
  <c r="AP134" i="4"/>
  <c r="AK135" i="4"/>
  <c r="AL135" i="4" s="1"/>
  <c r="AO135" i="4" s="1"/>
  <c r="BI310" i="5"/>
  <c r="BK310" i="5" s="1"/>
  <c r="AQ134" i="4"/>
  <c r="AK100" i="4"/>
  <c r="AL100" i="4" s="1"/>
  <c r="AO100" i="4" s="1"/>
  <c r="AQ124" i="4"/>
  <c r="AP124" i="4"/>
  <c r="AK156" i="4"/>
  <c r="AL156" i="4" s="1"/>
  <c r="AO156" i="4" s="1"/>
  <c r="AJ100" i="4"/>
  <c r="BI256" i="5"/>
  <c r="BJ256" i="5" s="1"/>
  <c r="AP108" i="4"/>
  <c r="AH310" i="5"/>
  <c r="AG478" i="5"/>
  <c r="BI177" i="5"/>
  <c r="BJ177" i="5" s="1"/>
  <c r="AG522" i="5"/>
  <c r="AP26" i="4"/>
  <c r="AH184" i="5"/>
  <c r="AG256" i="5"/>
  <c r="AK26" i="4"/>
  <c r="AL26" i="4" s="1"/>
  <c r="AO26" i="4" s="1"/>
  <c r="AC108" i="4"/>
  <c r="AD108" i="4" s="1"/>
  <c r="AH177" i="5"/>
  <c r="AC26" i="4"/>
  <c r="AD26" i="4" s="1"/>
  <c r="AJ26" i="4"/>
  <c r="BI463" i="5"/>
  <c r="BK463" i="5" s="1"/>
  <c r="AJ85" i="4"/>
  <c r="BI105" i="5"/>
  <c r="BJ105" i="5" s="1"/>
  <c r="BI44" i="5"/>
  <c r="BK44" i="5" s="1"/>
  <c r="BI316" i="5"/>
  <c r="BJ316" i="5" s="1"/>
  <c r="AK85" i="4"/>
  <c r="AL85" i="4" s="1"/>
  <c r="AO85" i="4" s="1"/>
  <c r="AH105" i="5"/>
  <c r="AH44" i="5"/>
  <c r="AH316" i="5"/>
  <c r="AG197" i="5"/>
  <c r="AJ97" i="4"/>
  <c r="BI468" i="5"/>
  <c r="BJ468" i="5" s="1"/>
  <c r="AH91" i="5"/>
  <c r="AC73" i="4"/>
  <c r="AD73" i="4" s="1"/>
  <c r="AG468" i="5"/>
  <c r="BI514" i="5"/>
  <c r="BJ514" i="5" s="1"/>
  <c r="AK108" i="4"/>
  <c r="AL108" i="4" s="1"/>
  <c r="AO108" i="4" s="1"/>
  <c r="AH318" i="5"/>
  <c r="AG157" i="5"/>
  <c r="AH514" i="5"/>
  <c r="AJ108" i="4"/>
  <c r="AO106" i="4"/>
  <c r="AQ73" i="4"/>
  <c r="BI241" i="5"/>
  <c r="BK241" i="5" s="1"/>
  <c r="AA19" i="4"/>
  <c r="AQ19" i="4" s="1"/>
  <c r="AK19" i="4"/>
  <c r="AL19" i="4" s="1"/>
  <c r="AO19" i="4" s="1"/>
  <c r="AQ140" i="4"/>
  <c r="AC140" i="4"/>
  <c r="AD140" i="4" s="1"/>
  <c r="AP140" i="4"/>
  <c r="AQ100" i="4"/>
  <c r="AP100" i="4"/>
  <c r="AC100" i="4"/>
  <c r="AD100" i="4" s="1"/>
  <c r="AA121" i="4"/>
  <c r="AA84" i="4"/>
  <c r="AJ146" i="4"/>
  <c r="AA146" i="4"/>
  <c r="AA119" i="4"/>
  <c r="AP119" i="4" s="1"/>
  <c r="AA55" i="4"/>
  <c r="AQ55" i="4" s="1"/>
  <c r="AA102" i="4"/>
  <c r="AQ102" i="4" s="1"/>
  <c r="AA90" i="4"/>
  <c r="AQ90" i="4" s="1"/>
  <c r="BI109" i="5"/>
  <c r="BK109" i="5" s="1"/>
  <c r="BI30" i="5"/>
  <c r="BK30" i="5" s="1"/>
  <c r="AG49" i="5"/>
  <c r="BI469" i="5"/>
  <c r="BJ469" i="5" s="1"/>
  <c r="AP53" i="4"/>
  <c r="AH253" i="5"/>
  <c r="AK121" i="4"/>
  <c r="AL121" i="4" s="1"/>
  <c r="AO121" i="4" s="1"/>
  <c r="AP76" i="4"/>
  <c r="BI149" i="5"/>
  <c r="BK149" i="5" s="1"/>
  <c r="AG506" i="5"/>
  <c r="BI71" i="5"/>
  <c r="BK71" i="5" s="1"/>
  <c r="AQ99" i="4"/>
  <c r="AH281" i="5"/>
  <c r="BI55" i="5"/>
  <c r="BJ55" i="5" s="1"/>
  <c r="BI162" i="5"/>
  <c r="BJ162" i="5" s="1"/>
  <c r="AG43" i="5"/>
  <c r="AG164" i="5"/>
  <c r="BI363" i="5"/>
  <c r="BJ363" i="5" s="1"/>
  <c r="AH500" i="5"/>
  <c r="BI300" i="5"/>
  <c r="BK300" i="5" s="1"/>
  <c r="AJ135" i="4"/>
  <c r="AG80" i="5"/>
  <c r="AG416" i="5"/>
  <c r="BI295" i="5"/>
  <c r="BK295" i="5" s="1"/>
  <c r="AG300" i="5"/>
  <c r="BI450" i="5"/>
  <c r="BJ450" i="5" s="1"/>
  <c r="BI433" i="5"/>
  <c r="BK433" i="5" s="1"/>
  <c r="AK76" i="4"/>
  <c r="AL76" i="4" s="1"/>
  <c r="AO76" i="4" s="1"/>
  <c r="AP99" i="4"/>
  <c r="BI68" i="5"/>
  <c r="BK68" i="5" s="1"/>
  <c r="BI371" i="5"/>
  <c r="BJ371" i="5" s="1"/>
  <c r="AK53" i="4"/>
  <c r="AL53" i="4" s="1"/>
  <c r="AO53" i="4" s="1"/>
  <c r="AG295" i="5"/>
  <c r="AG450" i="5"/>
  <c r="AH433" i="5"/>
  <c r="BI462" i="5"/>
  <c r="BJ462" i="5" s="1"/>
  <c r="BI498" i="5"/>
  <c r="BJ498" i="5" s="1"/>
  <c r="AJ76" i="4"/>
  <c r="AQ53" i="4"/>
  <c r="AG68" i="5"/>
  <c r="AH371" i="5"/>
  <c r="BI253" i="5"/>
  <c r="BJ253" i="5" s="1"/>
  <c r="AJ53" i="4"/>
  <c r="AH462" i="5"/>
  <c r="BI506" i="5"/>
  <c r="BJ506" i="5" s="1"/>
  <c r="AK57" i="4"/>
  <c r="AL57" i="4" s="1"/>
  <c r="AO57" i="4" s="1"/>
  <c r="BI328" i="5"/>
  <c r="BJ328" i="5" s="1"/>
  <c r="AH478" i="5"/>
  <c r="AG19" i="5"/>
  <c r="AG434" i="5"/>
  <c r="BI54" i="5"/>
  <c r="BK54" i="5" s="1"/>
  <c r="AG349" i="5"/>
  <c r="BI73" i="5"/>
  <c r="BJ73" i="5" s="1"/>
  <c r="AH496" i="5"/>
  <c r="AG191" i="5"/>
  <c r="BI226" i="5"/>
  <c r="BK226" i="5" s="1"/>
  <c r="BI75" i="5"/>
  <c r="BK75" i="5" s="1"/>
  <c r="AH54" i="5"/>
  <c r="AG73" i="5"/>
  <c r="BI232" i="5"/>
  <c r="BK232" i="5" s="1"/>
  <c r="AK89" i="4"/>
  <c r="AL89" i="4" s="1"/>
  <c r="AO89" i="4" s="1"/>
  <c r="BI554" i="5"/>
  <c r="BK554" i="5" s="1"/>
  <c r="BI218" i="5"/>
  <c r="BJ218" i="5" s="1"/>
  <c r="AG226" i="5"/>
  <c r="AG75" i="5"/>
  <c r="AG232" i="5"/>
  <c r="AH554" i="5"/>
  <c r="AK61" i="4"/>
  <c r="AL61" i="4" s="1"/>
  <c r="AO61" i="4" s="1"/>
  <c r="AG218" i="5"/>
  <c r="BI288" i="5"/>
  <c r="BK288" i="5" s="1"/>
  <c r="BI258" i="5"/>
  <c r="BK258" i="5" s="1"/>
  <c r="BI40" i="5"/>
  <c r="BJ40" i="5" s="1"/>
  <c r="AK102" i="4"/>
  <c r="AL102" i="4" s="1"/>
  <c r="AO102" i="4" s="1"/>
  <c r="AK125" i="4"/>
  <c r="AL125" i="4" s="1"/>
  <c r="AO125" i="4" s="1"/>
  <c r="BI458" i="5"/>
  <c r="BJ458" i="5" s="1"/>
  <c r="BI466" i="5"/>
  <c r="BJ466" i="5" s="1"/>
  <c r="AH288" i="5"/>
  <c r="AG258" i="5"/>
  <c r="BI113" i="5"/>
  <c r="BK113" i="5" s="1"/>
  <c r="AH40" i="5"/>
  <c r="BI416" i="5"/>
  <c r="BK416" i="5" s="1"/>
  <c r="AG458" i="5"/>
  <c r="BI500" i="5"/>
  <c r="BJ500" i="5" s="1"/>
  <c r="BI281" i="5"/>
  <c r="BJ281" i="5" s="1"/>
  <c r="BI471" i="5"/>
  <c r="BK471" i="5" s="1"/>
  <c r="BI164" i="5"/>
  <c r="BK164" i="5" s="1"/>
  <c r="AK80" i="4"/>
  <c r="AL80" i="4" s="1"/>
  <c r="AO80" i="4" s="1"/>
  <c r="AK138" i="4"/>
  <c r="AL138" i="4" s="1"/>
  <c r="AC85" i="4"/>
  <c r="AD85" i="4" s="1"/>
  <c r="AQ85" i="4"/>
  <c r="AP85" i="4"/>
  <c r="AQ135" i="4"/>
  <c r="AP135" i="4"/>
  <c r="AC135" i="4"/>
  <c r="AD135" i="4" s="1"/>
  <c r="AQ95" i="4"/>
  <c r="AC95" i="4"/>
  <c r="AD95" i="4" s="1"/>
  <c r="AP95" i="4"/>
  <c r="AC97" i="4"/>
  <c r="AD97" i="4" s="1"/>
  <c r="AP97" i="4"/>
  <c r="AQ97" i="4"/>
  <c r="AC88" i="4"/>
  <c r="AD88" i="4" s="1"/>
  <c r="AQ88" i="4"/>
  <c r="AP88" i="4"/>
  <c r="AQ156" i="4"/>
  <c r="AP156" i="4"/>
  <c r="AC156" i="4"/>
  <c r="AD156" i="4" s="1"/>
  <c r="AC150" i="4"/>
  <c r="AD150" i="4" s="1"/>
  <c r="AP150" i="4"/>
  <c r="AQ150" i="4"/>
  <c r="AJ105" i="4"/>
  <c r="AA105" i="4"/>
  <c r="AJ128" i="4"/>
  <c r="AA128" i="4"/>
  <c r="BI447" i="5"/>
  <c r="BJ447" i="5" s="1"/>
  <c r="AK139" i="4"/>
  <c r="AL139" i="4" s="1"/>
  <c r="AO139" i="4" s="1"/>
  <c r="AJ145" i="4"/>
  <c r="AA145" i="4"/>
  <c r="AA127" i="4"/>
  <c r="AJ86" i="4"/>
  <c r="AA86" i="4"/>
  <c r="AH447" i="5"/>
  <c r="AC117" i="4"/>
  <c r="AD117" i="4" s="1"/>
  <c r="B267" i="2"/>
  <c r="B276" i="2" s="1"/>
  <c r="F108" i="1" s="1"/>
  <c r="B274" i="2"/>
  <c r="F107" i="1" s="1"/>
  <c r="AK116" i="4"/>
  <c r="AL116" i="4" s="1"/>
  <c r="AO116" i="4" s="1"/>
  <c r="AQ129" i="4"/>
  <c r="AC129" i="4"/>
  <c r="AD129" i="4" s="1"/>
  <c r="AP129" i="4"/>
  <c r="AJ75" i="4"/>
  <c r="AA75" i="4"/>
  <c r="AK128" i="4"/>
  <c r="AL128" i="4" s="1"/>
  <c r="AO128" i="4" s="1"/>
  <c r="AK105" i="4"/>
  <c r="AL105" i="4" s="1"/>
  <c r="AO105" i="4" s="1"/>
  <c r="AA114" i="4"/>
  <c r="AA116" i="4"/>
  <c r="AA112" i="4"/>
  <c r="AA80" i="4"/>
  <c r="AK132" i="4"/>
  <c r="AL132" i="4" s="1"/>
  <c r="AO132" i="4" s="1"/>
  <c r="BI244" i="5"/>
  <c r="BJ244" i="5" s="1"/>
  <c r="AP151" i="4"/>
  <c r="AQ106" i="4"/>
  <c r="AK86" i="4"/>
  <c r="AL86" i="4" s="1"/>
  <c r="AO86" i="4" s="1"/>
  <c r="AJ131" i="4"/>
  <c r="AA131" i="4"/>
  <c r="AC98" i="4"/>
  <c r="AD98" i="4" s="1"/>
  <c r="AQ98" i="4"/>
  <c r="AJ92" i="4"/>
  <c r="AA92" i="4"/>
  <c r="AA89" i="4"/>
  <c r="AA138" i="4"/>
  <c r="AA60" i="4"/>
  <c r="AH244" i="5"/>
  <c r="AK114" i="4"/>
  <c r="AL114" i="4" s="1"/>
  <c r="AO114" i="4" s="1"/>
  <c r="AK112" i="4"/>
  <c r="AL112" i="4" s="1"/>
  <c r="AO112" i="4" s="1"/>
  <c r="AJ58" i="4"/>
  <c r="AA58" i="4"/>
  <c r="AJ122" i="4"/>
  <c r="AA122" i="4"/>
  <c r="AA101" i="4"/>
  <c r="AK90" i="4"/>
  <c r="AL90" i="4" s="1"/>
  <c r="AO90" i="4" s="1"/>
  <c r="AA77" i="4"/>
  <c r="AA132" i="4"/>
  <c r="AC151" i="4"/>
  <c r="AD151" i="4" s="1"/>
  <c r="AC74" i="4"/>
  <c r="AD74" i="4" s="1"/>
  <c r="AQ74" i="4"/>
  <c r="AP74" i="4"/>
  <c r="AK113" i="4"/>
  <c r="AL113" i="4" s="1"/>
  <c r="AO113" i="4" s="1"/>
  <c r="AA136" i="4"/>
  <c r="AA113" i="4"/>
  <c r="AG178" i="5"/>
  <c r="AG150" i="5"/>
  <c r="BI138" i="5"/>
  <c r="BJ138" i="5" s="1"/>
  <c r="BI248" i="5"/>
  <c r="BK248" i="5" s="1"/>
  <c r="AG194" i="5"/>
  <c r="AH418" i="5"/>
  <c r="AG254" i="5"/>
  <c r="AG248" i="5"/>
  <c r="BI475" i="5"/>
  <c r="BK475" i="5" s="1"/>
  <c r="AH326" i="5"/>
  <c r="AG352" i="5"/>
  <c r="AH349" i="5"/>
  <c r="AH191" i="5"/>
  <c r="AG328" i="5"/>
  <c r="AH162" i="5"/>
  <c r="AK11" i="4"/>
  <c r="AL11" i="4" s="1"/>
  <c r="AO11" i="4" s="1"/>
  <c r="BI297" i="5"/>
  <c r="BK297" i="5" s="1"/>
  <c r="BI386" i="5"/>
  <c r="BJ386" i="5" s="1"/>
  <c r="AH84" i="5"/>
  <c r="AG155" i="5"/>
  <c r="AG386" i="5"/>
  <c r="AA11" i="4"/>
  <c r="AP11" i="4" s="1"/>
  <c r="BI43" i="5"/>
  <c r="BK43" i="5" s="1"/>
  <c r="AG498" i="5"/>
  <c r="AQ28" i="4"/>
  <c r="AH323" i="5"/>
  <c r="BI340" i="5"/>
  <c r="BJ340" i="5" s="1"/>
  <c r="AG330" i="5"/>
  <c r="AH262" i="5"/>
  <c r="BI125" i="5"/>
  <c r="BK125" i="5" s="1"/>
  <c r="AH551" i="5"/>
  <c r="AH364" i="5"/>
  <c r="AG72" i="5"/>
  <c r="AG551" i="5"/>
  <c r="BI296" i="5"/>
  <c r="BJ296" i="5" s="1"/>
  <c r="AG163" i="5"/>
  <c r="AH147" i="5"/>
  <c r="AH276" i="5"/>
  <c r="AH439" i="5"/>
  <c r="BI163" i="5"/>
  <c r="BK163" i="5" s="1"/>
  <c r="AG147" i="5"/>
  <c r="AH365" i="5"/>
  <c r="AH320" i="5"/>
  <c r="AG460" i="5"/>
  <c r="AG439" i="5"/>
  <c r="BI374" i="5"/>
  <c r="BK374" i="5" s="1"/>
  <c r="AH544" i="5"/>
  <c r="AH173" i="5"/>
  <c r="AH453" i="5"/>
  <c r="AG454" i="5"/>
  <c r="AG544" i="5"/>
  <c r="BI254" i="5"/>
  <c r="BJ254" i="5" s="1"/>
  <c r="BI331" i="5"/>
  <c r="BK331" i="5" s="1"/>
  <c r="AH138" i="5"/>
  <c r="BI395" i="5"/>
  <c r="BK395" i="5" s="1"/>
  <c r="BI209" i="5"/>
  <c r="BJ209" i="5" s="1"/>
  <c r="BI21" i="5"/>
  <c r="BJ21" i="5" s="1"/>
  <c r="AG475" i="5"/>
  <c r="BI194" i="5"/>
  <c r="BK194" i="5" s="1"/>
  <c r="AH340" i="5"/>
  <c r="BI53" i="5"/>
  <c r="BJ53" i="5" s="1"/>
  <c r="AH296" i="5"/>
  <c r="AH374" i="5"/>
  <c r="BI273" i="5"/>
  <c r="BJ273" i="5" s="1"/>
  <c r="BI373" i="5"/>
  <c r="BK373" i="5" s="1"/>
  <c r="AG71" i="5"/>
  <c r="BI222" i="5"/>
  <c r="BK222" i="5" s="1"/>
  <c r="AG172" i="5"/>
  <c r="AH395" i="5"/>
  <c r="AH209" i="5"/>
  <c r="BI357" i="5"/>
  <c r="BK357" i="5" s="1"/>
  <c r="BI491" i="5"/>
  <c r="BJ491" i="5" s="1"/>
  <c r="AG79" i="5"/>
  <c r="AH53" i="5"/>
  <c r="AH330" i="5"/>
  <c r="BI229" i="5"/>
  <c r="BJ229" i="5" s="1"/>
  <c r="BI111" i="5"/>
  <c r="BK111" i="5" s="1"/>
  <c r="AG273" i="5"/>
  <c r="BI497" i="5"/>
  <c r="BJ497" i="5" s="1"/>
  <c r="AG373" i="5"/>
  <c r="AH222" i="5"/>
  <c r="BI341" i="5"/>
  <c r="BJ341" i="5" s="1"/>
  <c r="BI485" i="5"/>
  <c r="BK485" i="5" s="1"/>
  <c r="AG497" i="5"/>
  <c r="BI362" i="5"/>
  <c r="BK362" i="5" s="1"/>
  <c r="AK55" i="4"/>
  <c r="AL55" i="4" s="1"/>
  <c r="AO55" i="4" s="1"/>
  <c r="AH341" i="5"/>
  <c r="BI230" i="5"/>
  <c r="BJ230" i="5" s="1"/>
  <c r="AH161" i="5"/>
  <c r="AH357" i="5"/>
  <c r="AG491" i="5"/>
  <c r="BI451" i="5"/>
  <c r="BJ451" i="5" s="1"/>
  <c r="AG449" i="5"/>
  <c r="BI324" i="5"/>
  <c r="BJ324" i="5" s="1"/>
  <c r="AG229" i="5"/>
  <c r="BI532" i="5"/>
  <c r="BK532" i="5" s="1"/>
  <c r="AH111" i="5"/>
  <c r="AG302" i="5"/>
  <c r="AH242" i="5"/>
  <c r="AG485" i="5"/>
  <c r="AH448" i="5"/>
  <c r="AG25" i="5"/>
  <c r="AH362" i="5"/>
  <c r="BI520" i="5"/>
  <c r="BK520" i="5" s="1"/>
  <c r="BI178" i="5"/>
  <c r="BJ178" i="5" s="1"/>
  <c r="BI320" i="5"/>
  <c r="BK320" i="5" s="1"/>
  <c r="BI150" i="5"/>
  <c r="BJ150" i="5" s="1"/>
  <c r="AH125" i="5"/>
  <c r="AH451" i="5"/>
  <c r="BI276" i="5"/>
  <c r="BK276" i="5" s="1"/>
  <c r="AH449" i="5"/>
  <c r="AG324" i="5"/>
  <c r="BI364" i="5"/>
  <c r="BJ364" i="5" s="1"/>
  <c r="AG532" i="5"/>
  <c r="BI262" i="5"/>
  <c r="BK262" i="5" s="1"/>
  <c r="BI453" i="5"/>
  <c r="BK453" i="5" s="1"/>
  <c r="BI365" i="5"/>
  <c r="BK365" i="5" s="1"/>
  <c r="AG448" i="5"/>
  <c r="BI454" i="5"/>
  <c r="BK454" i="5" s="1"/>
  <c r="BI72" i="5"/>
  <c r="BK72" i="5" s="1"/>
  <c r="AG331" i="5"/>
  <c r="BI418" i="5"/>
  <c r="BJ418" i="5" s="1"/>
  <c r="AG78" i="5"/>
  <c r="BI422" i="5"/>
  <c r="BK422" i="5" s="1"/>
  <c r="BI160" i="5"/>
  <c r="BJ160" i="5" s="1"/>
  <c r="AQ31" i="4"/>
  <c r="AK31" i="4"/>
  <c r="AL31" i="4" s="1"/>
  <c r="AO31" i="4" s="1"/>
  <c r="AG428" i="5"/>
  <c r="BI428" i="5"/>
  <c r="BJ428" i="5" s="1"/>
  <c r="AP31" i="4"/>
  <c r="AJ31" i="4"/>
  <c r="AH422" i="5"/>
  <c r="AG160" i="5"/>
  <c r="BI132" i="5"/>
  <c r="BK132" i="5" s="1"/>
  <c r="BI29" i="5"/>
  <c r="BK29" i="5" s="1"/>
  <c r="BI511" i="5"/>
  <c r="BK511" i="5" s="1"/>
  <c r="BI367" i="5"/>
  <c r="BK367" i="5" s="1"/>
  <c r="BI337" i="5"/>
  <c r="BK337" i="5" s="1"/>
  <c r="AH511" i="5"/>
  <c r="AH367" i="5"/>
  <c r="AG337" i="5"/>
  <c r="AG510" i="5"/>
  <c r="BI57" i="5"/>
  <c r="BJ57" i="5" s="1"/>
  <c r="AG113" i="5"/>
  <c r="AG225" i="5"/>
  <c r="AG22" i="5"/>
  <c r="BI215" i="5"/>
  <c r="BK215" i="5" s="1"/>
  <c r="BI529" i="5"/>
  <c r="BK529" i="5" s="1"/>
  <c r="AH519" i="5"/>
  <c r="AG329" i="5"/>
  <c r="AH215" i="5"/>
  <c r="BI290" i="5"/>
  <c r="BJ290" i="5" s="1"/>
  <c r="AG519" i="5"/>
  <c r="AG130" i="5"/>
  <c r="BI421" i="5"/>
  <c r="BJ421" i="5" s="1"/>
  <c r="AG236" i="5"/>
  <c r="AH529" i="5"/>
  <c r="AH268" i="5"/>
  <c r="AG24" i="5"/>
  <c r="AH188" i="5"/>
  <c r="AH421" i="5"/>
  <c r="AH83" i="5"/>
  <c r="AG277" i="5"/>
  <c r="AH412" i="5"/>
  <c r="BI59" i="5"/>
  <c r="BJ59" i="5" s="1"/>
  <c r="AH369" i="5"/>
  <c r="AH112" i="5"/>
  <c r="BI342" i="5"/>
  <c r="BJ342" i="5" s="1"/>
  <c r="AG59" i="5"/>
  <c r="BI260" i="5"/>
  <c r="BJ260" i="5" s="1"/>
  <c r="AG8" i="5"/>
  <c r="AH342" i="5"/>
  <c r="AH464" i="5"/>
  <c r="BI22" i="5"/>
  <c r="BK22" i="5" s="1"/>
  <c r="BI329" i="5"/>
  <c r="BJ329" i="5" s="1"/>
  <c r="AG398" i="5"/>
  <c r="BI382" i="5"/>
  <c r="BK382" i="5" s="1"/>
  <c r="AG132" i="5"/>
  <c r="AG268" i="5"/>
  <c r="AH26" i="5"/>
  <c r="BI87" i="5"/>
  <c r="BJ87" i="5" s="1"/>
  <c r="AH24" i="5"/>
  <c r="BI452" i="5"/>
  <c r="BK452" i="5" s="1"/>
  <c r="BI336" i="5"/>
  <c r="BJ336" i="5" s="1"/>
  <c r="AH130" i="5"/>
  <c r="AH8" i="5"/>
  <c r="AG188" i="5"/>
  <c r="AH398" i="5"/>
  <c r="AG464" i="5"/>
  <c r="AH382" i="5"/>
  <c r="AG26" i="5"/>
  <c r="AG87" i="5"/>
  <c r="AH452" i="5"/>
  <c r="BI334" i="5"/>
  <c r="BK334" i="5" s="1"/>
  <c r="AG336" i="5"/>
  <c r="BI404" i="5"/>
  <c r="BJ404" i="5" s="1"/>
  <c r="AG127" i="5"/>
  <c r="BI314" i="5"/>
  <c r="BJ314" i="5" s="1"/>
  <c r="BI540" i="5"/>
  <c r="BK540" i="5" s="1"/>
  <c r="BI269" i="5"/>
  <c r="BK269" i="5" s="1"/>
  <c r="AG334" i="5"/>
  <c r="AG207" i="5"/>
  <c r="AG404" i="5"/>
  <c r="AH127" i="5"/>
  <c r="BI118" i="5"/>
  <c r="BJ118" i="5" s="1"/>
  <c r="AH314" i="5"/>
  <c r="BI121" i="5"/>
  <c r="BJ121" i="5" s="1"/>
  <c r="AH540" i="5"/>
  <c r="BI425" i="5"/>
  <c r="BJ425" i="5" s="1"/>
  <c r="AG487" i="5"/>
  <c r="BI32" i="5"/>
  <c r="BK32" i="5" s="1"/>
  <c r="BI369" i="5"/>
  <c r="BJ369" i="5" s="1"/>
  <c r="BI277" i="5"/>
  <c r="BJ277" i="5" s="1"/>
  <c r="AH121" i="5"/>
  <c r="BI286" i="5"/>
  <c r="BK286" i="5" s="1"/>
  <c r="AG425" i="5"/>
  <c r="AH487" i="5"/>
  <c r="AH32" i="5"/>
  <c r="BI156" i="5"/>
  <c r="BJ156" i="5" s="1"/>
  <c r="AH286" i="5"/>
  <c r="BI56" i="5"/>
  <c r="BJ56" i="5" s="1"/>
  <c r="AH541" i="5"/>
  <c r="BI112" i="5"/>
  <c r="BK112" i="5" s="1"/>
  <c r="AH290" i="5"/>
  <c r="AK54" i="4"/>
  <c r="AL54" i="4" s="1"/>
  <c r="AO54" i="4" s="1"/>
  <c r="AG260" i="5"/>
  <c r="BI412" i="5"/>
  <c r="BK412" i="5" s="1"/>
  <c r="AH156" i="5"/>
  <c r="AH56" i="5"/>
  <c r="AG541" i="5"/>
  <c r="BI236" i="5"/>
  <c r="BJ236" i="5" s="1"/>
  <c r="BI83" i="5"/>
  <c r="BJ83" i="5" s="1"/>
  <c r="AG278" i="5"/>
  <c r="AG440" i="5"/>
  <c r="AG279" i="5"/>
  <c r="AG181" i="5"/>
  <c r="AG221" i="5"/>
  <c r="AH261" i="5"/>
  <c r="BI206" i="5"/>
  <c r="BJ206" i="5" s="1"/>
  <c r="AH427" i="5"/>
  <c r="BI242" i="5"/>
  <c r="BJ242" i="5" s="1"/>
  <c r="AH432" i="5"/>
  <c r="AG494" i="5"/>
  <c r="BI318" i="5"/>
  <c r="BJ318" i="5" s="1"/>
  <c r="BI181" i="5"/>
  <c r="BK181" i="5" s="1"/>
  <c r="BI403" i="5"/>
  <c r="BJ403" i="5" s="1"/>
  <c r="AG427" i="5"/>
  <c r="BI25" i="5"/>
  <c r="BK25" i="5" s="1"/>
  <c r="AG263" i="5"/>
  <c r="AH95" i="5"/>
  <c r="AG381" i="5"/>
  <c r="BI431" i="5"/>
  <c r="BJ431" i="5" s="1"/>
  <c r="BI204" i="5"/>
  <c r="BK204" i="5" s="1"/>
  <c r="BI61" i="5"/>
  <c r="BJ61" i="5" s="1"/>
  <c r="AG431" i="5"/>
  <c r="AH321" i="5"/>
  <c r="AG204" i="5"/>
  <c r="AG423" i="5"/>
  <c r="AG61" i="5"/>
  <c r="BI536" i="5"/>
  <c r="BJ536" i="5" s="1"/>
  <c r="BI440" i="5"/>
  <c r="BJ440" i="5" s="1"/>
  <c r="BI524" i="5"/>
  <c r="BJ524" i="5" s="1"/>
  <c r="AH455" i="5"/>
  <c r="AH536" i="5"/>
  <c r="AG219" i="5"/>
  <c r="BI552" i="5"/>
  <c r="BJ552" i="5" s="1"/>
  <c r="BI279" i="5"/>
  <c r="BK279" i="5" s="1"/>
  <c r="BI270" i="5"/>
  <c r="BK270" i="5" s="1"/>
  <c r="BI221" i="5"/>
  <c r="BK221" i="5" s="1"/>
  <c r="BI261" i="5"/>
  <c r="BK261" i="5" s="1"/>
  <c r="AH542" i="5"/>
  <c r="AG143" i="5"/>
  <c r="AH552" i="5"/>
  <c r="BI550" i="5"/>
  <c r="BK550" i="5" s="1"/>
  <c r="AG282" i="5"/>
  <c r="BN10" i="5"/>
  <c r="BI93" i="5"/>
  <c r="BJ93" i="5" s="1"/>
  <c r="BI486" i="5"/>
  <c r="BK486" i="5" s="1"/>
  <c r="BI123" i="5"/>
  <c r="BK123" i="5" s="1"/>
  <c r="AG196" i="5"/>
  <c r="AH129" i="5"/>
  <c r="AH137" i="5"/>
  <c r="BI406" i="5"/>
  <c r="BK406" i="5" s="1"/>
  <c r="BI88" i="5"/>
  <c r="BK88" i="5" s="1"/>
  <c r="AH64" i="5"/>
  <c r="AG259" i="5"/>
  <c r="AG64" i="5"/>
  <c r="AH88" i="5"/>
  <c r="BI231" i="5"/>
  <c r="BK231" i="5" s="1"/>
  <c r="AG93" i="5"/>
  <c r="AH259" i="5"/>
  <c r="BI101" i="5"/>
  <c r="BK101" i="5" s="1"/>
  <c r="BI275" i="5"/>
  <c r="BJ275" i="5" s="1"/>
  <c r="AH550" i="5"/>
  <c r="BI299" i="5"/>
  <c r="BJ299" i="5" s="1"/>
  <c r="AH282" i="5"/>
  <c r="AG486" i="5"/>
  <c r="BI252" i="5"/>
  <c r="BJ252" i="5" s="1"/>
  <c r="AH123" i="5"/>
  <c r="AG137" i="5"/>
  <c r="AH406" i="5"/>
  <c r="BI476" i="5"/>
  <c r="BJ476" i="5" s="1"/>
  <c r="AG231" i="5"/>
  <c r="AH101" i="5"/>
  <c r="AO63" i="4"/>
  <c r="AU63" i="4" s="1"/>
  <c r="AW63" i="4" s="1"/>
  <c r="AG275" i="5"/>
  <c r="BI202" i="5"/>
  <c r="BK202" i="5" s="1"/>
  <c r="BI104" i="5"/>
  <c r="BK104" i="5" s="1"/>
  <c r="BI482" i="5"/>
  <c r="BK482" i="5" s="1"/>
  <c r="BI154" i="5"/>
  <c r="BJ154" i="5" s="1"/>
  <c r="AG299" i="5"/>
  <c r="BI332" i="5"/>
  <c r="BJ332" i="5" s="1"/>
  <c r="AG252" i="5"/>
  <c r="AG476" i="5"/>
  <c r="BI205" i="5"/>
  <c r="BJ205" i="5" s="1"/>
  <c r="AH202" i="5"/>
  <c r="AG104" i="5"/>
  <c r="AH482" i="5"/>
  <c r="AH154" i="5"/>
  <c r="BI312" i="5"/>
  <c r="BJ312" i="5" s="1"/>
  <c r="BI110" i="5"/>
  <c r="BK110" i="5" s="1"/>
  <c r="AG332" i="5"/>
  <c r="BI85" i="5"/>
  <c r="BK85" i="5" s="1"/>
  <c r="BI513" i="5"/>
  <c r="BK513" i="5" s="1"/>
  <c r="BI289" i="5"/>
  <c r="BK289" i="5" s="1"/>
  <c r="BI285" i="5"/>
  <c r="BJ285" i="5" s="1"/>
  <c r="BI507" i="5"/>
  <c r="BK507" i="5" s="1"/>
  <c r="BI94" i="5"/>
  <c r="BK94" i="5" s="1"/>
  <c r="AH312" i="5"/>
  <c r="BI190" i="5"/>
  <c r="BK190" i="5" s="1"/>
  <c r="AH110" i="5"/>
  <c r="BI265" i="5"/>
  <c r="BK265" i="5" s="1"/>
  <c r="BI233" i="5"/>
  <c r="BJ233" i="5" s="1"/>
  <c r="BI148" i="5"/>
  <c r="BK148" i="5" s="1"/>
  <c r="AG85" i="5"/>
  <c r="BI445" i="5"/>
  <c r="BK445" i="5" s="1"/>
  <c r="AH513" i="5"/>
  <c r="BI220" i="5"/>
  <c r="BK220" i="5" s="1"/>
  <c r="BI280" i="5"/>
  <c r="BJ280" i="5" s="1"/>
  <c r="AG289" i="5"/>
  <c r="AG285" i="5"/>
  <c r="AH507" i="5"/>
  <c r="AH94" i="5"/>
  <c r="BI407" i="5"/>
  <c r="BJ407" i="5" s="1"/>
  <c r="BI99" i="5"/>
  <c r="BK99" i="5" s="1"/>
  <c r="BI180" i="5"/>
  <c r="BJ180" i="5" s="1"/>
  <c r="AG190" i="5"/>
  <c r="AG265" i="5"/>
  <c r="AG233" i="5"/>
  <c r="AH148" i="5"/>
  <c r="AH375" i="5"/>
  <c r="AH445" i="5"/>
  <c r="AH220" i="5"/>
  <c r="AH280" i="5"/>
  <c r="BI196" i="5"/>
  <c r="BK196" i="5" s="1"/>
  <c r="BI278" i="5"/>
  <c r="BK278" i="5" s="1"/>
  <c r="AH407" i="5"/>
  <c r="AG99" i="5"/>
  <c r="AG180" i="5"/>
  <c r="BI129" i="5"/>
  <c r="BJ129" i="5" s="1"/>
  <c r="AO96" i="4"/>
  <c r="AG377" i="5"/>
  <c r="AG376" i="5"/>
  <c r="AC28" i="4"/>
  <c r="AD28" i="4" s="1"/>
  <c r="BI211" i="5"/>
  <c r="BK211" i="5" s="1"/>
  <c r="BI352" i="5"/>
  <c r="BJ352" i="5" s="1"/>
  <c r="BI79" i="5"/>
  <c r="BK79" i="5" s="1"/>
  <c r="AH438" i="5"/>
  <c r="AG84" i="5"/>
  <c r="BI323" i="5"/>
  <c r="BK323" i="5" s="1"/>
  <c r="BI155" i="5"/>
  <c r="BJ155" i="5" s="1"/>
  <c r="AJ28" i="4"/>
  <c r="AH356" i="5"/>
  <c r="BI308" i="5"/>
  <c r="BK308" i="5" s="1"/>
  <c r="AH241" i="5"/>
  <c r="BI548" i="5"/>
  <c r="BJ548" i="5" s="1"/>
  <c r="BI228" i="5"/>
  <c r="BK228" i="5" s="1"/>
  <c r="AK46" i="4"/>
  <c r="AL46" i="4" s="1"/>
  <c r="AG103" i="5"/>
  <c r="BI534" i="5"/>
  <c r="BJ534" i="5" s="1"/>
  <c r="AH383" i="5"/>
  <c r="BI543" i="5"/>
  <c r="BK543" i="5" s="1"/>
  <c r="AG297" i="5"/>
  <c r="BI208" i="5"/>
  <c r="BK208" i="5" s="1"/>
  <c r="AG308" i="5"/>
  <c r="AG548" i="5"/>
  <c r="AG228" i="5"/>
  <c r="AJ46" i="4"/>
  <c r="AH23" i="5"/>
  <c r="AG534" i="5"/>
  <c r="AH543" i="5"/>
  <c r="AG287" i="5"/>
  <c r="AG77" i="5"/>
  <c r="AH208" i="5"/>
  <c r="BI212" i="5"/>
  <c r="BK212" i="5" s="1"/>
  <c r="BI401" i="5"/>
  <c r="BK401" i="5" s="1"/>
  <c r="BI410" i="5"/>
  <c r="BJ410" i="5" s="1"/>
  <c r="BI69" i="5"/>
  <c r="BK69" i="5" s="1"/>
  <c r="BI186" i="5"/>
  <c r="BK186" i="5" s="1"/>
  <c r="BI203" i="5"/>
  <c r="BJ203" i="5" s="1"/>
  <c r="BI351" i="5"/>
  <c r="BK351" i="5" s="1"/>
  <c r="BI555" i="5"/>
  <c r="BK555" i="5" s="1"/>
  <c r="BI553" i="5"/>
  <c r="BJ553" i="5" s="1"/>
  <c r="BI470" i="5"/>
  <c r="BJ470" i="5" s="1"/>
  <c r="AH212" i="5"/>
  <c r="AG401" i="5"/>
  <c r="AG410" i="5"/>
  <c r="AH69" i="5"/>
  <c r="AH186" i="5"/>
  <c r="AG203" i="5"/>
  <c r="AG351" i="5"/>
  <c r="AH530" i="5"/>
  <c r="BI377" i="5"/>
  <c r="BK377" i="5" s="1"/>
  <c r="BI376" i="5"/>
  <c r="BJ376" i="5" s="1"/>
  <c r="AH470" i="5"/>
  <c r="BI48" i="5"/>
  <c r="BK48" i="5" s="1"/>
  <c r="BI438" i="5"/>
  <c r="BK438" i="5" s="1"/>
  <c r="BI557" i="5"/>
  <c r="BJ557" i="5" s="1"/>
  <c r="AH48" i="5"/>
  <c r="AK28" i="4"/>
  <c r="AL28" i="4" s="1"/>
  <c r="AO28" i="4" s="1"/>
  <c r="BI185" i="5"/>
  <c r="BJ185" i="5" s="1"/>
  <c r="AG270" i="5"/>
  <c r="AH140" i="5"/>
  <c r="BI504" i="5"/>
  <c r="BK504" i="5" s="1"/>
  <c r="AG542" i="5"/>
  <c r="AH423" i="5"/>
  <c r="BI481" i="5"/>
  <c r="BK481" i="5" s="1"/>
  <c r="AG432" i="5"/>
  <c r="BI100" i="5"/>
  <c r="BJ100" i="5" s="1"/>
  <c r="AG481" i="5"/>
  <c r="AH46" i="5"/>
  <c r="AH185" i="5"/>
  <c r="BI200" i="5"/>
  <c r="BK200" i="5" s="1"/>
  <c r="BI292" i="5"/>
  <c r="BJ292" i="5" s="1"/>
  <c r="AK41" i="4"/>
  <c r="AL41" i="4" s="1"/>
  <c r="AO41" i="4" s="1"/>
  <c r="BI307" i="5"/>
  <c r="BK307" i="5" s="1"/>
  <c r="BI249" i="5"/>
  <c r="BJ249" i="5" s="1"/>
  <c r="AH292" i="5"/>
  <c r="BI179" i="5"/>
  <c r="BJ179" i="5" s="1"/>
  <c r="AG307" i="5"/>
  <c r="AH249" i="5"/>
  <c r="AG58" i="5"/>
  <c r="BI187" i="5"/>
  <c r="BK187" i="5" s="1"/>
  <c r="BI321" i="5"/>
  <c r="BK321" i="5" s="1"/>
  <c r="AG179" i="5"/>
  <c r="BI502" i="5"/>
  <c r="BK502" i="5" s="1"/>
  <c r="BI184" i="5"/>
  <c r="BK184" i="5" s="1"/>
  <c r="BI455" i="5"/>
  <c r="BJ455" i="5" s="1"/>
  <c r="BI219" i="5"/>
  <c r="BJ219" i="5" s="1"/>
  <c r="AH58" i="5"/>
  <c r="AH557" i="5"/>
  <c r="AG187" i="5"/>
  <c r="AH515" i="5"/>
  <c r="AG538" i="5"/>
  <c r="BI366" i="5"/>
  <c r="BJ366" i="5" s="1"/>
  <c r="AK50" i="4"/>
  <c r="AL50" i="4" s="1"/>
  <c r="AO50" i="4" s="1"/>
  <c r="AP46" i="4"/>
  <c r="AQ46" i="4"/>
  <c r="AC46" i="4"/>
  <c r="AD46" i="4" s="1"/>
  <c r="AA50" i="4"/>
  <c r="AJ44" i="4"/>
  <c r="AA44" i="4"/>
  <c r="AK44" i="4"/>
  <c r="AL44" i="4" s="1"/>
  <c r="AO44" i="4" s="1"/>
  <c r="AA54" i="4"/>
  <c r="AG269" i="5"/>
  <c r="AH206" i="5"/>
  <c r="BI459" i="5"/>
  <c r="BJ459" i="5" s="1"/>
  <c r="BI493" i="5"/>
  <c r="BJ493" i="5" s="1"/>
  <c r="BI126" i="5"/>
  <c r="BJ126" i="5" s="1"/>
  <c r="AH459" i="5"/>
  <c r="AG493" i="5"/>
  <c r="AG126" i="5"/>
  <c r="BI76" i="5"/>
  <c r="BK76" i="5" s="1"/>
  <c r="AH76" i="5"/>
  <c r="BI143" i="5"/>
  <c r="BJ143" i="5" s="1"/>
  <c r="AH78" i="5"/>
  <c r="AA13" i="4"/>
  <c r="AQ13" i="4" s="1"/>
  <c r="BI353" i="5"/>
  <c r="BJ353" i="5" s="1"/>
  <c r="AH159" i="5"/>
  <c r="AH207" i="5"/>
  <c r="AH103" i="5"/>
  <c r="AH389" i="5"/>
  <c r="AG27" i="5"/>
  <c r="BI375" i="5"/>
  <c r="BK375" i="5" s="1"/>
  <c r="AH368" i="5"/>
  <c r="BI287" i="5"/>
  <c r="BJ287" i="5" s="1"/>
  <c r="BI102" i="5"/>
  <c r="BK102" i="5" s="1"/>
  <c r="AH27" i="5"/>
  <c r="BI509" i="5"/>
  <c r="BK509" i="5" s="1"/>
  <c r="AH463" i="5"/>
  <c r="AH230" i="5"/>
  <c r="BI333" i="5"/>
  <c r="BK333" i="5" s="1"/>
  <c r="BI70" i="5"/>
  <c r="BK70" i="5" s="1"/>
  <c r="BI391" i="5"/>
  <c r="AG366" i="5"/>
  <c r="AH520" i="5"/>
  <c r="BI169" i="5"/>
  <c r="BJ169" i="5" s="1"/>
  <c r="BI135" i="5"/>
  <c r="BK135" i="5" s="1"/>
  <c r="AG100" i="5"/>
  <c r="AG509" i="5"/>
  <c r="AG333" i="5"/>
  <c r="AH70" i="5"/>
  <c r="AG391" i="5"/>
  <c r="AH246" i="5"/>
  <c r="AG169" i="5"/>
  <c r="AG135" i="5"/>
  <c r="AH527" i="5"/>
  <c r="BI322" i="5"/>
  <c r="BK322" i="5" s="1"/>
  <c r="BI171" i="5"/>
  <c r="BK171" i="5" s="1"/>
  <c r="AG246" i="5"/>
  <c r="AH45" i="5"/>
  <c r="BI166" i="5"/>
  <c r="BK166" i="5" s="1"/>
  <c r="BI303" i="5"/>
  <c r="BJ303" i="5" s="1"/>
  <c r="BI531" i="5"/>
  <c r="BJ531" i="5" s="1"/>
  <c r="AH322" i="5"/>
  <c r="AG171" i="5"/>
  <c r="BI159" i="5"/>
  <c r="BK159" i="5" s="1"/>
  <c r="AG45" i="5"/>
  <c r="BI389" i="5"/>
  <c r="BK389" i="5" s="1"/>
  <c r="AG166" i="5"/>
  <c r="AG303" i="5"/>
  <c r="AH531" i="5"/>
  <c r="AJ32" i="4"/>
  <c r="AO42" i="4"/>
  <c r="AU42" i="4" s="1"/>
  <c r="AW42" i="4" s="1"/>
  <c r="BI358" i="5"/>
  <c r="BJ358" i="5" s="1"/>
  <c r="AG368" i="5"/>
  <c r="AK32" i="4"/>
  <c r="AL32" i="4" s="1"/>
  <c r="AO32" i="4" s="1"/>
  <c r="AG46" i="5"/>
  <c r="AG515" i="5"/>
  <c r="AH358" i="5"/>
  <c r="AG120" i="5"/>
  <c r="AG205" i="5"/>
  <c r="AG502" i="5"/>
  <c r="AG240" i="5"/>
  <c r="AH120" i="5"/>
  <c r="AG504" i="5"/>
  <c r="AH309" i="5"/>
  <c r="AJ39" i="4"/>
  <c r="AA39" i="4"/>
  <c r="AH528" i="5"/>
  <c r="BI13" i="5"/>
  <c r="BK13" i="5" s="1"/>
  <c r="AA36" i="4"/>
  <c r="AG417" i="5"/>
  <c r="AQ32" i="4"/>
  <c r="AH175" i="5"/>
  <c r="AH192" i="5"/>
  <c r="AH119" i="5"/>
  <c r="AH538" i="5"/>
  <c r="AG192" i="5"/>
  <c r="BI530" i="5"/>
  <c r="BJ530" i="5" s="1"/>
  <c r="BI239" i="5"/>
  <c r="BJ239" i="5" s="1"/>
  <c r="AH473" i="5"/>
  <c r="AH555" i="5"/>
  <c r="AJ13" i="4"/>
  <c r="AH553" i="5"/>
  <c r="AH353" i="5"/>
  <c r="BI157" i="5"/>
  <c r="BK157" i="5" s="1"/>
  <c r="BI173" i="5"/>
  <c r="BK173" i="5" s="1"/>
  <c r="BI23" i="5"/>
  <c r="BK23" i="5" s="1"/>
  <c r="AH239" i="5"/>
  <c r="BI560" i="5"/>
  <c r="BK560" i="5" s="1"/>
  <c r="AH65" i="5"/>
  <c r="BI388" i="5"/>
  <c r="BK388" i="5" s="1"/>
  <c r="BI526" i="5"/>
  <c r="BJ526" i="5" s="1"/>
  <c r="BI62" i="5"/>
  <c r="BJ62" i="5" s="1"/>
  <c r="AJ35" i="4"/>
  <c r="AA35" i="4"/>
  <c r="AH466" i="5"/>
  <c r="AP32" i="4"/>
  <c r="BI65" i="5"/>
  <c r="BJ65" i="5" s="1"/>
  <c r="BI119" i="5"/>
  <c r="BK119" i="5" s="1"/>
  <c r="AG526" i="5"/>
  <c r="AG62" i="5"/>
  <c r="AO98" i="4"/>
  <c r="AG523" i="5"/>
  <c r="AH200" i="5"/>
  <c r="BI243" i="5"/>
  <c r="BK243" i="5" s="1"/>
  <c r="AH240" i="5"/>
  <c r="BI28" i="5"/>
  <c r="BJ28" i="5" s="1"/>
  <c r="BI60" i="5"/>
  <c r="BK60" i="5" s="1"/>
  <c r="AH13" i="5"/>
  <c r="BI271" i="5"/>
  <c r="BJ271" i="5" s="1"/>
  <c r="AH243" i="5"/>
  <c r="BI33" i="5"/>
  <c r="BK33" i="5" s="1"/>
  <c r="AG60" i="5"/>
  <c r="AG271" i="5"/>
  <c r="AG33" i="5"/>
  <c r="AG533" i="5"/>
  <c r="BI96" i="5"/>
  <c r="BJ96" i="5" s="1"/>
  <c r="BI355" i="5"/>
  <c r="BK355" i="5" s="1"/>
  <c r="AH133" i="5"/>
  <c r="AH96" i="5"/>
  <c r="BI474" i="5"/>
  <c r="BJ474" i="5" s="1"/>
  <c r="BI272" i="5"/>
  <c r="BK272" i="5" s="1"/>
  <c r="AH355" i="5"/>
  <c r="AH474" i="5"/>
  <c r="AG272" i="5"/>
  <c r="AG210" i="5"/>
  <c r="BI528" i="5"/>
  <c r="BJ528" i="5" s="1"/>
  <c r="AH172" i="5"/>
  <c r="AH134" i="5"/>
  <c r="AH396" i="5"/>
  <c r="AH380" i="5"/>
  <c r="AG411" i="5"/>
  <c r="AG396" i="5"/>
  <c r="AH411" i="5"/>
  <c r="BI442" i="5"/>
  <c r="BK442" i="5" s="1"/>
  <c r="BI405" i="5"/>
  <c r="BJ405" i="5" s="1"/>
  <c r="BI301" i="5"/>
  <c r="BJ301" i="5" s="1"/>
  <c r="AH442" i="5"/>
  <c r="BI417" i="5"/>
  <c r="BJ417" i="5" s="1"/>
  <c r="BI473" i="5"/>
  <c r="BJ473" i="5" s="1"/>
  <c r="AH405" i="5"/>
  <c r="BI175" i="5"/>
  <c r="BK175" i="5" s="1"/>
  <c r="BI134" i="5"/>
  <c r="BJ134" i="5" s="1"/>
  <c r="BI380" i="5"/>
  <c r="BJ380" i="5" s="1"/>
  <c r="AG388" i="5"/>
  <c r="AG560" i="5"/>
  <c r="AG301" i="5"/>
  <c r="AG383" i="5"/>
  <c r="BI133" i="5"/>
  <c r="BJ133" i="5" s="1"/>
  <c r="AH210" i="5"/>
  <c r="AG399" i="5"/>
  <c r="BI533" i="5"/>
  <c r="BJ533" i="5" s="1"/>
  <c r="BI264" i="5"/>
  <c r="BJ264" i="5" s="1"/>
  <c r="AH28" i="5"/>
  <c r="BI415" i="5"/>
  <c r="BJ415" i="5" s="1"/>
  <c r="AH264" i="5"/>
  <c r="AG223" i="5"/>
  <c r="AG415" i="5"/>
  <c r="BI426" i="5"/>
  <c r="BJ426" i="5" s="1"/>
  <c r="BI223" i="5"/>
  <c r="BJ223" i="5" s="1"/>
  <c r="BI457" i="5"/>
  <c r="BK457" i="5" s="1"/>
  <c r="AH426" i="5"/>
  <c r="BI559" i="5"/>
  <c r="BJ559" i="5" s="1"/>
  <c r="BI10" i="5"/>
  <c r="BK10" i="5" s="1"/>
  <c r="BI141" i="5"/>
  <c r="BJ141" i="5" s="1"/>
  <c r="AG183" i="5"/>
  <c r="AG457" i="5"/>
  <c r="AG559" i="5"/>
  <c r="AH10" i="5"/>
  <c r="AG141" i="5"/>
  <c r="BI399" i="5"/>
  <c r="BK399" i="5" s="1"/>
  <c r="BI183" i="5"/>
  <c r="BK183" i="5" s="1"/>
  <c r="BI523" i="5"/>
  <c r="BJ523" i="5" s="1"/>
  <c r="BI527" i="5"/>
  <c r="BK527" i="5" s="1"/>
  <c r="AG392" i="5"/>
  <c r="BI124" i="5"/>
  <c r="BK124" i="5" s="1"/>
  <c r="AG124" i="5"/>
  <c r="AG153" i="5"/>
  <c r="AH146" i="5"/>
  <c r="BI225" i="5"/>
  <c r="BK225" i="5" s="1"/>
  <c r="AH313" i="5"/>
  <c r="AG12" i="5"/>
  <c r="BI77" i="5"/>
  <c r="BJ77" i="5" s="1"/>
  <c r="AG313" i="5"/>
  <c r="BI461" i="5"/>
  <c r="BJ461" i="5" s="1"/>
  <c r="BI480" i="5"/>
  <c r="BJ480" i="5" s="1"/>
  <c r="BI255" i="5"/>
  <c r="BJ255" i="5" s="1"/>
  <c r="AG461" i="5"/>
  <c r="AG480" i="5"/>
  <c r="AH255" i="5"/>
  <c r="BI146" i="5"/>
  <c r="BJ146" i="5" s="1"/>
  <c r="BI12" i="5"/>
  <c r="BK12" i="5" s="1"/>
  <c r="AG524" i="5"/>
  <c r="BI151" i="5"/>
  <c r="BJ151" i="5" s="1"/>
  <c r="BI430" i="5"/>
  <c r="BK430" i="5" s="1"/>
  <c r="AG151" i="5"/>
  <c r="BI283" i="5"/>
  <c r="BJ283" i="5" s="1"/>
  <c r="AG430" i="5"/>
  <c r="BI315" i="5"/>
  <c r="BJ315" i="5" s="1"/>
  <c r="AH315" i="5"/>
  <c r="BI494" i="5"/>
  <c r="BK494" i="5" s="1"/>
  <c r="BI234" i="5"/>
  <c r="BK234" i="5" s="1"/>
  <c r="AH92" i="5"/>
  <c r="AG29" i="5"/>
  <c r="AH283" i="5"/>
  <c r="AG118" i="5"/>
  <c r="AH460" i="5"/>
  <c r="AG234" i="5"/>
  <c r="BI92" i="5"/>
  <c r="BJ92" i="5" s="1"/>
  <c r="BI247" i="5"/>
  <c r="BK247" i="5" s="1"/>
  <c r="BI266" i="5"/>
  <c r="BK266" i="5" s="1"/>
  <c r="AG247" i="5"/>
  <c r="BI294" i="5"/>
  <c r="BK294" i="5" s="1"/>
  <c r="AH266" i="5"/>
  <c r="BI419" i="5"/>
  <c r="BK419" i="5" s="1"/>
  <c r="AH195" i="5"/>
  <c r="AH419" i="5"/>
  <c r="AH294" i="5"/>
  <c r="AH505" i="5"/>
  <c r="BI510" i="5"/>
  <c r="BJ510" i="5" s="1"/>
  <c r="BI153" i="5"/>
  <c r="BK153" i="5" s="1"/>
  <c r="AJ9" i="4"/>
  <c r="AK9" i="4"/>
  <c r="AL9" i="4" s="1"/>
  <c r="AO9" i="4" s="1"/>
  <c r="AA9" i="4"/>
  <c r="AG505" i="5"/>
  <c r="AO30" i="4"/>
  <c r="AJ15" i="4"/>
  <c r="AK15" i="4"/>
  <c r="AL15" i="4" s="1"/>
  <c r="AO15" i="4" s="1"/>
  <c r="AA15" i="4"/>
  <c r="AQ30" i="4"/>
  <c r="BI195" i="5"/>
  <c r="BK195" i="5" s="1"/>
  <c r="AG309" i="5"/>
  <c r="AG304" i="5"/>
  <c r="BI392" i="5"/>
  <c r="BK392" i="5" s="1"/>
  <c r="AG325" i="5"/>
  <c r="AK16" i="4"/>
  <c r="AL16" i="4" s="1"/>
  <c r="AO16" i="4" s="1"/>
  <c r="AH304" i="5"/>
  <c r="AK27" i="4"/>
  <c r="AL27" i="4" s="1"/>
  <c r="AO27" i="4" s="1"/>
  <c r="BI370" i="5"/>
  <c r="BJ370" i="5" s="1"/>
  <c r="AG370" i="5"/>
  <c r="BI397" i="5"/>
  <c r="BK397" i="5" s="1"/>
  <c r="BI435" i="5"/>
  <c r="BJ435" i="5" s="1"/>
  <c r="BI74" i="5"/>
  <c r="BJ74" i="5" s="1"/>
  <c r="BI189" i="5"/>
  <c r="BK189" i="5" s="1"/>
  <c r="AH397" i="5"/>
  <c r="AH435" i="5"/>
  <c r="AJ29" i="4"/>
  <c r="AK29" i="4"/>
  <c r="AL29" i="4" s="1"/>
  <c r="AO29" i="4" s="1"/>
  <c r="AO74" i="4"/>
  <c r="AP30" i="4"/>
  <c r="AG74" i="5"/>
  <c r="AH189" i="5"/>
  <c r="BI325" i="5"/>
  <c r="BJ325" i="5" s="1"/>
  <c r="AA29" i="4"/>
  <c r="AJ23" i="4"/>
  <c r="AA23" i="4"/>
  <c r="AA27" i="4"/>
  <c r="AO23" i="4"/>
  <c r="BN552" i="5"/>
  <c r="BM552" i="5"/>
  <c r="BM324" i="5"/>
  <c r="BN324" i="5"/>
  <c r="BM475" i="5"/>
  <c r="BN475" i="5"/>
  <c r="BN535" i="5"/>
  <c r="BM535" i="5"/>
  <c r="BN139" i="5"/>
  <c r="BM139" i="5"/>
  <c r="BN44" i="5"/>
  <c r="BM44" i="5"/>
  <c r="BM528" i="5"/>
  <c r="BN528" i="5"/>
  <c r="BM247" i="5"/>
  <c r="BN247" i="5"/>
  <c r="BN291" i="5"/>
  <c r="BM291" i="5"/>
  <c r="BN546" i="5"/>
  <c r="BM546" i="5"/>
  <c r="BN59" i="5"/>
  <c r="BM59" i="5"/>
  <c r="BN68" i="5"/>
  <c r="BM68" i="5"/>
  <c r="BN28" i="5"/>
  <c r="BM28" i="5"/>
  <c r="BM257" i="5"/>
  <c r="BN257" i="5"/>
  <c r="BK538" i="5"/>
  <c r="BJ538" i="5"/>
  <c r="BN515" i="5"/>
  <c r="BM515" i="5"/>
  <c r="BN94" i="5"/>
  <c r="BM94" i="5"/>
  <c r="BN502" i="5"/>
  <c r="BM502" i="5"/>
  <c r="BM367" i="5"/>
  <c r="BN367" i="5"/>
  <c r="BM250" i="5"/>
  <c r="BN250" i="5"/>
  <c r="BM341" i="5"/>
  <c r="BN341" i="5"/>
  <c r="BN380" i="5"/>
  <c r="BM380" i="5"/>
  <c r="BM331" i="5"/>
  <c r="BN331" i="5"/>
  <c r="BK396" i="5"/>
  <c r="BJ396" i="5"/>
  <c r="BJ434" i="5"/>
  <c r="BK434" i="5"/>
  <c r="BM201" i="5"/>
  <c r="BN201" i="5"/>
  <c r="BN374" i="5"/>
  <c r="BM374" i="5"/>
  <c r="BN113" i="5"/>
  <c r="BM113" i="5"/>
  <c r="BN163" i="5"/>
  <c r="BM163" i="5"/>
  <c r="BN425" i="5"/>
  <c r="BM425" i="5"/>
  <c r="BN173" i="5"/>
  <c r="BM173" i="5"/>
  <c r="BM448" i="5"/>
  <c r="BN448" i="5"/>
  <c r="BM514" i="5"/>
  <c r="BN514" i="5"/>
  <c r="BN298" i="5"/>
  <c r="BM298" i="5"/>
  <c r="BM189" i="5"/>
  <c r="BN189" i="5"/>
  <c r="BN193" i="5"/>
  <c r="BM193" i="5"/>
  <c r="AO110" i="4"/>
  <c r="BM406" i="5"/>
  <c r="BN406" i="5"/>
  <c r="BM426" i="5"/>
  <c r="BN426" i="5"/>
  <c r="BM378" i="5"/>
  <c r="BN378" i="5"/>
  <c r="BN151" i="5"/>
  <c r="BM151" i="5"/>
  <c r="BM353" i="5"/>
  <c r="BN353" i="5"/>
  <c r="BN317" i="5"/>
  <c r="BM317" i="5"/>
  <c r="BK188" i="5"/>
  <c r="BJ188" i="5"/>
  <c r="AY11" i="5"/>
  <c r="AX11" i="5"/>
  <c r="BF11" i="5"/>
  <c r="AN11" i="5"/>
  <c r="AO11" i="5"/>
  <c r="AS11" i="5"/>
  <c r="BN394" i="5"/>
  <c r="BM394" i="5"/>
  <c r="BM421" i="5"/>
  <c r="BN421" i="5"/>
  <c r="BN222" i="5"/>
  <c r="BM222" i="5"/>
  <c r="BM178" i="5"/>
  <c r="BN178" i="5"/>
  <c r="BM501" i="5"/>
  <c r="BN501" i="5"/>
  <c r="BM140" i="5"/>
  <c r="BN140" i="5"/>
  <c r="BM67" i="5"/>
  <c r="BN67" i="5"/>
  <c r="BJ182" i="5"/>
  <c r="BK182" i="5"/>
  <c r="BJ398" i="5"/>
  <c r="BK398" i="5"/>
  <c r="BM395" i="5"/>
  <c r="BN395" i="5"/>
  <c r="BM453" i="5"/>
  <c r="BN453" i="5"/>
  <c r="BM137" i="5"/>
  <c r="BN137" i="5"/>
  <c r="BM206" i="5"/>
  <c r="BN206" i="5"/>
  <c r="BM242" i="5"/>
  <c r="BN242" i="5"/>
  <c r="BN13" i="5"/>
  <c r="BM13" i="5"/>
  <c r="BN241" i="5"/>
  <c r="BM241" i="5"/>
  <c r="BM30" i="5"/>
  <c r="BN30" i="5"/>
  <c r="AA22" i="4"/>
  <c r="BJ46" i="5"/>
  <c r="BK46" i="5"/>
  <c r="BK27" i="5"/>
  <c r="BJ27" i="5"/>
  <c r="BN556" i="5"/>
  <c r="BM556" i="5"/>
  <c r="BN471" i="5"/>
  <c r="BM471" i="5"/>
  <c r="BM319" i="5"/>
  <c r="BN319" i="5"/>
  <c r="BN69" i="5"/>
  <c r="BM69" i="5"/>
  <c r="BM197" i="5"/>
  <c r="BN197" i="5"/>
  <c r="BN81" i="5"/>
  <c r="BM81" i="5"/>
  <c r="BM292" i="5"/>
  <c r="BN292" i="5"/>
  <c r="BN474" i="5"/>
  <c r="BM474" i="5"/>
  <c r="BJ490" i="5"/>
  <c r="BK490" i="5"/>
  <c r="BN252" i="5"/>
  <c r="BM252" i="5"/>
  <c r="BM157" i="5"/>
  <c r="BN157" i="5"/>
  <c r="BN101" i="5"/>
  <c r="BM101" i="5"/>
  <c r="BN198" i="5"/>
  <c r="BM198" i="5"/>
  <c r="BN144" i="5"/>
  <c r="BM144" i="5"/>
  <c r="BN243" i="5"/>
  <c r="BM243" i="5"/>
  <c r="BM216" i="5"/>
  <c r="BN216" i="5"/>
  <c r="BM524" i="5"/>
  <c r="BN524" i="5"/>
  <c r="BN417" i="5"/>
  <c r="BM417" i="5"/>
  <c r="BN304" i="5"/>
  <c r="BM304" i="5"/>
  <c r="BN116" i="5"/>
  <c r="BM116" i="5"/>
  <c r="BK472" i="5"/>
  <c r="BJ472" i="5"/>
  <c r="BN390" i="5"/>
  <c r="BM390" i="5"/>
  <c r="BN174" i="5"/>
  <c r="BM174" i="5"/>
  <c r="BN50" i="5"/>
  <c r="BM50" i="5"/>
  <c r="BN118" i="5"/>
  <c r="BM118" i="5"/>
  <c r="BM125" i="5"/>
  <c r="BN125" i="5"/>
  <c r="BN219" i="5"/>
  <c r="BM219" i="5"/>
  <c r="BN224" i="5"/>
  <c r="BM224" i="5"/>
  <c r="BN418" i="5"/>
  <c r="BM418" i="5"/>
  <c r="BN61" i="5"/>
  <c r="BM61" i="5"/>
  <c r="BM246" i="5"/>
  <c r="BN246" i="5"/>
  <c r="BM167" i="5"/>
  <c r="BN167" i="5"/>
  <c r="BN97" i="5"/>
  <c r="BM97" i="5"/>
  <c r="BM413" i="5"/>
  <c r="BN413" i="5"/>
  <c r="BN313" i="5"/>
  <c r="BM313" i="5"/>
  <c r="BM541" i="5"/>
  <c r="BN541" i="5"/>
  <c r="BN190" i="5"/>
  <c r="BM190" i="5"/>
  <c r="BJ246" i="5"/>
  <c r="BK246" i="5"/>
  <c r="BM104" i="5"/>
  <c r="BN104" i="5"/>
  <c r="BN402" i="5"/>
  <c r="BM402" i="5"/>
  <c r="BM499" i="5"/>
  <c r="BN499" i="5"/>
  <c r="BM52" i="5"/>
  <c r="BN52" i="5"/>
  <c r="BN84" i="5"/>
  <c r="BM84" i="5"/>
  <c r="BM540" i="5"/>
  <c r="BN540" i="5"/>
  <c r="BM338" i="5"/>
  <c r="BN338" i="5"/>
  <c r="BM279" i="5"/>
  <c r="BN279" i="5"/>
  <c r="BN95" i="5"/>
  <c r="BM95" i="5"/>
  <c r="BN266" i="5"/>
  <c r="BM266" i="5"/>
  <c r="BN187" i="5"/>
  <c r="BM187" i="5"/>
  <c r="BM536" i="5"/>
  <c r="BN536" i="5"/>
  <c r="BM128" i="5"/>
  <c r="BN128" i="5"/>
  <c r="BM465" i="5"/>
  <c r="BN465" i="5"/>
  <c r="BN158" i="5"/>
  <c r="BM158" i="5"/>
  <c r="BN100" i="5"/>
  <c r="BM100" i="5"/>
  <c r="BK81" i="5"/>
  <c r="BJ81" i="5"/>
  <c r="BJ304" i="5"/>
  <c r="BK304" i="5"/>
  <c r="BJ31" i="5"/>
  <c r="BK31" i="5"/>
  <c r="AA11" i="5"/>
  <c r="AB11" i="5"/>
  <c r="S11" i="5"/>
  <c r="R11" i="5"/>
  <c r="BN186" i="5"/>
  <c r="BM186" i="5"/>
  <c r="BN120" i="5"/>
  <c r="BM120" i="5"/>
  <c r="BN440" i="5"/>
  <c r="BM440" i="5"/>
  <c r="BM33" i="5"/>
  <c r="BN33" i="5"/>
  <c r="BM127" i="5"/>
  <c r="BN127" i="5"/>
  <c r="BM410" i="5"/>
  <c r="BN410" i="5"/>
  <c r="AK18" i="4"/>
  <c r="AL18" i="4" s="1"/>
  <c r="AO18" i="4" s="1"/>
  <c r="BN318" i="5"/>
  <c r="BM318" i="5"/>
  <c r="BM484" i="5"/>
  <c r="BN484" i="5"/>
  <c r="BN245" i="5"/>
  <c r="BM245" i="5"/>
  <c r="BN147" i="5"/>
  <c r="BM147" i="5"/>
  <c r="BM306" i="5"/>
  <c r="BN306" i="5"/>
  <c r="BN397" i="5"/>
  <c r="BM397" i="5"/>
  <c r="BN148" i="5"/>
  <c r="BM148" i="5"/>
  <c r="BM35" i="5"/>
  <c r="BN35" i="5"/>
  <c r="BN355" i="5"/>
  <c r="BM355" i="5"/>
  <c r="BN495" i="5"/>
  <c r="BM495" i="5"/>
  <c r="BN375" i="5"/>
  <c r="BM375" i="5"/>
  <c r="BN321" i="5"/>
  <c r="BM321" i="5"/>
  <c r="BM119" i="5"/>
  <c r="BN119" i="5"/>
  <c r="BM560" i="5"/>
  <c r="BN560" i="5"/>
  <c r="BN124" i="5"/>
  <c r="BM124" i="5"/>
  <c r="BN490" i="5"/>
  <c r="BM490" i="5"/>
  <c r="BM166" i="5"/>
  <c r="BN166" i="5"/>
  <c r="BK348" i="5"/>
  <c r="BJ348" i="5"/>
  <c r="BK58" i="5"/>
  <c r="BJ58" i="5"/>
  <c r="BJ257" i="5"/>
  <c r="BK257" i="5"/>
  <c r="BM521" i="5"/>
  <c r="BN521" i="5"/>
  <c r="BN123" i="5"/>
  <c r="BM123" i="5"/>
  <c r="BM372" i="5"/>
  <c r="BN372" i="5"/>
  <c r="BM182" i="5"/>
  <c r="BN182" i="5"/>
  <c r="BN240" i="5"/>
  <c r="BM240" i="5"/>
  <c r="BM344" i="5"/>
  <c r="BN344" i="5"/>
  <c r="BM301" i="5"/>
  <c r="BN301" i="5"/>
  <c r="BN192" i="5"/>
  <c r="BM192" i="5"/>
  <c r="BN270" i="5"/>
  <c r="BM270" i="5"/>
  <c r="BJ402" i="5"/>
  <c r="BK402" i="5"/>
  <c r="BM526" i="5"/>
  <c r="BN526" i="5"/>
  <c r="BM294" i="5"/>
  <c r="BN294" i="5"/>
  <c r="BN363" i="5"/>
  <c r="BM363" i="5"/>
  <c r="BN258" i="5"/>
  <c r="BM258" i="5"/>
  <c r="BN398" i="5"/>
  <c r="BM398" i="5"/>
  <c r="BM58" i="5"/>
  <c r="BN58" i="5"/>
  <c r="BN360" i="5"/>
  <c r="BM360" i="5"/>
  <c r="BN489" i="5"/>
  <c r="BM489" i="5"/>
  <c r="BJ140" i="5"/>
  <c r="BK140" i="5"/>
  <c r="BM269" i="5"/>
  <c r="BN269" i="5"/>
  <c r="BN422" i="5"/>
  <c r="BM422" i="5"/>
  <c r="BM261" i="5"/>
  <c r="BN261" i="5"/>
  <c r="BM400" i="5"/>
  <c r="BN400" i="5"/>
  <c r="BN280" i="5"/>
  <c r="BM280" i="5"/>
  <c r="BN343" i="5"/>
  <c r="BM343" i="5"/>
  <c r="BN497" i="5"/>
  <c r="BM497" i="5"/>
  <c r="BM208" i="5"/>
  <c r="BN208" i="5"/>
  <c r="BK449" i="5"/>
  <c r="BJ449" i="5"/>
  <c r="BM336" i="5"/>
  <c r="BN336" i="5"/>
  <c r="BN26" i="5"/>
  <c r="BM26" i="5"/>
  <c r="BN328" i="5"/>
  <c r="BM328" i="5"/>
  <c r="BM351" i="5"/>
  <c r="BN351" i="5"/>
  <c r="BM538" i="5"/>
  <c r="BN538" i="5"/>
  <c r="BN391" i="5"/>
  <c r="BM391" i="5"/>
  <c r="BN235" i="5"/>
  <c r="BM235" i="5"/>
  <c r="BN153" i="5"/>
  <c r="BM153" i="5"/>
  <c r="BM427" i="5"/>
  <c r="BN427" i="5"/>
  <c r="BJ20" i="5"/>
  <c r="BK20" i="5"/>
  <c r="BN70" i="5"/>
  <c r="BM70" i="5"/>
  <c r="BN354" i="5"/>
  <c r="BM354" i="5"/>
  <c r="BN90" i="5"/>
  <c r="BM90" i="5"/>
  <c r="BM316" i="5"/>
  <c r="BN316" i="5"/>
  <c r="BN469" i="5"/>
  <c r="BM469" i="5"/>
  <c r="BM138" i="5"/>
  <c r="BN138" i="5"/>
  <c r="BN98" i="5"/>
  <c r="BM98" i="5"/>
  <c r="BM446" i="5"/>
  <c r="BN446" i="5"/>
  <c r="BN277" i="5"/>
  <c r="BM277" i="5"/>
  <c r="BK439" i="5"/>
  <c r="BJ439" i="5"/>
  <c r="BN544" i="5"/>
  <c r="BM544" i="5"/>
  <c r="BB11" i="5"/>
  <c r="BA11" i="5"/>
  <c r="BN369" i="5"/>
  <c r="BM369" i="5"/>
  <c r="BN468" i="5"/>
  <c r="BM468" i="5"/>
  <c r="BN63" i="5"/>
  <c r="BM63" i="5"/>
  <c r="BM149" i="5"/>
  <c r="BN149" i="5"/>
  <c r="BN494" i="5"/>
  <c r="BM494" i="5"/>
  <c r="BM211" i="5"/>
  <c r="BN211" i="5"/>
  <c r="BM86" i="5"/>
  <c r="BN86" i="5"/>
  <c r="BN87" i="5"/>
  <c r="BM87" i="5"/>
  <c r="BN164" i="5"/>
  <c r="BM164" i="5"/>
  <c r="BK210" i="5"/>
  <c r="BJ210" i="5"/>
  <c r="BM491" i="5"/>
  <c r="BN491" i="5"/>
  <c r="BN455" i="5"/>
  <c r="BM455" i="5"/>
  <c r="BM136" i="5"/>
  <c r="BN136" i="5"/>
  <c r="BN210" i="5"/>
  <c r="BM210" i="5"/>
  <c r="BM74" i="5"/>
  <c r="BN74" i="5"/>
  <c r="BN172" i="5"/>
  <c r="BM172" i="5"/>
  <c r="BN185" i="5"/>
  <c r="BM185" i="5"/>
  <c r="BM299" i="5"/>
  <c r="BN299" i="5"/>
  <c r="BM435" i="5"/>
  <c r="BN435" i="5"/>
  <c r="BK448" i="5"/>
  <c r="BJ448" i="5"/>
  <c r="BK544" i="5"/>
  <c r="BJ544" i="5"/>
  <c r="BM450" i="5"/>
  <c r="BN450" i="5"/>
  <c r="BN496" i="5"/>
  <c r="BM496" i="5"/>
  <c r="BN362" i="5"/>
  <c r="BM362" i="5"/>
  <c r="BM107" i="5"/>
  <c r="BN107" i="5"/>
  <c r="BN114" i="5"/>
  <c r="BM114" i="5"/>
  <c r="BM479" i="5"/>
  <c r="BN479" i="5"/>
  <c r="BN221" i="5"/>
  <c r="BM221" i="5"/>
  <c r="BN22" i="5"/>
  <c r="BM22" i="5"/>
  <c r="BM212" i="5"/>
  <c r="BN212" i="5"/>
  <c r="BN555" i="5"/>
  <c r="BM555" i="5"/>
  <c r="BM48" i="5"/>
  <c r="BN48" i="5"/>
  <c r="BM65" i="5"/>
  <c r="BN65" i="5"/>
  <c r="BN302" i="5"/>
  <c r="BM302" i="5"/>
  <c r="BM214" i="5"/>
  <c r="BN214" i="5"/>
  <c r="BM553" i="5"/>
  <c r="BN553" i="5"/>
  <c r="BN181" i="5"/>
  <c r="BM181" i="5"/>
  <c r="BN239" i="5"/>
  <c r="BM239" i="5"/>
  <c r="BK172" i="5"/>
  <c r="BJ172" i="5"/>
  <c r="BK477" i="5"/>
  <c r="BJ477" i="5"/>
  <c r="BM276" i="5"/>
  <c r="BN276" i="5"/>
  <c r="BM142" i="5"/>
  <c r="BN142" i="5"/>
  <c r="BN370" i="5"/>
  <c r="BM370" i="5"/>
  <c r="BM488" i="5"/>
  <c r="BN488" i="5"/>
  <c r="BM169" i="5"/>
  <c r="BN169" i="5"/>
  <c r="BM179" i="5"/>
  <c r="BN179" i="5"/>
  <c r="BM461" i="5"/>
  <c r="BN461" i="5"/>
  <c r="BN111" i="5"/>
  <c r="BM111" i="5"/>
  <c r="BJ24" i="5"/>
  <c r="BK24" i="5"/>
  <c r="BK122" i="5"/>
  <c r="BJ122" i="5"/>
  <c r="BM145" i="5"/>
  <c r="BN145" i="5"/>
  <c r="BN441" i="5"/>
  <c r="BM441" i="5"/>
  <c r="BM41" i="5"/>
  <c r="BN41" i="5"/>
  <c r="BN542" i="5"/>
  <c r="BM542" i="5"/>
  <c r="BN480" i="5"/>
  <c r="BM480" i="5"/>
  <c r="BN534" i="5"/>
  <c r="BM534" i="5"/>
  <c r="BN203" i="5"/>
  <c r="BM203" i="5"/>
  <c r="BM381" i="5"/>
  <c r="BN381" i="5"/>
  <c r="BN29" i="5"/>
  <c r="BM29" i="5"/>
  <c r="BK240" i="5"/>
  <c r="BJ240" i="5"/>
  <c r="BJ35" i="5"/>
  <c r="BK35" i="5"/>
  <c r="BN337" i="5"/>
  <c r="BM337" i="5"/>
  <c r="BM66" i="5"/>
  <c r="BN66" i="5"/>
  <c r="BM274" i="5"/>
  <c r="BN274" i="5"/>
  <c r="BM457" i="5"/>
  <c r="BN457" i="5"/>
  <c r="BM545" i="5"/>
  <c r="BN545" i="5"/>
  <c r="BN64" i="5"/>
  <c r="BM64" i="5"/>
  <c r="BN207" i="5"/>
  <c r="BM207" i="5"/>
  <c r="BM322" i="5"/>
  <c r="BN322" i="5"/>
  <c r="BN265" i="5"/>
  <c r="BM265" i="5"/>
  <c r="BN445" i="5"/>
  <c r="BM445" i="5"/>
  <c r="BJ551" i="5"/>
  <c r="BK551" i="5"/>
  <c r="BK103" i="5"/>
  <c r="BJ103" i="5"/>
  <c r="BK467" i="5"/>
  <c r="BJ467" i="5"/>
  <c r="BN141" i="5"/>
  <c r="BM141" i="5"/>
  <c r="BN262" i="5"/>
  <c r="BM262" i="5"/>
  <c r="BN492" i="5"/>
  <c r="BM492" i="5"/>
  <c r="BN487" i="5"/>
  <c r="BM487" i="5"/>
  <c r="BM342" i="5"/>
  <c r="BN342" i="5"/>
  <c r="BN323" i="5"/>
  <c r="BM323" i="5"/>
  <c r="BM229" i="5"/>
  <c r="BN229" i="5"/>
  <c r="BN253" i="5"/>
  <c r="BM253" i="5"/>
  <c r="BK460" i="5"/>
  <c r="BJ460" i="5"/>
  <c r="BJ423" i="5"/>
  <c r="BK423" i="5"/>
  <c r="BJ383" i="5"/>
  <c r="BK383" i="5"/>
  <c r="BJ116" i="5"/>
  <c r="BK116" i="5"/>
  <c r="AQ11" i="5"/>
  <c r="AR11" i="5"/>
  <c r="BN191" i="5"/>
  <c r="BM191" i="5"/>
  <c r="BN554" i="5"/>
  <c r="BM554" i="5"/>
  <c r="BM73" i="5"/>
  <c r="BN73" i="5"/>
  <c r="BN225" i="5"/>
  <c r="BM225" i="5"/>
  <c r="BN513" i="5"/>
  <c r="BM513" i="5"/>
  <c r="BN459" i="5"/>
  <c r="BM459" i="5"/>
  <c r="BN237" i="5"/>
  <c r="BM237" i="5"/>
  <c r="BN129" i="5"/>
  <c r="BM129" i="5"/>
  <c r="BM356" i="5"/>
  <c r="BN356" i="5"/>
  <c r="BN500" i="5"/>
  <c r="BM500" i="5"/>
  <c r="BN234" i="5"/>
  <c r="BM234" i="5"/>
  <c r="BM345" i="5"/>
  <c r="BN345" i="5"/>
  <c r="BM339" i="5"/>
  <c r="BN339" i="5"/>
  <c r="BN260" i="5"/>
  <c r="BM260" i="5"/>
  <c r="BM437" i="5"/>
  <c r="BN437" i="5"/>
  <c r="BM371" i="5"/>
  <c r="BN371" i="5"/>
  <c r="BN155" i="5"/>
  <c r="BM155" i="5"/>
  <c r="BM523" i="5"/>
  <c r="BN523" i="5"/>
  <c r="AK22" i="4"/>
  <c r="AL22" i="4" s="1"/>
  <c r="BN88" i="5"/>
  <c r="BM88" i="5"/>
  <c r="BN412" i="5"/>
  <c r="BM412" i="5"/>
  <c r="BM438" i="5"/>
  <c r="BN438" i="5"/>
  <c r="BM251" i="5"/>
  <c r="BN251" i="5"/>
  <c r="BN233" i="5"/>
  <c r="BM233" i="5"/>
  <c r="BM289" i="5"/>
  <c r="BN289" i="5"/>
  <c r="BN407" i="5"/>
  <c r="BM407" i="5"/>
  <c r="BN49" i="5"/>
  <c r="BM49" i="5"/>
  <c r="BM346" i="5"/>
  <c r="BN346" i="5"/>
  <c r="BJ487" i="5"/>
  <c r="BK487" i="5"/>
  <c r="BJ505" i="5"/>
  <c r="BK505" i="5"/>
  <c r="BK34" i="5"/>
  <c r="BJ34" i="5"/>
  <c r="BM512" i="5"/>
  <c r="BN512" i="5"/>
  <c r="BM288" i="5"/>
  <c r="BN288" i="5"/>
  <c r="BN310" i="5"/>
  <c r="BM310" i="5"/>
  <c r="BM361" i="5"/>
  <c r="BN361" i="5"/>
  <c r="BN332" i="5"/>
  <c r="BM332" i="5"/>
  <c r="BN236" i="5"/>
  <c r="BM236" i="5"/>
  <c r="BM171" i="5"/>
  <c r="BN171" i="5"/>
  <c r="BN204" i="5"/>
  <c r="BM204" i="5"/>
  <c r="BK145" i="5"/>
  <c r="BJ145" i="5"/>
  <c r="BN209" i="5"/>
  <c r="BM209" i="5"/>
  <c r="BM112" i="5"/>
  <c r="BN112" i="5"/>
  <c r="BM472" i="5"/>
  <c r="BN472" i="5"/>
  <c r="BN8" i="5"/>
  <c r="BM8" i="5"/>
  <c r="BN401" i="5"/>
  <c r="BM401" i="5"/>
  <c r="BM478" i="5"/>
  <c r="BN478" i="5"/>
  <c r="BM284" i="5"/>
  <c r="BN284" i="5"/>
  <c r="BN476" i="5"/>
  <c r="BM476" i="5"/>
  <c r="BM300" i="5"/>
  <c r="BN300" i="5"/>
  <c r="BM377" i="5"/>
  <c r="BN377" i="5"/>
  <c r="BN527" i="5"/>
  <c r="BM527" i="5"/>
  <c r="BN25" i="5"/>
  <c r="BM25" i="5"/>
  <c r="BN333" i="5"/>
  <c r="BM333" i="5"/>
  <c r="BM320" i="5"/>
  <c r="BN320" i="5"/>
  <c r="BM228" i="5"/>
  <c r="BN228" i="5"/>
  <c r="BM429" i="5"/>
  <c r="BN429" i="5"/>
  <c r="BM329" i="5"/>
  <c r="BN329" i="5"/>
  <c r="BM32" i="5"/>
  <c r="BN32" i="5"/>
  <c r="BM399" i="5"/>
  <c r="BN399" i="5"/>
  <c r="BM432" i="5"/>
  <c r="BN432" i="5"/>
  <c r="AK21" i="4"/>
  <c r="AL21" i="4" s="1"/>
  <c r="AO21" i="4" s="1"/>
  <c r="BN368" i="5"/>
  <c r="BM368" i="5"/>
  <c r="BM551" i="5"/>
  <c r="BN551" i="5"/>
  <c r="BM530" i="5"/>
  <c r="BN530" i="5"/>
  <c r="BN396" i="5"/>
  <c r="BM396" i="5"/>
  <c r="BM103" i="5"/>
  <c r="BN103" i="5"/>
  <c r="BM385" i="5"/>
  <c r="BN385" i="5"/>
  <c r="BJ309" i="5"/>
  <c r="BK309" i="5"/>
  <c r="BK114" i="5"/>
  <c r="BJ114" i="5"/>
  <c r="BK130" i="5"/>
  <c r="BJ130" i="5"/>
  <c r="BJ330" i="5"/>
  <c r="BK330" i="5"/>
  <c r="BM176" i="5"/>
  <c r="BN176" i="5"/>
  <c r="BM387" i="5"/>
  <c r="BN387" i="5"/>
  <c r="BN283" i="5"/>
  <c r="BM283" i="5"/>
  <c r="BM482" i="5"/>
  <c r="BN482" i="5"/>
  <c r="BM150" i="5"/>
  <c r="BN150" i="5"/>
  <c r="BN509" i="5"/>
  <c r="BM509" i="5"/>
  <c r="BM20" i="5"/>
  <c r="BN20" i="5"/>
  <c r="BM75" i="5"/>
  <c r="BN75" i="5"/>
  <c r="BN434" i="5"/>
  <c r="BM434" i="5"/>
  <c r="BM285" i="5"/>
  <c r="BN285" i="5"/>
  <c r="BN91" i="5"/>
  <c r="BM91" i="5"/>
  <c r="AL11" i="5"/>
  <c r="AK11" i="5"/>
  <c r="BN286" i="5"/>
  <c r="BM286" i="5"/>
  <c r="BM60" i="5"/>
  <c r="BN60" i="5"/>
  <c r="BN268" i="5"/>
  <c r="BM268" i="5"/>
  <c r="BN507" i="5"/>
  <c r="BM507" i="5"/>
  <c r="BM449" i="5"/>
  <c r="BN449" i="5"/>
  <c r="BN347" i="5"/>
  <c r="BM347" i="5"/>
  <c r="BM254" i="5"/>
  <c r="BN254" i="5"/>
  <c r="BK158" i="5"/>
  <c r="BJ158" i="5"/>
  <c r="BK432" i="5"/>
  <c r="BJ432" i="5"/>
  <c r="BM132" i="5"/>
  <c r="BN132" i="5"/>
  <c r="BM217" i="5"/>
  <c r="BN217" i="5"/>
  <c r="BN278" i="5"/>
  <c r="BM278" i="5"/>
  <c r="BM232" i="5"/>
  <c r="BN232" i="5"/>
  <c r="BM223" i="5"/>
  <c r="BN223" i="5"/>
  <c r="BN392" i="5"/>
  <c r="BM392" i="5"/>
  <c r="BM325" i="5"/>
  <c r="BN325" i="5"/>
  <c r="BN439" i="5"/>
  <c r="BM439" i="5"/>
  <c r="BJ409" i="5"/>
  <c r="BK409" i="5"/>
  <c r="BM43" i="5"/>
  <c r="BN43" i="5"/>
  <c r="BM56" i="5"/>
  <c r="BN56" i="5"/>
  <c r="BN159" i="5"/>
  <c r="BM159" i="5"/>
  <c r="BM458" i="5"/>
  <c r="BN458" i="5"/>
  <c r="BN21" i="5"/>
  <c r="BM21" i="5"/>
  <c r="BN403" i="5"/>
  <c r="BM403" i="5"/>
  <c r="BN162" i="5"/>
  <c r="BM162" i="5"/>
  <c r="BN483" i="5"/>
  <c r="BM483" i="5"/>
  <c r="BK191" i="5"/>
  <c r="BJ191" i="5"/>
  <c r="BJ515" i="5"/>
  <c r="BK515" i="5"/>
  <c r="BM79" i="5"/>
  <c r="BN79" i="5"/>
  <c r="BN183" i="5"/>
  <c r="BM183" i="5"/>
  <c r="BN121" i="5"/>
  <c r="BM121" i="5"/>
  <c r="BN110" i="5"/>
  <c r="BM110" i="5"/>
  <c r="BN486" i="5"/>
  <c r="BM486" i="5"/>
  <c r="BN366" i="5"/>
  <c r="BM366" i="5"/>
  <c r="BM57" i="5"/>
  <c r="BN57" i="5"/>
  <c r="BM532" i="5"/>
  <c r="BN532" i="5"/>
  <c r="BN238" i="5"/>
  <c r="BM238" i="5"/>
  <c r="BN54" i="5"/>
  <c r="BM54" i="5"/>
  <c r="BJ268" i="5"/>
  <c r="BK268" i="5"/>
  <c r="BN303" i="5"/>
  <c r="BM303" i="5"/>
  <c r="BN264" i="5"/>
  <c r="BM264" i="5"/>
  <c r="BN89" i="5"/>
  <c r="BM89" i="5"/>
  <c r="BM40" i="5"/>
  <c r="BN40" i="5"/>
  <c r="BM493" i="5"/>
  <c r="BN493" i="5"/>
  <c r="BN537" i="5"/>
  <c r="BM537" i="5"/>
  <c r="BN309" i="5"/>
  <c r="BM309" i="5"/>
  <c r="AU67" i="4"/>
  <c r="AW67" i="4" s="1"/>
  <c r="BN477" i="5"/>
  <c r="BM477" i="5"/>
  <c r="BJ26" i="5"/>
  <c r="BK26" i="5"/>
  <c r="BJ478" i="5"/>
  <c r="BK478" i="5"/>
  <c r="BJ259" i="5"/>
  <c r="BK259" i="5"/>
  <c r="BM463" i="5"/>
  <c r="BN463" i="5"/>
  <c r="BN255" i="5"/>
  <c r="BM255" i="5"/>
  <c r="BM42" i="5"/>
  <c r="BN42" i="5"/>
  <c r="BN267" i="5"/>
  <c r="BM267" i="5"/>
  <c r="BN76" i="5"/>
  <c r="BM76" i="5"/>
  <c r="BM504" i="5"/>
  <c r="BN504" i="5"/>
  <c r="BN503" i="5"/>
  <c r="BM503" i="5"/>
  <c r="BM102" i="5"/>
  <c r="BN102" i="5"/>
  <c r="BJ207" i="5"/>
  <c r="BK207" i="5"/>
  <c r="BN231" i="5"/>
  <c r="BM231" i="5"/>
  <c r="BM350" i="5"/>
  <c r="BN350" i="5"/>
  <c r="AA21" i="4"/>
  <c r="BM533" i="5"/>
  <c r="BN533" i="5"/>
  <c r="BN382" i="5"/>
  <c r="BM382" i="5"/>
  <c r="BM340" i="5"/>
  <c r="BN340" i="5"/>
  <c r="BM420" i="5"/>
  <c r="BN420" i="5"/>
  <c r="BN539" i="5"/>
  <c r="BM539" i="5"/>
  <c r="BN218" i="5"/>
  <c r="BM218" i="5"/>
  <c r="BJ411" i="5"/>
  <c r="BK411" i="5"/>
  <c r="BK522" i="5"/>
  <c r="BJ522" i="5"/>
  <c r="BK8" i="5"/>
  <c r="BJ8" i="5"/>
  <c r="BM335" i="5"/>
  <c r="BN335" i="5"/>
  <c r="BN188" i="5"/>
  <c r="BM188" i="5"/>
  <c r="BM96" i="5"/>
  <c r="BN96" i="5"/>
  <c r="BN230" i="5"/>
  <c r="BM230" i="5"/>
  <c r="BM105" i="5"/>
  <c r="BN105" i="5"/>
  <c r="BN433" i="5"/>
  <c r="BM433" i="5"/>
  <c r="BM443" i="5"/>
  <c r="BN443" i="5"/>
  <c r="BN442" i="5"/>
  <c r="BM442" i="5"/>
  <c r="BN349" i="5"/>
  <c r="BM349" i="5"/>
  <c r="BK192" i="5"/>
  <c r="BJ192" i="5"/>
  <c r="BJ78" i="5"/>
  <c r="BK78" i="5"/>
  <c r="BM256" i="5"/>
  <c r="BN256" i="5"/>
  <c r="BD11" i="5"/>
  <c r="BE11" i="5"/>
  <c r="BN405" i="5"/>
  <c r="BM405" i="5"/>
  <c r="BN424" i="5"/>
  <c r="BM424" i="5"/>
  <c r="BM531" i="5"/>
  <c r="BN531" i="5"/>
  <c r="BN27" i="5"/>
  <c r="BM27" i="5"/>
  <c r="BM133" i="5"/>
  <c r="BN133" i="5"/>
  <c r="BM19" i="5"/>
  <c r="BN19" i="5"/>
  <c r="BN388" i="5"/>
  <c r="BM388" i="5"/>
  <c r="BM359" i="5"/>
  <c r="BN359" i="5"/>
  <c r="BK349" i="5"/>
  <c r="BJ349" i="5"/>
  <c r="BK282" i="5"/>
  <c r="BJ282" i="5"/>
  <c r="BJ350" i="5"/>
  <c r="BK350" i="5"/>
  <c r="BN259" i="5"/>
  <c r="BM259" i="5"/>
  <c r="BN312" i="5"/>
  <c r="BM312" i="5"/>
  <c r="BM451" i="5"/>
  <c r="BN451" i="5"/>
  <c r="BM131" i="5"/>
  <c r="BN131" i="5"/>
  <c r="BN36" i="5"/>
  <c r="BM36" i="5"/>
  <c r="BN215" i="5"/>
  <c r="BM215" i="5"/>
  <c r="BN194" i="5"/>
  <c r="BM194" i="5"/>
  <c r="BN550" i="5"/>
  <c r="BM550" i="5"/>
  <c r="BK147" i="5"/>
  <c r="BJ147" i="5"/>
  <c r="BK541" i="5"/>
  <c r="BJ541" i="5"/>
  <c r="BK137" i="5"/>
  <c r="BJ137" i="5"/>
  <c r="BM287" i="5"/>
  <c r="BN287" i="5"/>
  <c r="AO45" i="4"/>
  <c r="AU45" i="4" s="1"/>
  <c r="AW45" i="4" s="1"/>
  <c r="BN308" i="5"/>
  <c r="BM308" i="5"/>
  <c r="BM326" i="5"/>
  <c r="BN326" i="5"/>
  <c r="BM409" i="5"/>
  <c r="BN409" i="5"/>
  <c r="BN34" i="5"/>
  <c r="BM34" i="5"/>
  <c r="BM456" i="5"/>
  <c r="BN456" i="5"/>
  <c r="BN444" i="5"/>
  <c r="BM444" i="5"/>
  <c r="BM143" i="5"/>
  <c r="BN143" i="5"/>
  <c r="BM522" i="5"/>
  <c r="BN522" i="5"/>
  <c r="BM51" i="5"/>
  <c r="BN51" i="5"/>
  <c r="BM464" i="5"/>
  <c r="BN464" i="5"/>
  <c r="BM126" i="5"/>
  <c r="BN126" i="5"/>
  <c r="BN516" i="5"/>
  <c r="BM516" i="5"/>
  <c r="BN244" i="5"/>
  <c r="BM244" i="5"/>
  <c r="BN263" i="5"/>
  <c r="BM263" i="5"/>
  <c r="BN290" i="5"/>
  <c r="BM290" i="5"/>
  <c r="BM130" i="5"/>
  <c r="BN130" i="5"/>
  <c r="BJ41" i="5"/>
  <c r="BK41" i="5"/>
  <c r="BN485" i="5"/>
  <c r="BM485" i="5"/>
  <c r="BM511" i="5"/>
  <c r="BN511" i="5"/>
  <c r="BM447" i="5"/>
  <c r="BN447" i="5"/>
  <c r="BN557" i="5"/>
  <c r="BM557" i="5"/>
  <c r="BM196" i="5"/>
  <c r="BN196" i="5"/>
  <c r="BM165" i="5"/>
  <c r="BN165" i="5"/>
  <c r="BM314" i="5"/>
  <c r="BN314" i="5"/>
  <c r="BN411" i="5"/>
  <c r="BM411" i="5"/>
  <c r="BN39" i="5"/>
  <c r="BM39" i="5"/>
  <c r="BM134" i="5"/>
  <c r="BN134" i="5"/>
  <c r="BN177" i="5"/>
  <c r="BM177" i="5"/>
  <c r="BN389" i="5"/>
  <c r="BM389" i="5"/>
  <c r="BM82" i="5"/>
  <c r="BN82" i="5"/>
  <c r="BN146" i="5"/>
  <c r="BM146" i="5"/>
  <c r="BN249" i="5"/>
  <c r="BM249" i="5"/>
  <c r="BM430" i="5"/>
  <c r="BN430" i="5"/>
  <c r="BN53" i="5"/>
  <c r="BM53" i="5"/>
  <c r="BN115" i="5"/>
  <c r="BM115" i="5"/>
  <c r="BM46" i="5"/>
  <c r="BN46" i="5"/>
  <c r="BN205" i="5"/>
  <c r="BM205" i="5"/>
  <c r="BK120" i="5"/>
  <c r="BJ120" i="5"/>
  <c r="BN305" i="5"/>
  <c r="BM305" i="5"/>
  <c r="BN510" i="5"/>
  <c r="BM510" i="5"/>
  <c r="BN473" i="5"/>
  <c r="BM473" i="5"/>
  <c r="BN460" i="5"/>
  <c r="BM460" i="5"/>
  <c r="BM24" i="5"/>
  <c r="BN24" i="5"/>
  <c r="BN436" i="5"/>
  <c r="BM436" i="5"/>
  <c r="BN271" i="5"/>
  <c r="BM271" i="5"/>
  <c r="BM122" i="5"/>
  <c r="BN122" i="5"/>
  <c r="BN108" i="5"/>
  <c r="BM108" i="5"/>
  <c r="BK519" i="5"/>
  <c r="BJ519" i="5"/>
  <c r="BM330" i="5"/>
  <c r="BN330" i="5"/>
  <c r="BM38" i="5"/>
  <c r="BN38" i="5"/>
  <c r="BN519" i="5"/>
  <c r="BM519" i="5"/>
  <c r="BN548" i="5"/>
  <c r="BM548" i="5"/>
  <c r="BM109" i="5"/>
  <c r="BN109" i="5"/>
  <c r="BM520" i="5"/>
  <c r="BN520" i="5"/>
  <c r="BN373" i="5"/>
  <c r="BM373" i="5"/>
  <c r="BJ542" i="5"/>
  <c r="BK542" i="5"/>
  <c r="BK368" i="5"/>
  <c r="BJ368" i="5"/>
  <c r="BJ45" i="5"/>
  <c r="BK45" i="5"/>
  <c r="BJ427" i="5"/>
  <c r="BK427" i="5"/>
  <c r="X11" i="5"/>
  <c r="Y11" i="5"/>
  <c r="BN393" i="5"/>
  <c r="BM393" i="5"/>
  <c r="BM348" i="5"/>
  <c r="BN348" i="5"/>
  <c r="BN383" i="5"/>
  <c r="BM383" i="5"/>
  <c r="BN78" i="5"/>
  <c r="BM78" i="5"/>
  <c r="BM72" i="5"/>
  <c r="BN72" i="5"/>
  <c r="BN99" i="5"/>
  <c r="BM99" i="5"/>
  <c r="BN156" i="5"/>
  <c r="BM156" i="5"/>
  <c r="BM408" i="5"/>
  <c r="BN408" i="5"/>
  <c r="BJ464" i="5"/>
  <c r="BK464" i="5"/>
  <c r="BM135" i="5"/>
  <c r="BN135" i="5"/>
  <c r="BM525" i="5"/>
  <c r="BN525" i="5"/>
  <c r="BM481" i="5"/>
  <c r="BN481" i="5"/>
  <c r="BM364" i="5"/>
  <c r="BN364" i="5"/>
  <c r="BM184" i="5"/>
  <c r="BN184" i="5"/>
  <c r="BN454" i="5"/>
  <c r="BM454" i="5"/>
  <c r="BN71" i="5"/>
  <c r="BM71" i="5"/>
  <c r="BN462" i="5"/>
  <c r="BM462" i="5"/>
  <c r="BN357" i="5"/>
  <c r="BM357" i="5"/>
  <c r="BN547" i="5"/>
  <c r="BM547" i="5"/>
  <c r="BM470" i="5"/>
  <c r="BN470" i="5"/>
  <c r="BN55" i="5"/>
  <c r="BM55" i="5"/>
  <c r="BM379" i="5"/>
  <c r="BN379" i="5"/>
  <c r="BM195" i="5"/>
  <c r="BN195" i="5"/>
  <c r="BM180" i="5"/>
  <c r="BN180" i="5"/>
  <c r="BM12" i="5"/>
  <c r="BN12" i="5"/>
  <c r="BN452" i="5"/>
  <c r="BM452" i="5"/>
  <c r="BK313" i="5"/>
  <c r="BJ313" i="5"/>
  <c r="BK384" i="5"/>
  <c r="BJ384" i="5"/>
  <c r="BN77" i="5"/>
  <c r="BM77" i="5"/>
  <c r="BN281" i="5"/>
  <c r="BM281" i="5"/>
  <c r="BN559" i="5"/>
  <c r="BM559" i="5"/>
  <c r="BN518" i="5"/>
  <c r="BM518" i="5"/>
  <c r="BM248" i="5"/>
  <c r="BN248" i="5"/>
  <c r="BM282" i="5"/>
  <c r="BN282" i="5"/>
  <c r="BN428" i="5"/>
  <c r="BM428" i="5"/>
  <c r="BM170" i="5"/>
  <c r="BN170" i="5"/>
  <c r="AA16" i="4"/>
  <c r="BJ64" i="5"/>
  <c r="BK64" i="5"/>
  <c r="BK326" i="5"/>
  <c r="BJ326" i="5"/>
  <c r="BN83" i="5"/>
  <c r="BM83" i="5"/>
  <c r="BN386" i="5"/>
  <c r="BM386" i="5"/>
  <c r="BM315" i="5"/>
  <c r="BN315" i="5"/>
  <c r="BM200" i="5"/>
  <c r="BN200" i="5"/>
  <c r="BM414" i="5"/>
  <c r="BN414" i="5"/>
  <c r="BN117" i="5"/>
  <c r="BM117" i="5"/>
  <c r="BM62" i="5"/>
  <c r="BN62" i="5"/>
  <c r="BM358" i="5"/>
  <c r="BN358" i="5"/>
  <c r="BN272" i="5"/>
  <c r="BM272" i="5"/>
  <c r="BM431" i="5"/>
  <c r="BN431" i="5"/>
  <c r="BM365" i="5"/>
  <c r="BN365" i="5"/>
  <c r="BN558" i="5"/>
  <c r="BM558" i="5"/>
  <c r="BN293" i="5"/>
  <c r="BM293" i="5"/>
  <c r="BN466" i="5"/>
  <c r="BM466" i="5"/>
  <c r="BN161" i="5"/>
  <c r="BM161" i="5"/>
  <c r="BM23" i="5"/>
  <c r="BN23" i="5"/>
  <c r="BM384" i="5"/>
  <c r="BN384" i="5"/>
  <c r="BN202" i="5"/>
  <c r="BM202" i="5"/>
  <c r="BN227" i="5"/>
  <c r="BM227" i="5"/>
  <c r="BN404" i="5"/>
  <c r="BM404" i="5"/>
  <c r="BN334" i="5"/>
  <c r="BM334" i="5"/>
  <c r="BM85" i="5"/>
  <c r="BN85" i="5"/>
  <c r="BM505" i="5"/>
  <c r="BN505" i="5"/>
  <c r="BM296" i="5"/>
  <c r="BN296" i="5"/>
  <c r="BN529" i="5"/>
  <c r="BM529" i="5"/>
  <c r="BN154" i="5"/>
  <c r="BM154" i="5"/>
  <c r="BJ127" i="5"/>
  <c r="BK127" i="5"/>
  <c r="BM327" i="5"/>
  <c r="BN327" i="5"/>
  <c r="BM376" i="5"/>
  <c r="BN376" i="5"/>
  <c r="BM419" i="5"/>
  <c r="BN419" i="5"/>
  <c r="BM31" i="5"/>
  <c r="BN31" i="5"/>
  <c r="BN517" i="5"/>
  <c r="BM517" i="5"/>
  <c r="BM106" i="5"/>
  <c r="BN106" i="5"/>
  <c r="BM416" i="5"/>
  <c r="BN416" i="5"/>
  <c r="BN295" i="5"/>
  <c r="BM295" i="5"/>
  <c r="BM543" i="5"/>
  <c r="BN543" i="5"/>
  <c r="BM423" i="5"/>
  <c r="BN423" i="5"/>
  <c r="BN168" i="5"/>
  <c r="BM168" i="5"/>
  <c r="U11" i="5"/>
  <c r="V11" i="5"/>
  <c r="BM160" i="5"/>
  <c r="BN160" i="5"/>
  <c r="BM415" i="5"/>
  <c r="BN415" i="5"/>
  <c r="BM311" i="5"/>
  <c r="BN311" i="5"/>
  <c r="BM275" i="5"/>
  <c r="BN275" i="5"/>
  <c r="BM45" i="5"/>
  <c r="BN45" i="5"/>
  <c r="BN549" i="5"/>
  <c r="BM549" i="5"/>
  <c r="AA18" i="4"/>
  <c r="BM199" i="5"/>
  <c r="BN199" i="5"/>
  <c r="BK84" i="5"/>
  <c r="BJ84" i="5"/>
  <c r="BN352" i="5"/>
  <c r="BM352" i="5"/>
  <c r="BM175" i="5"/>
  <c r="BN175" i="5"/>
  <c r="BM506" i="5"/>
  <c r="BN506" i="5"/>
  <c r="BN152" i="5"/>
  <c r="BM152" i="5"/>
  <c r="BN92" i="5"/>
  <c r="BM92" i="5"/>
  <c r="BN273" i="5"/>
  <c r="BM273" i="5"/>
  <c r="BM467" i="5"/>
  <c r="BN467" i="5"/>
  <c r="BM80" i="5"/>
  <c r="BN80" i="5"/>
  <c r="BK441" i="5"/>
  <c r="BJ441" i="5"/>
  <c r="BK38" i="5"/>
  <c r="BJ38" i="5"/>
  <c r="BN307" i="5"/>
  <c r="BM307" i="5"/>
  <c r="BN93" i="5"/>
  <c r="BM93" i="5"/>
  <c r="BN220" i="5"/>
  <c r="BM220" i="5"/>
  <c r="BN498" i="5"/>
  <c r="BM498" i="5"/>
  <c r="BN508" i="5"/>
  <c r="BM508" i="5"/>
  <c r="BM7" i="5"/>
  <c r="BO7" i="5" s="1"/>
  <c r="BN7" i="5"/>
  <c r="BP7" i="5" s="1"/>
  <c r="BM297" i="5"/>
  <c r="BN297" i="5"/>
  <c r="BN47" i="5"/>
  <c r="BM47" i="5"/>
  <c r="BM226" i="5"/>
  <c r="BN226" i="5"/>
  <c r="BN213" i="5"/>
  <c r="BM213" i="5"/>
  <c r="AO59" i="4" l="1"/>
  <c r="AU59" i="4" s="1"/>
  <c r="AW59" i="4" s="1"/>
  <c r="AO71" i="4"/>
  <c r="AU71" i="4" s="1"/>
  <c r="AW71" i="4" s="1"/>
  <c r="AK14" i="4"/>
  <c r="AL14" i="4" s="1"/>
  <c r="AO14" i="4" s="1"/>
  <c r="AA14" i="4"/>
  <c r="AQ14" i="4" s="1"/>
  <c r="AC56" i="4"/>
  <c r="AD56" i="4" s="1"/>
  <c r="AP56" i="4"/>
  <c r="AU94" i="4"/>
  <c r="AW94" i="4" s="1"/>
  <c r="AO138" i="4"/>
  <c r="AO134" i="4"/>
  <c r="AU134" i="4" s="1"/>
  <c r="AW134" i="4" s="1"/>
  <c r="AP64" i="4"/>
  <c r="AO46" i="4"/>
  <c r="AC64" i="4"/>
  <c r="AD64" i="4" s="1"/>
  <c r="AJ64" i="4"/>
  <c r="AQ38" i="4"/>
  <c r="AK10" i="4"/>
  <c r="AL10" i="4" s="1"/>
  <c r="AO10" i="4" s="1"/>
  <c r="AA10" i="4"/>
  <c r="AQ10" i="4" s="1"/>
  <c r="AP38" i="4"/>
  <c r="AC47" i="4"/>
  <c r="AD47" i="4" s="1"/>
  <c r="AQ43" i="4"/>
  <c r="AO22" i="4"/>
  <c r="AU130" i="4"/>
  <c r="AW130" i="4" s="1"/>
  <c r="AK12" i="4"/>
  <c r="AL12" i="4" s="1"/>
  <c r="AO12" i="4" s="1"/>
  <c r="AA12" i="4"/>
  <c r="AP12" i="4" s="1"/>
  <c r="AK64" i="4"/>
  <c r="AL64" i="4" s="1"/>
  <c r="AO64" i="4" s="1"/>
  <c r="AJ107" i="4"/>
  <c r="AK107" i="4"/>
  <c r="AL107" i="4" s="1"/>
  <c r="AO107" i="4" s="1"/>
  <c r="AO47" i="4"/>
  <c r="AP123" i="4"/>
  <c r="AU115" i="4"/>
  <c r="AW115" i="4" s="1"/>
  <c r="AO56" i="4"/>
  <c r="AQ107" i="4"/>
  <c r="AP47" i="4"/>
  <c r="BJ319" i="5"/>
  <c r="BO319" i="5" s="1"/>
  <c r="AJ48" i="4"/>
  <c r="AU49" i="4"/>
  <c r="AW49" i="4" s="1"/>
  <c r="AA7" i="4"/>
  <c r="AP7" i="4" s="1"/>
  <c r="AK7" i="4"/>
  <c r="AL7" i="4" s="1"/>
  <c r="AO7" i="4" s="1"/>
  <c r="AC123" i="4"/>
  <c r="AD123" i="4" s="1"/>
  <c r="AP79" i="4"/>
  <c r="AA8" i="4"/>
  <c r="AC8" i="4" s="1"/>
  <c r="AD8" i="4" s="1"/>
  <c r="AK34" i="4"/>
  <c r="AL34" i="4" s="1"/>
  <c r="AO34" i="4" s="1"/>
  <c r="AK8" i="4"/>
  <c r="AL8" i="4" s="1"/>
  <c r="AO8" i="4" s="1"/>
  <c r="AP34" i="4"/>
  <c r="AQ34" i="4"/>
  <c r="AJ34" i="4"/>
  <c r="AJ72" i="4"/>
  <c r="AK72" i="4"/>
  <c r="AL72" i="4" s="1"/>
  <c r="AO72" i="4" s="1"/>
  <c r="AO36" i="4"/>
  <c r="AK48" i="4"/>
  <c r="AL48" i="4" s="1"/>
  <c r="AO48" i="4" s="1"/>
  <c r="AC48" i="4"/>
  <c r="AD48" i="4" s="1"/>
  <c r="AP48" i="4"/>
  <c r="AU155" i="4"/>
  <c r="AW155" i="4" s="1"/>
  <c r="AC72" i="4"/>
  <c r="AD72" i="4" s="1"/>
  <c r="AO133" i="4"/>
  <c r="AU133" i="4" s="1"/>
  <c r="AW133" i="4" s="1"/>
  <c r="AP72" i="4"/>
  <c r="AO123" i="4"/>
  <c r="AQ25" i="4"/>
  <c r="AK79" i="4"/>
  <c r="AL79" i="4" s="1"/>
  <c r="AO79" i="4" s="1"/>
  <c r="AJ79" i="4"/>
  <c r="AK20" i="4"/>
  <c r="AL20" i="4" s="1"/>
  <c r="AO20" i="4" s="1"/>
  <c r="AQ79" i="4"/>
  <c r="AA20" i="4"/>
  <c r="AC20" i="4" s="1"/>
  <c r="AD20" i="4" s="1"/>
  <c r="AU141" i="4"/>
  <c r="AW141" i="4" s="1"/>
  <c r="AU153" i="4"/>
  <c r="AW153" i="4" s="1"/>
  <c r="AU148" i="4"/>
  <c r="AW148" i="4" s="1"/>
  <c r="AJ25" i="4"/>
  <c r="AK25" i="4"/>
  <c r="AL25" i="4" s="1"/>
  <c r="AO25" i="4" s="1"/>
  <c r="AP25" i="4"/>
  <c r="AP107" i="4"/>
  <c r="AK43" i="4"/>
  <c r="AL43" i="4" s="1"/>
  <c r="AO43" i="4" s="1"/>
  <c r="AP43" i="4"/>
  <c r="AJ43" i="4"/>
  <c r="AU110" i="4"/>
  <c r="AW110" i="4" s="1"/>
  <c r="AP147" i="4"/>
  <c r="AC147" i="4"/>
  <c r="AD147" i="4" s="1"/>
  <c r="BO127" i="5"/>
  <c r="AK152" i="4"/>
  <c r="AL152" i="4" s="1"/>
  <c r="AO152" i="4" s="1"/>
  <c r="BP147" i="5"/>
  <c r="AQ81" i="4"/>
  <c r="AC81" i="4"/>
  <c r="AD81" i="4" s="1"/>
  <c r="AA152" i="4"/>
  <c r="AU109" i="4"/>
  <c r="AW109" i="4" s="1"/>
  <c r="AA93" i="4"/>
  <c r="AK93" i="4"/>
  <c r="AL93" i="4" s="1"/>
  <c r="AO93" i="4" s="1"/>
  <c r="AJ93" i="4"/>
  <c r="AQ37" i="4"/>
  <c r="AP37" i="4"/>
  <c r="BK424" i="5"/>
  <c r="BP424" i="5" s="1"/>
  <c r="BJ387" i="5"/>
  <c r="BO387" i="5" s="1"/>
  <c r="BJ217" i="5"/>
  <c r="BO217" i="5" s="1"/>
  <c r="BK267" i="5"/>
  <c r="BP267" i="5" s="1"/>
  <c r="AQ70" i="4"/>
  <c r="BO137" i="5"/>
  <c r="BP64" i="5"/>
  <c r="BP191" i="5"/>
  <c r="BP26" i="5"/>
  <c r="AC69" i="4"/>
  <c r="AD69" i="4" s="1"/>
  <c r="AP69" i="4"/>
  <c r="AQ41" i="4"/>
  <c r="AC41" i="4"/>
  <c r="AD41" i="4" s="1"/>
  <c r="BP542" i="5"/>
  <c r="BP240" i="5"/>
  <c r="BO38" i="5"/>
  <c r="BP116" i="5"/>
  <c r="BJ199" i="5"/>
  <c r="BO199" i="5" s="1"/>
  <c r="BK36" i="5"/>
  <c r="BP36" i="5" s="1"/>
  <c r="BK106" i="5"/>
  <c r="BP106" i="5" s="1"/>
  <c r="BJ216" i="5"/>
  <c r="BO216" i="5" s="1"/>
  <c r="BJ238" i="5"/>
  <c r="BO238" i="5" s="1"/>
  <c r="AP70" i="4"/>
  <c r="BJ263" i="5"/>
  <c r="BO263" i="5" s="1"/>
  <c r="BK444" i="5"/>
  <c r="BP444" i="5" s="1"/>
  <c r="AP51" i="4"/>
  <c r="AQ52" i="4"/>
  <c r="BJ80" i="5"/>
  <c r="BO80" i="5" s="1"/>
  <c r="BJ379" i="5"/>
  <c r="BO379" i="5" s="1"/>
  <c r="AP52" i="4"/>
  <c r="BK142" i="5"/>
  <c r="BP142" i="5" s="1"/>
  <c r="BP515" i="5"/>
  <c r="BO448" i="5"/>
  <c r="BP541" i="5"/>
  <c r="BP145" i="5"/>
  <c r="BP192" i="5"/>
  <c r="AC57" i="4"/>
  <c r="AD57" i="4" s="1"/>
  <c r="BP441" i="5"/>
  <c r="BP84" i="5"/>
  <c r="AP57" i="4"/>
  <c r="BP127" i="5"/>
  <c r="BP368" i="5"/>
  <c r="BK86" i="5"/>
  <c r="BP86" i="5" s="1"/>
  <c r="BJ436" i="5"/>
  <c r="BO436" i="5" s="1"/>
  <c r="BP158" i="5"/>
  <c r="BK546" i="5"/>
  <c r="BP546" i="5" s="1"/>
  <c r="BK237" i="5"/>
  <c r="BP237" i="5" s="1"/>
  <c r="AU66" i="4"/>
  <c r="AW66" i="4" s="1"/>
  <c r="BK274" i="5"/>
  <c r="BP274" i="5" s="1"/>
  <c r="BJ508" i="5"/>
  <c r="BO508" i="5" s="1"/>
  <c r="BO487" i="5"/>
  <c r="BP448" i="5"/>
  <c r="BO140" i="5"/>
  <c r="BO378" i="5"/>
  <c r="BP268" i="5"/>
  <c r="BP214" i="5"/>
  <c r="BP394" i="5"/>
  <c r="BP235" i="5"/>
  <c r="BP350" i="5"/>
  <c r="BP257" i="5"/>
  <c r="BP137" i="5"/>
  <c r="BO120" i="5"/>
  <c r="BO26" i="5"/>
  <c r="BO144" i="5"/>
  <c r="BO207" i="5"/>
  <c r="BO542" i="5"/>
  <c r="BO237" i="5"/>
  <c r="BO345" i="5"/>
  <c r="BO429" i="5"/>
  <c r="BO427" i="5"/>
  <c r="BO192" i="5"/>
  <c r="BP10" i="5"/>
  <c r="BO35" i="5"/>
  <c r="BP251" i="5"/>
  <c r="BO546" i="5"/>
  <c r="BP317" i="5"/>
  <c r="BO354" i="5"/>
  <c r="BP38" i="5"/>
  <c r="BO245" i="5"/>
  <c r="BK144" i="5"/>
  <c r="BP144" i="5" s="1"/>
  <c r="BJ539" i="5"/>
  <c r="BO539" i="5" s="1"/>
  <c r="BK390" i="5"/>
  <c r="BP390" i="5" s="1"/>
  <c r="BK245" i="5"/>
  <c r="BP245" i="5" s="1"/>
  <c r="AU65" i="4"/>
  <c r="AW65" i="4" s="1"/>
  <c r="BK437" i="5"/>
  <c r="BP437" i="5" s="1"/>
  <c r="BK499" i="5"/>
  <c r="BP499" i="5" s="1"/>
  <c r="BK378" i="5"/>
  <c r="BP378" i="5" s="1"/>
  <c r="BM9" i="5"/>
  <c r="AU157" i="4"/>
  <c r="AW157" i="4" s="1"/>
  <c r="BJ250" i="5"/>
  <c r="BO250" i="5" s="1"/>
  <c r="BJ201" i="5"/>
  <c r="BO201" i="5" s="1"/>
  <c r="BJ305" i="5"/>
  <c r="BO305" i="5" s="1"/>
  <c r="BJ344" i="5"/>
  <c r="BO344" i="5" s="1"/>
  <c r="BJ193" i="5"/>
  <c r="BO193" i="5" s="1"/>
  <c r="BK197" i="5"/>
  <c r="BP197" i="5" s="1"/>
  <c r="BJ108" i="5"/>
  <c r="BO108" i="5" s="1"/>
  <c r="BK298" i="5"/>
  <c r="BP298" i="5" s="1"/>
  <c r="BJ360" i="5"/>
  <c r="BO360" i="5" s="1"/>
  <c r="BJ347" i="5"/>
  <c r="BO347" i="5" s="1"/>
  <c r="BJ479" i="5"/>
  <c r="BO479" i="5" s="1"/>
  <c r="BJ359" i="5"/>
  <c r="BO359" i="5" s="1"/>
  <c r="BJ492" i="5"/>
  <c r="BO492" i="5" s="1"/>
  <c r="BK558" i="5"/>
  <c r="BP558" i="5" s="1"/>
  <c r="BK117" i="5"/>
  <c r="BP117" i="5" s="1"/>
  <c r="BK518" i="5"/>
  <c r="BP518" i="5" s="1"/>
  <c r="BK167" i="5"/>
  <c r="BP167" i="5" s="1"/>
  <c r="BJ128" i="5"/>
  <c r="BO128" i="5" s="1"/>
  <c r="BK414" i="5"/>
  <c r="BP414" i="5" s="1"/>
  <c r="BJ235" i="5"/>
  <c r="BO235" i="5" s="1"/>
  <c r="BJ503" i="5"/>
  <c r="BO503" i="5" s="1"/>
  <c r="AU82" i="4"/>
  <c r="AW82" i="4" s="1"/>
  <c r="AU111" i="4"/>
  <c r="AW111" i="4" s="1"/>
  <c r="BJ9" i="5"/>
  <c r="BK354" i="5"/>
  <c r="BP354" i="5" s="1"/>
  <c r="AU142" i="4"/>
  <c r="AW142" i="4" s="1"/>
  <c r="BJ115" i="5"/>
  <c r="BO115" i="5" s="1"/>
  <c r="BK338" i="5"/>
  <c r="BP338" i="5" s="1"/>
  <c r="BJ214" i="5"/>
  <c r="BO214" i="5" s="1"/>
  <c r="BK516" i="5"/>
  <c r="BP516" i="5" s="1"/>
  <c r="BJ42" i="5"/>
  <c r="BO42" i="5" s="1"/>
  <c r="BK90" i="5"/>
  <c r="BP90" i="5" s="1"/>
  <c r="BK345" i="5"/>
  <c r="BP345" i="5" s="1"/>
  <c r="BJ535" i="5"/>
  <c r="BO535" i="5" s="1"/>
  <c r="BK429" i="5"/>
  <c r="BP429" i="5" s="1"/>
  <c r="BK484" i="5"/>
  <c r="BP484" i="5" s="1"/>
  <c r="BK408" i="5"/>
  <c r="BP408" i="5" s="1"/>
  <c r="BK170" i="5"/>
  <c r="BP170" i="5" s="1"/>
  <c r="BJ335" i="5"/>
  <c r="BO335" i="5" s="1"/>
  <c r="BJ227" i="5"/>
  <c r="BO227" i="5" s="1"/>
  <c r="BJ393" i="5"/>
  <c r="BO393" i="5" s="1"/>
  <c r="BJ136" i="5"/>
  <c r="BO136" i="5" s="1"/>
  <c r="BJ339" i="5"/>
  <c r="BO339" i="5" s="1"/>
  <c r="BK311" i="5"/>
  <c r="BP311" i="5" s="1"/>
  <c r="BJ165" i="5"/>
  <c r="BO165" i="5" s="1"/>
  <c r="BJ291" i="5"/>
  <c r="BO291" i="5" s="1"/>
  <c r="BK547" i="5"/>
  <c r="BP547" i="5" s="1"/>
  <c r="BK385" i="5"/>
  <c r="BP385" i="5" s="1"/>
  <c r="BK489" i="5"/>
  <c r="BP489" i="5" s="1"/>
  <c r="BK174" i="5"/>
  <c r="BP174" i="5" s="1"/>
  <c r="BK306" i="5"/>
  <c r="BP306" i="5" s="1"/>
  <c r="BJ317" i="5"/>
  <c r="BO317" i="5" s="1"/>
  <c r="AQ154" i="4"/>
  <c r="AP154" i="4"/>
  <c r="BJ483" i="5"/>
  <c r="BO483" i="5" s="1"/>
  <c r="BK488" i="5"/>
  <c r="BP488" i="5" s="1"/>
  <c r="AU78" i="4"/>
  <c r="AW78" i="4" s="1"/>
  <c r="AQ51" i="4"/>
  <c r="AP143" i="4"/>
  <c r="AC143" i="4"/>
  <c r="AD143" i="4" s="1"/>
  <c r="BK224" i="5"/>
  <c r="BP224" i="5" s="1"/>
  <c r="AC11" i="4"/>
  <c r="AD11" i="4" s="1"/>
  <c r="BK50" i="5"/>
  <c r="BP50" i="5" s="1"/>
  <c r="BJ374" i="5"/>
  <c r="BO374" i="5" s="1"/>
  <c r="AQ11" i="4"/>
  <c r="BJ251" i="5"/>
  <c r="BO251" i="5" s="1"/>
  <c r="BJ394" i="5"/>
  <c r="BO394" i="5" s="1"/>
  <c r="AP118" i="4"/>
  <c r="AP61" i="4"/>
  <c r="AC61" i="4"/>
  <c r="AD61" i="4" s="1"/>
  <c r="BO499" i="5"/>
  <c r="BO390" i="5"/>
  <c r="BK346" i="5"/>
  <c r="BP346" i="5" s="1"/>
  <c r="BP81" i="5"/>
  <c r="BP250" i="5"/>
  <c r="BO437" i="5"/>
  <c r="AU83" i="4"/>
  <c r="AW83" i="4" s="1"/>
  <c r="BK82" i="5"/>
  <c r="BP82" i="5" s="1"/>
  <c r="BO268" i="5"/>
  <c r="BP291" i="5"/>
  <c r="BJ161" i="5"/>
  <c r="BO161" i="5" s="1"/>
  <c r="BO478" i="5"/>
  <c r="BK381" i="5"/>
  <c r="BP381" i="5" s="1"/>
  <c r="BO544" i="5"/>
  <c r="BJ501" i="5"/>
  <c r="BO501" i="5" s="1"/>
  <c r="BJ95" i="5"/>
  <c r="BO95" i="5" s="1"/>
  <c r="BK517" i="5"/>
  <c r="BP517" i="5" s="1"/>
  <c r="BP201" i="5"/>
  <c r="BO400" i="5"/>
  <c r="BO464" i="5"/>
  <c r="BO145" i="5"/>
  <c r="AQ139" i="4"/>
  <c r="AP139" i="4"/>
  <c r="AQ87" i="4"/>
  <c r="AP87" i="4"/>
  <c r="AC87" i="4"/>
  <c r="AD87" i="4" s="1"/>
  <c r="BJ47" i="5"/>
  <c r="BO47" i="5" s="1"/>
  <c r="AU62" i="4"/>
  <c r="AW62" i="4" s="1"/>
  <c r="AQ120" i="4"/>
  <c r="AC120" i="4"/>
  <c r="AD120" i="4" s="1"/>
  <c r="AC125" i="4"/>
  <c r="AD125" i="4" s="1"/>
  <c r="AP125" i="4"/>
  <c r="AC118" i="4"/>
  <c r="AD118" i="4" s="1"/>
  <c r="BJ49" i="5"/>
  <c r="BO49" i="5" s="1"/>
  <c r="BK400" i="5"/>
  <c r="BP400" i="5" s="1"/>
  <c r="BJ495" i="5"/>
  <c r="BO495" i="5" s="1"/>
  <c r="BJ89" i="5"/>
  <c r="BO89" i="5" s="1"/>
  <c r="BJ131" i="5"/>
  <c r="BO131" i="5" s="1"/>
  <c r="AC68" i="4"/>
  <c r="AD68" i="4" s="1"/>
  <c r="BO468" i="5"/>
  <c r="BO338" i="5"/>
  <c r="BP139" i="5"/>
  <c r="BO343" i="5"/>
  <c r="BP302" i="5"/>
  <c r="AQ103" i="4"/>
  <c r="AC103" i="4"/>
  <c r="AD103" i="4" s="1"/>
  <c r="BP164" i="5"/>
  <c r="BP258" i="5"/>
  <c r="BP300" i="5"/>
  <c r="BO413" i="5"/>
  <c r="BP39" i="5"/>
  <c r="BO138" i="5"/>
  <c r="BP54" i="5"/>
  <c r="BP433" i="5"/>
  <c r="BO469" i="5"/>
  <c r="BO450" i="5"/>
  <c r="BO363" i="5"/>
  <c r="BP241" i="5"/>
  <c r="BP465" i="5"/>
  <c r="BP512" i="5"/>
  <c r="BO284" i="5"/>
  <c r="BO52" i="5"/>
  <c r="AC149" i="4"/>
  <c r="AD149" i="4" s="1"/>
  <c r="AQ149" i="4"/>
  <c r="AP149" i="4"/>
  <c r="BP384" i="5"/>
  <c r="BP554" i="5"/>
  <c r="BO67" i="5"/>
  <c r="BP97" i="5"/>
  <c r="AP103" i="4"/>
  <c r="AP68" i="4"/>
  <c r="AQ144" i="4"/>
  <c r="AC144" i="4"/>
  <c r="AD144" i="4" s="1"/>
  <c r="AP144" i="4"/>
  <c r="BO304" i="5"/>
  <c r="BO256" i="5"/>
  <c r="BP19" i="5"/>
  <c r="BK556" i="5"/>
  <c r="BP556" i="5" s="1"/>
  <c r="BK198" i="5"/>
  <c r="BP198" i="5" s="1"/>
  <c r="BK468" i="5"/>
  <c r="BP468" i="5" s="1"/>
  <c r="BJ320" i="5"/>
  <c r="BO320" i="5" s="1"/>
  <c r="BK343" i="5"/>
  <c r="BP343" i="5" s="1"/>
  <c r="BJ302" i="5"/>
  <c r="BO302" i="5" s="1"/>
  <c r="BJ107" i="5"/>
  <c r="BO107" i="5" s="1"/>
  <c r="BJ152" i="5"/>
  <c r="BO152" i="5" s="1"/>
  <c r="BJ139" i="5"/>
  <c r="BO139" i="5" s="1"/>
  <c r="BJ293" i="5"/>
  <c r="BO293" i="5" s="1"/>
  <c r="BJ168" i="5"/>
  <c r="BO168" i="5" s="1"/>
  <c r="AU126" i="4"/>
  <c r="AW126" i="4" s="1"/>
  <c r="AP19" i="4"/>
  <c r="BK296" i="5"/>
  <c r="BP296" i="5" s="1"/>
  <c r="BJ537" i="5"/>
  <c r="BO537" i="5" s="1"/>
  <c r="AU33" i="4"/>
  <c r="AW33" i="4" s="1"/>
  <c r="BJ456" i="5"/>
  <c r="BO456" i="5" s="1"/>
  <c r="BJ525" i="5"/>
  <c r="BO525" i="5" s="1"/>
  <c r="BJ91" i="5"/>
  <c r="BO91" i="5" s="1"/>
  <c r="BK514" i="5"/>
  <c r="BP514" i="5" s="1"/>
  <c r="BJ554" i="5"/>
  <c r="BO554" i="5" s="1"/>
  <c r="AU117" i="4"/>
  <c r="AW117" i="4" s="1"/>
  <c r="AU137" i="4"/>
  <c r="AW137" i="4" s="1"/>
  <c r="BK51" i="5"/>
  <c r="BP51" i="5" s="1"/>
  <c r="BJ30" i="5"/>
  <c r="BO30" i="5" s="1"/>
  <c r="BK244" i="5"/>
  <c r="BP244" i="5" s="1"/>
  <c r="BJ496" i="5"/>
  <c r="BO496" i="5" s="1"/>
  <c r="AU96" i="4"/>
  <c r="AW96" i="4" s="1"/>
  <c r="BJ149" i="5"/>
  <c r="BO149" i="5" s="1"/>
  <c r="AP17" i="4"/>
  <c r="BJ97" i="5"/>
  <c r="BO97" i="5" s="1"/>
  <c r="AC17" i="4"/>
  <c r="AD17" i="4" s="1"/>
  <c r="BJ549" i="5"/>
  <c r="BO549" i="5" s="1"/>
  <c r="AU91" i="4"/>
  <c r="AW91" i="4" s="1"/>
  <c r="AU104" i="4"/>
  <c r="AW104" i="4" s="1"/>
  <c r="BK176" i="5"/>
  <c r="BP176" i="5" s="1"/>
  <c r="BJ39" i="5"/>
  <c r="BO39" i="5" s="1"/>
  <c r="BK327" i="5"/>
  <c r="BP327" i="5" s="1"/>
  <c r="BJ164" i="5"/>
  <c r="BO164" i="5" s="1"/>
  <c r="BK462" i="5"/>
  <c r="BP462" i="5" s="1"/>
  <c r="BJ372" i="5"/>
  <c r="BO372" i="5" s="1"/>
  <c r="AU124" i="4"/>
  <c r="AW124" i="4" s="1"/>
  <c r="AC55" i="4"/>
  <c r="AD55" i="4" s="1"/>
  <c r="BJ300" i="5"/>
  <c r="BO300" i="5" s="1"/>
  <c r="BJ258" i="5"/>
  <c r="BO258" i="5" s="1"/>
  <c r="AP55" i="4"/>
  <c r="BK413" i="5"/>
  <c r="BP413" i="5" s="1"/>
  <c r="AC19" i="4"/>
  <c r="AD19" i="4" s="1"/>
  <c r="BK340" i="5"/>
  <c r="BP340" i="5" s="1"/>
  <c r="BK447" i="5"/>
  <c r="BP447" i="5" s="1"/>
  <c r="AU156" i="4"/>
  <c r="AW156" i="4" s="1"/>
  <c r="BK177" i="5"/>
  <c r="BP177" i="5" s="1"/>
  <c r="BJ532" i="5"/>
  <c r="BO532" i="5" s="1"/>
  <c r="BJ54" i="5"/>
  <c r="BO54" i="5" s="1"/>
  <c r="AU24" i="4"/>
  <c r="AW24" i="4" s="1"/>
  <c r="BJ71" i="5"/>
  <c r="BO71" i="5" s="1"/>
  <c r="BK469" i="5"/>
  <c r="BP469" i="5" s="1"/>
  <c r="BJ521" i="5"/>
  <c r="BO521" i="5" s="1"/>
  <c r="BK545" i="5"/>
  <c r="BP545" i="5" s="1"/>
  <c r="BK138" i="5"/>
  <c r="BP138" i="5" s="1"/>
  <c r="BJ420" i="5"/>
  <c r="BO420" i="5" s="1"/>
  <c r="BJ72" i="5"/>
  <c r="BO72" i="5" s="1"/>
  <c r="BJ213" i="5"/>
  <c r="BO213" i="5" s="1"/>
  <c r="BJ433" i="5"/>
  <c r="BO433" i="5" s="1"/>
  <c r="BJ520" i="5"/>
  <c r="BO520" i="5" s="1"/>
  <c r="BK316" i="5"/>
  <c r="BP316" i="5" s="1"/>
  <c r="BJ446" i="5"/>
  <c r="BO446" i="5" s="1"/>
  <c r="BJ471" i="5"/>
  <c r="BO471" i="5" s="1"/>
  <c r="BK105" i="5"/>
  <c r="BP105" i="5" s="1"/>
  <c r="BJ66" i="5"/>
  <c r="BO66" i="5" s="1"/>
  <c r="AU108" i="4"/>
  <c r="AW108" i="4" s="1"/>
  <c r="BJ44" i="5"/>
  <c r="BO44" i="5" s="1"/>
  <c r="BK500" i="5"/>
  <c r="BP500" i="5" s="1"/>
  <c r="BK67" i="5"/>
  <c r="BP67" i="5" s="1"/>
  <c r="BK466" i="5"/>
  <c r="BP466" i="5" s="1"/>
  <c r="BK253" i="5"/>
  <c r="BP253" i="5" s="1"/>
  <c r="BJ226" i="5"/>
  <c r="BO226" i="5" s="1"/>
  <c r="BJ75" i="5"/>
  <c r="BO75" i="5" s="1"/>
  <c r="BK284" i="5"/>
  <c r="BP284" i="5" s="1"/>
  <c r="BK98" i="5"/>
  <c r="BP98" i="5" s="1"/>
  <c r="BK491" i="5"/>
  <c r="BP491" i="5" s="1"/>
  <c r="BJ63" i="5"/>
  <c r="BO63" i="5" s="1"/>
  <c r="BK450" i="5"/>
  <c r="BP450" i="5" s="1"/>
  <c r="BK363" i="5"/>
  <c r="BP363" i="5" s="1"/>
  <c r="BJ241" i="5"/>
  <c r="BO241" i="5" s="1"/>
  <c r="BJ361" i="5"/>
  <c r="BO361" i="5" s="1"/>
  <c r="BK281" i="5"/>
  <c r="BP281" i="5" s="1"/>
  <c r="BJ512" i="5"/>
  <c r="BO512" i="5" s="1"/>
  <c r="BK443" i="5"/>
  <c r="BP443" i="5" s="1"/>
  <c r="BK52" i="5"/>
  <c r="BP52" i="5" s="1"/>
  <c r="BJ288" i="5"/>
  <c r="BO288" i="5" s="1"/>
  <c r="BK218" i="5"/>
  <c r="BP218" i="5" s="1"/>
  <c r="BJ465" i="5"/>
  <c r="BO465" i="5" s="1"/>
  <c r="BJ373" i="5"/>
  <c r="BO373" i="5" s="1"/>
  <c r="BP464" i="5"/>
  <c r="BO73" i="5"/>
  <c r="BP313" i="5"/>
  <c r="BP120" i="5"/>
  <c r="BP30" i="5"/>
  <c r="BO418" i="5"/>
  <c r="BP331" i="5"/>
  <c r="BP113" i="5"/>
  <c r="BO40" i="5"/>
  <c r="BO441" i="5"/>
  <c r="BP367" i="5"/>
  <c r="BO428" i="5"/>
  <c r="BP501" i="5"/>
  <c r="BP131" i="5"/>
  <c r="BO316" i="5"/>
  <c r="BP182" i="5"/>
  <c r="BO98" i="5"/>
  <c r="BO324" i="5"/>
  <c r="BO105" i="5"/>
  <c r="BP49" i="5"/>
  <c r="BJ19" i="5"/>
  <c r="BO19" i="5" s="1"/>
  <c r="AU95" i="4"/>
  <c r="AW95" i="4" s="1"/>
  <c r="AU76" i="4"/>
  <c r="AW76" i="4" s="1"/>
  <c r="AU40" i="4"/>
  <c r="AW40" i="4" s="1"/>
  <c r="BK219" i="5"/>
  <c r="BP219" i="5" s="1"/>
  <c r="AU106" i="4"/>
  <c r="AW106" i="4" s="1"/>
  <c r="BJ295" i="5"/>
  <c r="BO295" i="5" s="1"/>
  <c r="AU98" i="4"/>
  <c r="AW98" i="4" s="1"/>
  <c r="AU53" i="4"/>
  <c r="AW53" i="4" s="1"/>
  <c r="BK356" i="5"/>
  <c r="BP356" i="5" s="1"/>
  <c r="BK458" i="5"/>
  <c r="BP458" i="5" s="1"/>
  <c r="BJ310" i="5"/>
  <c r="BO310" i="5" s="1"/>
  <c r="BK256" i="5"/>
  <c r="BP256" i="5" s="1"/>
  <c r="BK328" i="5"/>
  <c r="BP328" i="5" s="1"/>
  <c r="BJ232" i="5"/>
  <c r="BO232" i="5" s="1"/>
  <c r="AU26" i="4"/>
  <c r="AW26" i="4" s="1"/>
  <c r="BJ331" i="5"/>
  <c r="BO331" i="5" s="1"/>
  <c r="BJ68" i="5"/>
  <c r="BO68" i="5" s="1"/>
  <c r="BK418" i="5"/>
  <c r="BP418" i="5" s="1"/>
  <c r="BK229" i="5"/>
  <c r="BP229" i="5" s="1"/>
  <c r="BJ485" i="5"/>
  <c r="BO485" i="5" s="1"/>
  <c r="BK73" i="5"/>
  <c r="BP73" i="5" s="1"/>
  <c r="BK55" i="5"/>
  <c r="BP55" i="5" s="1"/>
  <c r="BJ463" i="5"/>
  <c r="BO463" i="5" s="1"/>
  <c r="AC90" i="4"/>
  <c r="AD90" i="4" s="1"/>
  <c r="AU85" i="4"/>
  <c r="AW85" i="4" s="1"/>
  <c r="AU140" i="4"/>
  <c r="AW140" i="4" s="1"/>
  <c r="AU73" i="4"/>
  <c r="AW73" i="4" s="1"/>
  <c r="BJ248" i="5"/>
  <c r="BO248" i="5" s="1"/>
  <c r="BK336" i="5"/>
  <c r="BP336" i="5" s="1"/>
  <c r="BJ109" i="5"/>
  <c r="BO109" i="5" s="1"/>
  <c r="BK341" i="5"/>
  <c r="BP341" i="5" s="1"/>
  <c r="BJ85" i="5"/>
  <c r="BO85" i="5" s="1"/>
  <c r="AU100" i="4"/>
  <c r="AW100" i="4" s="1"/>
  <c r="BK254" i="5"/>
  <c r="BP254" i="5" s="1"/>
  <c r="BK162" i="5"/>
  <c r="BP162" i="5" s="1"/>
  <c r="BJ416" i="5"/>
  <c r="BO416" i="5" s="1"/>
  <c r="BJ194" i="5"/>
  <c r="BO194" i="5" s="1"/>
  <c r="BK275" i="5"/>
  <c r="BP275" i="5" s="1"/>
  <c r="BJ221" i="5"/>
  <c r="BO221" i="5" s="1"/>
  <c r="BK428" i="5"/>
  <c r="BP428" i="5" s="1"/>
  <c r="BK371" i="5"/>
  <c r="BP371" i="5" s="1"/>
  <c r="AU74" i="4"/>
  <c r="AW74" i="4" s="1"/>
  <c r="BJ367" i="5"/>
  <c r="BO367" i="5" s="1"/>
  <c r="BJ222" i="5"/>
  <c r="BO222" i="5" s="1"/>
  <c r="AP90" i="4"/>
  <c r="BP163" i="5"/>
  <c r="BP326" i="5"/>
  <c r="BP165" i="5"/>
  <c r="BO350" i="5"/>
  <c r="BP349" i="5"/>
  <c r="BJ113" i="5"/>
  <c r="BO113" i="5" s="1"/>
  <c r="BP551" i="5"/>
  <c r="BP422" i="5"/>
  <c r="BP453" i="5"/>
  <c r="BP362" i="5"/>
  <c r="BP111" i="5"/>
  <c r="BP44" i="5"/>
  <c r="BP217" i="5"/>
  <c r="BP309" i="5"/>
  <c r="BP269" i="5"/>
  <c r="BO260" i="5"/>
  <c r="BO421" i="5"/>
  <c r="BP215" i="5"/>
  <c r="AP102" i="4"/>
  <c r="AC119" i="4"/>
  <c r="AD119" i="4" s="1"/>
  <c r="AQ119" i="4"/>
  <c r="BP427" i="5"/>
  <c r="BO556" i="5"/>
  <c r="BO90" i="5"/>
  <c r="BO239" i="5"/>
  <c r="AQ146" i="4"/>
  <c r="AC146" i="4"/>
  <c r="AD146" i="4" s="1"/>
  <c r="AP146" i="4"/>
  <c r="BO514" i="5"/>
  <c r="BO313" i="5"/>
  <c r="BK160" i="5"/>
  <c r="BP160" i="5" s="1"/>
  <c r="BO259" i="5"/>
  <c r="BP232" i="5"/>
  <c r="BO371" i="5"/>
  <c r="BO500" i="5"/>
  <c r="BO275" i="5"/>
  <c r="BP221" i="5"/>
  <c r="BO118" i="5"/>
  <c r="BO197" i="5"/>
  <c r="BP8" i="5"/>
  <c r="BP108" i="5"/>
  <c r="BP432" i="5"/>
  <c r="BP532" i="5"/>
  <c r="BP58" i="5"/>
  <c r="BJ365" i="5"/>
  <c r="BO365" i="5" s="1"/>
  <c r="BP208" i="5"/>
  <c r="BO548" i="5"/>
  <c r="AQ84" i="4"/>
  <c r="AC84" i="4"/>
  <c r="AD84" i="4" s="1"/>
  <c r="AP84" i="4"/>
  <c r="BO282" i="5"/>
  <c r="BP207" i="5"/>
  <c r="BO158" i="5"/>
  <c r="BP372" i="5"/>
  <c r="BP527" i="5"/>
  <c r="BO426" i="5"/>
  <c r="AQ121" i="4"/>
  <c r="AC121" i="4"/>
  <c r="AD121" i="4" s="1"/>
  <c r="AP121" i="4"/>
  <c r="BO86" i="5"/>
  <c r="BO274" i="5"/>
  <c r="BP63" i="5"/>
  <c r="BJ357" i="5"/>
  <c r="BO357" i="5" s="1"/>
  <c r="BP246" i="5"/>
  <c r="BP234" i="5"/>
  <c r="BO491" i="5"/>
  <c r="AC102" i="4"/>
  <c r="AD102" i="4" s="1"/>
  <c r="AU97" i="4"/>
  <c r="AW97" i="4" s="1"/>
  <c r="AU99" i="4"/>
  <c r="AW99" i="4" s="1"/>
  <c r="BJ395" i="5"/>
  <c r="BO395" i="5" s="1"/>
  <c r="BJ163" i="5"/>
  <c r="BO163" i="5" s="1"/>
  <c r="BK40" i="5"/>
  <c r="BP40" i="5" s="1"/>
  <c r="BK506" i="5"/>
  <c r="BP506" i="5" s="1"/>
  <c r="BK324" i="5"/>
  <c r="BP324" i="5" s="1"/>
  <c r="BK498" i="5"/>
  <c r="BP498" i="5" s="1"/>
  <c r="AU129" i="4"/>
  <c r="AW129" i="4" s="1"/>
  <c r="AU150" i="4"/>
  <c r="AW150" i="4" s="1"/>
  <c r="AU88" i="4"/>
  <c r="AW88" i="4" s="1"/>
  <c r="BK497" i="5"/>
  <c r="BP497" i="5" s="1"/>
  <c r="AU151" i="4"/>
  <c r="AW151" i="4" s="1"/>
  <c r="BJ475" i="5"/>
  <c r="BO475" i="5" s="1"/>
  <c r="BK273" i="5"/>
  <c r="BP273" i="5" s="1"/>
  <c r="BK209" i="5"/>
  <c r="BP209" i="5" s="1"/>
  <c r="AQ136" i="4"/>
  <c r="AP136" i="4"/>
  <c r="AC136" i="4"/>
  <c r="AD136" i="4" s="1"/>
  <c r="AC77" i="4"/>
  <c r="AD77" i="4" s="1"/>
  <c r="AQ77" i="4"/>
  <c r="AP77" i="4"/>
  <c r="BP115" i="5"/>
  <c r="BP47" i="5"/>
  <c r="BK548" i="5"/>
  <c r="BP548" i="5" s="1"/>
  <c r="BJ215" i="5"/>
  <c r="BO215" i="5" s="1"/>
  <c r="BK126" i="5"/>
  <c r="BP126" i="5" s="1"/>
  <c r="BO409" i="5"/>
  <c r="BO443" i="5"/>
  <c r="BP503" i="5"/>
  <c r="BP487" i="5"/>
  <c r="BP107" i="5"/>
  <c r="BK531" i="5"/>
  <c r="BP531" i="5" s="1"/>
  <c r="BP263" i="5"/>
  <c r="BO490" i="5"/>
  <c r="BO188" i="5"/>
  <c r="BP310" i="5"/>
  <c r="BO533" i="5"/>
  <c r="BP173" i="5"/>
  <c r="BO493" i="5"/>
  <c r="BP187" i="5"/>
  <c r="BP79" i="5"/>
  <c r="BP99" i="5"/>
  <c r="BP190" i="5"/>
  <c r="BP101" i="5"/>
  <c r="BP88" i="5"/>
  <c r="BO524" i="5"/>
  <c r="BO369" i="5"/>
  <c r="BP337" i="5"/>
  <c r="BP262" i="5"/>
  <c r="BO150" i="5"/>
  <c r="BP374" i="5"/>
  <c r="AC145" i="4"/>
  <c r="AD145" i="4" s="1"/>
  <c r="AQ145" i="4"/>
  <c r="AP145" i="4"/>
  <c r="BO64" i="5"/>
  <c r="BP24" i="5"/>
  <c r="BP402" i="5"/>
  <c r="BO174" i="5"/>
  <c r="BP91" i="5"/>
  <c r="BO151" i="5"/>
  <c r="BO28" i="5"/>
  <c r="BP157" i="5"/>
  <c r="BP166" i="5"/>
  <c r="BO169" i="5"/>
  <c r="BP509" i="5"/>
  <c r="BO459" i="5"/>
  <c r="BO219" i="5"/>
  <c r="BO249" i="5"/>
  <c r="BP504" i="5"/>
  <c r="BP69" i="5"/>
  <c r="BO407" i="5"/>
  <c r="BO252" i="5"/>
  <c r="BP270" i="5"/>
  <c r="BO440" i="5"/>
  <c r="BO61" i="5"/>
  <c r="BO336" i="5"/>
  <c r="BO342" i="5"/>
  <c r="AQ101" i="4"/>
  <c r="AC101" i="4"/>
  <c r="AD101" i="4" s="1"/>
  <c r="AP101" i="4"/>
  <c r="BP238" i="5"/>
  <c r="BP130" i="5"/>
  <c r="BO34" i="5"/>
  <c r="BO51" i="5"/>
  <c r="BJ220" i="5"/>
  <c r="BO220" i="5" s="1"/>
  <c r="BP399" i="5"/>
  <c r="BO474" i="5"/>
  <c r="BO526" i="5"/>
  <c r="BP13" i="5"/>
  <c r="BP389" i="5"/>
  <c r="BO410" i="5"/>
  <c r="BO332" i="5"/>
  <c r="BO290" i="5"/>
  <c r="BO178" i="5"/>
  <c r="BP222" i="5"/>
  <c r="BP194" i="5"/>
  <c r="AC122" i="4"/>
  <c r="AD122" i="4" s="1"/>
  <c r="AP122" i="4"/>
  <c r="AQ122" i="4"/>
  <c r="AC131" i="4"/>
  <c r="AD131" i="4" s="1"/>
  <c r="AQ131" i="4"/>
  <c r="AP131" i="4"/>
  <c r="BP109" i="5"/>
  <c r="BO424" i="5"/>
  <c r="BP34" i="5"/>
  <c r="BP539" i="5"/>
  <c r="BP544" i="5"/>
  <c r="BJ422" i="5"/>
  <c r="BO422" i="5" s="1"/>
  <c r="BO246" i="5"/>
  <c r="BP335" i="5"/>
  <c r="BK180" i="5"/>
  <c r="BP180" i="5" s="1"/>
  <c r="BP189" i="5"/>
  <c r="BO100" i="5"/>
  <c r="BP401" i="5"/>
  <c r="BO534" i="5"/>
  <c r="BP507" i="5"/>
  <c r="BO536" i="5"/>
  <c r="BO403" i="5"/>
  <c r="BO206" i="5"/>
  <c r="BO425" i="5"/>
  <c r="BP22" i="5"/>
  <c r="BP29" i="5"/>
  <c r="AQ60" i="4"/>
  <c r="AC60" i="4"/>
  <c r="AD60" i="4" s="1"/>
  <c r="AP60" i="4"/>
  <c r="AP80" i="4"/>
  <c r="AC80" i="4"/>
  <c r="AD80" i="4" s="1"/>
  <c r="AQ80" i="4"/>
  <c r="AQ75" i="4"/>
  <c r="AC75" i="4"/>
  <c r="AD75" i="4" s="1"/>
  <c r="AP75" i="4"/>
  <c r="AQ128" i="4"/>
  <c r="AC128" i="4"/>
  <c r="AD128" i="4" s="1"/>
  <c r="AP128" i="4"/>
  <c r="BO489" i="5"/>
  <c r="BO488" i="5"/>
  <c r="BJ208" i="5"/>
  <c r="BO208" i="5" s="1"/>
  <c r="BJ111" i="5"/>
  <c r="BO111" i="5" s="1"/>
  <c r="BO218" i="5"/>
  <c r="BP395" i="5"/>
  <c r="BP479" i="5"/>
  <c r="BJ43" i="5"/>
  <c r="BO43" i="5" s="1"/>
  <c r="BP537" i="5"/>
  <c r="BK203" i="5"/>
  <c r="BP203" i="5" s="1"/>
  <c r="BO538" i="5"/>
  <c r="BP95" i="5"/>
  <c r="BO473" i="5"/>
  <c r="BO528" i="5"/>
  <c r="BP159" i="5"/>
  <c r="BO353" i="5"/>
  <c r="BP502" i="5"/>
  <c r="BO179" i="5"/>
  <c r="BO557" i="5"/>
  <c r="BO553" i="5"/>
  <c r="BO155" i="5"/>
  <c r="BP148" i="5"/>
  <c r="BO285" i="5"/>
  <c r="BO299" i="5"/>
  <c r="BO552" i="5"/>
  <c r="BO59" i="5"/>
  <c r="BO230" i="5"/>
  <c r="BO21" i="5"/>
  <c r="AP58" i="4"/>
  <c r="AC58" i="4"/>
  <c r="AD58" i="4" s="1"/>
  <c r="AQ58" i="4"/>
  <c r="AQ138" i="4"/>
  <c r="AP138" i="4"/>
  <c r="AC138" i="4"/>
  <c r="AD138" i="4" s="1"/>
  <c r="AQ112" i="4"/>
  <c r="AP112" i="4"/>
  <c r="AC112" i="4"/>
  <c r="AD112" i="4" s="1"/>
  <c r="AP86" i="4"/>
  <c r="AC86" i="4"/>
  <c r="AD86" i="4" s="1"/>
  <c r="AQ86" i="4"/>
  <c r="BP66" i="5"/>
  <c r="BO84" i="5"/>
  <c r="BK421" i="5"/>
  <c r="BP421" i="5" s="1"/>
  <c r="BJ362" i="5"/>
  <c r="BO362" i="5" s="1"/>
  <c r="BJ269" i="5"/>
  <c r="BO269" i="5" s="1"/>
  <c r="BP9" i="5"/>
  <c r="BK260" i="5"/>
  <c r="BP260" i="5" s="1"/>
  <c r="BO177" i="5"/>
  <c r="BP463" i="5"/>
  <c r="BO340" i="5"/>
  <c r="BJ453" i="5"/>
  <c r="BO453" i="5" s="1"/>
  <c r="BO460" i="5"/>
  <c r="BO240" i="5"/>
  <c r="BP379" i="5"/>
  <c r="BP457" i="5"/>
  <c r="BP560" i="5"/>
  <c r="BP171" i="5"/>
  <c r="BP555" i="5"/>
  <c r="BP323" i="5"/>
  <c r="BO233" i="5"/>
  <c r="BP123" i="5"/>
  <c r="BP286" i="5"/>
  <c r="BO121" i="5"/>
  <c r="BP276" i="5"/>
  <c r="BO497" i="5"/>
  <c r="BO209" i="5"/>
  <c r="AC89" i="4"/>
  <c r="AD89" i="4" s="1"/>
  <c r="AQ89" i="4"/>
  <c r="AP89" i="4"/>
  <c r="AQ116" i="4"/>
  <c r="AC116" i="4"/>
  <c r="AD116" i="4" s="1"/>
  <c r="AP116" i="4"/>
  <c r="AC105" i="4"/>
  <c r="AD105" i="4" s="1"/>
  <c r="AQ105" i="4"/>
  <c r="AP105" i="4"/>
  <c r="BP485" i="5"/>
  <c r="BO484" i="5"/>
  <c r="BP149" i="5"/>
  <c r="BO254" i="5"/>
  <c r="BP521" i="5"/>
  <c r="BO176" i="5"/>
  <c r="BP397" i="5"/>
  <c r="AU135" i="4"/>
  <c r="AW135" i="4" s="1"/>
  <c r="BP247" i="5"/>
  <c r="BO283" i="5"/>
  <c r="BO223" i="5"/>
  <c r="BO417" i="5"/>
  <c r="BP322" i="5"/>
  <c r="BP375" i="5"/>
  <c r="BP48" i="5"/>
  <c r="BP228" i="5"/>
  <c r="BP196" i="5"/>
  <c r="BO280" i="5"/>
  <c r="BP513" i="5"/>
  <c r="BP482" i="5"/>
  <c r="BP486" i="5"/>
  <c r="BP261" i="5"/>
  <c r="BO318" i="5"/>
  <c r="AC113" i="4"/>
  <c r="AD113" i="4" s="1"/>
  <c r="AQ113" i="4"/>
  <c r="AP113" i="4"/>
  <c r="AC132" i="4"/>
  <c r="AD132" i="4" s="1"/>
  <c r="AQ132" i="4"/>
  <c r="AP132" i="4"/>
  <c r="AQ92" i="4"/>
  <c r="AP92" i="4"/>
  <c r="AC92" i="4"/>
  <c r="AD92" i="4" s="1"/>
  <c r="AQ114" i="4"/>
  <c r="AP114" i="4"/>
  <c r="AC114" i="4"/>
  <c r="AD114" i="4" s="1"/>
  <c r="AP127" i="4"/>
  <c r="AC127" i="4"/>
  <c r="AD127" i="4" s="1"/>
  <c r="AQ127" i="4"/>
  <c r="BK386" i="5"/>
  <c r="BP386" i="5" s="1"/>
  <c r="BJ125" i="5"/>
  <c r="BO125" i="5" s="1"/>
  <c r="BK230" i="5"/>
  <c r="BP230" i="5" s="1"/>
  <c r="BK21" i="5"/>
  <c r="BP21" i="5" s="1"/>
  <c r="BJ454" i="5"/>
  <c r="BO454" i="5" s="1"/>
  <c r="BJ297" i="5"/>
  <c r="BO297" i="5" s="1"/>
  <c r="BJ276" i="5"/>
  <c r="BO276" i="5" s="1"/>
  <c r="BK178" i="5"/>
  <c r="BP178" i="5" s="1"/>
  <c r="BK364" i="5"/>
  <c r="BP364" i="5" s="1"/>
  <c r="AU31" i="4"/>
  <c r="AW31" i="4" s="1"/>
  <c r="BK451" i="5"/>
  <c r="BP451" i="5" s="1"/>
  <c r="BK150" i="5"/>
  <c r="BP150" i="5" s="1"/>
  <c r="BK53" i="5"/>
  <c r="BP53" i="5" s="1"/>
  <c r="BJ262" i="5"/>
  <c r="BO262" i="5" s="1"/>
  <c r="BJ337" i="5"/>
  <c r="BO337" i="5" s="1"/>
  <c r="BJ412" i="5"/>
  <c r="BO412" i="5" s="1"/>
  <c r="BJ101" i="5"/>
  <c r="BO101" i="5" s="1"/>
  <c r="BJ382" i="5"/>
  <c r="BO382" i="5" s="1"/>
  <c r="BK455" i="5"/>
  <c r="BP455" i="5" s="1"/>
  <c r="BK290" i="5"/>
  <c r="BP290" i="5" s="1"/>
  <c r="BJ555" i="5"/>
  <c r="BO555" i="5" s="1"/>
  <c r="BJ132" i="5"/>
  <c r="BO132" i="5" s="1"/>
  <c r="BJ231" i="5"/>
  <c r="BO231" i="5" s="1"/>
  <c r="BK536" i="5"/>
  <c r="BP536" i="5" s="1"/>
  <c r="BK100" i="5"/>
  <c r="BP100" i="5" s="1"/>
  <c r="AU28" i="4"/>
  <c r="AW28" i="4" s="1"/>
  <c r="BJ29" i="5"/>
  <c r="BO29" i="5" s="1"/>
  <c r="BJ22" i="5"/>
  <c r="BO22" i="5" s="1"/>
  <c r="BK57" i="5"/>
  <c r="BP57" i="5" s="1"/>
  <c r="BK329" i="5"/>
  <c r="BP329" i="5" s="1"/>
  <c r="BK83" i="5"/>
  <c r="BP83" i="5" s="1"/>
  <c r="BJ511" i="5"/>
  <c r="BO511" i="5" s="1"/>
  <c r="BJ452" i="5"/>
  <c r="BO452" i="5" s="1"/>
  <c r="BK56" i="5"/>
  <c r="BP56" i="5" s="1"/>
  <c r="BK239" i="5"/>
  <c r="BP239" i="5" s="1"/>
  <c r="BK118" i="5"/>
  <c r="BP118" i="5" s="1"/>
  <c r="BK277" i="5"/>
  <c r="BP277" i="5" s="1"/>
  <c r="BK205" i="5"/>
  <c r="BP205" i="5" s="1"/>
  <c r="BJ23" i="5"/>
  <c r="BO23" i="5" s="1"/>
  <c r="BJ104" i="5"/>
  <c r="BO104" i="5" s="1"/>
  <c r="BK93" i="5"/>
  <c r="BP93" i="5" s="1"/>
  <c r="BJ278" i="5"/>
  <c r="BO278" i="5" s="1"/>
  <c r="BJ286" i="5"/>
  <c r="BO286" i="5" s="1"/>
  <c r="BK155" i="5"/>
  <c r="BP155" i="5" s="1"/>
  <c r="BK121" i="5"/>
  <c r="BP121" i="5" s="1"/>
  <c r="BK285" i="5"/>
  <c r="BP285" i="5" s="1"/>
  <c r="BJ502" i="5"/>
  <c r="BO502" i="5" s="1"/>
  <c r="BK415" i="5"/>
  <c r="BP415" i="5" s="1"/>
  <c r="BK553" i="5"/>
  <c r="BP553" i="5" s="1"/>
  <c r="BJ529" i="5"/>
  <c r="BO529" i="5" s="1"/>
  <c r="BK318" i="5"/>
  <c r="BP318" i="5" s="1"/>
  <c r="BJ486" i="5"/>
  <c r="BO486" i="5" s="1"/>
  <c r="BJ261" i="5"/>
  <c r="BO261" i="5" s="1"/>
  <c r="BJ481" i="5"/>
  <c r="BO481" i="5" s="1"/>
  <c r="BJ322" i="5"/>
  <c r="BO322" i="5" s="1"/>
  <c r="BJ200" i="5"/>
  <c r="BO200" i="5" s="1"/>
  <c r="BJ69" i="5"/>
  <c r="BO69" i="5" s="1"/>
  <c r="BK342" i="5"/>
  <c r="BP342" i="5" s="1"/>
  <c r="BK440" i="5"/>
  <c r="BP440" i="5" s="1"/>
  <c r="BK301" i="5"/>
  <c r="BP301" i="5" s="1"/>
  <c r="BJ190" i="5"/>
  <c r="BO190" i="5" s="1"/>
  <c r="BJ187" i="5"/>
  <c r="BO187" i="5" s="1"/>
  <c r="BK156" i="5"/>
  <c r="BP156" i="5" s="1"/>
  <c r="BJ186" i="5"/>
  <c r="BO186" i="5" s="1"/>
  <c r="BJ79" i="5"/>
  <c r="BO79" i="5" s="1"/>
  <c r="BJ202" i="5"/>
  <c r="BO202" i="5" s="1"/>
  <c r="BK255" i="5"/>
  <c r="BP255" i="5" s="1"/>
  <c r="BK533" i="5"/>
  <c r="BP533" i="5" s="1"/>
  <c r="BK524" i="5"/>
  <c r="BP524" i="5" s="1"/>
  <c r="BK376" i="5"/>
  <c r="BP376" i="5" s="1"/>
  <c r="BK493" i="5"/>
  <c r="BP493" i="5" s="1"/>
  <c r="BK369" i="5"/>
  <c r="BP369" i="5" s="1"/>
  <c r="BJ99" i="5"/>
  <c r="BO99" i="5" s="1"/>
  <c r="BJ88" i="5"/>
  <c r="BO88" i="5" s="1"/>
  <c r="BK380" i="5"/>
  <c r="BP380" i="5" s="1"/>
  <c r="BK523" i="5"/>
  <c r="BP523" i="5" s="1"/>
  <c r="BJ540" i="5"/>
  <c r="BO540" i="5" s="1"/>
  <c r="BK552" i="5"/>
  <c r="BP552" i="5" s="1"/>
  <c r="BK59" i="5"/>
  <c r="BP59" i="5" s="1"/>
  <c r="BK185" i="5"/>
  <c r="BP185" i="5" s="1"/>
  <c r="BJ148" i="5"/>
  <c r="BO148" i="5" s="1"/>
  <c r="BK473" i="5"/>
  <c r="BP473" i="5" s="1"/>
  <c r="BJ33" i="5"/>
  <c r="BO33" i="5" s="1"/>
  <c r="BK179" i="5"/>
  <c r="BP179" i="5" s="1"/>
  <c r="BK236" i="5"/>
  <c r="BP236" i="5" s="1"/>
  <c r="BJ212" i="5"/>
  <c r="BO212" i="5" s="1"/>
  <c r="BK299" i="5"/>
  <c r="BP299" i="5" s="1"/>
  <c r="BK404" i="5"/>
  <c r="BP404" i="5" s="1"/>
  <c r="BK353" i="5"/>
  <c r="BP353" i="5" s="1"/>
  <c r="BJ112" i="5"/>
  <c r="BO112" i="5" s="1"/>
  <c r="BK557" i="5"/>
  <c r="BP557" i="5" s="1"/>
  <c r="BK87" i="5"/>
  <c r="BP87" i="5" s="1"/>
  <c r="BK154" i="5"/>
  <c r="BP154" i="5" s="1"/>
  <c r="BJ181" i="5"/>
  <c r="BO181" i="5" s="1"/>
  <c r="BK65" i="5"/>
  <c r="BP65" i="5" s="1"/>
  <c r="BK366" i="5"/>
  <c r="BP366" i="5" s="1"/>
  <c r="BK534" i="5"/>
  <c r="BP534" i="5" s="1"/>
  <c r="BK431" i="5"/>
  <c r="BP431" i="5" s="1"/>
  <c r="BK425" i="5"/>
  <c r="BP425" i="5" s="1"/>
  <c r="BK470" i="5"/>
  <c r="BP470" i="5" s="1"/>
  <c r="BK206" i="5"/>
  <c r="BP206" i="5" s="1"/>
  <c r="BJ507" i="5"/>
  <c r="BO507" i="5" s="1"/>
  <c r="BJ401" i="5"/>
  <c r="BO401" i="5" s="1"/>
  <c r="BK403" i="5"/>
  <c r="BP403" i="5" s="1"/>
  <c r="BJ76" i="5"/>
  <c r="BO76" i="5" s="1"/>
  <c r="BJ184" i="5"/>
  <c r="BO184" i="5" s="1"/>
  <c r="BJ334" i="5"/>
  <c r="BO334" i="5" s="1"/>
  <c r="BJ375" i="5"/>
  <c r="BO375" i="5" s="1"/>
  <c r="BJ321" i="5"/>
  <c r="BO321" i="5" s="1"/>
  <c r="BJ377" i="5"/>
  <c r="BO377" i="5" s="1"/>
  <c r="BJ32" i="5"/>
  <c r="BO32" i="5" s="1"/>
  <c r="BK61" i="5"/>
  <c r="BP61" i="5" s="1"/>
  <c r="BK314" i="5"/>
  <c r="BP314" i="5" s="1"/>
  <c r="BK510" i="5"/>
  <c r="BP510" i="5" s="1"/>
  <c r="BJ406" i="5"/>
  <c r="BO406" i="5" s="1"/>
  <c r="BK352" i="5"/>
  <c r="BP352" i="5" s="1"/>
  <c r="BJ504" i="5"/>
  <c r="BO504" i="5" s="1"/>
  <c r="BJ445" i="5"/>
  <c r="BO445" i="5" s="1"/>
  <c r="BJ94" i="5"/>
  <c r="BO94" i="5" s="1"/>
  <c r="BJ157" i="5"/>
  <c r="BO157" i="5" s="1"/>
  <c r="BK459" i="5"/>
  <c r="BP459" i="5" s="1"/>
  <c r="BK252" i="5"/>
  <c r="BP252" i="5" s="1"/>
  <c r="BK332" i="5"/>
  <c r="BP332" i="5" s="1"/>
  <c r="BK410" i="5"/>
  <c r="BP410" i="5" s="1"/>
  <c r="BJ110" i="5"/>
  <c r="BO110" i="5" s="1"/>
  <c r="BK169" i="5"/>
  <c r="BP169" i="5" s="1"/>
  <c r="BK62" i="5"/>
  <c r="BP62" i="5" s="1"/>
  <c r="BK407" i="5"/>
  <c r="BP407" i="5" s="1"/>
  <c r="BJ308" i="5"/>
  <c r="BO308" i="5" s="1"/>
  <c r="BJ204" i="5"/>
  <c r="BO204" i="5" s="1"/>
  <c r="BJ270" i="5"/>
  <c r="BO270" i="5" s="1"/>
  <c r="BJ25" i="5"/>
  <c r="BO25" i="5" s="1"/>
  <c r="BK474" i="5"/>
  <c r="BP474" i="5" s="1"/>
  <c r="BJ389" i="5"/>
  <c r="BO389" i="5" s="1"/>
  <c r="BK242" i="5"/>
  <c r="BP242" i="5" s="1"/>
  <c r="BJ509" i="5"/>
  <c r="BO509" i="5" s="1"/>
  <c r="BK312" i="5"/>
  <c r="BP312" i="5" s="1"/>
  <c r="BJ550" i="5"/>
  <c r="BO550" i="5" s="1"/>
  <c r="BJ166" i="5"/>
  <c r="BO166" i="5" s="1"/>
  <c r="BK28" i="5"/>
  <c r="BP28" i="5" s="1"/>
  <c r="BK249" i="5"/>
  <c r="BP249" i="5" s="1"/>
  <c r="BJ211" i="5"/>
  <c r="BO211" i="5" s="1"/>
  <c r="BK526" i="5"/>
  <c r="BP526" i="5" s="1"/>
  <c r="BJ307" i="5"/>
  <c r="BO307" i="5" s="1"/>
  <c r="BJ279" i="5"/>
  <c r="BO279" i="5" s="1"/>
  <c r="BK143" i="5"/>
  <c r="BP143" i="5" s="1"/>
  <c r="BK129" i="5"/>
  <c r="BP129" i="5" s="1"/>
  <c r="BJ13" i="5"/>
  <c r="BO13" i="5" s="1"/>
  <c r="BJ543" i="5"/>
  <c r="BO543" i="5" s="1"/>
  <c r="BJ272" i="5"/>
  <c r="BO272" i="5" s="1"/>
  <c r="BJ289" i="5"/>
  <c r="BO289" i="5" s="1"/>
  <c r="BJ438" i="5"/>
  <c r="BO438" i="5" s="1"/>
  <c r="BK476" i="5"/>
  <c r="BP476" i="5" s="1"/>
  <c r="BK233" i="5"/>
  <c r="BP233" i="5" s="1"/>
  <c r="BK292" i="5"/>
  <c r="BP292" i="5" s="1"/>
  <c r="BJ323" i="5"/>
  <c r="BO323" i="5" s="1"/>
  <c r="BJ123" i="5"/>
  <c r="BO123" i="5" s="1"/>
  <c r="BK77" i="5"/>
  <c r="BP77" i="5" s="1"/>
  <c r="BJ196" i="5"/>
  <c r="BO196" i="5" s="1"/>
  <c r="BK280" i="5"/>
  <c r="BP280" i="5" s="1"/>
  <c r="BJ333" i="5"/>
  <c r="BO333" i="5" s="1"/>
  <c r="BJ482" i="5"/>
  <c r="BO482" i="5" s="1"/>
  <c r="BJ513" i="5"/>
  <c r="BO513" i="5" s="1"/>
  <c r="BK264" i="5"/>
  <c r="BP264" i="5" s="1"/>
  <c r="AP13" i="4"/>
  <c r="BK426" i="5"/>
  <c r="BP426" i="5" s="1"/>
  <c r="BJ527" i="5"/>
  <c r="BO527" i="5" s="1"/>
  <c r="AC13" i="4"/>
  <c r="AD13" i="4" s="1"/>
  <c r="BK271" i="5"/>
  <c r="BP271" i="5" s="1"/>
  <c r="BJ228" i="5"/>
  <c r="BO228" i="5" s="1"/>
  <c r="BK96" i="5"/>
  <c r="BP96" i="5" s="1"/>
  <c r="BJ351" i="5"/>
  <c r="BO351" i="5" s="1"/>
  <c r="BJ48" i="5"/>
  <c r="BO48" i="5" s="1"/>
  <c r="BK417" i="5"/>
  <c r="BP417" i="5" s="1"/>
  <c r="BJ234" i="5"/>
  <c r="BO234" i="5" s="1"/>
  <c r="AU46" i="4"/>
  <c r="AW46" i="4" s="1"/>
  <c r="BJ265" i="5"/>
  <c r="BO265" i="5" s="1"/>
  <c r="BJ399" i="5"/>
  <c r="BO399" i="5" s="1"/>
  <c r="BK461" i="5"/>
  <c r="BP461" i="5" s="1"/>
  <c r="BJ442" i="5"/>
  <c r="BO442" i="5" s="1"/>
  <c r="AU32" i="4"/>
  <c r="AW32" i="4" s="1"/>
  <c r="BO224" i="5"/>
  <c r="BO498" i="5"/>
  <c r="BP199" i="5"/>
  <c r="BP495" i="5"/>
  <c r="BP282" i="5"/>
  <c r="BO522" i="5"/>
  <c r="BP94" i="5"/>
  <c r="BO352" i="5"/>
  <c r="BP320" i="5"/>
  <c r="BO415" i="5"/>
  <c r="BO106" i="5"/>
  <c r="BO281" i="5"/>
  <c r="BO384" i="5"/>
  <c r="BO455" i="5"/>
  <c r="BO273" i="5"/>
  <c r="BP520" i="5"/>
  <c r="BO264" i="5"/>
  <c r="BP406" i="5"/>
  <c r="BO327" i="5"/>
  <c r="BP168" i="5"/>
  <c r="BP505" i="5"/>
  <c r="BP456" i="5"/>
  <c r="BP23" i="5"/>
  <c r="BO386" i="5"/>
  <c r="BO370" i="5"/>
  <c r="BO77" i="5"/>
  <c r="BP33" i="5"/>
  <c r="BO65" i="5"/>
  <c r="BJ391" i="5"/>
  <c r="BO391" i="5" s="1"/>
  <c r="BK391" i="5"/>
  <c r="BP391" i="5" s="1"/>
  <c r="BO287" i="5"/>
  <c r="BP365" i="5"/>
  <c r="BP359" i="5"/>
  <c r="BO156" i="5"/>
  <c r="BP128" i="5"/>
  <c r="BP392" i="5"/>
  <c r="BO55" i="5"/>
  <c r="BO326" i="5"/>
  <c r="BP161" i="5"/>
  <c r="BO404" i="5"/>
  <c r="BO93" i="5"/>
  <c r="BO470" i="5"/>
  <c r="BP188" i="5"/>
  <c r="BP454" i="5"/>
  <c r="BO154" i="5"/>
  <c r="BP293" i="5"/>
  <c r="BO53" i="5"/>
  <c r="BO467" i="5"/>
  <c r="BP35" i="5"/>
  <c r="BP248" i="5"/>
  <c r="BP297" i="5"/>
  <c r="BP110" i="5"/>
  <c r="BP202" i="5"/>
  <c r="BP529" i="5"/>
  <c r="BO506" i="5"/>
  <c r="BO56" i="5"/>
  <c r="BO114" i="5"/>
  <c r="BP496" i="5"/>
  <c r="BP460" i="5"/>
  <c r="BP467" i="5"/>
  <c r="BP355" i="5"/>
  <c r="BP70" i="5"/>
  <c r="AQ54" i="4"/>
  <c r="AC54" i="4"/>
  <c r="AD54" i="4" s="1"/>
  <c r="AP54" i="4"/>
  <c r="AC50" i="4"/>
  <c r="AD50" i="4" s="1"/>
  <c r="AQ50" i="4"/>
  <c r="AP50" i="4"/>
  <c r="BP387" i="5"/>
  <c r="BP226" i="5"/>
  <c r="BP41" i="5"/>
  <c r="BP68" i="5"/>
  <c r="BP71" i="5"/>
  <c r="BO349" i="5"/>
  <c r="BP78" i="5"/>
  <c r="BP522" i="5"/>
  <c r="BP112" i="5"/>
  <c r="BO267" i="5"/>
  <c r="BP483" i="5"/>
  <c r="BP114" i="5"/>
  <c r="BO309" i="5"/>
  <c r="BP211" i="5"/>
  <c r="BO36" i="5"/>
  <c r="BO518" i="5"/>
  <c r="BO516" i="5"/>
  <c r="BP383" i="5"/>
  <c r="BO103" i="5"/>
  <c r="BP307" i="5"/>
  <c r="BO24" i="5"/>
  <c r="BO477" i="5"/>
  <c r="BO172" i="5"/>
  <c r="BP373" i="5"/>
  <c r="BO439" i="5"/>
  <c r="BO449" i="5"/>
  <c r="BP361" i="5"/>
  <c r="BP279" i="5"/>
  <c r="BO96" i="5"/>
  <c r="BO547" i="5"/>
  <c r="BP80" i="5"/>
  <c r="BP25" i="5"/>
  <c r="BO229" i="5"/>
  <c r="BP438" i="5"/>
  <c r="BO466" i="5"/>
  <c r="BP76" i="5"/>
  <c r="BO523" i="5"/>
  <c r="BP511" i="5"/>
  <c r="BO182" i="5"/>
  <c r="BO328" i="5"/>
  <c r="BP227" i="5"/>
  <c r="BP104" i="5"/>
  <c r="BP538" i="5"/>
  <c r="BP333" i="5"/>
  <c r="BO292" i="5"/>
  <c r="BO385" i="5"/>
  <c r="BO74" i="5"/>
  <c r="BP419" i="5"/>
  <c r="BO92" i="5"/>
  <c r="BO368" i="5"/>
  <c r="BO41" i="5"/>
  <c r="BO160" i="5"/>
  <c r="BO541" i="5"/>
  <c r="BO242" i="5"/>
  <c r="BO78" i="5"/>
  <c r="BO314" i="5"/>
  <c r="BP478" i="5"/>
  <c r="BP231" i="5"/>
  <c r="BO356" i="5"/>
  <c r="BO191" i="5"/>
  <c r="BO366" i="5"/>
  <c r="BP42" i="5"/>
  <c r="BO383" i="5"/>
  <c r="BP216" i="5"/>
  <c r="BP103" i="5"/>
  <c r="BO346" i="5"/>
  <c r="BP75" i="5"/>
  <c r="BP477" i="5"/>
  <c r="BP172" i="5"/>
  <c r="BP265" i="5"/>
  <c r="BP549" i="5"/>
  <c r="BO312" i="5"/>
  <c r="BP439" i="5"/>
  <c r="BP449" i="5"/>
  <c r="BO380" i="5"/>
  <c r="BP357" i="5"/>
  <c r="BP360" i="5"/>
  <c r="BP347" i="5"/>
  <c r="BO348" i="5"/>
  <c r="BP304" i="5"/>
  <c r="BP420" i="5"/>
  <c r="BO205" i="5"/>
  <c r="BP212" i="5"/>
  <c r="BP72" i="5"/>
  <c r="BP398" i="5"/>
  <c r="BO162" i="5"/>
  <c r="BP492" i="5"/>
  <c r="BP434" i="5"/>
  <c r="BP339" i="5"/>
  <c r="BO435" i="5"/>
  <c r="BP153" i="5"/>
  <c r="BP430" i="5"/>
  <c r="BO255" i="5"/>
  <c r="BP225" i="5"/>
  <c r="BO447" i="5"/>
  <c r="BO306" i="5"/>
  <c r="BO376" i="5"/>
  <c r="BP348" i="5"/>
  <c r="BO236" i="5"/>
  <c r="BO329" i="5"/>
  <c r="BP43" i="5"/>
  <c r="BP152" i="5"/>
  <c r="BP445" i="5"/>
  <c r="BO398" i="5"/>
  <c r="BP540" i="5"/>
  <c r="BJ355" i="5"/>
  <c r="BO355" i="5" s="1"/>
  <c r="BO414" i="5"/>
  <c r="BO434" i="5"/>
  <c r="BP213" i="5"/>
  <c r="BP416" i="5"/>
  <c r="BP377" i="5"/>
  <c r="BO325" i="5"/>
  <c r="BO510" i="5"/>
  <c r="BP294" i="5"/>
  <c r="BP494" i="5"/>
  <c r="BO480" i="5"/>
  <c r="BP183" i="5"/>
  <c r="BO141" i="5"/>
  <c r="BO134" i="5"/>
  <c r="BO301" i="5"/>
  <c r="BP60" i="5"/>
  <c r="BO530" i="5"/>
  <c r="BO303" i="5"/>
  <c r="BP135" i="5"/>
  <c r="BP45" i="5"/>
  <c r="BO519" i="5"/>
  <c r="BO341" i="5"/>
  <c r="BO476" i="5"/>
  <c r="BO147" i="5"/>
  <c r="BO82" i="5"/>
  <c r="BP351" i="5"/>
  <c r="BO364" i="5"/>
  <c r="BP411" i="5"/>
  <c r="BP330" i="5"/>
  <c r="BP181" i="5"/>
  <c r="BP132" i="5"/>
  <c r="BO505" i="5"/>
  <c r="BP393" i="5"/>
  <c r="BO167" i="5"/>
  <c r="BO551" i="5"/>
  <c r="BO122" i="5"/>
  <c r="BO381" i="5"/>
  <c r="BO517" i="5"/>
  <c r="BO462" i="5"/>
  <c r="BO143" i="5"/>
  <c r="BO129" i="5"/>
  <c r="BP412" i="5"/>
  <c r="BP20" i="5"/>
  <c r="BP550" i="5"/>
  <c r="BO142" i="5"/>
  <c r="BP140" i="5"/>
  <c r="BP85" i="5"/>
  <c r="BO558" i="5"/>
  <c r="BP31" i="5"/>
  <c r="BO81" i="5"/>
  <c r="BO277" i="5"/>
  <c r="BP334" i="5"/>
  <c r="BO87" i="5"/>
  <c r="BO472" i="5"/>
  <c r="BO27" i="5"/>
  <c r="BP46" i="5"/>
  <c r="BP543" i="5"/>
  <c r="BO203" i="5"/>
  <c r="BP344" i="5"/>
  <c r="BO396" i="5"/>
  <c r="BP195" i="5"/>
  <c r="BP175" i="5"/>
  <c r="BO405" i="5"/>
  <c r="BP272" i="5"/>
  <c r="BP481" i="5"/>
  <c r="BO45" i="5"/>
  <c r="BP519" i="5"/>
  <c r="BP288" i="5"/>
  <c r="BO126" i="5"/>
  <c r="BP436" i="5"/>
  <c r="BO117" i="5"/>
  <c r="BO411" i="5"/>
  <c r="BP452" i="5"/>
  <c r="BP382" i="5"/>
  <c r="BO515" i="5"/>
  <c r="BO444" i="5"/>
  <c r="BO330" i="5"/>
  <c r="BO57" i="5"/>
  <c r="BO244" i="5"/>
  <c r="BP423" i="5"/>
  <c r="BO545" i="5"/>
  <c r="BP122" i="5"/>
  <c r="BO210" i="5"/>
  <c r="BO20" i="5"/>
  <c r="BP321" i="5"/>
  <c r="BO402" i="5"/>
  <c r="BO257" i="5"/>
  <c r="BP535" i="5"/>
  <c r="BO31" i="5"/>
  <c r="BP125" i="5"/>
  <c r="BP472" i="5"/>
  <c r="BO185" i="5"/>
  <c r="BP27" i="5"/>
  <c r="BO46" i="5"/>
  <c r="BO170" i="5"/>
  <c r="BP471" i="5"/>
  <c r="BO180" i="5"/>
  <c r="BP186" i="5"/>
  <c r="BP396" i="5"/>
  <c r="BO458" i="5"/>
  <c r="BP475" i="5"/>
  <c r="BP193" i="5"/>
  <c r="BP308" i="5"/>
  <c r="BP12" i="5"/>
  <c r="BO559" i="5"/>
  <c r="BO133" i="5"/>
  <c r="BP442" i="5"/>
  <c r="BP200" i="5"/>
  <c r="BP319" i="5"/>
  <c r="BO461" i="5"/>
  <c r="BO8" i="5"/>
  <c r="BP259" i="5"/>
  <c r="BO408" i="5"/>
  <c r="BP409" i="5"/>
  <c r="BO432" i="5"/>
  <c r="BO130" i="5"/>
  <c r="BO298" i="5"/>
  <c r="BP278" i="5"/>
  <c r="BO271" i="5"/>
  <c r="BO83" i="5"/>
  <c r="BO311" i="5"/>
  <c r="BO116" i="5"/>
  <c r="BO423" i="5"/>
  <c r="BP204" i="5"/>
  <c r="BO431" i="5"/>
  <c r="BP525" i="5"/>
  <c r="BP32" i="5"/>
  <c r="BO531" i="5"/>
  <c r="BP508" i="5"/>
  <c r="BP210" i="5"/>
  <c r="BP305" i="5"/>
  <c r="BO451" i="5"/>
  <c r="BP295" i="5"/>
  <c r="BP289" i="5"/>
  <c r="BO62" i="5"/>
  <c r="BO58" i="5"/>
  <c r="BP89" i="5"/>
  <c r="BP446" i="5"/>
  <c r="BO253" i="5"/>
  <c r="BO50" i="5"/>
  <c r="BP490" i="5"/>
  <c r="BP136" i="5"/>
  <c r="BP184" i="5"/>
  <c r="BO296" i="5"/>
  <c r="BO198" i="5"/>
  <c r="BP220" i="5"/>
  <c r="BP266" i="5"/>
  <c r="BO315" i="5"/>
  <c r="BO146" i="5"/>
  <c r="BP124" i="5"/>
  <c r="BP243" i="5"/>
  <c r="BP119" i="5"/>
  <c r="BP388" i="5"/>
  <c r="BO358" i="5"/>
  <c r="BP102" i="5"/>
  <c r="AP44" i="4"/>
  <c r="AQ44" i="4"/>
  <c r="AC44" i="4"/>
  <c r="AD44" i="4" s="1"/>
  <c r="BJ70" i="5"/>
  <c r="BO70" i="5" s="1"/>
  <c r="BJ189" i="5"/>
  <c r="BO189" i="5" s="1"/>
  <c r="BJ171" i="5"/>
  <c r="BO171" i="5" s="1"/>
  <c r="BK223" i="5"/>
  <c r="BP223" i="5" s="1"/>
  <c r="BJ560" i="5"/>
  <c r="BO560" i="5" s="1"/>
  <c r="BK283" i="5"/>
  <c r="BP283" i="5" s="1"/>
  <c r="BK146" i="5"/>
  <c r="BP146" i="5" s="1"/>
  <c r="BJ388" i="5"/>
  <c r="BO388" i="5" s="1"/>
  <c r="BJ102" i="5"/>
  <c r="BO102" i="5" s="1"/>
  <c r="BK358" i="5"/>
  <c r="BP358" i="5" s="1"/>
  <c r="BJ243" i="5"/>
  <c r="BO243" i="5" s="1"/>
  <c r="BK134" i="5"/>
  <c r="BP134" i="5" s="1"/>
  <c r="BJ195" i="5"/>
  <c r="BO195" i="5" s="1"/>
  <c r="BJ173" i="5"/>
  <c r="BO173" i="5" s="1"/>
  <c r="BK303" i="5"/>
  <c r="BP303" i="5" s="1"/>
  <c r="BJ60" i="5"/>
  <c r="BO60" i="5" s="1"/>
  <c r="BK141" i="5"/>
  <c r="BP141" i="5" s="1"/>
  <c r="BK480" i="5"/>
  <c r="BP480" i="5" s="1"/>
  <c r="BJ135" i="5"/>
  <c r="BO135" i="5" s="1"/>
  <c r="BJ183" i="5"/>
  <c r="BO183" i="5" s="1"/>
  <c r="BK530" i="5"/>
  <c r="BP530" i="5" s="1"/>
  <c r="BK528" i="5"/>
  <c r="BP528" i="5" s="1"/>
  <c r="BJ159" i="5"/>
  <c r="BO159" i="5" s="1"/>
  <c r="BJ457" i="5"/>
  <c r="BO457" i="5" s="1"/>
  <c r="BK287" i="5"/>
  <c r="BP287" i="5" s="1"/>
  <c r="AQ39" i="4"/>
  <c r="AC39" i="4"/>
  <c r="AD39" i="4" s="1"/>
  <c r="AP39" i="4"/>
  <c r="AQ36" i="4"/>
  <c r="AC36" i="4"/>
  <c r="AD36" i="4" s="1"/>
  <c r="AP36" i="4"/>
  <c r="BJ124" i="5"/>
  <c r="BO124" i="5" s="1"/>
  <c r="AQ35" i="4"/>
  <c r="AP35" i="4"/>
  <c r="AC35" i="4"/>
  <c r="AD35" i="4" s="1"/>
  <c r="BJ119" i="5"/>
  <c r="BO119" i="5" s="1"/>
  <c r="BK370" i="5"/>
  <c r="BP370" i="5" s="1"/>
  <c r="BK315" i="5"/>
  <c r="BP315" i="5" s="1"/>
  <c r="BJ175" i="5"/>
  <c r="BO175" i="5" s="1"/>
  <c r="BJ10" i="5"/>
  <c r="BO10" i="5" s="1"/>
  <c r="BK405" i="5"/>
  <c r="BP405" i="5" s="1"/>
  <c r="AU30" i="4"/>
  <c r="AW30" i="4" s="1"/>
  <c r="BJ12" i="5"/>
  <c r="BO12" i="5" s="1"/>
  <c r="BK133" i="5"/>
  <c r="BP133" i="5" s="1"/>
  <c r="BK559" i="5"/>
  <c r="BP559" i="5" s="1"/>
  <c r="BJ266" i="5"/>
  <c r="BO266" i="5" s="1"/>
  <c r="BK92" i="5"/>
  <c r="BP92" i="5" s="1"/>
  <c r="BK325" i="5"/>
  <c r="BP325" i="5" s="1"/>
  <c r="BK435" i="5"/>
  <c r="BP435" i="5" s="1"/>
  <c r="AP14" i="4"/>
  <c r="BJ294" i="5"/>
  <c r="BO294" i="5" s="1"/>
  <c r="BJ225" i="5"/>
  <c r="BO225" i="5" s="1"/>
  <c r="BJ430" i="5"/>
  <c r="BO430" i="5" s="1"/>
  <c r="BJ397" i="5"/>
  <c r="BO397" i="5" s="1"/>
  <c r="BJ153" i="5"/>
  <c r="BO153" i="5" s="1"/>
  <c r="AC14" i="4"/>
  <c r="AD14" i="4" s="1"/>
  <c r="BJ392" i="5"/>
  <c r="BO392" i="5" s="1"/>
  <c r="BK74" i="5"/>
  <c r="BP74" i="5" s="1"/>
  <c r="BJ247" i="5"/>
  <c r="BO247" i="5" s="1"/>
  <c r="BI11" i="5"/>
  <c r="BK11" i="5" s="1"/>
  <c r="BJ494" i="5"/>
  <c r="BO494" i="5" s="1"/>
  <c r="BK151" i="5"/>
  <c r="BP151" i="5" s="1"/>
  <c r="BJ419" i="5"/>
  <c r="BO419" i="5" s="1"/>
  <c r="AP9" i="4"/>
  <c r="AC9" i="4"/>
  <c r="AD9" i="4" s="1"/>
  <c r="AQ9" i="4"/>
  <c r="AH11" i="5"/>
  <c r="AP15" i="4"/>
  <c r="AC15" i="4"/>
  <c r="AD15" i="4" s="1"/>
  <c r="AQ15" i="4"/>
  <c r="AP29" i="4"/>
  <c r="AQ29" i="4"/>
  <c r="AC29" i="4"/>
  <c r="AD29" i="4" s="1"/>
  <c r="AQ27" i="4"/>
  <c r="AC27" i="4"/>
  <c r="AD27" i="4" s="1"/>
  <c r="AP27" i="4"/>
  <c r="AC23" i="4"/>
  <c r="AD23" i="4" s="1"/>
  <c r="AP23" i="4"/>
  <c r="AQ23" i="4"/>
  <c r="AC18" i="4"/>
  <c r="AD18" i="4" s="1"/>
  <c r="AQ18" i="4"/>
  <c r="AP18" i="4"/>
  <c r="AQ16" i="4"/>
  <c r="AC16" i="4"/>
  <c r="AD16" i="4" s="1"/>
  <c r="AP16" i="4"/>
  <c r="AC22" i="4"/>
  <c r="AD22" i="4" s="1"/>
  <c r="AQ22" i="4"/>
  <c r="AP22" i="4"/>
  <c r="AU11" i="5"/>
  <c r="AT11" i="5"/>
  <c r="BL11" i="5"/>
  <c r="AC21" i="4"/>
  <c r="AD21" i="4" s="1"/>
  <c r="AQ21" i="4"/>
  <c r="AP21" i="4"/>
  <c r="BG11" i="5"/>
  <c r="BH11" i="5"/>
  <c r="AU56" i="4" l="1"/>
  <c r="AW56" i="4" s="1"/>
  <c r="AP10" i="4"/>
  <c r="AQ12" i="4"/>
  <c r="AU38" i="4"/>
  <c r="AW38" i="4" s="1"/>
  <c r="AU64" i="4"/>
  <c r="AW64" i="4" s="1"/>
  <c r="AC10" i="4"/>
  <c r="AD10" i="4" s="1"/>
  <c r="AC12" i="4"/>
  <c r="AD12" i="4" s="1"/>
  <c r="AU47" i="4"/>
  <c r="AW47" i="4" s="1"/>
  <c r="AQ8" i="4"/>
  <c r="AP8" i="4"/>
  <c r="AC7" i="4"/>
  <c r="AD7" i="4" s="1"/>
  <c r="AQ7" i="4"/>
  <c r="AU107" i="4"/>
  <c r="AW107" i="4" s="1"/>
  <c r="AU123" i="4"/>
  <c r="AW123" i="4" s="1"/>
  <c r="AP20" i="4"/>
  <c r="AU48" i="4"/>
  <c r="AW48" i="4" s="1"/>
  <c r="AU34" i="4"/>
  <c r="AW34" i="4" s="1"/>
  <c r="AU79" i="4"/>
  <c r="AW79" i="4" s="1"/>
  <c r="AQ20" i="4"/>
  <c r="AU43" i="4"/>
  <c r="AW43" i="4" s="1"/>
  <c r="AU72" i="4"/>
  <c r="AW72" i="4" s="1"/>
  <c r="AU147" i="4"/>
  <c r="AW147" i="4" s="1"/>
  <c r="AU37" i="4"/>
  <c r="AW37" i="4" s="1"/>
  <c r="AU25" i="4"/>
  <c r="AW25" i="4" s="1"/>
  <c r="AU81" i="4"/>
  <c r="AW81" i="4" s="1"/>
  <c r="AP152" i="4"/>
  <c r="AQ152" i="4"/>
  <c r="AC152" i="4"/>
  <c r="AD152" i="4" s="1"/>
  <c r="AP93" i="4"/>
  <c r="AQ93" i="4"/>
  <c r="AC93" i="4"/>
  <c r="AD93" i="4" s="1"/>
  <c r="BO9" i="5"/>
  <c r="AU70" i="4"/>
  <c r="AW70" i="4" s="1"/>
  <c r="AU41" i="4"/>
  <c r="AW41" i="4" s="1"/>
  <c r="AU69" i="4"/>
  <c r="AW69" i="4" s="1"/>
  <c r="AU52" i="4"/>
  <c r="AW52" i="4" s="1"/>
  <c r="AU51" i="4"/>
  <c r="AW51" i="4" s="1"/>
  <c r="AU57" i="4"/>
  <c r="AW57" i="4" s="1"/>
  <c r="AU68" i="4"/>
  <c r="AW68" i="4" s="1"/>
  <c r="AU154" i="4"/>
  <c r="AW154" i="4" s="1"/>
  <c r="AU11" i="4"/>
  <c r="AW11" i="4" s="1"/>
  <c r="AU143" i="4"/>
  <c r="AW143" i="4" s="1"/>
  <c r="AU61" i="4"/>
  <c r="AW61" i="4" s="1"/>
  <c r="B81" i="5" a="1"/>
  <c r="B81" i="5" s="1"/>
  <c r="B83" i="5" a="1"/>
  <c r="B83" i="5" s="1"/>
  <c r="C83" i="5" a="1"/>
  <c r="C83" i="5" s="1"/>
  <c r="C81" i="5" a="1"/>
  <c r="C81" i="5" s="1"/>
  <c r="C82" i="5" a="1"/>
  <c r="C82" i="5" s="1"/>
  <c r="B82" i="5" a="1"/>
  <c r="B82" i="5" s="1"/>
  <c r="AU118" i="4"/>
  <c r="AW118" i="4" s="1"/>
  <c r="AU139" i="4"/>
  <c r="AW139" i="4" s="1"/>
  <c r="AU17" i="4"/>
  <c r="AW17" i="4" s="1"/>
  <c r="AU120" i="4"/>
  <c r="AW120" i="4" s="1"/>
  <c r="AU87" i="4"/>
  <c r="AW87" i="4" s="1"/>
  <c r="AU125" i="4"/>
  <c r="AW125" i="4" s="1"/>
  <c r="AU19" i="4"/>
  <c r="AW19" i="4" s="1"/>
  <c r="AU103" i="4"/>
  <c r="AW103" i="4" s="1"/>
  <c r="AU144" i="4"/>
  <c r="AW144" i="4" s="1"/>
  <c r="AU149" i="4"/>
  <c r="AW149" i="4" s="1"/>
  <c r="AU55" i="4"/>
  <c r="AW55" i="4" s="1"/>
  <c r="AU90" i="4"/>
  <c r="AW90" i="4" s="1"/>
  <c r="AU119" i="4"/>
  <c r="AW119" i="4" s="1"/>
  <c r="AU121" i="4"/>
  <c r="AW121" i="4" s="1"/>
  <c r="AU102" i="4"/>
  <c r="AW102" i="4" s="1"/>
  <c r="AU84" i="4"/>
  <c r="AW84" i="4" s="1"/>
  <c r="AU77" i="4"/>
  <c r="AW77" i="4" s="1"/>
  <c r="AU146" i="4"/>
  <c r="AW146" i="4" s="1"/>
  <c r="AU60" i="4"/>
  <c r="AW60" i="4" s="1"/>
  <c r="AU113" i="4"/>
  <c r="AW113" i="4" s="1"/>
  <c r="AU136" i="4"/>
  <c r="AW136" i="4" s="1"/>
  <c r="AU112" i="4"/>
  <c r="AW112" i="4" s="1"/>
  <c r="AU58" i="4"/>
  <c r="AW58" i="4" s="1"/>
  <c r="AU132" i="4"/>
  <c r="AW132" i="4" s="1"/>
  <c r="AU127" i="4"/>
  <c r="AW127" i="4" s="1"/>
  <c r="AU89" i="4"/>
  <c r="AW89" i="4" s="1"/>
  <c r="AU138" i="4"/>
  <c r="AW138" i="4" s="1"/>
  <c r="AU128" i="4"/>
  <c r="AW128" i="4" s="1"/>
  <c r="AU80" i="4"/>
  <c r="AW80" i="4" s="1"/>
  <c r="AU122" i="4"/>
  <c r="AW122" i="4" s="1"/>
  <c r="AU114" i="4"/>
  <c r="AW114" i="4" s="1"/>
  <c r="AU105" i="4"/>
  <c r="AW105" i="4" s="1"/>
  <c r="AU86" i="4"/>
  <c r="AW86" i="4" s="1"/>
  <c r="AU75" i="4"/>
  <c r="AW75" i="4" s="1"/>
  <c r="AU92" i="4"/>
  <c r="AW92" i="4" s="1"/>
  <c r="AU116" i="4"/>
  <c r="AW116" i="4" s="1"/>
  <c r="AU131" i="4"/>
  <c r="AW131" i="4" s="1"/>
  <c r="AU145" i="4"/>
  <c r="AW145" i="4" s="1"/>
  <c r="AU101" i="4"/>
  <c r="AW101" i="4" s="1"/>
  <c r="AU13" i="4"/>
  <c r="AW13" i="4" s="1"/>
  <c r="AU54" i="4"/>
  <c r="AW54" i="4" s="1"/>
  <c r="AU44" i="4"/>
  <c r="AW44" i="4" s="1"/>
  <c r="AU50" i="4"/>
  <c r="AW50" i="4" s="1"/>
  <c r="AU39" i="4"/>
  <c r="AW39" i="4" s="1"/>
  <c r="AU36" i="4"/>
  <c r="AW36" i="4" s="1"/>
  <c r="AU35" i="4"/>
  <c r="AW35" i="4" s="1"/>
  <c r="AU14" i="4"/>
  <c r="AW14" i="4" s="1"/>
  <c r="BJ11" i="5"/>
  <c r="AU9" i="4"/>
  <c r="AW9" i="4" s="1"/>
  <c r="AU29" i="4"/>
  <c r="AW29" i="4" s="1"/>
  <c r="AU27" i="4"/>
  <c r="AW27" i="4" s="1"/>
  <c r="AU15" i="4"/>
  <c r="AW15" i="4" s="1"/>
  <c r="AU22" i="4"/>
  <c r="AW22" i="4" s="1"/>
  <c r="AU23" i="4"/>
  <c r="AW23" i="4" s="1"/>
  <c r="AU18" i="4"/>
  <c r="AW18" i="4" s="1"/>
  <c r="BN11" i="5"/>
  <c r="BP11" i="5" s="1"/>
  <c r="BM11" i="5"/>
  <c r="AU21" i="4"/>
  <c r="AW21" i="4" s="1"/>
  <c r="AU16" i="4"/>
  <c r="AW16" i="4" s="1"/>
  <c r="AU12" i="4" l="1"/>
  <c r="AW12" i="4" s="1"/>
  <c r="AU10" i="4"/>
  <c r="AW10" i="4" s="1"/>
  <c r="AU7" i="4"/>
  <c r="AW7" i="4" s="1"/>
  <c r="AU8" i="4"/>
  <c r="AW8" i="4" s="1"/>
  <c r="AU20" i="4"/>
  <c r="AW20" i="4" s="1"/>
  <c r="AU152" i="4"/>
  <c r="AW152" i="4" s="1"/>
  <c r="AU93" i="4"/>
  <c r="AW93" i="4" s="1"/>
  <c r="E82" i="5"/>
  <c r="F82" i="5" s="1"/>
  <c r="E83" i="5"/>
  <c r="F83" i="5" s="1"/>
  <c r="BO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Ji, Feng</author>
    <author>Lee, Eric</author>
  </authors>
  <commentList>
    <comment ref="A3" authorId="0" shapeId="0" xr:uid="{00000000-0006-0000-0000-000001000000}">
      <text>
        <r>
          <rPr>
            <b/>
            <sz val="11"/>
            <color indexed="10"/>
            <rFont val="Tahoma"/>
            <family val="2"/>
          </rPr>
          <t>Welcome to the LM5125-Q1 Design Tool</t>
        </r>
        <r>
          <rPr>
            <sz val="9"/>
            <color indexed="81"/>
            <rFont val="Tahoma"/>
            <family val="2"/>
          </rPr>
          <t xml:space="preserve">
This stand-alone tool facilitates and assists the power supply engineer with design of a DC-DC boost converter based on the LM5125 boost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t>
        </r>
      </text>
    </comment>
    <comment ref="O3" authorId="0" shapeId="0" xr:uid="{00000000-0006-0000-0000-000002000000}">
      <text>
        <r>
          <rPr>
            <sz val="9"/>
            <color indexed="81"/>
            <rFont val="Tahoma"/>
            <family val="2"/>
          </rPr>
          <t xml:space="preserve">
</t>
        </r>
        <r>
          <rPr>
            <sz val="12"/>
            <color indexed="10"/>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The most recent version of this excel file can be found in the product folder of the part at TI.com. To activate all functions, Macro should be enabled and 'Analysis Toolpak' should be added in. 
</t>
        </r>
      </text>
    </comment>
    <comment ref="H6" authorId="1" shapeId="0" xr:uid="{4E433FD4-7C62-43D9-A4C4-918BA518DDD1}">
      <text>
        <r>
          <rPr>
            <b/>
            <sz val="9"/>
            <color indexed="81"/>
            <rFont val="Tahoma"/>
            <family val="2"/>
          </rPr>
          <t xml:space="preserve">Minimum input voltage
</t>
        </r>
        <r>
          <rPr>
            <sz val="9"/>
            <color indexed="81"/>
            <rFont val="Tahoma"/>
            <family val="2"/>
          </rPr>
          <t xml:space="preserve">Select the minimum input voltage that the boost controller will need to operate.
This cell will turn </t>
        </r>
        <r>
          <rPr>
            <sz val="9"/>
            <color indexed="10"/>
            <rFont val="Tahoma"/>
            <family val="2"/>
          </rPr>
          <t>RED</t>
        </r>
        <r>
          <rPr>
            <sz val="9"/>
            <color indexed="81"/>
            <rFont val="Tahoma"/>
            <family val="2"/>
          </rPr>
          <t xml:space="preserve"> if it is less than 4.5V.</t>
        </r>
      </text>
    </comment>
    <comment ref="H7" authorId="1" shapeId="0" xr:uid="{2214E331-477A-44CD-BBB9-ACDDF3874FF0}">
      <text>
        <r>
          <rPr>
            <b/>
            <sz val="9"/>
            <color indexed="81"/>
            <rFont val="Tahoma"/>
            <family val="2"/>
          </rPr>
          <t xml:space="preserve">Typical Input Voltage
</t>
        </r>
        <r>
          <rPr>
            <sz val="9"/>
            <color indexed="81"/>
            <rFont val="Tahoma"/>
            <family val="2"/>
          </rPr>
          <t xml:space="preserve">Select the typical input voltage that the boost controller will need to operate.
This cell will turn </t>
        </r>
        <r>
          <rPr>
            <sz val="9"/>
            <color indexed="10"/>
            <rFont val="Tahoma"/>
            <family val="2"/>
          </rPr>
          <t>RED</t>
        </r>
        <r>
          <rPr>
            <sz val="9"/>
            <color indexed="81"/>
            <rFont val="Tahoma"/>
            <family val="2"/>
          </rPr>
          <t xml:space="preserve"> if it is lower than V</t>
        </r>
        <r>
          <rPr>
            <vertAlign val="subscript"/>
            <sz val="9"/>
            <color indexed="81"/>
            <rFont val="Tahoma"/>
            <family val="2"/>
          </rPr>
          <t>in(min)</t>
        </r>
        <r>
          <rPr>
            <sz val="9"/>
            <color indexed="81"/>
            <rFont val="Tahoma"/>
            <family val="2"/>
          </rPr>
          <t xml:space="preserve"> or higher than V</t>
        </r>
        <r>
          <rPr>
            <vertAlign val="subscript"/>
            <sz val="9"/>
            <color indexed="81"/>
            <rFont val="Tahoma"/>
            <family val="2"/>
          </rPr>
          <t>in(max)</t>
        </r>
        <r>
          <rPr>
            <sz val="9"/>
            <color indexed="81"/>
            <rFont val="Tahoma"/>
            <family val="2"/>
          </rPr>
          <t>.</t>
        </r>
      </text>
    </comment>
    <comment ref="H8" authorId="1" shapeId="0" xr:uid="{F48CF9AD-75E8-4DA7-9293-BDF11510BFD0}">
      <text>
        <r>
          <rPr>
            <b/>
            <sz val="9"/>
            <color indexed="81"/>
            <rFont val="Tahoma"/>
            <charset val="1"/>
          </rPr>
          <t xml:space="preserve">Maximum Input Voltage
</t>
        </r>
        <r>
          <rPr>
            <sz val="9"/>
            <color indexed="81"/>
            <rFont val="Tahoma"/>
            <family val="2"/>
          </rPr>
          <t xml:space="preserve">
Select the maximum input voltage that the boost controller will need to operate.
This cell will turn </t>
        </r>
        <r>
          <rPr>
            <sz val="9"/>
            <color indexed="10"/>
            <rFont val="Tahoma"/>
            <family val="2"/>
          </rPr>
          <t>RED</t>
        </r>
        <r>
          <rPr>
            <sz val="9"/>
            <color indexed="81"/>
            <rFont val="Tahoma"/>
            <family val="2"/>
          </rPr>
          <t xml:space="preserve"> if it is more than 42V.</t>
        </r>
      </text>
    </comment>
    <comment ref="H9" authorId="2" shapeId="0" xr:uid="{9737E87A-F0F1-4A53-8FC0-F0BFFDE08043}">
      <text>
        <r>
          <rPr>
            <b/>
            <sz val="9"/>
            <color indexed="81"/>
            <rFont val="Tahoma"/>
            <family val="2"/>
          </rPr>
          <t xml:space="preserve">VOUT Regulation Target
</t>
        </r>
        <r>
          <rPr>
            <sz val="9"/>
            <color indexed="81"/>
            <rFont val="Tahoma"/>
            <family val="2"/>
          </rPr>
          <t xml:space="preserve">
VOUT Range is from 6V to 60V. This cell will turn </t>
        </r>
        <r>
          <rPr>
            <sz val="9"/>
            <color indexed="10"/>
            <rFont val="Tahoma"/>
            <family val="2"/>
          </rPr>
          <t>RED</t>
        </r>
        <r>
          <rPr>
            <sz val="9"/>
            <color indexed="81"/>
            <rFont val="Tahoma"/>
            <family val="2"/>
          </rPr>
          <t xml:space="preserve"> if it is out of this range.
Be very careful when VOUT is more than 45V. Make sure the switching node voltage spike is always below 65V. This level can be reached easily especially with high output voltage and high current.
</t>
        </r>
      </text>
    </comment>
    <comment ref="H11" authorId="0" shapeId="0" xr:uid="{1E502D3B-2F46-4D58-BA2C-DC5D21CB909E}">
      <text>
        <r>
          <rPr>
            <b/>
            <sz val="9"/>
            <color indexed="81"/>
            <rFont val="Tahoma"/>
            <family val="2"/>
          </rPr>
          <t xml:space="preserve">Light Load Switching Mode Selection:
</t>
        </r>
        <r>
          <rPr>
            <sz val="9"/>
            <color indexed="81"/>
            <rFont val="Tahoma"/>
            <family val="2"/>
          </rPr>
          <t>FPWM --&gt; MODE pin connected to VCC.
DEM --&gt; MODE pin connect to GND.
See the datasheet for more details on each mode.</t>
        </r>
      </text>
    </comment>
    <comment ref="H21" authorId="0" shapeId="0" xr:uid="{00000000-0006-0000-0000-000004000000}">
      <text>
        <r>
          <rPr>
            <b/>
            <sz val="9"/>
            <color indexed="81"/>
            <rFont val="Tahoma"/>
            <family val="2"/>
          </rPr>
          <t xml:space="preserve">If this cell shows:
CCM: </t>
        </r>
        <r>
          <rPr>
            <sz val="9"/>
            <color indexed="81"/>
            <rFont val="Tahoma"/>
            <family val="2"/>
          </rPr>
          <t>The step up ratio from the minimum supply voltage to the load voltage can be achieved without exceeding the maximum duty cycle. Continous conduction mode is possilbe at the minimum supply voltage.</t>
        </r>
        <r>
          <rPr>
            <b/>
            <sz val="9"/>
            <color indexed="81"/>
            <rFont val="Tahoma"/>
            <family val="2"/>
          </rPr>
          <t xml:space="preserve">
DCM: </t>
        </r>
        <r>
          <rPr>
            <sz val="9"/>
            <color indexed="81"/>
            <rFont val="Tahoma"/>
            <family val="2"/>
          </rPr>
          <t>Discontinous conduction mode at the minimum supply voltage must be used as the duty cycle exceeds the maximum of the IC. This will result in higher peak inductor currents and lower efficiency. If this occurs, it is possible to decrease the switching frequency to increase the maximum duty cycle.</t>
        </r>
      </text>
    </comment>
    <comment ref="H22" authorId="1" shapeId="0" xr:uid="{EC0B3B50-748C-4710-BE27-C594CF72A74B}">
      <text>
        <r>
          <rPr>
            <b/>
            <sz val="9"/>
            <color indexed="81"/>
            <rFont val="Tahoma"/>
            <family val="2"/>
          </rPr>
          <t>Selected Maximum Inductor Current Ripple Ratio:</t>
        </r>
        <r>
          <rPr>
            <sz val="9"/>
            <color indexed="81"/>
            <rFont val="Tahoma"/>
            <charset val="1"/>
          </rPr>
          <t xml:space="preserve">
This is the ratio of peak-to-peak inductor ripple current to the maximum average inductor current. Typically, this value should be around 40%. This is a tradeoff between core loss and cross over frequency.
Once the Ripple Ratio has been selected it will be used to calculate the inductor value.</t>
        </r>
      </text>
    </comment>
    <comment ref="H29" authorId="1" shapeId="0" xr:uid="{8F2349CE-A3C0-47D7-B20E-5EF15B555C53}">
      <text>
        <r>
          <rPr>
            <b/>
            <sz val="9"/>
            <color indexed="81"/>
            <rFont val="Tahoma"/>
            <charset val="1"/>
          </rPr>
          <t xml:space="preserve">Peak Current Limit
</t>
        </r>
        <r>
          <rPr>
            <sz val="9"/>
            <color indexed="81"/>
            <rFont val="Tahoma"/>
            <family val="2"/>
          </rPr>
          <t xml:space="preserve">The peak current limit defines the peak current for each phase. </t>
        </r>
      </text>
    </comment>
    <comment ref="H35" authorId="1" shapeId="0" xr:uid="{AE880002-EE5D-4612-93CB-E9A90CD67829}">
      <text>
        <r>
          <rPr>
            <b/>
            <sz val="9"/>
            <color indexed="81"/>
            <rFont val="Tahoma"/>
            <charset val="1"/>
          </rPr>
          <t xml:space="preserve">Output Voltage Ripple
</t>
        </r>
        <r>
          <rPr>
            <sz val="9"/>
            <color indexed="81"/>
            <rFont val="Tahoma"/>
            <family val="2"/>
          </rPr>
          <t>This is the output voltage overshoot and output voltage undershoot during a load transient of 50% load to 100% load.
You may get a worse result from 0% load to 50% load in DEM.</t>
        </r>
      </text>
    </comment>
    <comment ref="H46" authorId="1" shapeId="0" xr:uid="{32926B05-E9F2-4596-B27C-6429D03C1897}">
      <text>
        <r>
          <rPr>
            <b/>
            <sz val="9"/>
            <color indexed="81"/>
            <rFont val="Tahoma"/>
            <family val="2"/>
          </rPr>
          <t>Desired Total Average Current</t>
        </r>
        <r>
          <rPr>
            <sz val="9"/>
            <color indexed="81"/>
            <rFont val="Tahoma"/>
            <family val="2"/>
          </rPr>
          <t xml:space="preserve">
This cell will turn </t>
        </r>
        <r>
          <rPr>
            <sz val="9"/>
            <color indexed="10"/>
            <rFont val="Tahoma"/>
            <family val="2"/>
          </rPr>
          <t>RED</t>
        </r>
        <r>
          <rPr>
            <sz val="9"/>
            <color indexed="81"/>
            <rFont val="Tahoma"/>
            <family val="2"/>
          </rPr>
          <t xml:space="preserve"> if I</t>
        </r>
        <r>
          <rPr>
            <vertAlign val="subscript"/>
            <sz val="9"/>
            <color indexed="81"/>
            <rFont val="Tahoma"/>
            <family val="2"/>
          </rPr>
          <t>lim</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
The input current will be regulated to I</t>
        </r>
        <r>
          <rPr>
            <vertAlign val="subscript"/>
            <sz val="9"/>
            <color indexed="81"/>
            <rFont val="Tahoma"/>
            <family val="2"/>
          </rPr>
          <t>lim</t>
        </r>
        <r>
          <rPr>
            <sz val="9"/>
            <color indexed="81"/>
            <rFont val="Tahoma"/>
            <family val="2"/>
          </rPr>
          <t xml:space="preserve"> after t</t>
        </r>
        <r>
          <rPr>
            <vertAlign val="subscript"/>
            <sz val="9"/>
            <color indexed="81"/>
            <rFont val="Tahoma"/>
            <family val="2"/>
          </rPr>
          <t>B</t>
        </r>
        <r>
          <rPr>
            <sz val="9"/>
            <color indexed="81"/>
            <rFont val="Tahoma"/>
            <family val="2"/>
          </rPr>
          <t>. Refer to the diagram on the right. This is the sum of input current of each phase.</t>
        </r>
      </text>
    </comment>
    <comment ref="H49" authorId="1" shapeId="0" xr:uid="{26B94F53-CA1E-4F97-AB9A-544E2A7058E1}">
      <text>
        <r>
          <rPr>
            <b/>
            <sz val="9"/>
            <color indexed="81"/>
            <rFont val="Tahoma"/>
            <family val="2"/>
          </rPr>
          <t xml:space="preserve">IMON voltage
</t>
        </r>
        <r>
          <rPr>
            <sz val="9"/>
            <color indexed="81"/>
            <rFont val="Tahoma"/>
            <family val="2"/>
          </rPr>
          <t xml:space="preserve">
This cell will turn </t>
        </r>
        <r>
          <rPr>
            <sz val="9"/>
            <color indexed="10"/>
            <rFont val="Tahoma"/>
            <family val="2"/>
          </rPr>
          <t>RED</t>
        </r>
        <r>
          <rPr>
            <sz val="9"/>
            <color indexed="81"/>
            <rFont val="Tahoma"/>
            <family val="2"/>
          </rPr>
          <t xml:space="preserve"> if V</t>
        </r>
        <r>
          <rPr>
            <vertAlign val="subscript"/>
            <sz val="9"/>
            <color indexed="81"/>
            <rFont val="Tahoma"/>
            <family val="2"/>
          </rPr>
          <t>IMON</t>
        </r>
        <r>
          <rPr>
            <sz val="9"/>
            <color indexed="81"/>
            <rFont val="Tahoma"/>
            <family val="2"/>
          </rPr>
          <t xml:space="preserve"> is internally clamped to 3V.
Reduce R</t>
        </r>
        <r>
          <rPr>
            <vertAlign val="subscript"/>
            <sz val="9"/>
            <color indexed="81"/>
            <rFont val="Tahoma"/>
            <family val="2"/>
          </rPr>
          <t>IMON</t>
        </r>
        <r>
          <rPr>
            <sz val="9"/>
            <color indexed="81"/>
            <rFont val="Tahoma"/>
            <family val="2"/>
          </rPr>
          <t xml:space="preserve"> to to get rid of this warning.</t>
        </r>
      </text>
    </comment>
    <comment ref="H50" authorId="1" shapeId="0" xr:uid="{CE569F2E-2B07-4872-9219-EB299991678F}">
      <text>
        <r>
          <rPr>
            <b/>
            <sz val="9"/>
            <color indexed="81"/>
            <rFont val="Tahoma"/>
            <family val="2"/>
          </rPr>
          <t xml:space="preserve">Total Average Current Limit
</t>
        </r>
        <r>
          <rPr>
            <sz val="9"/>
            <color indexed="81"/>
            <rFont val="Tahoma"/>
            <family val="2"/>
          </rPr>
          <t xml:space="preserve">
This cell will turn </t>
        </r>
        <r>
          <rPr>
            <sz val="9"/>
            <color indexed="10"/>
            <rFont val="Tahoma"/>
            <family val="2"/>
          </rPr>
          <t>RED</t>
        </r>
        <r>
          <rPr>
            <sz val="9"/>
            <color indexed="81"/>
            <rFont val="Tahoma"/>
            <family val="2"/>
          </rPr>
          <t xml:space="preserve"> if I</t>
        </r>
        <r>
          <rPr>
            <vertAlign val="subscript"/>
            <sz val="9"/>
            <color indexed="81"/>
            <rFont val="Tahoma"/>
            <family val="2"/>
          </rPr>
          <t>lim</t>
        </r>
        <r>
          <rPr>
            <sz val="9"/>
            <color indexed="81"/>
            <rFont val="Tahoma"/>
            <family val="2"/>
          </rPr>
          <t>&lt;0 or I</t>
        </r>
        <r>
          <rPr>
            <vertAlign val="subscript"/>
            <sz val="9"/>
            <color indexed="81"/>
            <rFont val="Tahoma"/>
            <family val="2"/>
          </rPr>
          <t>lim</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t>
        </r>
      </text>
    </comment>
    <comment ref="H51" authorId="1" shapeId="0" xr:uid="{B44B5A71-7B5F-4E60-AAF5-6E5859BE6AE1}">
      <text>
        <r>
          <rPr>
            <b/>
            <sz val="9"/>
            <color indexed="81"/>
            <rFont val="Tahoma"/>
            <family val="2"/>
          </rPr>
          <t xml:space="preserve">Transient Input Current
</t>
        </r>
        <r>
          <rPr>
            <sz val="9"/>
            <color indexed="81"/>
            <rFont val="Tahoma"/>
            <family val="2"/>
          </rPr>
          <t>This is the sum of N</t>
        </r>
        <r>
          <rPr>
            <vertAlign val="subscript"/>
            <sz val="9"/>
            <color indexed="81"/>
            <rFont val="Tahoma"/>
            <family val="2"/>
          </rPr>
          <t>p</t>
        </r>
        <r>
          <rPr>
            <sz val="9"/>
            <color indexed="81"/>
            <rFont val="Tahoma"/>
            <family val="2"/>
          </rPr>
          <t xml:space="preserve"> phase input current during t</t>
        </r>
        <r>
          <rPr>
            <vertAlign val="subscript"/>
            <sz val="9"/>
            <color indexed="81"/>
            <rFont val="Tahoma"/>
            <family val="2"/>
          </rPr>
          <t>B</t>
        </r>
        <r>
          <rPr>
            <sz val="9"/>
            <color indexed="81"/>
            <rFont val="Tahoma"/>
            <family val="2"/>
          </rPr>
          <t>. Refer to the diagram on the right. 
This cell will turn RED if I</t>
        </r>
        <r>
          <rPr>
            <vertAlign val="subscript"/>
            <sz val="9"/>
            <color indexed="81"/>
            <rFont val="Tahoma"/>
            <family val="2"/>
          </rPr>
          <t>tr</t>
        </r>
        <r>
          <rPr>
            <sz val="9"/>
            <color indexed="81"/>
            <rFont val="Tahoma"/>
            <family val="2"/>
          </rPr>
          <t>&lt;I</t>
        </r>
        <r>
          <rPr>
            <vertAlign val="subscript"/>
            <sz val="9"/>
            <color indexed="81"/>
            <rFont val="Tahoma"/>
            <family val="2"/>
          </rPr>
          <t>lim</t>
        </r>
        <r>
          <rPr>
            <sz val="9"/>
            <color indexed="81"/>
            <rFont val="Tahoma"/>
            <family val="2"/>
          </rPr>
          <t xml:space="preserve"> or I</t>
        </r>
        <r>
          <rPr>
            <vertAlign val="subscript"/>
            <sz val="9"/>
            <color indexed="81"/>
            <rFont val="Tahoma"/>
            <family val="2"/>
          </rPr>
          <t>tr</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t>
        </r>
      </text>
    </comment>
    <comment ref="H52" authorId="1" shapeId="0" xr:uid="{5339CE2D-CD56-49ED-B50C-085B5E04D836}">
      <text>
        <r>
          <rPr>
            <b/>
            <sz val="9"/>
            <color indexed="81"/>
            <rFont val="Tahoma"/>
            <family val="2"/>
          </rPr>
          <t xml:space="preserve">Required Blanking Time
</t>
        </r>
        <r>
          <rPr>
            <sz val="9"/>
            <color indexed="81"/>
            <rFont val="Tahoma"/>
            <family val="2"/>
          </rPr>
          <t>The current will be regulated to Ilim after t</t>
        </r>
        <r>
          <rPr>
            <vertAlign val="subscript"/>
            <sz val="9"/>
            <color indexed="81"/>
            <rFont val="Tahoma"/>
            <family val="2"/>
          </rPr>
          <t>B</t>
        </r>
        <r>
          <rPr>
            <sz val="9"/>
            <color indexed="81"/>
            <rFont val="Tahoma"/>
            <family val="2"/>
          </rPr>
          <t xml:space="preserve">. Refer to the diagram on the right.
</t>
        </r>
      </text>
    </comment>
    <comment ref="H60" authorId="1" shapeId="0" xr:uid="{4BBB4B8F-487A-4BF4-A0F0-7CF6B3189EAC}">
      <text>
        <r>
          <rPr>
            <b/>
            <sz val="9"/>
            <color indexed="81"/>
            <rFont val="Tahoma"/>
            <charset val="1"/>
          </rPr>
          <t xml:space="preserve">Maximum Input Capacitance of Low Side FET
</t>
        </r>
        <r>
          <rPr>
            <sz val="9"/>
            <color indexed="81"/>
            <rFont val="Tahoma"/>
            <family val="2"/>
          </rPr>
          <t>This can be found in the MOSFET datasheet.</t>
        </r>
        <r>
          <rPr>
            <b/>
            <sz val="9"/>
            <color indexed="81"/>
            <rFont val="Tahoma"/>
            <charset val="1"/>
          </rPr>
          <t xml:space="preserve">
</t>
        </r>
        <r>
          <rPr>
            <sz val="9"/>
            <color indexed="81"/>
            <rFont val="Tahoma"/>
            <family val="2"/>
          </rPr>
          <t>Choose a high gate resistance for the low side FET can improve the switching node voltage stress. It is assumed that a low gate resistance for the high side FET is chosen.</t>
        </r>
      </text>
    </comment>
    <comment ref="H61" authorId="1" shapeId="0" xr:uid="{8D4ADC63-DA29-4F49-9D16-849E2FE06FD3}">
      <text>
        <r>
          <rPr>
            <b/>
            <sz val="9"/>
            <color indexed="81"/>
            <rFont val="Tahoma"/>
            <family val="2"/>
          </rPr>
          <t>Total gate resistance of low side FET, R</t>
        </r>
        <r>
          <rPr>
            <b/>
            <vertAlign val="subscript"/>
            <sz val="9"/>
            <color indexed="81"/>
            <rFont val="Tahoma"/>
            <family val="2"/>
          </rPr>
          <t xml:space="preserve">gate
</t>
        </r>
        <r>
          <rPr>
            <b/>
            <sz val="9"/>
            <color indexed="81"/>
            <rFont val="Tahoma"/>
            <family val="2"/>
          </rPr>
          <t xml:space="preserve">
</t>
        </r>
        <r>
          <rPr>
            <sz val="9"/>
            <color indexed="81"/>
            <rFont val="Tahoma"/>
            <family val="2"/>
          </rPr>
          <t>Inculde MOSFET internal gate resistance (R</t>
        </r>
        <r>
          <rPr>
            <vertAlign val="subscript"/>
            <sz val="9"/>
            <color indexed="81"/>
            <rFont val="Tahoma"/>
            <family val="2"/>
          </rPr>
          <t>G</t>
        </r>
        <r>
          <rPr>
            <sz val="9"/>
            <color indexed="81"/>
            <rFont val="Tahoma"/>
            <family val="2"/>
          </rPr>
          <t>) and external gate resistor for R</t>
        </r>
        <r>
          <rPr>
            <vertAlign val="subscript"/>
            <sz val="9"/>
            <color indexed="81"/>
            <rFont val="Tahoma"/>
            <family val="2"/>
          </rPr>
          <t>gate</t>
        </r>
        <r>
          <rPr>
            <sz val="9"/>
            <color indexed="81"/>
            <rFont val="Tahoma"/>
            <family val="2"/>
          </rPr>
          <t>. 
R</t>
        </r>
        <r>
          <rPr>
            <vertAlign val="subscript"/>
            <sz val="9"/>
            <color indexed="81"/>
            <rFont val="Tahoma"/>
            <family val="2"/>
          </rPr>
          <t>G</t>
        </r>
        <r>
          <rPr>
            <sz val="9"/>
            <color indexed="81"/>
            <rFont val="Tahoma"/>
            <family val="2"/>
          </rPr>
          <t xml:space="preserve"> can be found in the MOSFET datasheet.</t>
        </r>
      </text>
    </comment>
    <comment ref="H62" authorId="1" shapeId="0" xr:uid="{C7CDFF7F-4F5D-4659-8CB8-4B8E780185F0}">
      <text>
        <r>
          <rPr>
            <b/>
            <sz val="9"/>
            <color indexed="81"/>
            <rFont val="Tahoma"/>
            <family val="2"/>
          </rPr>
          <t>Minimum Gate-Source Threshold Voltage</t>
        </r>
        <r>
          <rPr>
            <sz val="9"/>
            <color indexed="81"/>
            <rFont val="Tahoma"/>
            <family val="2"/>
          </rPr>
          <t xml:space="preserve">
This can be found in the MOSFET datasheet.</t>
        </r>
      </text>
    </comment>
    <comment ref="H63" authorId="1" shapeId="0" xr:uid="{B86ACB48-D4B7-4A94-A14E-D944E5E6027F}">
      <text>
        <r>
          <rPr>
            <b/>
            <sz val="9"/>
            <color indexed="81"/>
            <rFont val="Tahoma"/>
            <family val="2"/>
          </rPr>
          <t xml:space="preserve">Minimum deadtime 
</t>
        </r>
        <r>
          <rPr>
            <sz val="9"/>
            <color indexed="81"/>
            <rFont val="Tahoma"/>
            <family val="2"/>
          </rPr>
          <t xml:space="preserve">
Shoot through may happen with lower deadtime. Choose a higher deadtime in "CFG Selection".</t>
        </r>
      </text>
    </comment>
    <comment ref="H73" authorId="1" shapeId="0" xr:uid="{50B67309-78CD-4D28-A4E8-F8A68DABF2EE}">
      <text>
        <r>
          <rPr>
            <b/>
            <sz val="9"/>
            <color indexed="81"/>
            <rFont val="Tahoma"/>
            <charset val="1"/>
          </rPr>
          <t xml:space="preserve">DRSS
</t>
        </r>
        <r>
          <rPr>
            <sz val="9"/>
            <color indexed="81"/>
            <rFont val="Tahoma"/>
            <family val="2"/>
          </rPr>
          <t xml:space="preserve">If this cell turn </t>
        </r>
        <r>
          <rPr>
            <sz val="9"/>
            <color indexed="10"/>
            <rFont val="Tahoma"/>
            <family val="2"/>
          </rPr>
          <t>RED</t>
        </r>
        <r>
          <rPr>
            <sz val="9"/>
            <color indexed="81"/>
            <rFont val="Tahoma"/>
            <family val="2"/>
          </rPr>
          <t>, it means DRSS is disabled by CFG2 and "DRSS: ON" in CFG1 is ignored. When SYNCIN is active in CFG2, DRSS is OFF ignoring CFG1 selection.
Change CFG1 or CFG2 to get rid of this warning.</t>
        </r>
      </text>
    </comment>
    <comment ref="H103" authorId="1" shapeId="0" xr:uid="{A7734620-80A1-4089-8CF8-F5476A80C846}">
      <text>
        <r>
          <rPr>
            <b/>
            <sz val="9"/>
            <color indexed="81"/>
            <rFont val="Tahoma"/>
            <charset val="1"/>
          </rPr>
          <t xml:space="preserve">Control Loop Bandwidth
</t>
        </r>
        <r>
          <rPr>
            <sz val="9"/>
            <color indexed="81"/>
            <rFont val="Tahoma"/>
            <family val="2"/>
          </rPr>
          <t xml:space="preserve">
This sets the bandwidth of the control loop. In a boost controler the RHP zero of the plant transfer function limits the maximum value of the control loop bandwidth. 
The FCO_calc suggests 1/5th the RHP zero frequency at V</t>
        </r>
        <r>
          <rPr>
            <vertAlign val="subscript"/>
            <sz val="9"/>
            <color indexed="81"/>
            <rFont val="Tahoma"/>
            <family val="2"/>
          </rPr>
          <t>in(min)</t>
        </r>
        <r>
          <rPr>
            <sz val="9"/>
            <color indexed="81"/>
            <rFont val="Tahoma"/>
            <family val="2"/>
          </rPr>
          <t>.</t>
        </r>
      </text>
    </comment>
    <comment ref="H104" authorId="0" shapeId="0" xr:uid="{00000000-0006-0000-0000-000008000000}">
      <text>
        <r>
          <rPr>
            <b/>
            <sz val="9"/>
            <color indexed="81"/>
            <rFont val="Tahoma"/>
            <family val="2"/>
          </rPr>
          <t>Control Loop Bandwidth</t>
        </r>
        <r>
          <rPr>
            <sz val="9"/>
            <color indexed="81"/>
            <rFont val="Tahoma"/>
            <family val="2"/>
          </rPr>
          <t xml:space="preserve">
It is recommend to not exceed the FCO_calc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95" authorId="0" shapeId="0" xr:uid="{00000000-0006-0000-0100-000001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96" authorId="0" shapeId="0" xr:uid="{00000000-0006-0000-0100-000002000000}">
      <text>
        <r>
          <rPr>
            <sz val="9"/>
            <color indexed="81"/>
            <rFont val="Tahoma"/>
            <family val="2"/>
          </rPr>
          <t xml:space="preserve">Tripped if the current sense resistor results in a lower current limit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V6" authorId="0" shapeId="0" xr:uid="{00000000-0006-0000-0200-000001000000}">
      <text>
        <r>
          <rPr>
            <b/>
            <sz val="9"/>
            <color indexed="81"/>
            <rFont val="Tahoma"/>
            <family val="2"/>
          </rPr>
          <t xml:space="preserve">1 = DCM operation
2 = CCM operation
</t>
        </r>
      </text>
    </comment>
  </commentList>
</comments>
</file>

<file path=xl/sharedStrings.xml><?xml version="1.0" encoding="utf-8"?>
<sst xmlns="http://schemas.openxmlformats.org/spreadsheetml/2006/main" count="1414" uniqueCount="783">
  <si>
    <t>TERMS OF USE</t>
  </si>
  <si>
    <t>ABOUT</t>
  </si>
  <si>
    <t>=Input Box</t>
  </si>
  <si>
    <t>Step 1: Design Specifications</t>
  </si>
  <si>
    <r>
      <t>Free Running Switching Frequency, F</t>
    </r>
    <r>
      <rPr>
        <vertAlign val="subscript"/>
        <sz val="10"/>
        <color theme="1"/>
        <rFont val="Calibri"/>
        <family val="2"/>
        <scheme val="minor"/>
      </rPr>
      <t>SW</t>
    </r>
  </si>
  <si>
    <t>V</t>
  </si>
  <si>
    <t>A</t>
  </si>
  <si>
    <t>kHz</t>
  </si>
  <si>
    <t>%</t>
  </si>
  <si>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</si>
  <si>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</si>
  <si>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</si>
  <si>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</si>
  <si>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</si>
  <si>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</si>
  <si>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</si>
  <si>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</si>
  <si>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</si>
  <si>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</si>
  <si>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</si>
  <si>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</si>
  <si>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</si>
  <si>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</si>
  <si>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</si>
  <si>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</si>
  <si>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</si>
  <si>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IOUT</t>
  </si>
  <si>
    <t>Maximum Output current</t>
  </si>
  <si>
    <t>ROUT</t>
  </si>
  <si>
    <t>Ω</t>
  </si>
  <si>
    <t>POUT</t>
  </si>
  <si>
    <t>W</t>
  </si>
  <si>
    <t>EFF_est</t>
  </si>
  <si>
    <t>Total output power</t>
  </si>
  <si>
    <t>Minimum load resistance</t>
  </si>
  <si>
    <t>Dc_max_ideal</t>
  </si>
  <si>
    <t>Dc_max_IC</t>
  </si>
  <si>
    <t>D_2p2_min</t>
  </si>
  <si>
    <t>D_2p2_nom</t>
  </si>
  <si>
    <t>D_2p2_max</t>
  </si>
  <si>
    <t>Minimum max duty cycle at 2p2MHZ operation</t>
  </si>
  <si>
    <t>t_off_max</t>
  </si>
  <si>
    <t>T_off_nom</t>
  </si>
  <si>
    <t>T_off_min</t>
  </si>
  <si>
    <t>s</t>
  </si>
  <si>
    <t>Minimum forced off time</t>
  </si>
  <si>
    <t>nominal forced off time</t>
  </si>
  <si>
    <t>Maximum forced off time</t>
  </si>
  <si>
    <t xml:space="preserve">IC Duty Cycle Limitation: </t>
  </si>
  <si>
    <t>D_limit_min</t>
  </si>
  <si>
    <t>D_limit_nom</t>
  </si>
  <si>
    <t>D_limit_max</t>
  </si>
  <si>
    <t>Nomminal max duty cycle at low frequency</t>
  </si>
  <si>
    <t xml:space="preserve">Base Calculations of </t>
  </si>
  <si>
    <t>Spec conditions</t>
  </si>
  <si>
    <t>Min max duty cycle at low frequency</t>
  </si>
  <si>
    <t>Maximum max duty cycle at low frequency</t>
  </si>
  <si>
    <t>Fsw</t>
  </si>
  <si>
    <t>Hz</t>
  </si>
  <si>
    <t xml:space="preserve">Switching frequnecy </t>
  </si>
  <si>
    <t>Flag</t>
  </si>
  <si>
    <t>RT</t>
  </si>
  <si>
    <t>Oscillator Set resistor. Based on the datasheet equation</t>
  </si>
  <si>
    <r>
      <t>k</t>
    </r>
    <r>
      <rPr>
        <sz val="11"/>
        <color theme="1"/>
        <rFont val="Calibri"/>
        <family val="2"/>
      </rPr>
      <t>Ω</t>
    </r>
  </si>
  <si>
    <t>Step 2: Filter Inductor</t>
  </si>
  <si>
    <t>Dc_Limit</t>
  </si>
  <si>
    <t>EXCEL Constants / Values / IC Limits</t>
  </si>
  <si>
    <t>Dc_VIN_min</t>
  </si>
  <si>
    <t>Dc_VIN_nom</t>
  </si>
  <si>
    <t>Dc_VIN_max</t>
  </si>
  <si>
    <t>ton_min</t>
  </si>
  <si>
    <t>IL_avg_VIN_min</t>
  </si>
  <si>
    <t>IL_avg_VIN_nom</t>
  </si>
  <si>
    <t>Average input current at minimum input voltage. 100% Eff assumed</t>
  </si>
  <si>
    <t>Average input current at nominal input voltage. 100% Eff assumed</t>
  </si>
  <si>
    <t>Average input current at maximum input voltage. 100% Eff assumed</t>
  </si>
  <si>
    <t>H</t>
  </si>
  <si>
    <t>ILrip</t>
  </si>
  <si>
    <t>Lm</t>
  </si>
  <si>
    <t>Selected filter inductor</t>
  </si>
  <si>
    <t>Rdcr</t>
  </si>
  <si>
    <r>
      <t>m</t>
    </r>
    <r>
      <rPr>
        <sz val="11"/>
        <color theme="1"/>
        <rFont val="Calibri"/>
        <family val="2"/>
      </rPr>
      <t>Ω</t>
    </r>
  </si>
  <si>
    <t>VIN_33</t>
  </si>
  <si>
    <t>IIN_33</t>
  </si>
  <si>
    <t>Lopt_2</t>
  </si>
  <si>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</si>
  <si>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</si>
  <si>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</si>
  <si>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</si>
  <si>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</si>
  <si>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</si>
  <si>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</si>
  <si>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</si>
  <si>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</si>
  <si>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</si>
  <si>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</si>
  <si>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</si>
  <si>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</si>
  <si>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</si>
  <si>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</si>
  <si>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Ipk_margin</t>
  </si>
  <si>
    <t>Peak current limit margin. 20% is a typical value</t>
  </si>
  <si>
    <t>Ipk_selected</t>
  </si>
  <si>
    <t>Selected peak current limit based on margin selection</t>
  </si>
  <si>
    <t>Peak ripple ratio: Boost this happens at 33%</t>
  </si>
  <si>
    <t>Dc_rip_max</t>
  </si>
  <si>
    <t>Input current at maximum ripple duty cycle</t>
  </si>
  <si>
    <t>Input voltage at maximum ripple duty cycle. If maximum input voltage Dc is &gt;.33 this value will be used</t>
  </si>
  <si>
    <t>Filter inductor DCR</t>
  </si>
  <si>
    <t>Ltol</t>
  </si>
  <si>
    <t>Assumed inductor tolerance. Constant to help simplify the user experience</t>
  </si>
  <si>
    <t>Rcs_max</t>
  </si>
  <si>
    <t>Maximum Rcs based on internal slope compensation. Assuming slope ratio of 1/2</t>
  </si>
  <si>
    <t>Rcs_sl_ratio</t>
  </si>
  <si>
    <t>Rcs_wo_sl</t>
  </si>
  <si>
    <t>Vcl</t>
  </si>
  <si>
    <t>Current Limit Value. See datsheet for Parameters</t>
  </si>
  <si>
    <t>Flag_ext_sl</t>
  </si>
  <si>
    <t>R_cs_calc</t>
  </si>
  <si>
    <t>R_sl_calc</t>
  </si>
  <si>
    <t>R_cs</t>
  </si>
  <si>
    <t>R_sl</t>
  </si>
  <si>
    <t>Selected current sense Resistor</t>
  </si>
  <si>
    <t>Check to make sure that slope compensation is high enough at the minimum input voltage</t>
  </si>
  <si>
    <t>Slope Compensation</t>
  </si>
  <si>
    <t>sl_vin_min</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</si>
  <si>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</si>
  <si>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</si>
  <si>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</si>
  <si>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</si>
  <si>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</si>
  <si>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</si>
  <si>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</si>
  <si>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IL_sat</t>
  </si>
  <si>
    <t>Recommended Saturation current rating of the selected inductor</t>
  </si>
  <si>
    <t>COMP voltage Limit checks</t>
  </si>
  <si>
    <t>Step 4: Output Capacitor Selection</t>
  </si>
  <si>
    <t>mV</t>
  </si>
  <si>
    <t>uF</t>
  </si>
  <si>
    <t>Desired output ripple</t>
  </si>
  <si>
    <t>Vout_rip_sel</t>
  </si>
  <si>
    <t>Cout_min</t>
  </si>
  <si>
    <t>F</t>
  </si>
  <si>
    <t>Calculate minimum capacitance based simply on the capacitive ripple</t>
  </si>
  <si>
    <t>IRMS_COUT</t>
  </si>
  <si>
    <t>Resr</t>
  </si>
  <si>
    <t>Selected Output Capacitance</t>
  </si>
  <si>
    <t>Selected output capacitance ESR</t>
  </si>
  <si>
    <t>Cout</t>
  </si>
  <si>
    <t>Input Parameters</t>
  </si>
  <si>
    <t>Output Voltage</t>
  </si>
  <si>
    <t>Component Selection</t>
  </si>
  <si>
    <t>LM</t>
  </si>
  <si>
    <t>filter Inductor</t>
  </si>
  <si>
    <t>Current sense resi</t>
  </si>
  <si>
    <t>RCOMP</t>
  </si>
  <si>
    <t>kΩ</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</si>
  <si>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</si>
  <si>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</si>
  <si>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</si>
  <si>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</si>
  <si>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</si>
  <si>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</si>
  <si>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</si>
  <si>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</si>
  <si>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</si>
  <si>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</si>
  <si>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</si>
  <si>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</si>
  <si>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</si>
  <si>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</si>
  <si>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</si>
  <si>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</si>
  <si>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</si>
  <si>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</si>
  <si>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</si>
  <si>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</si>
  <si>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</si>
  <si>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</si>
  <si>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</si>
  <si>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</si>
  <si>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</si>
  <si>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</si>
  <si>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</si>
  <si>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</si>
  <si>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</si>
  <si>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</si>
  <si>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</si>
  <si>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</si>
  <si>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</si>
  <si>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</si>
  <si>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</si>
  <si>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</si>
  <si>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</si>
  <si>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</si>
  <si>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</si>
  <si>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</si>
  <si>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</si>
  <si>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</si>
  <si>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</si>
  <si>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Error Amplifier</t>
  </si>
  <si>
    <t>wz_ea</t>
  </si>
  <si>
    <t>Adc_ea</t>
  </si>
  <si>
    <t>gm_ea</t>
  </si>
  <si>
    <t>Error Amplifier Gain</t>
  </si>
  <si>
    <t>A/V</t>
  </si>
  <si>
    <t>wp0_ea</t>
  </si>
  <si>
    <t>wp1_ea</t>
  </si>
  <si>
    <t>ADC_ea</t>
  </si>
  <si>
    <t xml:space="preserve">Gain </t>
  </si>
  <si>
    <t>COMPLEX</t>
  </si>
  <si>
    <t>Gain of open loop at wp_Lf</t>
  </si>
  <si>
    <t>dB</t>
  </si>
  <si>
    <r>
      <t xml:space="preserve">Variable input voltage to model the loop. </t>
    </r>
    <r>
      <rPr>
        <b/>
        <sz val="11"/>
        <color theme="1"/>
        <rFont val="Calibri"/>
        <family val="2"/>
        <scheme val="minor"/>
      </rPr>
      <t>Currently not used. Will be updated in next rev</t>
    </r>
  </si>
  <si>
    <t>Selected by user. Feedback resistor should be &gt;100uA to help reject noise</t>
  </si>
  <si>
    <t>Error Amplifier Zero</t>
  </si>
  <si>
    <t>Error Amplifier pole at the origin</t>
  </si>
  <si>
    <t>Error Amplifier pole at high frequencies</t>
  </si>
  <si>
    <t>Vref</t>
  </si>
  <si>
    <t>Reference voltage</t>
  </si>
  <si>
    <t>Selected botton feedback resistor</t>
  </si>
  <si>
    <t>Ifb</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</si>
  <si>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</si>
  <si>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</si>
  <si>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</si>
  <si>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</si>
  <si>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</si>
  <si>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t>fcross</t>
  </si>
  <si>
    <t>Desired Crossover frequency</t>
  </si>
  <si>
    <t>1/10 the swictching frequency</t>
  </si>
  <si>
    <t>Select the lower crossover frequency</t>
  </si>
  <si>
    <t>wz_RHP</t>
  </si>
  <si>
    <t>Rcomp_Calc</t>
  </si>
  <si>
    <t>Calculate on based on the desired Mid-band gain needed to set the crossover frequency</t>
  </si>
  <si>
    <t>fz_ea_est</t>
  </si>
  <si>
    <t>CCOMP_calc</t>
  </si>
  <si>
    <t>fp_ea_est</t>
  </si>
  <si>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</si>
  <si>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</si>
  <si>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</si>
  <si>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</si>
  <si>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</si>
  <si>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</si>
  <si>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</si>
  <si>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</si>
  <si>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</si>
  <si>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</si>
  <si>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Icrms_min</t>
  </si>
  <si>
    <t>Minimum required RMS current rating for the output capacitor bank</t>
  </si>
  <si>
    <t>On-time of the switch</t>
  </si>
  <si>
    <t>Soft-Start</t>
  </si>
  <si>
    <t>Iss</t>
  </si>
  <si>
    <t>Soft-start capacitor charge current</t>
  </si>
  <si>
    <t>Soft-Start Charge current</t>
  </si>
  <si>
    <t>Css_min</t>
  </si>
  <si>
    <t>Suggested minimum SS capacitor to minize the over shoot.</t>
  </si>
  <si>
    <t>tss</t>
  </si>
  <si>
    <t>ms</t>
  </si>
  <si>
    <t>Css_calc</t>
  </si>
  <si>
    <t>Calcualted Soft-start capacitor</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</si>
  <si>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</si>
  <si>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</si>
  <si>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</si>
  <si>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</si>
  <si>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</si>
  <si>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DC_off</t>
  </si>
  <si>
    <t>Vd_rect</t>
  </si>
  <si>
    <r>
      <t>ID</t>
    </r>
    <r>
      <rPr>
        <vertAlign val="subscript"/>
        <sz val="11"/>
        <color theme="1"/>
        <rFont val="Calibri"/>
        <family val="2"/>
        <scheme val="minor"/>
      </rPr>
      <t xml:space="preserve">AVG </t>
    </r>
    <r>
      <rPr>
        <sz val="11"/>
        <color theme="1"/>
        <rFont val="Calibri"/>
        <family val="2"/>
        <scheme val="minor"/>
      </rPr>
      <t>(A)</t>
    </r>
  </si>
  <si>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</si>
  <si>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</si>
  <si>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P</t>
    </r>
    <r>
      <rPr>
        <vertAlign val="subscript"/>
        <sz val="11"/>
        <color theme="1"/>
        <rFont val="Calibri"/>
        <family val="2"/>
        <scheme val="minor"/>
      </rPr>
      <t xml:space="preserve">D_COND </t>
    </r>
    <r>
      <rPr>
        <sz val="11"/>
        <color theme="1"/>
        <rFont val="Calibri"/>
        <family val="2"/>
        <scheme val="minor"/>
      </rPr>
      <t>(W)</t>
    </r>
  </si>
  <si>
    <r>
      <t>P</t>
    </r>
    <r>
      <rPr>
        <vertAlign val="subscript"/>
        <sz val="11"/>
        <color theme="1"/>
        <rFont val="Calibri"/>
        <family val="2"/>
        <scheme val="minor"/>
      </rPr>
      <t xml:space="preserve">D_SW </t>
    </r>
    <r>
      <rPr>
        <sz val="11"/>
        <color theme="1"/>
        <rFont val="Calibri"/>
        <family val="2"/>
        <scheme val="minor"/>
      </rPr>
      <t>(W)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</si>
  <si>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</si>
  <si>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</si>
  <si>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</si>
  <si>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</si>
  <si>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</si>
  <si>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Transconductance, g</t>
    </r>
    <r>
      <rPr>
        <vertAlign val="subscript"/>
        <sz val="10"/>
        <rFont val="Arial"/>
        <family val="2"/>
      </rPr>
      <t>FS</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</si>
  <si>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</si>
  <si>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</si>
  <si>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</si>
  <si>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</si>
  <si>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</si>
  <si>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</si>
  <si>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Qg_tot</t>
  </si>
  <si>
    <t>Qgs</t>
  </si>
  <si>
    <t>Qgd</t>
  </si>
  <si>
    <t>Rgate</t>
  </si>
  <si>
    <t>gfs</t>
  </si>
  <si>
    <t>Vth</t>
  </si>
  <si>
    <t>C</t>
  </si>
  <si>
    <t>Qrr</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</si>
  <si>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</si>
  <si>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</si>
  <si>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</si>
  <si>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</si>
  <si>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</si>
  <si>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</si>
  <si>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</si>
  <si>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</si>
  <si>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</si>
  <si>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</si>
  <si>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</si>
  <si>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</si>
  <si>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</si>
  <si>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</si>
  <si>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</si>
  <si>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ISW</t>
    </r>
    <r>
      <rPr>
        <vertAlign val="subscript"/>
        <sz val="11"/>
        <color theme="1"/>
        <rFont val="Calibri"/>
        <family val="2"/>
        <scheme val="minor"/>
      </rPr>
      <t xml:space="preserve">AVG </t>
    </r>
    <r>
      <rPr>
        <sz val="11"/>
        <color theme="1"/>
        <rFont val="Calibri"/>
        <family val="2"/>
        <scheme val="minor"/>
      </rPr>
      <t>(A)</t>
    </r>
  </si>
  <si>
    <r>
      <t>ISW</t>
    </r>
    <r>
      <rPr>
        <vertAlign val="subscript"/>
        <sz val="11"/>
        <color theme="1"/>
        <rFont val="Calibri"/>
        <family val="2"/>
        <scheme val="minor"/>
      </rPr>
      <t>RMS</t>
    </r>
  </si>
  <si>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</si>
  <si>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</si>
  <si>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</si>
  <si>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</si>
  <si>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</si>
  <si>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t>Total Losses</t>
  </si>
  <si>
    <r>
      <t>P</t>
    </r>
    <r>
      <rPr>
        <vertAlign val="subscript"/>
        <sz val="11"/>
        <color theme="1"/>
        <rFont val="Calibri"/>
        <family val="2"/>
        <scheme val="minor"/>
      </rPr>
      <t>TOTAL</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</si>
  <si>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</si>
  <si>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</si>
  <si>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</si>
  <si>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</si>
  <si>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</si>
  <si>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</si>
  <si>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t>Eff</t>
  </si>
  <si>
    <r>
      <t>P</t>
    </r>
    <r>
      <rPr>
        <vertAlign val="subscript"/>
        <sz val="11"/>
        <color theme="1"/>
        <rFont val="Calibri"/>
        <family val="2"/>
        <scheme val="minor"/>
      </rPr>
      <t>OUT</t>
    </r>
    <r>
      <rPr>
        <sz val="11"/>
        <color theme="1"/>
        <rFont val="Calibri"/>
        <family val="2"/>
        <scheme val="minor"/>
      </rPr>
      <t xml:space="preserve"> (W)</t>
    </r>
  </si>
  <si>
    <t>Inductor</t>
  </si>
  <si>
    <r>
      <t>C</t>
    </r>
    <r>
      <rPr>
        <vertAlign val="subscript"/>
        <sz val="11"/>
        <color theme="1"/>
        <rFont val="Calibri"/>
        <family val="2"/>
        <scheme val="minor"/>
      </rPr>
      <t>COMP</t>
    </r>
  </si>
  <si>
    <r>
      <t>C</t>
    </r>
    <r>
      <rPr>
        <vertAlign val="subscript"/>
        <sz val="11"/>
        <color theme="1"/>
        <rFont val="Calibri"/>
        <family val="2"/>
        <scheme val="minor"/>
      </rPr>
      <t>HF</t>
    </r>
  </si>
  <si>
    <t>IOUT_VAR</t>
  </si>
  <si>
    <t>RHP_zero location based on the minimum input voltage</t>
  </si>
  <si>
    <t>Low frequency pole based on the minimum input voltage</t>
  </si>
  <si>
    <t>rad</t>
  </si>
  <si>
    <t>raf</t>
  </si>
  <si>
    <t>ESR zero based on the minimum input voltage</t>
  </si>
  <si>
    <t>This is based on the minimum input voltage. T</t>
  </si>
  <si>
    <t>Id_AVG</t>
  </si>
  <si>
    <t xml:space="preserve">Suggested average current rating of diode. </t>
  </si>
  <si>
    <t>Frcoss (VIN)min</t>
  </si>
  <si>
    <t>ADC_VINmin</t>
  </si>
  <si>
    <t>wp_lf_VINmin</t>
  </si>
  <si>
    <t>fp_lf_VINmin</t>
  </si>
  <si>
    <t>wz_esr_VINmin</t>
  </si>
  <si>
    <t>fz_esr_VINmin</t>
  </si>
  <si>
    <t>wz_RHP_VINmin</t>
  </si>
  <si>
    <t>fz_rhp_VINmin</t>
  </si>
  <si>
    <t>Se_VINmin</t>
  </si>
  <si>
    <t>Sn_VINmin</t>
  </si>
  <si>
    <t>wsl_VINmin</t>
  </si>
  <si>
    <t>Q_VINmin</t>
  </si>
  <si>
    <t>Vin_op_min</t>
  </si>
  <si>
    <t>Minimum operating voltage</t>
  </si>
  <si>
    <t>Maximum BIAS pin operating voltage</t>
  </si>
  <si>
    <t>Vin_op_max</t>
  </si>
  <si>
    <t>This should be set at or near the lowest RHP zero Frequency</t>
  </si>
  <si>
    <t>Maximum duty cycle at the minimum input voltage. Includes estimated efficiency for margin</t>
  </si>
  <si>
    <t>Duty cycle at the mimum input voltage (CCM). (First order/ ideal equation)</t>
  </si>
  <si>
    <t>Duty cycle at the nominal input voltage (CCM) (First order/ ideal equation)</t>
  </si>
  <si>
    <t>Duty cycle at the maximum input voltage (CCM) (First order/ ideal equation)</t>
  </si>
  <si>
    <t>DCM_Flag</t>
  </si>
  <si>
    <t>DC_rip</t>
  </si>
  <si>
    <t>CCM Operation calculations</t>
  </si>
  <si>
    <t>Select DCM duty cycle to be 70%. This will keep the ripple current fairly low and allow for efficiency drops.</t>
  </si>
  <si>
    <t>L_DCM_DC</t>
  </si>
  <si>
    <t>DC_DCM_max</t>
  </si>
  <si>
    <t>Maximum duty cycle for DCM operation. 70% is a good starting point. Could be related to the switching frequency</t>
  </si>
  <si>
    <t>M_L_DCM</t>
  </si>
  <si>
    <t>Margin to allow for inductor ripple current to be greater than the average input current</t>
  </si>
  <si>
    <t>L_DCM_M</t>
  </si>
  <si>
    <t xml:space="preserve">Inductor value that ensures the ripple current is larger than the average input current </t>
  </si>
  <si>
    <t>L_DCM</t>
  </si>
  <si>
    <t>Select the lowest of the two inductor value calculations</t>
  </si>
  <si>
    <t>If DCM is required (high step-up ratio) output L_DCM. Otherwise output the CCM inductor value</t>
  </si>
  <si>
    <r>
      <t xml:space="preserve">Forced off time limit? [2 True, 1 False]. </t>
    </r>
    <r>
      <rPr>
        <b/>
        <sz val="11"/>
        <color theme="1"/>
        <rFont val="Calibri"/>
        <family val="2"/>
        <scheme val="minor"/>
      </rPr>
      <t>Note this is calcualting for the minimum duty cycle limit of the datasheet.</t>
    </r>
  </si>
  <si>
    <t>Lm_calc</t>
  </si>
  <si>
    <t>This value used to make the selection for CCM calculations</t>
  </si>
  <si>
    <t>Duty Cycle Calculations</t>
  </si>
  <si>
    <t>Minium input voltage</t>
  </si>
  <si>
    <t>DCc_mode_VIN_min</t>
  </si>
  <si>
    <t>DCc_mode_VIN_nom</t>
  </si>
  <si>
    <t>DCc_mode_VIN_max</t>
  </si>
  <si>
    <t>IL_avg_VIN_max</t>
  </si>
  <si>
    <t>Current Sense Resistor calculated, id DCM this is going to be the value calculated without slope compensation</t>
  </si>
  <si>
    <t>External Compensation? (0-no, 1-yes), Only accurate for CCM as DCM doesn't need slope compensation</t>
  </si>
  <si>
    <t>fcross_estimate</t>
  </si>
  <si>
    <t>Itrans</t>
  </si>
  <si>
    <t>CCM Calculations</t>
  </si>
  <si>
    <t>DCM Selections</t>
  </si>
  <si>
    <t>CCM Plant Transfer Function</t>
  </si>
  <si>
    <t>DCM Plant Transfer Function</t>
  </si>
  <si>
    <t xml:space="preserve"> CCMPlant Parameters</t>
  </si>
  <si>
    <t>ADC_VIN_min_DCM</t>
  </si>
  <si>
    <t>Fm_DCM</t>
  </si>
  <si>
    <t>wp_dcm</t>
  </si>
  <si>
    <t>wz1_dcm</t>
  </si>
  <si>
    <t>wz2_dcm</t>
  </si>
  <si>
    <t>fcross_DCM</t>
  </si>
  <si>
    <r>
      <t xml:space="preserve">Conservative. Set Fcross to be 1/5th the RHP zero frequency or 1/10th SW: whichever is lower. </t>
    </r>
    <r>
      <rPr>
        <b/>
        <sz val="11"/>
        <color theme="1"/>
        <rFont val="Calibri"/>
        <family val="2"/>
        <scheme val="minor"/>
      </rPr>
      <t>Note this is just for CCM operation</t>
    </r>
  </si>
  <si>
    <t>General Loop Selections</t>
  </si>
  <si>
    <t>Rcomp_Calc_DCM</t>
  </si>
  <si>
    <t>Calcualted based on the desired Zero frequency. Set at the geometric mean between the crossover frequency and the load pole</t>
  </si>
  <si>
    <t>Calcualted based on the RHP zero frequency</t>
  </si>
  <si>
    <t>Ohm</t>
  </si>
  <si>
    <t>CCOMP_Calc_DCM</t>
  </si>
  <si>
    <t>CHF_Calc_DCM</t>
  </si>
  <si>
    <t>Rcomp_Calc_CCM</t>
  </si>
  <si>
    <t>CCOMP_calc_CCM</t>
  </si>
  <si>
    <t>CHF_Calc_CCM</t>
  </si>
  <si>
    <t>CHF_calc</t>
  </si>
  <si>
    <t>Variable output current (Can add this a different revision, not needed right now)</t>
  </si>
  <si>
    <t>RHP zero location</t>
  </si>
  <si>
    <t>Modulator gain of the PWM comparator</t>
  </si>
  <si>
    <t>DC_VIN_var_DCM</t>
  </si>
  <si>
    <t>Operating mode</t>
  </si>
  <si>
    <t>0 - DCM operation, 1- CCM opertaion</t>
  </si>
  <si>
    <t>wp_lf_DCM</t>
  </si>
  <si>
    <t>CCM Open Loop Response</t>
  </si>
  <si>
    <t>DCM Open Loop Response</t>
  </si>
  <si>
    <t>Displayed Loop Calclation</t>
  </si>
  <si>
    <t>Gain(dB)</t>
  </si>
  <si>
    <t>Phase (deg)</t>
  </si>
  <si>
    <t>RAD</t>
  </si>
  <si>
    <t>Vsl</t>
  </si>
  <si>
    <r>
      <t>External Slope Compensation Resistor</t>
    </r>
    <r>
      <rPr>
        <b/>
        <sz val="11"/>
        <color theme="1"/>
        <rFont val="Calibri"/>
        <family val="2"/>
        <scheme val="minor"/>
      </rPr>
      <t xml:space="preserve"> (No external Slope Comp for LM5127)</t>
    </r>
  </si>
  <si>
    <t>Kex</t>
  </si>
  <si>
    <t>Km</t>
  </si>
  <si>
    <t>Kd</t>
  </si>
  <si>
    <t>Slope compensation parameters. Will change pole and DC gain equation</t>
  </si>
  <si>
    <t>Sampling pole</t>
  </si>
  <si>
    <t>Q factor of the inductor sampling curve</t>
  </si>
  <si>
    <t>Always set to 1 right now for initial revision. Will only operate in CCM</t>
  </si>
  <si>
    <t>Kex_VINmin</t>
  </si>
  <si>
    <t>Km_VINmin</t>
  </si>
  <si>
    <t>Kd_VINmin</t>
  </si>
  <si>
    <t>Calculated at the minimum input voltage</t>
  </si>
  <si>
    <t>Slope compensation (VSL is refered to the current sense resistor)</t>
  </si>
  <si>
    <t>ae</t>
  </si>
  <si>
    <t>be</t>
  </si>
  <si>
    <t>Gfc</t>
  </si>
  <si>
    <r>
      <t>On-State Resistance, R</t>
    </r>
    <r>
      <rPr>
        <vertAlign val="subscript"/>
        <sz val="10"/>
        <color theme="2" tint="-0.89999084444715716"/>
        <rFont val="Arial"/>
        <family val="2"/>
      </rPr>
      <t>DS(on)</t>
    </r>
    <r>
      <rPr>
        <sz val="10"/>
        <color theme="2" tint="-0.89999084444715716"/>
        <rFont val="Arial"/>
        <family val="2"/>
      </rPr>
      <t xml:space="preserve"> </t>
    </r>
  </si>
  <si>
    <r>
      <t>Total Gate Charge, Q</t>
    </r>
    <r>
      <rPr>
        <vertAlign val="subscript"/>
        <sz val="10"/>
        <color theme="2" tint="-0.89999084444715716"/>
        <rFont val="Arial"/>
        <family val="2"/>
      </rPr>
      <t>G</t>
    </r>
    <r>
      <rPr>
        <sz val="10"/>
        <color theme="2" tint="-0.89999084444715716"/>
        <rFont val="Arial"/>
        <family val="2"/>
      </rPr>
      <t xml:space="preserve"> </t>
    </r>
  </si>
  <si>
    <r>
      <t>Gate-Drain Charge, Q</t>
    </r>
    <r>
      <rPr>
        <vertAlign val="subscript"/>
        <sz val="10"/>
        <color theme="2" tint="-0.89999084444715716"/>
        <rFont val="Arial"/>
        <family val="2"/>
      </rPr>
      <t>GD</t>
    </r>
    <r>
      <rPr>
        <sz val="10"/>
        <color theme="2" tint="-0.89999084444715716"/>
        <rFont val="Arial"/>
        <family val="2"/>
      </rPr>
      <t xml:space="preserve"> </t>
    </r>
  </si>
  <si>
    <r>
      <t>Gate-Source Charge, Q</t>
    </r>
    <r>
      <rPr>
        <vertAlign val="subscript"/>
        <sz val="10"/>
        <color theme="2" tint="-0.89999084444715716"/>
        <rFont val="Arial"/>
        <family val="2"/>
      </rPr>
      <t>GS</t>
    </r>
    <r>
      <rPr>
        <sz val="10"/>
        <color theme="2" tint="-0.89999084444715716"/>
        <rFont val="Arial"/>
        <family val="2"/>
      </rPr>
      <t xml:space="preserve"> </t>
    </r>
  </si>
  <si>
    <r>
      <t>Gate Resistance, R</t>
    </r>
    <r>
      <rPr>
        <vertAlign val="subscript"/>
        <sz val="10"/>
        <color theme="2" tint="-0.89999084444715716"/>
        <rFont val="Arial"/>
        <family val="2"/>
      </rPr>
      <t>G</t>
    </r>
    <r>
      <rPr>
        <sz val="10"/>
        <color theme="2" tint="-0.89999084444715716"/>
        <rFont val="Arial"/>
        <family val="2"/>
      </rPr>
      <t xml:space="preserve"> </t>
    </r>
  </si>
  <si>
    <r>
      <t>Gate-Source Threshold Voltage, V</t>
    </r>
    <r>
      <rPr>
        <vertAlign val="subscript"/>
        <sz val="10"/>
        <color theme="2" tint="-0.89999084444715716"/>
        <rFont val="Arial"/>
        <family val="2"/>
      </rPr>
      <t>TH</t>
    </r>
    <r>
      <rPr>
        <sz val="10"/>
        <color theme="2" tint="-0.89999084444715716"/>
        <rFont val="Arial"/>
        <family val="2"/>
      </rPr>
      <t xml:space="preserve"> </t>
    </r>
  </si>
  <si>
    <t>VOUT_range</t>
  </si>
  <si>
    <t xml:space="preserve">Sets the feedback divider. Unique to the LM5123 topology (1 = low voltage &lt;=15V, 2 = high voltage &gt;15V) </t>
  </si>
  <si>
    <t>SW_mode</t>
  </si>
  <si>
    <t xml:space="preserve">Estimated efficiency. Assuming 100% simplify the calculations </t>
  </si>
  <si>
    <t xml:space="preserve">1: DCM operation required at VINmin to achieve the step-up ratio. 
</t>
  </si>
  <si>
    <t>2: CCM operation can achieve step-up ratio with out violating the maximum duty cycle</t>
  </si>
  <si>
    <t>Maximum IC duty cycle. Based on the forced off time and frequency. Give the equation about 2% margin to allow for losses in the controller</t>
  </si>
  <si>
    <t>DCM Operation calculations</t>
  </si>
  <si>
    <t>Indicates if the regulator is operating in CCM or DCM at full load (1 = CCM, 0 = DCM)</t>
  </si>
  <si>
    <t>Np</t>
  </si>
  <si>
    <t>Normal</t>
  </si>
  <si>
    <t>Indicates if the regulator is operating in CCM or DCM at full load (1 = CCM, 0 = DCM). If FPWM mode is selected always picks CCM operation</t>
  </si>
  <si>
    <t>ratio of down slope to slope compensation. This helps to prevent sub-harmonic oscillation in conditions where the duty cycle is &gt; 50%</t>
  </si>
  <si>
    <r>
      <t>Selected external slope compensation (</t>
    </r>
    <r>
      <rPr>
        <b/>
        <sz val="11"/>
        <color theme="1"/>
        <rFont val="Calibri"/>
        <family val="2"/>
        <scheme val="minor"/>
      </rPr>
      <t>No varialbe slope compenstiaon for the LM5123)</t>
    </r>
  </si>
  <si>
    <t>Can add this in later to make sure the dynamic range of the error amplifier is not violated</t>
  </si>
  <si>
    <t>HZ</t>
  </si>
  <si>
    <t>RMS current of the output capacitor at VIN min IOUT max. RMS current rating should be larger than this. Need to update for DCM</t>
  </si>
  <si>
    <t>*The output capcitance is based on the load transient specification. Similar to the fylback converter</t>
  </si>
  <si>
    <t>KFB</t>
  </si>
  <si>
    <t>VTRK</t>
  </si>
  <si>
    <t>TRK pin voltage to set the correct output voltage</t>
  </si>
  <si>
    <t>This is the output to the user based on the mode of operation when VIN is the minimum. Changes based on DCM or CCM operation</t>
  </si>
  <si>
    <r>
      <t>Crossover frequnecy of the</t>
    </r>
    <r>
      <rPr>
        <b/>
        <sz val="11"/>
        <color theme="1"/>
        <rFont val="Calibri"/>
        <family val="2"/>
        <scheme val="minor"/>
      </rPr>
      <t xml:space="preserve"> DCM control loop</t>
    </r>
    <r>
      <rPr>
        <sz val="11"/>
        <color theme="1"/>
        <rFont val="Calibri"/>
        <family val="2"/>
        <scheme val="minor"/>
      </rPr>
      <t>. (1/5th the RHPzero frequency), or 10th the switching frequency which ever is lower</t>
    </r>
  </si>
  <si>
    <t>Selected crossover</t>
  </si>
  <si>
    <t>DCM Operation Loop Model</t>
  </si>
  <si>
    <t>Fcross (VINvar)</t>
  </si>
  <si>
    <t>Low-Side MOSFET</t>
  </si>
  <si>
    <t>High-Side MOSFET Losses</t>
  </si>
  <si>
    <t>LOW Side MOSFET Parameters</t>
  </si>
  <si>
    <t>High Side MOSFET Parameters</t>
  </si>
  <si>
    <t>Body Diode Reverse recovery charge</t>
  </si>
  <si>
    <t>Body Diode Forward drop</t>
  </si>
  <si>
    <r>
      <t>IHS</t>
    </r>
    <r>
      <rPr>
        <vertAlign val="subscript"/>
        <sz val="11"/>
        <color theme="1"/>
        <rFont val="Calibri"/>
        <family val="2"/>
        <scheme val="minor"/>
      </rPr>
      <t>RMS</t>
    </r>
  </si>
  <si>
    <t>Dead Time losses</t>
  </si>
  <si>
    <t>Dead time losses (Sync Controller)</t>
  </si>
  <si>
    <t>t_dead</t>
  </si>
  <si>
    <r>
      <t>P</t>
    </r>
    <r>
      <rPr>
        <vertAlign val="subscript"/>
        <sz val="11"/>
        <color theme="1"/>
        <rFont val="Calibri"/>
        <family val="2"/>
        <scheme val="minor"/>
      </rPr>
      <t xml:space="preserve">HS_tot </t>
    </r>
    <r>
      <rPr>
        <sz val="11"/>
        <color theme="1"/>
        <rFont val="Calibri"/>
        <family val="2"/>
        <scheme val="minor"/>
      </rPr>
      <t>(W)</t>
    </r>
  </si>
  <si>
    <r>
      <t>P</t>
    </r>
    <r>
      <rPr>
        <vertAlign val="subscript"/>
        <sz val="11"/>
        <color theme="1"/>
        <rFont val="Calibri"/>
        <family val="2"/>
        <scheme val="minor"/>
      </rPr>
      <t>L_CORE</t>
    </r>
    <r>
      <rPr>
        <sz val="11"/>
        <color theme="1"/>
        <rFont val="Calibri"/>
        <family val="2"/>
        <scheme val="minor"/>
      </rPr>
      <t xml:space="preserve"> (W)</t>
    </r>
  </si>
  <si>
    <t>nest</t>
  </si>
  <si>
    <t>estimated efficiency at the peak current limit. Keep at ~95% for SYNC boost controllers</t>
  </si>
  <si>
    <t xml:space="preserve">number of phases in operation </t>
  </si>
  <si>
    <t>Maximum Ton minimum value</t>
  </si>
  <si>
    <r>
      <t>Low-Side MOSFET Parameters (Q</t>
    </r>
    <r>
      <rPr>
        <b/>
        <vertAlign val="subscript"/>
        <sz val="11"/>
        <color theme="2" tint="-0.89996032593768116"/>
        <rFont val="Calibri"/>
        <family val="2"/>
        <scheme val="minor"/>
      </rPr>
      <t>L</t>
    </r>
    <r>
      <rPr>
        <b/>
        <sz val="11"/>
        <color theme="2" tint="-0.89999084444715716"/>
        <rFont val="Calibri"/>
        <family val="2"/>
        <scheme val="minor"/>
      </rPr>
      <t>)</t>
    </r>
  </si>
  <si>
    <r>
      <t>High-Side MOSFET Parameters (Q</t>
    </r>
    <r>
      <rPr>
        <b/>
        <vertAlign val="subscript"/>
        <sz val="11"/>
        <color theme="2" tint="-0.89996032593768116"/>
        <rFont val="Calibri"/>
        <family val="2"/>
        <scheme val="minor"/>
      </rPr>
      <t>H</t>
    </r>
    <r>
      <rPr>
        <b/>
        <sz val="11"/>
        <color theme="2" tint="-0.89999084444715716"/>
        <rFont val="Calibri"/>
        <family val="2"/>
        <scheme val="minor"/>
      </rPr>
      <t>)</t>
    </r>
  </si>
  <si>
    <t>Target Output Voltage (Max should be 60V)</t>
  </si>
  <si>
    <r>
      <t xml:space="preserve"> Output Power Per Phase, P</t>
    </r>
    <r>
      <rPr>
        <vertAlign val="subscript"/>
        <sz val="10"/>
        <color theme="1"/>
        <rFont val="Calibri"/>
        <family val="2"/>
        <scheme val="minor"/>
      </rPr>
      <t>OUT</t>
    </r>
    <r>
      <rPr>
        <sz val="10"/>
        <color theme="1"/>
        <rFont val="Calibri"/>
        <family val="2"/>
        <scheme val="minor"/>
      </rPr>
      <t xml:space="preserve"> </t>
    </r>
  </si>
  <si>
    <t xml:space="preserve">ATRK </t>
  </si>
  <si>
    <t>Itrk</t>
  </si>
  <si>
    <t>Number of Phases</t>
  </si>
  <si>
    <t>Max duty cycle of LM5125 at Fsw</t>
  </si>
  <si>
    <t>uA</t>
  </si>
  <si>
    <t>I_IMON</t>
  </si>
  <si>
    <t>R_IMON_calculated</t>
  </si>
  <si>
    <t>I_IMON_reg</t>
  </si>
  <si>
    <t>Step 6: Soft-start Capacitor selection</t>
  </si>
  <si>
    <t>Step 7: Loop Compensation</t>
  </si>
  <si>
    <t>Step 8: Component Selection</t>
  </si>
  <si>
    <t>Vuvlo_on</t>
  </si>
  <si>
    <t>Desired turn on voltage</t>
  </si>
  <si>
    <t>Vuvlo_off</t>
  </si>
  <si>
    <t>Desired turn off voltage</t>
  </si>
  <si>
    <t>UV_rise</t>
  </si>
  <si>
    <t>Falling  UV threshold</t>
  </si>
  <si>
    <t>UV_fall</t>
  </si>
  <si>
    <t>Rising UV threshold</t>
  </si>
  <si>
    <t>UV_I_hyst</t>
  </si>
  <si>
    <t>UVLO circuit current hysteresis</t>
  </si>
  <si>
    <t>Ruvlo_top_calc</t>
  </si>
  <si>
    <t>Calcualted top UVLO resistor</t>
  </si>
  <si>
    <t>Selected top UVLO resistor</t>
  </si>
  <si>
    <t>Ruvlo_bottom_calc</t>
  </si>
  <si>
    <t>Vuvlo_on_act</t>
  </si>
  <si>
    <t>Actual turn on voltage</t>
  </si>
  <si>
    <t>Vuvlo_off_act</t>
  </si>
  <si>
    <t>Actual turn off voltage</t>
  </si>
  <si>
    <t>UVLO Thresholds</t>
  </si>
  <si>
    <t>Rising Threshold (See datasheet for more details)</t>
  </si>
  <si>
    <t>Falling threshold (See datasheet for more details)</t>
  </si>
  <si>
    <t>UVLO current hysteresis</t>
  </si>
  <si>
    <t>R_ATRK</t>
  </si>
  <si>
    <t>V_ATRK</t>
  </si>
  <si>
    <t>DEM</t>
  </si>
  <si>
    <t>FPWM</t>
  </si>
  <si>
    <t>selected switching mode (2 = DEM, 3 =FPWM) Will change the effieciency calculations accordingly</t>
  </si>
  <si>
    <t>Version Number</t>
  </si>
  <si>
    <t>Version History</t>
  </si>
  <si>
    <t>Version</t>
  </si>
  <si>
    <t>Change List Description</t>
  </si>
  <si>
    <t>Initial Release</t>
  </si>
  <si>
    <r>
      <t xml:space="preserve">Current sense resistor without slope compensation </t>
    </r>
    <r>
      <rPr>
        <b/>
        <sz val="11"/>
        <color theme="1"/>
        <rFont val="Calibri"/>
        <family val="2"/>
        <scheme val="minor"/>
      </rPr>
      <t>(No variable slope compensation of the LM5125)</t>
    </r>
  </si>
  <si>
    <r>
      <t>External slope compensation resistor, if DCM operation the external slope compensation is not needed. Should b 0 Ohm (</t>
    </r>
    <r>
      <rPr>
        <b/>
        <sz val="11"/>
        <color theme="1"/>
        <rFont val="Calibri"/>
        <family val="2"/>
        <scheme val="minor"/>
      </rPr>
      <t>No external slope comp in LM5125)</t>
    </r>
  </si>
  <si>
    <t>Operation Range</t>
  </si>
  <si>
    <t>IMON</t>
  </si>
  <si>
    <t>GIMON</t>
  </si>
  <si>
    <t>I_offset</t>
  </si>
  <si>
    <t>V_ILIM</t>
  </si>
  <si>
    <t>Desired total average current</t>
  </si>
  <si>
    <t>Iavg_total</t>
  </si>
  <si>
    <t>T_blank</t>
  </si>
  <si>
    <t>C_lim</t>
  </si>
  <si>
    <t>Rc</t>
  </si>
  <si>
    <t>Actual average current limit</t>
  </si>
  <si>
    <t>R_IMON_selected</t>
  </si>
  <si>
    <t>C_lim_selected</t>
  </si>
  <si>
    <t>Ruvlo_top_sel</t>
  </si>
  <si>
    <t>Ruvlo_bottom_sel</t>
  </si>
  <si>
    <t>Desired Soft-Start time</t>
  </si>
  <si>
    <t>Step 5: Average current limit with ILIM/IMON</t>
  </si>
  <si>
    <t>Step 6: CFG Settings</t>
  </si>
  <si>
    <t>Step 6: Deadtime Selection</t>
  </si>
  <si>
    <r>
      <t>Minimum Gate-Source Threshold Voltage, V</t>
    </r>
    <r>
      <rPr>
        <vertAlign val="subscript"/>
        <sz val="10"/>
        <color theme="2" tint="-0.89999084444715716"/>
        <rFont val="Arial"/>
        <family val="2"/>
      </rPr>
      <t>GS(TH)</t>
    </r>
    <r>
      <rPr>
        <sz val="10"/>
        <color theme="2" tint="-0.89999084444715716"/>
        <rFont val="Arial"/>
        <family val="2"/>
      </rPr>
      <t xml:space="preserve"> </t>
    </r>
  </si>
  <si>
    <t>Desired per phase average current</t>
  </si>
  <si>
    <t>IMON current</t>
  </si>
  <si>
    <t>Step 6: UVLO Resistor Selection</t>
  </si>
  <si>
    <t>Selected R_IMON</t>
  </si>
  <si>
    <t>Suggested R_IMON</t>
  </si>
  <si>
    <t>Blank time for peak power</t>
  </si>
  <si>
    <t>Suggested C_IMON</t>
  </si>
  <si>
    <t>Selected C_IMON</t>
  </si>
  <si>
    <t>Suggested Rc</t>
  </si>
  <si>
    <r>
      <t>Input capacitance of low side FET, C</t>
    </r>
    <r>
      <rPr>
        <vertAlign val="subscript"/>
        <sz val="11"/>
        <color theme="1"/>
        <rFont val="Calibri"/>
        <family val="2"/>
        <scheme val="minor"/>
      </rPr>
      <t>ISS</t>
    </r>
  </si>
  <si>
    <r>
      <t>Gate Resistance of low side FET, R</t>
    </r>
    <r>
      <rPr>
        <vertAlign val="subscript"/>
        <sz val="11"/>
        <rFont val="Calibri"/>
        <family val="2"/>
        <scheme val="minor"/>
      </rPr>
      <t>G</t>
    </r>
  </si>
  <si>
    <t>CISS</t>
  </si>
  <si>
    <t>Rg</t>
  </si>
  <si>
    <t>Vgsth</t>
  </si>
  <si>
    <t>Td</t>
  </si>
  <si>
    <t>ns</t>
  </si>
  <si>
    <t>Driver</t>
  </si>
  <si>
    <t>Rg_int</t>
  </si>
  <si>
    <t>ohm</t>
  </si>
  <si>
    <t>Light Load Operation Switching Mode</t>
  </si>
  <si>
    <r>
      <t>Free Running Oscillator Set Resistor, R</t>
    </r>
    <r>
      <rPr>
        <vertAlign val="subscript"/>
        <sz val="10"/>
        <color theme="1"/>
        <rFont val="Calibri"/>
        <family val="2"/>
        <scheme val="minor"/>
      </rPr>
      <t>T</t>
    </r>
  </si>
  <si>
    <r>
      <t>V</t>
    </r>
    <r>
      <rPr>
        <vertAlign val="subscript"/>
        <sz val="10"/>
        <color theme="1"/>
        <rFont val="Calibri"/>
        <family val="2"/>
        <scheme val="minor"/>
      </rPr>
      <t>OUT</t>
    </r>
    <r>
      <rPr>
        <sz val="10"/>
        <color theme="1"/>
        <rFont val="Calibri"/>
        <family val="2"/>
        <scheme val="minor"/>
      </rPr>
      <t xml:space="preserve"> Programming ATRK/DTRK Pin Resistor, R</t>
    </r>
    <r>
      <rPr>
        <vertAlign val="subscript"/>
        <sz val="10"/>
        <color theme="1"/>
        <rFont val="Calibri"/>
        <family val="2"/>
        <scheme val="minor"/>
      </rPr>
      <t>ATRK</t>
    </r>
  </si>
  <si>
    <r>
      <t>Maximum Input Capacitance of Low Side FET, C</t>
    </r>
    <r>
      <rPr>
        <vertAlign val="subscript"/>
        <sz val="10"/>
        <color theme="1"/>
        <rFont val="Calibri"/>
        <family val="2"/>
        <scheme val="minor"/>
      </rPr>
      <t>ISS</t>
    </r>
  </si>
  <si>
    <r>
      <t>Selected Current Monitoring Resistor, R</t>
    </r>
    <r>
      <rPr>
        <vertAlign val="subscript"/>
        <sz val="10"/>
        <color theme="1"/>
        <rFont val="Calibri"/>
        <family val="2"/>
        <scheme val="minor"/>
      </rPr>
      <t>IMON</t>
    </r>
  </si>
  <si>
    <r>
      <t>Suggested Average Current Limit Capacitor, C</t>
    </r>
    <r>
      <rPr>
        <vertAlign val="subscript"/>
        <sz val="10"/>
        <color theme="1"/>
        <rFont val="Calibri"/>
        <family val="2"/>
        <scheme val="minor"/>
      </rPr>
      <t>IMON</t>
    </r>
  </si>
  <si>
    <r>
      <t>Selected Current Limit Capacitor, C</t>
    </r>
    <r>
      <rPr>
        <vertAlign val="subscript"/>
        <sz val="10"/>
        <color theme="1"/>
        <rFont val="Calibri"/>
        <family val="2"/>
        <scheme val="minor"/>
      </rPr>
      <t>IMON</t>
    </r>
  </si>
  <si>
    <t>CFG0</t>
  </si>
  <si>
    <t>ON</t>
  </si>
  <si>
    <t>OFF</t>
  </si>
  <si>
    <t>OVP</t>
  </si>
  <si>
    <t>CFG1</t>
  </si>
  <si>
    <t>OVP bit 0</t>
  </si>
  <si>
    <t>DRSS</t>
  </si>
  <si>
    <t>ICL_latch</t>
  </si>
  <si>
    <t>PG OVP_EN</t>
  </si>
  <si>
    <t>CFG2</t>
  </si>
  <si>
    <t>Single/dual chip</t>
  </si>
  <si>
    <t>single int clk</t>
  </si>
  <si>
    <t>phase shift</t>
  </si>
  <si>
    <t>SYNCIN</t>
  </si>
  <si>
    <t>SYNCO</t>
  </si>
  <si>
    <t>DRSS ON?</t>
  </si>
  <si>
    <r>
      <t>Required Peak Current Limit, I</t>
    </r>
    <r>
      <rPr>
        <vertAlign val="subscript"/>
        <sz val="10"/>
        <color theme="1"/>
        <rFont val="Calibri"/>
        <family val="2"/>
        <scheme val="minor"/>
      </rPr>
      <t>PK</t>
    </r>
    <r>
      <rPr>
        <sz val="10"/>
        <color theme="1"/>
        <rFont val="Calibri"/>
        <family val="2"/>
        <scheme val="minor"/>
      </rPr>
      <t xml:space="preserve"> </t>
    </r>
  </si>
  <si>
    <t>NO</t>
  </si>
  <si>
    <t>YES</t>
  </si>
  <si>
    <t>PGOOD Go Low when OVP?</t>
  </si>
  <si>
    <t>CFG1_OVP_bit</t>
  </si>
  <si>
    <t>CFG2_OVP_bit</t>
  </si>
  <si>
    <t>Minimum deadtime</t>
  </si>
  <si>
    <t>single ext clk</t>
  </si>
  <si>
    <t>Primary 3ph int clk</t>
  </si>
  <si>
    <t>Primary 4ph int clk</t>
  </si>
  <si>
    <t>Primary 3ph ext clk</t>
  </si>
  <si>
    <t>Primary 4ph ext clk</t>
  </si>
  <si>
    <t>Secondary</t>
  </si>
  <si>
    <t>SYNCOUT</t>
  </si>
  <si>
    <t>Syncout</t>
  </si>
  <si>
    <t>120°</t>
  </si>
  <si>
    <t>90°</t>
  </si>
  <si>
    <t>2nd phase shift</t>
  </si>
  <si>
    <t>OVP bit 1</t>
  </si>
  <si>
    <r>
      <rPr>
        <sz val="10"/>
        <rFont val="Calibri"/>
        <family val="2"/>
        <scheme val="minor"/>
      </rPr>
      <t>Total Gate Resistance of Low Side FET, R</t>
    </r>
    <r>
      <rPr>
        <vertAlign val="subscript"/>
        <sz val="10"/>
        <rFont val="Calibri"/>
        <family val="2"/>
        <scheme val="minor"/>
      </rPr>
      <t>gate</t>
    </r>
  </si>
  <si>
    <t>Total blank time</t>
  </si>
  <si>
    <r>
      <t xml:space="preserve">Step 2: Boost Inductor </t>
    </r>
    <r>
      <rPr>
        <sz val="11"/>
        <color rgb="FF0070C0"/>
        <rFont val="Calibri"/>
        <family val="2"/>
        <scheme val="minor"/>
      </rPr>
      <t>(per phase)</t>
    </r>
  </si>
  <si>
    <r>
      <t xml:space="preserve">Desired load step ripple voltage, </t>
    </r>
    <r>
      <rPr>
        <sz val="10"/>
        <color theme="1"/>
        <rFont val="Calibri"/>
        <family val="2"/>
      </rPr>
      <t>ΔV</t>
    </r>
    <r>
      <rPr>
        <vertAlign val="subscript"/>
        <sz val="10"/>
        <color theme="1"/>
        <rFont val="Calibri"/>
        <family val="2"/>
      </rPr>
      <t>OUT</t>
    </r>
  </si>
  <si>
    <r>
      <t xml:space="preserve">Step 3: Current Sense Resistor Selection </t>
    </r>
    <r>
      <rPr>
        <sz val="11"/>
        <color rgb="FF0070C0"/>
        <rFont val="Calibri"/>
        <family val="2"/>
        <scheme val="minor"/>
      </rPr>
      <t>(per phase)</t>
    </r>
  </si>
  <si>
    <r>
      <t xml:space="preserve"> Latch if exceed 120% I</t>
    </r>
    <r>
      <rPr>
        <vertAlign val="subscript"/>
        <sz val="10"/>
        <color theme="1"/>
        <rFont val="Calibri"/>
        <family val="2"/>
        <scheme val="minor"/>
      </rPr>
      <t>PK</t>
    </r>
    <r>
      <rPr>
        <sz val="10"/>
        <color theme="1"/>
        <rFont val="Calibri"/>
        <family val="2"/>
        <scheme val="minor"/>
      </rPr>
      <t xml:space="preserve"> ?</t>
    </r>
  </si>
  <si>
    <t>Estimate to be 1/5 the RHP zero frequency. Pick based on DCM or CCM operation.</t>
  </si>
  <si>
    <r>
      <t>Peak Inductor Current at V</t>
    </r>
    <r>
      <rPr>
        <vertAlign val="subscript"/>
        <sz val="10"/>
        <color theme="1"/>
        <rFont val="Calibri"/>
        <family val="2"/>
        <scheme val="minor"/>
      </rPr>
      <t>SUPPLY(min)</t>
    </r>
    <r>
      <rPr>
        <sz val="10"/>
        <color theme="1"/>
        <rFont val="Calibri"/>
        <family val="2"/>
        <scheme val="minor"/>
      </rPr>
      <t xml:space="preserve"> , IL</t>
    </r>
    <r>
      <rPr>
        <vertAlign val="subscript"/>
        <sz val="10"/>
        <color theme="1"/>
        <rFont val="Calibri"/>
        <family val="2"/>
        <scheme val="minor"/>
      </rPr>
      <t>PK</t>
    </r>
  </si>
  <si>
    <r>
      <t>Selected Total Output Capacitance, C</t>
    </r>
    <r>
      <rPr>
        <vertAlign val="subscript"/>
        <sz val="10"/>
        <rFont val="Calibri"/>
        <family val="2"/>
        <scheme val="minor"/>
      </rPr>
      <t>OUT</t>
    </r>
  </si>
  <si>
    <r>
      <t>Equivalent Series Resistance (ESR) of C</t>
    </r>
    <r>
      <rPr>
        <vertAlign val="subscript"/>
        <sz val="10"/>
        <color theme="1"/>
        <rFont val="Calibri"/>
        <family val="2"/>
        <scheme val="minor"/>
      </rPr>
      <t>OUT</t>
    </r>
    <r>
      <rPr>
        <sz val="10"/>
        <color theme="1"/>
        <rFont val="Calibri"/>
        <family val="2"/>
        <scheme val="minor"/>
      </rPr>
      <t xml:space="preserve"> , R</t>
    </r>
    <r>
      <rPr>
        <vertAlign val="subscript"/>
        <sz val="10"/>
        <color theme="1"/>
        <rFont val="Calibri"/>
        <family val="2"/>
        <scheme val="minor"/>
      </rPr>
      <t>ESR</t>
    </r>
  </si>
  <si>
    <t>D_DTRK</t>
  </si>
  <si>
    <r>
      <t>Inductor DCR, R</t>
    </r>
    <r>
      <rPr>
        <vertAlign val="subscript"/>
        <sz val="10"/>
        <color theme="1"/>
        <rFont val="Calibri"/>
        <family val="2"/>
        <scheme val="minor"/>
      </rPr>
      <t>DCR</t>
    </r>
  </si>
  <si>
    <r>
      <t>Actual Inductor Peak Current Limit, I</t>
    </r>
    <r>
      <rPr>
        <vertAlign val="subscript"/>
        <sz val="10"/>
        <color theme="1"/>
        <rFont val="Calibri"/>
        <family val="2"/>
        <scheme val="minor"/>
      </rPr>
      <t xml:space="preserve">PK </t>
    </r>
  </si>
  <si>
    <t>180°</t>
  </si>
  <si>
    <t>240°</t>
  </si>
  <si>
    <t>Required PWM Duty Cycle by DTRK</t>
  </si>
  <si>
    <r>
      <t>Minimum Total Output Capacitance, C</t>
    </r>
    <r>
      <rPr>
        <vertAlign val="subscript"/>
        <sz val="10"/>
        <color theme="1"/>
        <rFont val="Calibri"/>
        <family val="2"/>
        <scheme val="minor"/>
      </rPr>
      <t xml:space="preserve">OUT_min </t>
    </r>
  </si>
  <si>
    <r>
      <t>Desired Total Average Current Limit, I</t>
    </r>
    <r>
      <rPr>
        <vertAlign val="subscript"/>
        <sz val="10"/>
        <color theme="1"/>
        <rFont val="Calibri"/>
        <family val="2"/>
        <scheme val="minor"/>
      </rPr>
      <t>lim</t>
    </r>
  </si>
  <si>
    <r>
      <t>Actual Total Average Current Limit, I</t>
    </r>
    <r>
      <rPr>
        <vertAlign val="subscript"/>
        <sz val="10"/>
        <color theme="1"/>
        <rFont val="Calibri"/>
        <family val="2"/>
        <scheme val="minor"/>
      </rPr>
      <t>lim</t>
    </r>
  </si>
  <si>
    <t>Transient input current</t>
  </si>
  <si>
    <r>
      <t>Required Blanking Time, t</t>
    </r>
    <r>
      <rPr>
        <vertAlign val="subscript"/>
        <sz val="10"/>
        <color theme="1"/>
        <rFont val="Calibri"/>
        <family val="2"/>
        <scheme val="minor"/>
      </rPr>
      <t>B</t>
    </r>
  </si>
  <si>
    <t>Step 5: Output Voltage Programming</t>
  </si>
  <si>
    <t>Step 6: Average current limit with ILIM/IMON</t>
  </si>
  <si>
    <t>Step 7: Deadtime Selection</t>
  </si>
  <si>
    <t xml:space="preserve">Step 9: UVLO Resistor Divider Selection </t>
  </si>
  <si>
    <t>Step 10: Soft-Start Capacitor Selection</t>
  </si>
  <si>
    <t>Step  11: Loop Compensation</t>
  </si>
  <si>
    <r>
      <t>Required Minimum Deadtime, T</t>
    </r>
    <r>
      <rPr>
        <vertAlign val="subscript"/>
        <sz val="10"/>
        <color theme="1"/>
        <rFont val="Calibri"/>
        <family val="2"/>
        <scheme val="minor"/>
      </rPr>
      <t>d</t>
    </r>
  </si>
  <si>
    <t>Step 8: CFG Selection</t>
  </si>
  <si>
    <t>0:OFF; 1:CFG1 determine DRSS</t>
  </si>
  <si>
    <t>Deadtime</t>
  </si>
  <si>
    <t>Deadtime: 30ns</t>
  </si>
  <si>
    <t>Deadtime: 50ns</t>
  </si>
  <si>
    <t>Deadtime: 75ns</t>
  </si>
  <si>
    <t>Deadtime: 100ns</t>
  </si>
  <si>
    <t>Deadtime: 125ns</t>
  </si>
  <si>
    <t>Deadtime: 150ns</t>
  </si>
  <si>
    <t>Deadtime: 200ns</t>
  </si>
  <si>
    <t>&lt;0.1</t>
  </si>
  <si>
    <t>0.48~0.54</t>
  </si>
  <si>
    <t>1.00~1.30</t>
  </si>
  <si>
    <t>1.81~2.00</t>
  </si>
  <si>
    <t>2.57~2.84</t>
  </si>
  <si>
    <t>3.61~3.99</t>
  </si>
  <si>
    <t>4.85~5.36</t>
  </si>
  <si>
    <t>6.18~6.83</t>
  </si>
  <si>
    <t>7.89~8.72</t>
  </si>
  <si>
    <t>9.98~11.03</t>
  </si>
  <si>
    <t>12.64~13.97</t>
  </si>
  <si>
    <t>15.39~17.01</t>
  </si>
  <si>
    <t>19.48~21.53</t>
  </si>
  <si>
    <t>23.66~26.15</t>
  </si>
  <si>
    <t>28.60~31.61</t>
  </si>
  <si>
    <t>34.68~38.33</t>
  </si>
  <si>
    <t>Selected Deadtime Lv</t>
  </si>
  <si>
    <t>CFG0 Lv</t>
  </si>
  <si>
    <t>OVP: 28.5V</t>
  </si>
  <si>
    <t>OVP: 35V</t>
  </si>
  <si>
    <t>OVP: 50V</t>
  </si>
  <si>
    <t>OVP: 64V</t>
  </si>
  <si>
    <t>DRSS: ON</t>
  </si>
  <si>
    <t>DRSS: OFF</t>
  </si>
  <si>
    <r>
      <t>I</t>
    </r>
    <r>
      <rPr>
        <vertAlign val="subscript"/>
        <sz val="11"/>
        <color theme="1"/>
        <rFont val="Calibri"/>
        <family val="2"/>
        <scheme val="minor"/>
      </rPr>
      <t>CL_latch</t>
    </r>
    <r>
      <rPr>
        <sz val="11"/>
        <color theme="1"/>
        <rFont val="Calibri"/>
        <family val="2"/>
        <scheme val="minor"/>
      </rPr>
      <t>: Enable</t>
    </r>
  </si>
  <si>
    <r>
      <t>I</t>
    </r>
    <r>
      <rPr>
        <vertAlign val="subscript"/>
        <sz val="11"/>
        <color theme="1"/>
        <rFont val="Calibri"/>
        <family val="2"/>
        <scheme val="minor"/>
      </rPr>
      <t>CL_latch</t>
    </r>
    <r>
      <rPr>
        <sz val="11"/>
        <color theme="1"/>
        <rFont val="Calibri"/>
        <family val="2"/>
        <scheme val="minor"/>
      </rPr>
      <t>: Disable</t>
    </r>
  </si>
  <si>
    <t>R_CFG</t>
  </si>
  <si>
    <t>Lv</t>
  </si>
  <si>
    <r>
      <t>ATRK 20</t>
    </r>
    <r>
      <rPr>
        <sz val="11"/>
        <color theme="1"/>
        <rFont val="Times New Roman"/>
        <family val="1"/>
      </rPr>
      <t>µ</t>
    </r>
    <r>
      <rPr>
        <sz val="11"/>
        <color theme="1"/>
        <rFont val="Calibri"/>
        <family val="2"/>
        <scheme val="minor"/>
      </rPr>
      <t>A: ON</t>
    </r>
  </si>
  <si>
    <t>ATRK 20µA: OFF</t>
  </si>
  <si>
    <t>20uA ATRK ON lv</t>
  </si>
  <si>
    <t>OV pulldown PGOOD: No</t>
  </si>
  <si>
    <t>OV pulldown PGOOD: Yes</t>
  </si>
  <si>
    <t>CFG1 Lv</t>
  </si>
  <si>
    <t>Single Internal Clock</t>
  </si>
  <si>
    <t>Single chip</t>
  </si>
  <si>
    <t>CFG2 Lv</t>
  </si>
  <si>
    <t>Clock: External (SYNCIN)</t>
  </si>
  <si>
    <t>Clock: Internal (RT)</t>
  </si>
  <si>
    <t>Internal clock</t>
  </si>
  <si>
    <t>Primary of dual chip, 3 phase</t>
  </si>
  <si>
    <t>Primary of dual chip, 4 phase</t>
  </si>
  <si>
    <t>Secondary of dual chip</t>
  </si>
  <si>
    <t>Phases/Primary</t>
  </si>
  <si>
    <t>Internal clock to use</t>
  </si>
  <si>
    <t>DRSS ON?(Check)</t>
  </si>
  <si>
    <t>DRSS:</t>
  </si>
  <si>
    <t>DRSS warning</t>
  </si>
  <si>
    <t>1:ON;2OFF</t>
  </si>
  <si>
    <t>DRSS_CFG2</t>
  </si>
  <si>
    <r>
      <t>Transient Input Current, I</t>
    </r>
    <r>
      <rPr>
        <vertAlign val="subscript"/>
        <sz val="10"/>
        <color theme="1"/>
        <rFont val="Calibri"/>
        <family val="2"/>
        <scheme val="minor"/>
      </rPr>
      <t>tr</t>
    </r>
  </si>
  <si>
    <t>I_MON_tr</t>
  </si>
  <si>
    <t>V_IMON_0A</t>
  </si>
  <si>
    <r>
      <t>Total Blanking Time,t</t>
    </r>
    <r>
      <rPr>
        <vertAlign val="subscript"/>
        <sz val="10"/>
        <color theme="1"/>
        <rFont val="Calibri"/>
        <family val="2"/>
        <scheme val="minor"/>
      </rPr>
      <t>B</t>
    </r>
    <r>
      <rPr>
        <sz val="10"/>
        <color theme="1"/>
        <rFont val="Calibri"/>
        <family val="2"/>
        <scheme val="minor"/>
      </rPr>
      <t xml:space="preserve"> </t>
    </r>
  </si>
  <si>
    <t>tb_selected</t>
  </si>
  <si>
    <t>tDLY</t>
  </si>
  <si>
    <t>DLY cap</t>
  </si>
  <si>
    <t>C_DLY</t>
  </si>
  <si>
    <t>blank time by DLY</t>
  </si>
  <si>
    <t>Blank time by Cb_slected</t>
  </si>
  <si>
    <t>1.0</t>
  </si>
  <si>
    <t>PH</t>
  </si>
  <si>
    <r>
      <t>Suggested Compensation Resistor, R</t>
    </r>
    <r>
      <rPr>
        <vertAlign val="subscript"/>
        <sz val="10"/>
        <color theme="1"/>
        <rFont val="Calibri"/>
        <family val="2"/>
        <scheme val="minor"/>
      </rPr>
      <t>C</t>
    </r>
    <r>
      <rPr>
        <sz val="10"/>
        <color theme="1"/>
        <rFont val="Calibri"/>
        <family val="2"/>
        <scheme val="minor"/>
      </rPr>
      <t>_</t>
    </r>
    <r>
      <rPr>
        <vertAlign val="subscript"/>
        <sz val="10"/>
        <color theme="1"/>
        <rFont val="Calibri"/>
        <family val="2"/>
        <scheme val="minor"/>
      </rPr>
      <t>IMON</t>
    </r>
  </si>
  <si>
    <r>
      <t>Total Output Power, P</t>
    </r>
    <r>
      <rPr>
        <vertAlign val="subscript"/>
        <sz val="10"/>
        <color theme="1"/>
        <rFont val="Calibri"/>
        <family val="2"/>
        <scheme val="minor"/>
      </rPr>
      <t>OUT_total</t>
    </r>
  </si>
  <si>
    <r>
      <t>Minimum Input Supply Voltage , V</t>
    </r>
    <r>
      <rPr>
        <vertAlign val="subscript"/>
        <sz val="10"/>
        <color theme="1"/>
        <rFont val="Calibri"/>
        <family val="2"/>
        <scheme val="minor"/>
      </rPr>
      <t>in(min)</t>
    </r>
    <r>
      <rPr>
        <sz val="10"/>
        <color theme="1"/>
        <rFont val="Calibri"/>
        <family val="2"/>
        <scheme val="minor"/>
      </rPr>
      <t xml:space="preserve"> </t>
    </r>
  </si>
  <si>
    <r>
      <t>Typical Input Supply Voltage, V</t>
    </r>
    <r>
      <rPr>
        <vertAlign val="subscript"/>
        <sz val="10"/>
        <color theme="1"/>
        <rFont val="Calibri"/>
        <family val="2"/>
        <scheme val="minor"/>
      </rPr>
      <t>in(typ)</t>
    </r>
    <r>
      <rPr>
        <sz val="10"/>
        <color theme="1"/>
        <rFont val="Calibri"/>
        <family val="2"/>
        <scheme val="minor"/>
      </rPr>
      <t xml:space="preserve"> </t>
    </r>
  </si>
  <si>
    <r>
      <t>Maximum Input Supply Voltage , V</t>
    </r>
    <r>
      <rPr>
        <vertAlign val="subscript"/>
        <sz val="10"/>
        <color theme="1"/>
        <rFont val="Calibri"/>
        <family val="2"/>
        <scheme val="minor"/>
      </rPr>
      <t>in(max)</t>
    </r>
    <r>
      <rPr>
        <sz val="10"/>
        <color theme="1"/>
        <rFont val="Calibri"/>
        <family val="2"/>
        <scheme val="minor"/>
      </rPr>
      <t xml:space="preserve"> </t>
    </r>
  </si>
  <si>
    <r>
      <t>Maximum Output Current , I</t>
    </r>
    <r>
      <rPr>
        <vertAlign val="subscript"/>
        <sz val="10"/>
        <color theme="1"/>
        <rFont val="Calibri"/>
        <family val="2"/>
        <scheme val="minor"/>
      </rPr>
      <t>OUT</t>
    </r>
  </si>
  <si>
    <r>
      <t>Output Target Voltage, V</t>
    </r>
    <r>
      <rPr>
        <vertAlign val="subscript"/>
        <sz val="10"/>
        <color theme="1"/>
        <rFont val="Calibri"/>
        <family val="2"/>
        <scheme val="minor"/>
      </rPr>
      <t>OUT</t>
    </r>
  </si>
  <si>
    <r>
      <t>Boost Converter Duty Cycle Limit of LM5125 at V</t>
    </r>
    <r>
      <rPr>
        <vertAlign val="subscript"/>
        <sz val="10"/>
        <color theme="1"/>
        <rFont val="Calibri"/>
        <family val="2"/>
        <scheme val="minor"/>
      </rPr>
      <t>in(min)</t>
    </r>
  </si>
  <si>
    <r>
      <t>Ideal Duty Cycle at V</t>
    </r>
    <r>
      <rPr>
        <vertAlign val="subscript"/>
        <sz val="10"/>
        <color theme="1"/>
        <rFont val="Calibri"/>
        <family val="2"/>
        <scheme val="minor"/>
      </rPr>
      <t xml:space="preserve">in(min) </t>
    </r>
  </si>
  <si>
    <r>
      <t>Switching mode at V</t>
    </r>
    <r>
      <rPr>
        <vertAlign val="subscript"/>
        <sz val="10"/>
        <color theme="1"/>
        <rFont val="Calibri"/>
        <family val="2"/>
        <scheme val="minor"/>
      </rPr>
      <t>in(min)</t>
    </r>
  </si>
  <si>
    <r>
      <t>Suggested Inductance, L</t>
    </r>
    <r>
      <rPr>
        <vertAlign val="subscript"/>
        <sz val="10"/>
        <color theme="1"/>
        <rFont val="Calibri"/>
        <family val="2"/>
        <scheme val="minor"/>
      </rPr>
      <t>m</t>
    </r>
  </si>
  <si>
    <r>
      <t>Selected Inductance, L</t>
    </r>
    <r>
      <rPr>
        <vertAlign val="subscript"/>
        <sz val="10"/>
        <color theme="1"/>
        <rFont val="Calibri"/>
        <family val="2"/>
        <scheme val="minor"/>
      </rPr>
      <t>m</t>
    </r>
  </si>
  <si>
    <r>
      <t>Recommended Current Sense Resistor, R</t>
    </r>
    <r>
      <rPr>
        <vertAlign val="subscript"/>
        <sz val="10"/>
        <color theme="1"/>
        <rFont val="Calibri"/>
        <family val="2"/>
        <scheme val="minor"/>
      </rPr>
      <t>CS</t>
    </r>
  </si>
  <si>
    <r>
      <t>Selected Current Sense Resistor, R</t>
    </r>
    <r>
      <rPr>
        <vertAlign val="subscript"/>
        <sz val="10"/>
        <color theme="1"/>
        <rFont val="Calibri"/>
        <family val="2"/>
        <scheme val="minor"/>
      </rPr>
      <t>CS</t>
    </r>
  </si>
  <si>
    <r>
      <t>Required Voltage by ATRK, V</t>
    </r>
    <r>
      <rPr>
        <vertAlign val="subscript"/>
        <sz val="10"/>
        <color theme="1"/>
        <rFont val="Calibri"/>
        <family val="2"/>
        <scheme val="minor"/>
      </rPr>
      <t>ATRK</t>
    </r>
  </si>
  <si>
    <r>
      <t>Selected Delay Capacitor, C</t>
    </r>
    <r>
      <rPr>
        <vertAlign val="subscript"/>
        <sz val="10"/>
        <color theme="1"/>
        <rFont val="Calibri"/>
        <family val="2"/>
        <scheme val="minor"/>
      </rPr>
      <t>DLY</t>
    </r>
  </si>
  <si>
    <r>
      <t>Desired voltage On, V</t>
    </r>
    <r>
      <rPr>
        <vertAlign val="subscript"/>
        <sz val="10"/>
        <color theme="1"/>
        <rFont val="Calibri"/>
        <family val="2"/>
        <scheme val="minor"/>
      </rPr>
      <t>UVLO_ON</t>
    </r>
  </si>
  <si>
    <r>
      <t>Desired voltage OFF, V</t>
    </r>
    <r>
      <rPr>
        <vertAlign val="subscript"/>
        <sz val="10"/>
        <color theme="1"/>
        <rFont val="Calibri"/>
        <family val="2"/>
        <scheme val="minor"/>
      </rPr>
      <t>UVLO_OFF</t>
    </r>
  </si>
  <si>
    <r>
      <t>Calculated top UVLO resistor value, R</t>
    </r>
    <r>
      <rPr>
        <vertAlign val="subscript"/>
        <sz val="10"/>
        <color theme="1"/>
        <rFont val="Calibri"/>
        <family val="2"/>
        <scheme val="minor"/>
      </rPr>
      <t>UVT_CALC</t>
    </r>
  </si>
  <si>
    <r>
      <t>Selected top UVLO resistor value, R</t>
    </r>
    <r>
      <rPr>
        <vertAlign val="subscript"/>
        <sz val="10"/>
        <color theme="1"/>
        <rFont val="Calibri"/>
        <family val="2"/>
        <scheme val="minor"/>
      </rPr>
      <t>UVT</t>
    </r>
  </si>
  <si>
    <r>
      <t>Suggested bottom UVLO Resistor, R</t>
    </r>
    <r>
      <rPr>
        <vertAlign val="subscript"/>
        <sz val="10"/>
        <color theme="1"/>
        <rFont val="Calibri"/>
        <family val="2"/>
        <scheme val="minor"/>
      </rPr>
      <t>UVB</t>
    </r>
  </si>
  <si>
    <r>
      <t>Actual voltage On, V</t>
    </r>
    <r>
      <rPr>
        <vertAlign val="subscript"/>
        <sz val="10"/>
        <color theme="1"/>
        <rFont val="Calibri"/>
        <family val="2"/>
        <scheme val="minor"/>
      </rPr>
      <t>UVLO_ON</t>
    </r>
  </si>
  <si>
    <r>
      <t>Actual voltage Off, V</t>
    </r>
    <r>
      <rPr>
        <vertAlign val="subscript"/>
        <sz val="10"/>
        <color theme="1"/>
        <rFont val="Calibri"/>
        <family val="2"/>
        <scheme val="minor"/>
      </rPr>
      <t>UVLO_OFF</t>
    </r>
  </si>
  <si>
    <r>
      <t>Suggested minimum soft-start capacitor, C</t>
    </r>
    <r>
      <rPr>
        <vertAlign val="subscript"/>
        <sz val="10"/>
        <color theme="1"/>
        <rFont val="Calibri"/>
        <family val="2"/>
        <scheme val="minor"/>
      </rPr>
      <t>SS_MIN</t>
    </r>
  </si>
  <si>
    <r>
      <t>Desied soft-start time at minimum input voltage, T</t>
    </r>
    <r>
      <rPr>
        <vertAlign val="subscript"/>
        <sz val="10"/>
        <color theme="1"/>
        <rFont val="Calibri"/>
        <family val="2"/>
        <scheme val="minor"/>
      </rPr>
      <t>SS</t>
    </r>
  </si>
  <si>
    <r>
      <t>Calculated soft-start capacitor, C</t>
    </r>
    <r>
      <rPr>
        <vertAlign val="subscript"/>
        <sz val="10"/>
        <color theme="1"/>
        <rFont val="Calibri"/>
        <family val="2"/>
        <scheme val="minor"/>
      </rPr>
      <t>SS</t>
    </r>
  </si>
  <si>
    <r>
      <t>VIN selected, V</t>
    </r>
    <r>
      <rPr>
        <vertAlign val="subscript"/>
        <sz val="10"/>
        <rFont val="Calibri"/>
        <family val="2"/>
        <scheme val="minor"/>
      </rPr>
      <t>IN_VAR</t>
    </r>
  </si>
  <si>
    <r>
      <t>VOUT selected, VOUT</t>
    </r>
    <r>
      <rPr>
        <vertAlign val="subscript"/>
        <sz val="10"/>
        <rFont val="Calibri"/>
        <family val="2"/>
        <scheme val="minor"/>
      </rPr>
      <t>_VAR</t>
    </r>
  </si>
  <si>
    <r>
      <t>Total IOUT selected, IOUT</t>
    </r>
    <r>
      <rPr>
        <vertAlign val="subscript"/>
        <sz val="10"/>
        <rFont val="Calibri"/>
        <family val="2"/>
        <scheme val="minor"/>
      </rPr>
      <t>_VAR</t>
    </r>
  </si>
  <si>
    <r>
      <t>On-State Resistance, R</t>
    </r>
    <r>
      <rPr>
        <vertAlign val="subscript"/>
        <sz val="10"/>
        <color theme="2" tint="-0.89999084444715716"/>
        <rFont val="Arial"/>
        <family val="2"/>
      </rPr>
      <t>DS(on)</t>
    </r>
  </si>
  <si>
    <r>
      <t>Total Gate Charge, Q</t>
    </r>
    <r>
      <rPr>
        <vertAlign val="subscript"/>
        <sz val="10"/>
        <color theme="2" tint="-0.89999084444715716"/>
        <rFont val="Arial"/>
        <family val="2"/>
      </rPr>
      <t>G</t>
    </r>
  </si>
  <si>
    <r>
      <t>Gate-Drain Charge, Q</t>
    </r>
    <r>
      <rPr>
        <vertAlign val="subscript"/>
        <sz val="10"/>
        <color theme="2" tint="-0.89999084444715716"/>
        <rFont val="Arial"/>
        <family val="2"/>
      </rPr>
      <t>GD</t>
    </r>
  </si>
  <si>
    <r>
      <t>Gate-Source Charge, Q</t>
    </r>
    <r>
      <rPr>
        <vertAlign val="subscript"/>
        <sz val="10"/>
        <color theme="2" tint="-0.89999084444715716"/>
        <rFont val="Arial"/>
        <family val="2"/>
      </rPr>
      <t>GS</t>
    </r>
  </si>
  <si>
    <r>
      <t>Gate Resistance, R</t>
    </r>
    <r>
      <rPr>
        <vertAlign val="subscript"/>
        <sz val="10"/>
        <color theme="2" tint="-0.89999084444715716"/>
        <rFont val="Arial"/>
        <family val="2"/>
      </rPr>
      <t>G</t>
    </r>
  </si>
  <si>
    <r>
      <t>Gate-Source Threshold Voltage, V</t>
    </r>
    <r>
      <rPr>
        <vertAlign val="subscript"/>
        <sz val="10"/>
        <color theme="2" tint="-0.89999084444715716"/>
        <rFont val="Arial"/>
        <family val="2"/>
      </rPr>
      <t>TH</t>
    </r>
  </si>
  <si>
    <r>
      <t>Body Diode Reverse Recovery Charge Q</t>
    </r>
    <r>
      <rPr>
        <vertAlign val="subscript"/>
        <sz val="10"/>
        <color theme="2" tint="-0.89996032593768116"/>
        <rFont val="Arial"/>
        <family val="2"/>
      </rPr>
      <t>RR</t>
    </r>
  </si>
  <si>
    <r>
      <t>Body Diode Forward Voltage Drop V</t>
    </r>
    <r>
      <rPr>
        <vertAlign val="subscript"/>
        <sz val="10"/>
        <color theme="2" tint="-0.89996032593768116"/>
        <rFont val="Arial"/>
        <family val="2"/>
      </rPr>
      <t>D_BD</t>
    </r>
  </si>
  <si>
    <t>VIMON</t>
  </si>
  <si>
    <r>
      <t>IMON voltage with R</t>
    </r>
    <r>
      <rPr>
        <vertAlign val="subscript"/>
        <sz val="10"/>
        <color theme="1"/>
        <rFont val="Calibri"/>
        <family val="2"/>
        <scheme val="minor"/>
      </rPr>
      <t>IMON</t>
    </r>
    <r>
      <rPr>
        <sz val="10"/>
        <color theme="1"/>
        <rFont val="Calibri"/>
        <family val="2"/>
        <scheme val="minor"/>
      </rPr>
      <t>, V</t>
    </r>
    <r>
      <rPr>
        <vertAlign val="subscript"/>
        <sz val="10"/>
        <color theme="1"/>
        <rFont val="Calibri"/>
        <family val="2"/>
        <scheme val="minor"/>
      </rPr>
      <t>IMON</t>
    </r>
  </si>
  <si>
    <r>
      <t>Calculated Current Monitoring Resistor, R</t>
    </r>
    <r>
      <rPr>
        <vertAlign val="subscript"/>
        <sz val="10"/>
        <color theme="1"/>
        <rFont val="Calibri"/>
        <family val="2"/>
        <scheme val="minor"/>
      </rPr>
      <t>IMON_CALC</t>
    </r>
  </si>
  <si>
    <t>VIMON, clamped to 3V</t>
  </si>
  <si>
    <t>Vin and Vout</t>
  </si>
  <si>
    <t>Vin_min</t>
  </si>
  <si>
    <t>Vin_max</t>
  </si>
  <si>
    <t>Vout_min</t>
  </si>
  <si>
    <t>Vout_max</t>
  </si>
  <si>
    <r>
      <t>Total Phase, N</t>
    </r>
    <r>
      <rPr>
        <vertAlign val="subscript"/>
        <sz val="10"/>
        <color theme="1"/>
        <rFont val="Calibri"/>
        <family val="2"/>
        <scheme val="minor"/>
      </rPr>
      <t>p</t>
    </r>
  </si>
  <si>
    <t>Set the error amp zero at the load pole.</t>
  </si>
  <si>
    <t>MODE</t>
  </si>
  <si>
    <t xml:space="preserve">crossover </t>
  </si>
  <si>
    <t>gain</t>
  </si>
  <si>
    <t>f</t>
  </si>
  <si>
    <t>p</t>
  </si>
  <si>
    <t>Fc and PM</t>
  </si>
  <si>
    <t>CCM Plant Parameters</t>
  </si>
  <si>
    <t xml:space="preserve"> DCM Plant Parameters</t>
  </si>
  <si>
    <r>
      <t>CTRL+SHIFT+ENTER</t>
    </r>
    <r>
      <rPr>
        <sz val="11"/>
        <color rgb="FFFF0000"/>
        <rFont val="Segoe UI"/>
        <family val="2"/>
      </rPr>
      <t xml:space="preserve"> for B81:C83</t>
    </r>
  </si>
  <si>
    <t>Calcualted Bottom UVLO Resistor</t>
  </si>
  <si>
    <t>RACB</t>
  </si>
  <si>
    <t>CACB</t>
  </si>
  <si>
    <t>ACB (LM5125 only)</t>
  </si>
  <si>
    <r>
      <t>Suggested Bandwidth @V</t>
    </r>
    <r>
      <rPr>
        <vertAlign val="subscript"/>
        <sz val="10"/>
        <color theme="1"/>
        <rFont val="Calibri"/>
        <family val="2"/>
        <scheme val="minor"/>
      </rPr>
      <t>in(min)</t>
    </r>
    <r>
      <rPr>
        <sz val="10"/>
        <color theme="1"/>
        <rFont val="Calibri"/>
        <family val="2"/>
        <scheme val="minor"/>
      </rPr>
      <t>, V</t>
    </r>
    <r>
      <rPr>
        <vertAlign val="subscript"/>
        <sz val="10"/>
        <color theme="1"/>
        <rFont val="Calibri"/>
        <family val="2"/>
        <scheme val="minor"/>
      </rPr>
      <t>OUT(max)</t>
    </r>
    <r>
      <rPr>
        <sz val="10"/>
        <color theme="1"/>
        <rFont val="Calibri"/>
        <family val="2"/>
        <scheme val="minor"/>
      </rPr>
      <t>,I</t>
    </r>
    <r>
      <rPr>
        <vertAlign val="subscript"/>
        <sz val="10"/>
        <color theme="1"/>
        <rFont val="Calibri"/>
        <family val="2"/>
        <scheme val="minor"/>
      </rPr>
      <t>OUT(max)</t>
    </r>
    <r>
      <rPr>
        <sz val="10"/>
        <color theme="1"/>
        <rFont val="Calibri"/>
        <family val="2"/>
        <scheme val="minor"/>
      </rPr>
      <t>, F</t>
    </r>
    <r>
      <rPr>
        <vertAlign val="subscript"/>
        <sz val="10"/>
        <color theme="1"/>
        <rFont val="Calibri"/>
        <family val="2"/>
        <scheme val="minor"/>
      </rPr>
      <t>CO_calc</t>
    </r>
  </si>
  <si>
    <r>
      <t>Selected Bandwidth @V</t>
    </r>
    <r>
      <rPr>
        <vertAlign val="subscript"/>
        <sz val="10"/>
        <color theme="1"/>
        <rFont val="Calibri"/>
        <family val="2"/>
        <scheme val="minor"/>
      </rPr>
      <t>in(min)</t>
    </r>
    <r>
      <rPr>
        <sz val="10"/>
        <color theme="1"/>
        <rFont val="Calibri"/>
        <family val="2"/>
        <scheme val="minor"/>
      </rPr>
      <t>, V</t>
    </r>
    <r>
      <rPr>
        <vertAlign val="subscript"/>
        <sz val="10"/>
        <color theme="1"/>
        <rFont val="Calibri"/>
        <family val="2"/>
        <scheme val="minor"/>
      </rPr>
      <t>OUT(max)</t>
    </r>
    <r>
      <rPr>
        <sz val="10"/>
        <color theme="1"/>
        <rFont val="Calibri"/>
        <family val="2"/>
        <scheme val="minor"/>
      </rPr>
      <t>,I</t>
    </r>
    <r>
      <rPr>
        <vertAlign val="subscript"/>
        <sz val="10"/>
        <color theme="1"/>
        <rFont val="Calibri"/>
        <family val="2"/>
        <scheme val="minor"/>
      </rPr>
      <t>OUT(max)</t>
    </r>
    <r>
      <rPr>
        <sz val="10"/>
        <color theme="1"/>
        <rFont val="Calibri"/>
        <family val="2"/>
        <scheme val="minor"/>
      </rPr>
      <t>, F</t>
    </r>
    <r>
      <rPr>
        <vertAlign val="subscript"/>
        <sz val="10"/>
        <color theme="1"/>
        <rFont val="Calibri"/>
        <family val="2"/>
        <scheme val="minor"/>
      </rPr>
      <t>CO</t>
    </r>
  </si>
  <si>
    <t>ACB included (LM5125 only)</t>
  </si>
  <si>
    <r>
      <t xml:space="preserve">Fixed </t>
    </r>
    <r>
      <rPr>
        <i/>
        <sz val="10"/>
        <color theme="1"/>
        <rFont val="Arial"/>
        <family val="2"/>
      </rPr>
      <t>t</t>
    </r>
    <r>
      <rPr>
        <i/>
        <vertAlign val="subscript"/>
        <sz val="10"/>
        <color theme="1"/>
        <rFont val="Arial"/>
        <family val="2"/>
      </rPr>
      <t>B</t>
    </r>
    <r>
      <rPr>
        <sz val="10"/>
        <color theme="1"/>
        <rFont val="Arial"/>
        <family val="2"/>
      </rPr>
      <t xml:space="preserve"> calculation; Add ACB influence to the bode plot; Add Crossover Frequency and Phase Margin result to the bode plot; Corrected R</t>
    </r>
    <r>
      <rPr>
        <vertAlign val="subscript"/>
        <sz val="10"/>
        <color theme="1"/>
        <rFont val="Arial"/>
        <family val="2"/>
      </rPr>
      <t>UVB</t>
    </r>
    <r>
      <rPr>
        <sz val="10"/>
        <color theme="1"/>
        <rFont val="Arial"/>
        <family val="2"/>
      </rPr>
      <t xml:space="preserve"> and R</t>
    </r>
    <r>
      <rPr>
        <vertAlign val="subscript"/>
        <sz val="10"/>
        <color theme="1"/>
        <rFont val="Arial"/>
        <family val="2"/>
      </rPr>
      <t>UVT</t>
    </r>
    <r>
      <rPr>
        <sz val="10"/>
        <color theme="1"/>
        <rFont val="Arial"/>
        <family val="2"/>
      </rPr>
      <t xml:space="preserve"> calculation.</t>
    </r>
  </si>
  <si>
    <t>Deadtime: 14ns</t>
  </si>
  <si>
    <t>&lt;-    LM5125A</t>
  </si>
  <si>
    <t>&lt;- LM5125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</si>
</sst>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
    <numFmt numFmtId="165" formatCode="0.000E+00"/>
    <numFmt numFmtId="166" formatCode="0.0000"/>
    <numFmt numFmtId="167" formatCode="0.0"/>
    <numFmt numFmtId="168" formatCode="0.0E+00"/>
    <numFmt numFmtId="169" formatCode="0.00000"/>
  </numFmts>
  <fonts count="64"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2"/>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vertAlign val="subscript"/>
      <sz val="10"/>
      <name val="Arial"/>
      <family val="2"/>
    </font>
    <font>
      <vertAlign val="subscript"/>
      <sz val="11"/>
      <name val="Calibri"/>
      <family val="2"/>
      <scheme val="minor"/>
    </font>
    <font>
      <sz val="11"/>
      <color rgb="FF0070C0"/>
      <name val="Calibri"/>
      <family val="2"/>
      <scheme val="minor"/>
    </font>
    <font>
      <b/>
      <u/>
      <sz val="11"/>
      <color theme="1"/>
      <name val="Calibri"/>
      <family val="2"/>
      <scheme val="minor"/>
    </font>
    <font>
      <sz val="18"/>
      <color theme="2" tint="-0.89999084444715716"/>
      <name val="Calibri"/>
      <family val="2"/>
      <scheme val="minor"/>
    </font>
    <font>
      <sz val="11"/>
      <color theme="2" tint="-0.89999084444715716"/>
      <name val="Calibri"/>
      <family val="2"/>
      <scheme val="minor"/>
    </font>
    <font>
      <b/>
      <sz val="11"/>
      <color theme="2" tint="-0.89999084444715716"/>
      <name val="Calibri"/>
      <family val="2"/>
      <scheme val="minor"/>
    </font>
    <font>
      <sz val="10"/>
      <color theme="2" tint="-0.89999084444715716"/>
      <name val="Arial"/>
      <family val="2"/>
    </font>
    <font>
      <vertAlign val="subscript"/>
      <sz val="10"/>
      <color theme="2" tint="-0.89999084444715716"/>
      <name val="Arial"/>
      <family val="2"/>
    </font>
    <font>
      <sz val="11"/>
      <color theme="1" tint="0.14999847407452621"/>
      <name val="Calibri"/>
      <family val="2"/>
      <scheme val="minor"/>
    </font>
    <font>
      <b/>
      <vertAlign val="subscript"/>
      <sz val="11"/>
      <color theme="2" tint="-0.89996032593768116"/>
      <name val="Calibri"/>
      <family val="2"/>
      <scheme val="minor"/>
    </font>
    <font>
      <sz val="11"/>
      <color theme="1"/>
      <name val="Arial"/>
      <family val="2"/>
    </font>
    <font>
      <b/>
      <sz val="10"/>
      <color theme="1"/>
      <name val="Arial"/>
      <family val="2"/>
    </font>
    <font>
      <sz val="10"/>
      <color theme="1"/>
      <name val="Arial"/>
      <family val="2"/>
    </font>
    <font>
      <u/>
      <sz val="11"/>
      <color theme="10"/>
      <name val="Calibri"/>
      <family val="2"/>
      <scheme val="minor"/>
    </font>
    <font>
      <b/>
      <u/>
      <sz val="10"/>
      <color theme="10"/>
      <name val="Arial"/>
      <family val="2"/>
    </font>
    <font>
      <b/>
      <sz val="10"/>
      <color theme="0"/>
      <name val="Arial"/>
      <family val="2"/>
    </font>
    <font>
      <b/>
      <u/>
      <sz val="11"/>
      <color theme="10"/>
      <name val="Arial"/>
      <family val="2"/>
    </font>
    <font>
      <b/>
      <vertAlign val="subscript"/>
      <sz val="9"/>
      <color indexed="81"/>
      <name val="Tahoma"/>
      <family val="2"/>
    </font>
    <font>
      <sz val="10"/>
      <color theme="1"/>
      <name val="Calibri"/>
      <family val="2"/>
    </font>
    <font>
      <vertAlign val="subscript"/>
      <sz val="10"/>
      <color theme="1"/>
      <name val="Calibri"/>
      <family val="2"/>
    </font>
    <font>
      <vertAlign val="subscript"/>
      <sz val="10"/>
      <name val="Calibri"/>
      <family val="2"/>
      <scheme val="minor"/>
    </font>
    <font>
      <b/>
      <sz val="10"/>
      <color theme="1"/>
      <name val="Calibri"/>
      <family val="2"/>
      <scheme val="minor"/>
    </font>
    <font>
      <sz val="10"/>
      <color theme="2" tint="-0.89999084444715716"/>
      <name val="Calibri"/>
      <family val="2"/>
      <scheme val="minor"/>
    </font>
    <font>
      <vertAlign val="subscript"/>
      <sz val="9"/>
      <color indexed="81"/>
      <name val="Tahoma"/>
      <family val="2"/>
    </font>
    <font>
      <vertAlign val="subscript"/>
      <sz val="10"/>
      <color theme="2" tint="-0.89996032593768116"/>
      <name val="Arial"/>
      <family val="2"/>
    </font>
    <font>
      <sz val="9"/>
      <color indexed="81"/>
      <name val="Tahoma"/>
      <charset val="1"/>
    </font>
    <font>
      <b/>
      <sz val="9"/>
      <color indexed="81"/>
      <name val="Tahoma"/>
      <charset val="1"/>
    </font>
    <font>
      <sz val="11"/>
      <color theme="1"/>
      <name val="Times New Roman"/>
      <family val="1"/>
    </font>
    <font>
      <sz val="9"/>
      <color indexed="10"/>
      <name val="Tahoma"/>
      <family val="2"/>
    </font>
    <font>
      <i/>
      <sz val="10"/>
      <color theme="1"/>
      <name val="Arial"/>
      <family val="2"/>
    </font>
    <font>
      <i/>
      <vertAlign val="subscript"/>
      <sz val="10"/>
      <color theme="1"/>
      <name val="Arial"/>
      <family val="2"/>
    </font>
    <font>
      <b/>
      <sz val="11"/>
      <color rgb="FFFF0000"/>
      <name val="Segoe UI"/>
      <family val="2"/>
    </font>
    <font>
      <sz val="11"/>
      <color rgb="FFFF0000"/>
      <name val="Segoe UI"/>
      <family val="2"/>
    </font>
    <font>
      <vertAlign val="subscript"/>
      <sz val="10"/>
      <color theme="1"/>
      <name val="Arial"/>
      <family val="2"/>
    </font>
    <font>
      <sz val="11"/>
      <color rgb="FFFF0000"/>
      <name val="Calibri"/>
      <family val="2"/>
      <scheme val="minor"/>
    </font>
    <font>
      <sz val="11"/>
      <color rgb="FFFF0000"/>
      <name val="Calibri"/>
      <family val="2"/>
    </font>
  </fonts>
  <fills count="20">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rgb="FF00B050"/>
        <bgColor indexed="64"/>
      </patternFill>
    </fill>
    <fill>
      <patternFill patternType="solid">
        <fgColor rgb="FF09BEF7"/>
        <bgColor indexed="64"/>
      </patternFill>
    </fill>
    <fill>
      <patternFill patternType="solid">
        <fgColor rgb="FFDE0000"/>
        <bgColor indexed="64"/>
      </patternFill>
    </fill>
    <fill>
      <patternFill patternType="solid">
        <fgColor theme="1"/>
        <bgColor indexed="64"/>
      </patternFill>
    </fill>
  </fills>
  <borders count="37">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s>
  <cellStyleXfs count="10">
    <xf numFmtId="0" fontId="0" fillId="0" borderId="0"/>
    <xf numFmtId="0" fontId="3" fillId="0" borderId="0"/>
    <xf numFmtId="43"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4" fillId="0" borderId="0"/>
    <xf numFmtId="0" fontId="4" fillId="0" borderId="0"/>
    <xf numFmtId="0" fontId="41" fillId="0" borderId="0" applyNumberFormat="0" applyFill="0" applyBorder="0" applyAlignment="0" applyProtection="0"/>
    <xf numFmtId="0" fontId="41" fillId="0" borderId="0" applyNumberFormat="0" applyFill="0" applyBorder="0" applyAlignment="0" applyProtection="0"/>
  </cellStyleXfs>
  <cellXfs count="389">
    <xf numFmtId="0" fontId="0" fillId="0" borderId="0" xfId="0"/>
    <xf numFmtId="0" fontId="0" fillId="9" borderId="0" xfId="0" applyFill="1"/>
    <xf numFmtId="0" fontId="17" fillId="0" borderId="0" xfId="0" applyFont="1"/>
    <xf numFmtId="0" fontId="0" fillId="10" borderId="0" xfId="0" applyFill="1"/>
    <xf numFmtId="0" fontId="0" fillId="0" borderId="0" xfId="0"/>
    <xf numFmtId="0" fontId="4" fillId="0" borderId="0" xfId="3"/>
    <xf numFmtId="0" fontId="5" fillId="0" borderId="0" xfId="3" applyFont="1" applyFill="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4" fillId="0" borderId="0" xfId="3"/>
    <xf numFmtId="0" fontId="5" fillId="0" borderId="0" xfId="3" applyFont="1"/>
    <xf numFmtId="0" fontId="5" fillId="0" borderId="0" xfId="3" applyFont="1" applyFill="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5" fillId="0" borderId="0" xfId="3" applyFont="1" applyBorder="1"/>
    <xf numFmtId="0" fontId="5" fillId="0" borderId="0" xfId="3" applyFont="1" applyBorder="1" applyAlignment="1">
      <alignment horizontal="center"/>
    </xf>
    <xf numFmtId="0" fontId="4" fillId="0" borderId="0" xfId="3"/>
    <xf numFmtId="0" fontId="9" fillId="0" borderId="0" xfId="3" applyFont="1" applyBorder="1"/>
    <xf numFmtId="0" fontId="5" fillId="0" borderId="0" xfId="3" applyFont="1" applyAlignment="1">
      <alignment horizontal="center"/>
    </xf>
    <xf numFmtId="2" fontId="0" fillId="10" borderId="0" xfId="0" applyNumberFormat="1" applyFill="1"/>
    <xf numFmtId="0" fontId="0" fillId="11" borderId="0" xfId="0" applyFill="1"/>
    <xf numFmtId="165" fontId="0" fillId="9" borderId="0" xfId="0" applyNumberFormat="1" applyFill="1"/>
    <xf numFmtId="0" fontId="5" fillId="0" borderId="0" xfId="3" applyFont="1" applyFill="1" applyAlignment="1">
      <alignment horizontal="right"/>
    </xf>
    <xf numFmtId="0" fontId="4" fillId="0" borderId="0" xfId="3" applyFont="1" applyFill="1" applyAlignment="1">
      <alignment horizontal="center"/>
    </xf>
    <xf numFmtId="0" fontId="5" fillId="0" borderId="0" xfId="3" applyFont="1" applyFill="1"/>
    <xf numFmtId="0" fontId="0" fillId="0" borderId="0" xfId="0" applyFill="1"/>
    <xf numFmtId="164" fontId="0" fillId="9" borderId="0" xfId="0" applyNumberFormat="1" applyFill="1"/>
    <xf numFmtId="2" fontId="0" fillId="9" borderId="0" xfId="0" applyNumberFormat="1" applyFill="1"/>
    <xf numFmtId="1" fontId="0" fillId="9" borderId="0" xfId="0" applyNumberFormat="1" applyFill="1"/>
    <xf numFmtId="0" fontId="16" fillId="0" borderId="0" xfId="0" applyFont="1" applyFill="1" applyBorder="1"/>
    <xf numFmtId="0" fontId="0" fillId="0" borderId="0" xfId="0"/>
    <xf numFmtId="164" fontId="0" fillId="0" borderId="0" xfId="0" applyNumberFormat="1"/>
    <xf numFmtId="11" fontId="15" fillId="10" borderId="0" xfId="0" applyNumberFormat="1" applyFont="1" applyFill="1"/>
    <xf numFmtId="0" fontId="18" fillId="0" borderId="0" xfId="0" applyFont="1"/>
    <xf numFmtId="0" fontId="5" fillId="0" borderId="0" xfId="3" applyFont="1" applyAlignment="1">
      <alignment horizontal="center"/>
    </xf>
    <xf numFmtId="11" fontId="0" fillId="9" borderId="0" xfId="0" applyNumberFormat="1" applyFill="1"/>
    <xf numFmtId="0" fontId="0" fillId="0" borderId="0" xfId="0" applyFont="1"/>
    <xf numFmtId="0" fontId="5" fillId="0" borderId="0" xfId="3" applyFont="1" applyFill="1" applyAlignment="1">
      <alignment horizontal="left"/>
    </xf>
    <xf numFmtId="166" fontId="0" fillId="9" borderId="0" xfId="0" applyNumberFormat="1" applyFill="1"/>
    <xf numFmtId="0" fontId="15" fillId="10" borderId="0" xfId="0" applyFont="1" applyFill="1"/>
    <xf numFmtId="0" fontId="20" fillId="0" borderId="0" xfId="0" applyFont="1"/>
    <xf numFmtId="0" fontId="21" fillId="0" borderId="0" xfId="0" applyFont="1"/>
    <xf numFmtId="0" fontId="0" fillId="12" borderId="0" xfId="0" applyFill="1"/>
    <xf numFmtId="1" fontId="0" fillId="0" borderId="0" xfId="0" applyNumberFormat="1"/>
    <xf numFmtId="0" fontId="5" fillId="0" borderId="0" xfId="3" applyFont="1" applyAlignment="1">
      <alignment horizontal="center"/>
    </xf>
    <xf numFmtId="0" fontId="22" fillId="0" borderId="0" xfId="0" applyFont="1"/>
    <xf numFmtId="0" fontId="23" fillId="0" borderId="0" xfId="0" applyFont="1"/>
    <xf numFmtId="164" fontId="4" fillId="0" borderId="0" xfId="3" applyNumberFormat="1"/>
    <xf numFmtId="0" fontId="0" fillId="0" borderId="0" xfId="0" applyBorder="1"/>
    <xf numFmtId="2" fontId="0" fillId="0" borderId="0" xfId="0" applyNumberFormat="1" applyBorder="1"/>
    <xf numFmtId="0" fontId="24" fillId="0" borderId="0" xfId="0" applyFont="1"/>
    <xf numFmtId="2" fontId="0" fillId="0" borderId="5" xfId="0" applyNumberFormat="1" applyBorder="1"/>
    <xf numFmtId="2" fontId="0" fillId="0" borderId="7" xfId="0" applyNumberFormat="1" applyBorder="1"/>
    <xf numFmtId="0" fontId="4" fillId="0" borderId="8" xfId="3" applyBorder="1"/>
    <xf numFmtId="0" fontId="0" fillId="0" borderId="8" xfId="0" applyBorder="1"/>
    <xf numFmtId="0" fontId="4" fillId="0" borderId="8" xfId="3" applyFill="1" applyBorder="1"/>
    <xf numFmtId="0" fontId="4" fillId="0" borderId="9" xfId="3" applyFill="1" applyBorder="1"/>
    <xf numFmtId="0" fontId="0" fillId="0" borderId="5" xfId="0" applyBorder="1"/>
    <xf numFmtId="0" fontId="4" fillId="0" borderId="7" xfId="3" applyFill="1" applyBorder="1"/>
    <xf numFmtId="0" fontId="0" fillId="0" borderId="6" xfId="0" applyBorder="1"/>
    <xf numFmtId="0" fontId="0" fillId="0" borderId="7" xfId="0" applyBorder="1"/>
    <xf numFmtId="0" fontId="0" fillId="0" borderId="9" xfId="0" applyBorder="1"/>
    <xf numFmtId="164" fontId="0" fillId="0" borderId="0" xfId="0" applyNumberFormat="1" applyBorder="1"/>
    <xf numFmtId="164" fontId="0" fillId="0" borderId="8" xfId="0" applyNumberFormat="1" applyBorder="1"/>
    <xf numFmtId="0" fontId="4" fillId="0" borderId="5" xfId="3" applyBorder="1"/>
    <xf numFmtId="2" fontId="0" fillId="0" borderId="10" xfId="0" applyNumberFormat="1" applyBorder="1"/>
    <xf numFmtId="0" fontId="25" fillId="0" borderId="0" xfId="0" applyFont="1"/>
    <xf numFmtId="0" fontId="26" fillId="0" borderId="0" xfId="3" applyFont="1"/>
    <xf numFmtId="167" fontId="0" fillId="0" borderId="0" xfId="0" applyNumberFormat="1"/>
    <xf numFmtId="0" fontId="0" fillId="0" borderId="2" xfId="0" applyBorder="1"/>
    <xf numFmtId="164" fontId="4" fillId="0" borderId="3" xfId="3" applyNumberFormat="1" applyBorder="1"/>
    <xf numFmtId="0" fontId="4" fillId="0" borderId="3" xfId="3" applyBorder="1"/>
    <xf numFmtId="0" fontId="0" fillId="0" borderId="3" xfId="0" applyBorder="1"/>
    <xf numFmtId="164" fontId="0" fillId="0" borderId="3" xfId="0" applyNumberFormat="1" applyBorder="1"/>
    <xf numFmtId="0" fontId="0" fillId="0" borderId="4" xfId="0" applyBorder="1"/>
    <xf numFmtId="164" fontId="4" fillId="0" borderId="0" xfId="3" applyNumberFormat="1" applyBorder="1"/>
    <xf numFmtId="0" fontId="4" fillId="0" borderId="0" xfId="3" applyBorder="1"/>
    <xf numFmtId="164" fontId="4" fillId="0" borderId="8" xfId="3" applyNumberFormat="1" applyBorder="1"/>
    <xf numFmtId="0" fontId="4" fillId="0" borderId="0" xfId="3" applyFill="1" applyBorder="1"/>
    <xf numFmtId="0" fontId="4" fillId="0" borderId="6" xfId="3" applyFill="1" applyBorder="1"/>
    <xf numFmtId="0" fontId="0" fillId="0" borderId="10" xfId="0" applyBorder="1"/>
    <xf numFmtId="0" fontId="0" fillId="0" borderId="11" xfId="0" applyBorder="1"/>
    <xf numFmtId="164" fontId="4" fillId="0" borderId="11" xfId="3" applyNumberFormat="1" applyBorder="1"/>
    <xf numFmtId="0" fontId="4" fillId="0" borderId="11" xfId="3" applyBorder="1"/>
    <xf numFmtId="0" fontId="4" fillId="0" borderId="10" xfId="3" applyBorder="1"/>
    <xf numFmtId="164" fontId="0" fillId="0" borderId="11" xfId="0" applyNumberFormat="1" applyBorder="1"/>
    <xf numFmtId="0" fontId="0" fillId="0" borderId="12" xfId="0" applyBorder="1"/>
    <xf numFmtId="1" fontId="0" fillId="0" borderId="4" xfId="0" applyNumberFormat="1" applyBorder="1"/>
    <xf numFmtId="1" fontId="0" fillId="0" borderId="6" xfId="0" applyNumberFormat="1" applyBorder="1"/>
    <xf numFmtId="1" fontId="0" fillId="0" borderId="9" xfId="0" applyNumberFormat="1" applyBorder="1"/>
    <xf numFmtId="0" fontId="0" fillId="0" borderId="13" xfId="0" applyBorder="1"/>
    <xf numFmtId="0" fontId="0" fillId="13" borderId="0" xfId="0" applyFill="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4" fillId="0" borderId="0" xfId="3" applyFont="1" applyFill="1" applyBorder="1" applyAlignment="1" applyProtection="1">
      <alignment horizontal="left"/>
    </xf>
    <xf numFmtId="0" fontId="4" fillId="0" borderId="8" xfId="3" applyFont="1" applyFill="1" applyBorder="1" applyAlignment="1" applyProtection="1">
      <alignment horizontal="left"/>
    </xf>
    <xf numFmtId="0" fontId="5" fillId="0" borderId="0" xfId="3" applyFont="1" applyAlignment="1">
      <alignment horizontal="center"/>
    </xf>
    <xf numFmtId="0" fontId="0" fillId="0" borderId="13" xfId="0" applyFill="1" applyBorder="1"/>
    <xf numFmtId="0" fontId="0" fillId="13" borderId="13" xfId="0" applyFill="1" applyBorder="1"/>
    <xf numFmtId="0" fontId="0" fillId="0" borderId="19" xfId="0" applyBorder="1"/>
    <xf numFmtId="0" fontId="0" fillId="0" borderId="14" xfId="0" applyFill="1" applyBorder="1"/>
    <xf numFmtId="0" fontId="0" fillId="13" borderId="15" xfId="0" applyFill="1" applyBorder="1"/>
    <xf numFmtId="0" fontId="0" fillId="0" borderId="15" xfId="0" applyFill="1" applyBorder="1"/>
    <xf numFmtId="0" fontId="0" fillId="0" borderId="20" xfId="0" applyBorder="1" applyAlignment="1">
      <alignment horizontal="center" wrapText="1"/>
    </xf>
    <xf numFmtId="0" fontId="0" fillId="0" borderId="21" xfId="0" applyBorder="1"/>
    <xf numFmtId="0" fontId="0" fillId="0" borderId="22" xfId="0" applyBorder="1"/>
    <xf numFmtId="0" fontId="15" fillId="0" borderId="0" xfId="0" applyFont="1"/>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Border="1" applyProtection="1">
      <protection hidden="1"/>
    </xf>
    <xf numFmtId="0" fontId="15" fillId="8" borderId="0" xfId="0" applyFont="1" applyFill="1" applyProtection="1">
      <protection hidden="1"/>
    </xf>
    <xf numFmtId="0" fontId="0" fillId="14" borderId="0" xfId="0" applyFill="1" applyProtection="1">
      <protection hidden="1"/>
    </xf>
    <xf numFmtId="0" fontId="0" fillId="8" borderId="0" xfId="0" applyFill="1" applyBorder="1" applyProtection="1">
      <protection hidden="1"/>
    </xf>
    <xf numFmtId="0" fontId="15" fillId="8" borderId="0" xfId="0" applyFont="1" applyFill="1" applyBorder="1" applyProtection="1">
      <protection hidden="1"/>
    </xf>
    <xf numFmtId="0" fontId="0" fillId="14" borderId="0" xfId="0" applyFill="1" applyBorder="1" applyProtection="1">
      <protection hidden="1"/>
    </xf>
    <xf numFmtId="0" fontId="2" fillId="8" borderId="0" xfId="0" applyFont="1" applyFill="1" applyBorder="1" applyProtection="1">
      <protection hidden="1"/>
    </xf>
    <xf numFmtId="0" fontId="0" fillId="7" borderId="0" xfId="0" applyFill="1" applyBorder="1" applyProtection="1">
      <protection hidden="1"/>
    </xf>
    <xf numFmtId="0" fontId="2" fillId="8" borderId="0" xfId="0" quotePrefix="1" applyFont="1" applyFill="1" applyBorder="1" applyProtection="1">
      <protection hidden="1"/>
    </xf>
    <xf numFmtId="0" fontId="0" fillId="8" borderId="1" xfId="0" applyFill="1" applyBorder="1" applyProtection="1">
      <protection hidden="1"/>
    </xf>
    <xf numFmtId="0" fontId="15" fillId="8" borderId="1" xfId="0" applyFont="1" applyFill="1" applyBorder="1" applyProtection="1">
      <protection hidden="1"/>
    </xf>
    <xf numFmtId="0" fontId="0" fillId="14" borderId="1" xfId="0" applyFill="1" applyBorder="1" applyProtection="1">
      <protection hidden="1"/>
    </xf>
    <xf numFmtId="0" fontId="0" fillId="15" borderId="0" xfId="0" applyFill="1" applyProtection="1">
      <protection hidden="1"/>
    </xf>
    <xf numFmtId="0" fontId="0" fillId="15" borderId="0" xfId="0" applyFill="1" applyBorder="1" applyProtection="1">
      <protection hidden="1"/>
    </xf>
    <xf numFmtId="0" fontId="0" fillId="15" borderId="2" xfId="0" applyFill="1" applyBorder="1" applyProtection="1">
      <protection hidden="1"/>
    </xf>
    <xf numFmtId="0" fontId="0" fillId="15" borderId="3" xfId="0" applyFill="1" applyBorder="1" applyProtection="1">
      <protection hidden="1"/>
    </xf>
    <xf numFmtId="0" fontId="13" fillId="15" borderId="3" xfId="3" applyFont="1" applyFill="1" applyBorder="1" applyAlignment="1" applyProtection="1">
      <alignment horizontal="right"/>
      <protection hidden="1"/>
    </xf>
    <xf numFmtId="0" fontId="0" fillId="15" borderId="4" xfId="0" applyFill="1" applyBorder="1" applyProtection="1">
      <protection hidden="1"/>
    </xf>
    <xf numFmtId="0" fontId="0" fillId="15" borderId="5" xfId="0" applyFill="1" applyBorder="1" applyProtection="1">
      <protection hidden="1"/>
    </xf>
    <xf numFmtId="0" fontId="13" fillId="15" borderId="0" xfId="3" applyFont="1" applyFill="1" applyBorder="1" applyAlignment="1" applyProtection="1">
      <alignment horizontal="right"/>
      <protection hidden="1"/>
    </xf>
    <xf numFmtId="0" fontId="0" fillId="15" borderId="6" xfId="0" applyFill="1" applyBorder="1" applyProtection="1">
      <protection hidden="1"/>
    </xf>
    <xf numFmtId="0" fontId="13" fillId="15" borderId="5" xfId="0" applyFont="1" applyFill="1" applyBorder="1" applyProtection="1">
      <protection hidden="1"/>
    </xf>
    <xf numFmtId="0" fontId="13" fillId="15" borderId="0" xfId="0" applyFont="1" applyFill="1" applyBorder="1" applyProtection="1">
      <protection hidden="1"/>
    </xf>
    <xf numFmtId="0" fontId="13" fillId="15" borderId="0" xfId="0" applyFont="1" applyFill="1" applyBorder="1" applyAlignment="1" applyProtection="1">
      <alignment horizontal="right"/>
      <protection hidden="1"/>
    </xf>
    <xf numFmtId="0" fontId="0" fillId="15" borderId="8" xfId="0" applyFill="1" applyBorder="1" applyProtection="1">
      <protection hidden="1"/>
    </xf>
    <xf numFmtId="0" fontId="0" fillId="15" borderId="9" xfId="0" applyFill="1" applyBorder="1" applyProtection="1">
      <protection hidden="1"/>
    </xf>
    <xf numFmtId="0" fontId="13" fillId="15" borderId="0" xfId="0" applyFont="1" applyFill="1" applyProtection="1">
      <protection hidden="1"/>
    </xf>
    <xf numFmtId="0" fontId="16" fillId="15" borderId="0" xfId="0" applyFont="1" applyFill="1" applyBorder="1" applyProtection="1">
      <protection hidden="1"/>
    </xf>
    <xf numFmtId="0" fontId="13" fillId="15" borderId="3" xfId="0" applyFont="1" applyFill="1" applyBorder="1" applyProtection="1">
      <protection hidden="1"/>
    </xf>
    <xf numFmtId="0" fontId="0" fillId="15" borderId="7" xfId="0" applyFill="1" applyBorder="1" applyProtection="1">
      <protection hidden="1"/>
    </xf>
    <xf numFmtId="0" fontId="13" fillId="15" borderId="8" xfId="3" applyFont="1" applyFill="1" applyBorder="1" applyAlignment="1" applyProtection="1">
      <alignment horizontal="right"/>
      <protection hidden="1"/>
    </xf>
    <xf numFmtId="0" fontId="0" fillId="15" borderId="0" xfId="0" applyFill="1" applyBorder="1" applyAlignment="1" applyProtection="1">
      <alignment horizontal="right"/>
      <protection hidden="1"/>
    </xf>
    <xf numFmtId="0" fontId="17" fillId="15" borderId="6" xfId="0" applyFont="1" applyFill="1" applyBorder="1" applyProtection="1">
      <protection hidden="1"/>
    </xf>
    <xf numFmtId="0" fontId="0" fillId="15" borderId="8" xfId="0" applyFill="1" applyBorder="1" applyAlignment="1" applyProtection="1">
      <alignment horizontal="right"/>
      <protection hidden="1"/>
    </xf>
    <xf numFmtId="0" fontId="16" fillId="15" borderId="2" xfId="0" applyFont="1" applyFill="1" applyBorder="1" applyProtection="1">
      <protection hidden="1"/>
    </xf>
    <xf numFmtId="0" fontId="0" fillId="15" borderId="0" xfId="0" applyFill="1" applyBorder="1" applyAlignment="1" applyProtection="1">
      <alignment horizontal="center"/>
      <protection hidden="1"/>
    </xf>
    <xf numFmtId="0" fontId="0" fillId="15" borderId="6" xfId="0" applyFill="1" applyBorder="1" applyAlignment="1" applyProtection="1">
      <alignment horizontal="center"/>
      <protection hidden="1"/>
    </xf>
    <xf numFmtId="0" fontId="15" fillId="14" borderId="0" xfId="0" applyFont="1" applyFill="1" applyProtection="1">
      <protection hidden="1"/>
    </xf>
    <xf numFmtId="0" fontId="0" fillId="7" borderId="24" xfId="0" applyFill="1" applyBorder="1" applyProtection="1">
      <protection locked="0" hidden="1"/>
    </xf>
    <xf numFmtId="0" fontId="0" fillId="7" borderId="25" xfId="0" applyFill="1" applyBorder="1" applyProtection="1">
      <protection locked="0" hidden="1"/>
    </xf>
    <xf numFmtId="2" fontId="0" fillId="15" borderId="25" xfId="0" applyNumberFormat="1" applyFill="1" applyBorder="1" applyProtection="1">
      <protection hidden="1"/>
    </xf>
    <xf numFmtId="0" fontId="0" fillId="15" borderId="25" xfId="0" applyFill="1" applyBorder="1" applyProtection="1">
      <protection hidden="1"/>
    </xf>
    <xf numFmtId="164" fontId="0" fillId="0" borderId="25" xfId="0" applyNumberFormat="1" applyBorder="1" applyProtection="1">
      <protection hidden="1"/>
    </xf>
    <xf numFmtId="2" fontId="0" fillId="0" borderId="26" xfId="0" applyNumberFormat="1" applyBorder="1" applyProtection="1">
      <protection hidden="1"/>
    </xf>
    <xf numFmtId="2" fontId="0" fillId="15" borderId="26" xfId="0" applyNumberFormat="1" applyFill="1" applyBorder="1" applyProtection="1">
      <protection hidden="1"/>
    </xf>
    <xf numFmtId="0" fontId="0" fillId="7" borderId="26" xfId="0" applyFill="1" applyBorder="1" applyProtection="1">
      <protection locked="0" hidden="1"/>
    </xf>
    <xf numFmtId="2" fontId="0" fillId="0" borderId="24" xfId="0" applyNumberFormat="1" applyBorder="1" applyProtection="1">
      <protection hidden="1"/>
    </xf>
    <xf numFmtId="1" fontId="0" fillId="0" borderId="26" xfId="0" applyNumberFormat="1" applyBorder="1" applyProtection="1">
      <protection hidden="1"/>
    </xf>
    <xf numFmtId="0" fontId="0" fillId="0" borderId="25" xfId="0" applyFont="1" applyFill="1" applyBorder="1" applyAlignment="1" applyProtection="1">
      <alignment vertical="top"/>
      <protection hidden="1"/>
    </xf>
    <xf numFmtId="0" fontId="0" fillId="15" borderId="25" xfId="0" applyFill="1" applyBorder="1" applyAlignment="1" applyProtection="1">
      <alignment horizontal="center"/>
      <protection hidden="1"/>
    </xf>
    <xf numFmtId="1" fontId="0" fillId="15" borderId="7" xfId="0" applyNumberFormat="1" applyFill="1" applyBorder="1" applyProtection="1">
      <protection hidden="1"/>
    </xf>
    <xf numFmtId="0" fontId="0" fillId="7" borderId="23" xfId="0" applyFill="1" applyBorder="1" applyProtection="1">
      <protection locked="0" hidden="1"/>
    </xf>
    <xf numFmtId="0" fontId="0" fillId="7" borderId="0" xfId="0" applyFill="1"/>
    <xf numFmtId="0" fontId="29" fillId="0" borderId="0" xfId="0" applyFont="1" applyFill="1" applyBorder="1"/>
    <xf numFmtId="0" fontId="30" fillId="0" borderId="0" xfId="0" applyFont="1"/>
    <xf numFmtId="0" fontId="0" fillId="0" borderId="0" xfId="0" applyBorder="1" applyAlignment="1">
      <alignment horizontal="center"/>
    </xf>
    <xf numFmtId="11" fontId="0" fillId="0" borderId="0" xfId="0" applyNumberFormat="1" applyFill="1"/>
    <xf numFmtId="168" fontId="0" fillId="9" borderId="0" xfId="0" applyNumberFormat="1" applyFill="1"/>
    <xf numFmtId="0" fontId="3" fillId="0" borderId="8" xfId="3" applyFont="1" applyFill="1" applyBorder="1"/>
    <xf numFmtId="0" fontId="3" fillId="0" borderId="8" xfId="3" applyFont="1" applyBorder="1"/>
    <xf numFmtId="0" fontId="22" fillId="15" borderId="24" xfId="0" applyFont="1" applyFill="1" applyBorder="1" applyAlignment="1" applyProtection="1">
      <alignment horizontal="center"/>
      <protection hidden="1"/>
    </xf>
    <xf numFmtId="2" fontId="0" fillId="0" borderId="0" xfId="0" applyNumberFormat="1" applyFill="1"/>
    <xf numFmtId="0" fontId="0" fillId="14" borderId="0" xfId="0" applyFont="1" applyFill="1" applyProtection="1">
      <protection hidden="1"/>
    </xf>
    <xf numFmtId="0" fontId="36" fillId="14" borderId="0" xfId="0" applyFont="1" applyFill="1" applyBorder="1" applyProtection="1">
      <protection hidden="1"/>
    </xf>
    <xf numFmtId="0" fontId="0" fillId="0" borderId="0" xfId="0" applyAlignment="1"/>
    <xf numFmtId="0" fontId="0" fillId="15" borderId="0" xfId="0" applyFill="1"/>
    <xf numFmtId="0" fontId="0" fillId="10" borderId="0" xfId="0" applyFont="1" applyFill="1"/>
    <xf numFmtId="0" fontId="13" fillId="15" borderId="7" xfId="0" applyFont="1" applyFill="1" applyBorder="1" applyProtection="1">
      <protection hidden="1"/>
    </xf>
    <xf numFmtId="0" fontId="13" fillId="15" borderId="8" xfId="0" applyFont="1" applyFill="1" applyBorder="1" applyProtection="1">
      <protection hidden="1"/>
    </xf>
    <xf numFmtId="167" fontId="0" fillId="15" borderId="25" xfId="0" applyNumberFormat="1" applyFill="1" applyBorder="1" applyProtection="1">
      <protection hidden="1"/>
    </xf>
    <xf numFmtId="164" fontId="0" fillId="0" borderId="0" xfId="0" applyNumberFormat="1" applyFill="1"/>
    <xf numFmtId="0" fontId="22" fillId="13" borderId="0" xfId="0" applyFont="1" applyFill="1"/>
    <xf numFmtId="164" fontId="0" fillId="6" borderId="0" xfId="0" applyNumberFormat="1" applyFill="1"/>
    <xf numFmtId="0" fontId="0" fillId="6" borderId="0" xfId="0" applyFill="1"/>
    <xf numFmtId="0" fontId="31" fillId="15" borderId="0" xfId="0" applyFont="1" applyFill="1" applyBorder="1" applyProtection="1">
      <protection hidden="1"/>
    </xf>
    <xf numFmtId="0" fontId="32" fillId="15" borderId="0" xfId="0" applyFont="1" applyFill="1" applyBorder="1" applyProtection="1">
      <protection hidden="1"/>
    </xf>
    <xf numFmtId="0" fontId="36" fillId="15" borderId="0" xfId="0" applyFont="1" applyFill="1" applyBorder="1" applyProtection="1">
      <protection hidden="1"/>
    </xf>
    <xf numFmtId="0" fontId="33" fillId="15" borderId="0" xfId="0" applyFont="1" applyFill="1" applyBorder="1" applyAlignment="1" applyProtection="1">
      <alignment horizontal="left"/>
      <protection hidden="1"/>
    </xf>
    <xf numFmtId="0" fontId="34" fillId="15" borderId="0" xfId="3" applyFont="1" applyFill="1" applyBorder="1" applyAlignment="1" applyProtection="1">
      <alignment horizontal="right"/>
      <protection hidden="1"/>
    </xf>
    <xf numFmtId="0" fontId="32" fillId="15" borderId="0" xfId="0" applyFont="1" applyFill="1" applyProtection="1">
      <protection hidden="1"/>
    </xf>
    <xf numFmtId="0" fontId="0" fillId="15" borderId="0" xfId="0" applyFont="1" applyFill="1" applyProtection="1">
      <protection hidden="1"/>
    </xf>
    <xf numFmtId="0" fontId="0" fillId="15" borderId="0" xfId="0" applyFont="1" applyFill="1" applyBorder="1" applyProtection="1">
      <protection hidden="1"/>
    </xf>
    <xf numFmtId="0" fontId="0" fillId="0" borderId="23" xfId="0" applyBorder="1"/>
    <xf numFmtId="0" fontId="0" fillId="0" borderId="25" xfId="0" applyBorder="1"/>
    <xf numFmtId="0" fontId="0" fillId="0" borderId="24" xfId="0" applyBorder="1"/>
    <xf numFmtId="0" fontId="0" fillId="0" borderId="26" xfId="0" applyBorder="1"/>
    <xf numFmtId="0" fontId="4" fillId="0" borderId="11" xfId="3" applyFill="1" applyBorder="1"/>
    <xf numFmtId="0" fontId="4" fillId="0" borderId="10" xfId="3" applyFill="1" applyBorder="1"/>
    <xf numFmtId="0" fontId="4" fillId="0" borderId="12" xfId="3" applyFill="1" applyBorder="1"/>
    <xf numFmtId="0" fontId="3" fillId="0" borderId="10" xfId="3" applyFont="1" applyFill="1" applyBorder="1"/>
    <xf numFmtId="0" fontId="3" fillId="0" borderId="11" xfId="3" applyFont="1" applyBorder="1"/>
    <xf numFmtId="0" fontId="0" fillId="8" borderId="0" xfId="0" applyFill="1" applyProtection="1">
      <protection hidden="1"/>
    </xf>
    <xf numFmtId="0" fontId="0" fillId="8" borderId="0" xfId="0" applyFill="1" applyAlignment="1" applyProtection="1">
      <alignment horizontal="right"/>
      <protection hidden="1"/>
    </xf>
    <xf numFmtId="1" fontId="0" fillId="8" borderId="0" xfId="0" applyNumberFormat="1" applyFill="1" applyProtection="1">
      <protection hidden="1"/>
    </xf>
    <xf numFmtId="167" fontId="0" fillId="15" borderId="10" xfId="0" applyNumberFormat="1" applyFill="1" applyBorder="1" applyProtection="1">
      <protection hidden="1"/>
    </xf>
    <xf numFmtId="0" fontId="0" fillId="16" borderId="0" xfId="0" applyFill="1"/>
    <xf numFmtId="0" fontId="0" fillId="0" borderId="28" xfId="0" applyFill="1" applyBorder="1"/>
    <xf numFmtId="0" fontId="0" fillId="0" borderId="28" xfId="0" applyBorder="1"/>
    <xf numFmtId="0" fontId="36" fillId="8" borderId="0" xfId="0" applyFont="1" applyFill="1" applyBorder="1" applyProtection="1">
      <protection hidden="1"/>
    </xf>
    <xf numFmtId="0" fontId="0" fillId="8" borderId="0" xfId="0" applyFont="1" applyFill="1" applyProtection="1">
      <protection hidden="1"/>
    </xf>
    <xf numFmtId="0" fontId="32" fillId="15" borderId="2" xfId="0" applyFont="1" applyFill="1" applyBorder="1" applyProtection="1">
      <protection hidden="1"/>
    </xf>
    <xf numFmtId="0" fontId="32" fillId="15" borderId="3" xfId="0" applyFont="1" applyFill="1" applyBorder="1" applyProtection="1">
      <protection hidden="1"/>
    </xf>
    <xf numFmtId="0" fontId="34" fillId="15" borderId="3" xfId="3" applyFont="1" applyFill="1" applyBorder="1" applyAlignment="1" applyProtection="1">
      <alignment horizontal="right"/>
      <protection hidden="1"/>
    </xf>
    <xf numFmtId="0" fontId="34" fillId="15" borderId="4" xfId="3" applyFont="1" applyFill="1" applyBorder="1" applyProtection="1">
      <protection hidden="1"/>
    </xf>
    <xf numFmtId="0" fontId="33" fillId="15" borderId="5" xfId="0" applyFont="1" applyFill="1" applyBorder="1" applyProtection="1">
      <protection hidden="1"/>
    </xf>
    <xf numFmtId="0" fontId="34" fillId="15" borderId="6" xfId="3" applyFont="1" applyFill="1" applyBorder="1" applyProtection="1">
      <protection hidden="1"/>
    </xf>
    <xf numFmtId="0" fontId="32" fillId="15" borderId="5" xfId="0" applyFont="1" applyFill="1" applyBorder="1" applyProtection="1">
      <protection hidden="1"/>
    </xf>
    <xf numFmtId="0" fontId="32" fillId="15" borderId="7" xfId="0" applyFont="1" applyFill="1" applyBorder="1" applyProtection="1">
      <protection hidden="1"/>
    </xf>
    <xf numFmtId="0" fontId="32" fillId="15" borderId="8" xfId="0" applyFont="1" applyFill="1" applyBorder="1" applyProtection="1">
      <protection hidden="1"/>
    </xf>
    <xf numFmtId="0" fontId="34" fillId="15" borderId="8" xfId="3" applyFont="1" applyFill="1" applyBorder="1" applyAlignment="1" applyProtection="1">
      <alignment horizontal="right"/>
      <protection hidden="1"/>
    </xf>
    <xf numFmtId="0" fontId="34" fillId="15" borderId="9" xfId="3" applyFont="1" applyFill="1" applyBorder="1" applyProtection="1">
      <protection hidden="1"/>
    </xf>
    <xf numFmtId="0" fontId="32" fillId="15" borderId="6" xfId="0" applyFont="1" applyFill="1" applyBorder="1" applyProtection="1">
      <protection hidden="1"/>
    </xf>
    <xf numFmtId="0" fontId="32" fillId="15" borderId="9" xfId="0" applyFont="1" applyFill="1" applyBorder="1" applyProtection="1">
      <protection hidden="1"/>
    </xf>
    <xf numFmtId="0" fontId="13" fillId="15" borderId="8" xfId="0" applyFont="1" applyFill="1" applyBorder="1" applyAlignment="1" applyProtection="1">
      <alignment horizontal="right"/>
      <protection hidden="1"/>
    </xf>
    <xf numFmtId="167" fontId="0" fillId="15" borderId="26" xfId="0" applyNumberFormat="1" applyFill="1" applyBorder="1" applyProtection="1">
      <protection hidden="1"/>
    </xf>
    <xf numFmtId="0" fontId="0" fillId="0" borderId="30" xfId="0" applyFill="1" applyBorder="1"/>
    <xf numFmtId="0" fontId="0" fillId="0" borderId="30" xfId="0" applyBorder="1"/>
    <xf numFmtId="0" fontId="32" fillId="7" borderId="24" xfId="0" applyFont="1" applyFill="1" applyBorder="1" applyProtection="1">
      <protection locked="0" hidden="1"/>
    </xf>
    <xf numFmtId="0" fontId="32" fillId="7" borderId="25" xfId="0" applyFont="1" applyFill="1" applyBorder="1" applyProtection="1">
      <protection locked="0" hidden="1"/>
    </xf>
    <xf numFmtId="0" fontId="32" fillId="7" borderId="26" xfId="0" applyFont="1" applyFill="1" applyBorder="1" applyProtection="1">
      <protection locked="0" hidden="1"/>
    </xf>
    <xf numFmtId="2" fontId="0" fillId="7" borderId="25" xfId="0" applyNumberFormat="1" applyFill="1" applyBorder="1" applyProtection="1">
      <protection locked="0" hidden="1"/>
    </xf>
    <xf numFmtId="0" fontId="0" fillId="7" borderId="25" xfId="0" applyFill="1" applyBorder="1" applyAlignment="1" applyProtection="1">
      <alignment horizontal="right"/>
      <protection locked="0" hidden="1"/>
    </xf>
    <xf numFmtId="0" fontId="3" fillId="5" borderId="0" xfId="3" applyFont="1" applyFill="1" applyAlignment="1">
      <alignment horizontal="right" vertical="center"/>
    </xf>
    <xf numFmtId="48" fontId="0" fillId="0" borderId="0" xfId="0" applyNumberFormat="1" applyFill="1"/>
    <xf numFmtId="48" fontId="0" fillId="9" borderId="0" xfId="0" applyNumberFormat="1" applyFill="1"/>
    <xf numFmtId="0" fontId="0" fillId="15" borderId="24" xfId="0" applyFill="1" applyBorder="1" applyProtection="1">
      <protection hidden="1"/>
    </xf>
    <xf numFmtId="169" fontId="0" fillId="0" borderId="0" xfId="0" applyNumberFormat="1"/>
    <xf numFmtId="0" fontId="16" fillId="0" borderId="0" xfId="0" applyFont="1" applyFill="1" applyBorder="1" applyProtection="1">
      <protection hidden="1"/>
    </xf>
    <xf numFmtId="0" fontId="38" fillId="0" borderId="0" xfId="1" applyFont="1"/>
    <xf numFmtId="0" fontId="43" fillId="19" borderId="0" xfId="1" applyFont="1" applyFill="1" applyAlignment="1">
      <alignment horizontal="center"/>
    </xf>
    <xf numFmtId="0" fontId="38" fillId="15" borderId="0" xfId="1" applyFont="1" applyFill="1"/>
    <xf numFmtId="0" fontId="39" fillId="15" borderId="0" xfId="1" applyFont="1" applyFill="1" applyAlignment="1">
      <alignment horizontal="center"/>
    </xf>
    <xf numFmtId="0" fontId="40" fillId="15" borderId="0" xfId="1" applyFont="1" applyFill="1"/>
    <xf numFmtId="0" fontId="42" fillId="15" borderId="0" xfId="8" applyFont="1" applyFill="1" applyBorder="1" applyAlignment="1">
      <alignment vertical="center"/>
    </xf>
    <xf numFmtId="0" fontId="42" fillId="15" borderId="0" xfId="8" applyFont="1" applyFill="1" applyBorder="1" applyAlignment="1">
      <alignment horizontal="right" vertical="center"/>
    </xf>
    <xf numFmtId="0" fontId="39" fillId="15" borderId="0" xfId="1" applyFont="1" applyFill="1" applyAlignment="1">
      <alignment horizontal="left"/>
    </xf>
    <xf numFmtId="0" fontId="38" fillId="15" borderId="0" xfId="1" applyFont="1" applyFill="1" applyAlignment="1">
      <alignment horizontal="center"/>
    </xf>
    <xf numFmtId="0" fontId="38" fillId="15" borderId="0" xfId="1" applyFont="1" applyFill="1" applyAlignment="1">
      <alignment horizontal="left"/>
    </xf>
    <xf numFmtId="0" fontId="40" fillId="15" borderId="0" xfId="1" applyFont="1" applyFill="1" applyAlignment="1">
      <alignment horizontal="center"/>
    </xf>
    <xf numFmtId="0" fontId="3" fillId="15" borderId="0" xfId="1" applyFont="1" applyFill="1" applyAlignment="1"/>
    <xf numFmtId="49" fontId="40" fillId="15" borderId="0" xfId="1" applyNumberFormat="1" applyFont="1" applyFill="1" applyAlignment="1">
      <alignment horizontal="center"/>
    </xf>
    <xf numFmtId="0" fontId="44" fillId="15" borderId="0" xfId="8" applyFont="1" applyFill="1" applyBorder="1" applyAlignment="1">
      <alignment vertical="center"/>
    </xf>
    <xf numFmtId="0" fontId="41" fillId="8" borderId="0" xfId="9" applyFill="1" applyBorder="1" applyAlignment="1" applyProtection="1">
      <alignment horizontal="center"/>
      <protection hidden="1"/>
    </xf>
    <xf numFmtId="2" fontId="0" fillId="15" borderId="0" xfId="0" applyNumberFormat="1" applyFill="1" applyBorder="1" applyProtection="1">
      <protection hidden="1"/>
    </xf>
    <xf numFmtId="0" fontId="17" fillId="15" borderId="26" xfId="0" applyFont="1" applyFill="1" applyBorder="1" applyProtection="1">
      <protection hidden="1"/>
    </xf>
    <xf numFmtId="0" fontId="17" fillId="15" borderId="0" xfId="0" applyFont="1" applyFill="1" applyBorder="1" applyProtection="1">
      <protection hidden="1"/>
    </xf>
    <xf numFmtId="0" fontId="17" fillId="15" borderId="4" xfId="0" applyFont="1" applyFill="1" applyBorder="1" applyProtection="1">
      <protection hidden="1"/>
    </xf>
    <xf numFmtId="0" fontId="0" fillId="15" borderId="26" xfId="0" applyFill="1" applyBorder="1" applyProtection="1">
      <protection hidden="1"/>
    </xf>
    <xf numFmtId="0" fontId="17" fillId="0" borderId="6" xfId="0" applyFont="1" applyBorder="1"/>
    <xf numFmtId="11" fontId="0" fillId="11" borderId="0" xfId="0" applyNumberFormat="1" applyFill="1"/>
    <xf numFmtId="11" fontId="0" fillId="17" borderId="0" xfId="0" applyNumberFormat="1" applyFill="1"/>
    <xf numFmtId="0" fontId="0" fillId="11" borderId="0" xfId="0" applyNumberFormat="1" applyFill="1"/>
    <xf numFmtId="167" fontId="0" fillId="7" borderId="24" xfId="0" applyNumberFormat="1" applyFill="1" applyBorder="1" applyProtection="1">
      <protection locked="0" hidden="1"/>
    </xf>
    <xf numFmtId="0" fontId="0" fillId="0" borderId="0" xfId="0" applyFill="1" applyBorder="1"/>
    <xf numFmtId="164" fontId="3" fillId="4" borderId="0" xfId="3" applyNumberFormat="1" applyFont="1" applyFill="1" applyAlignment="1">
      <alignment horizontal="right"/>
    </xf>
    <xf numFmtId="164" fontId="15" fillId="10" borderId="0" xfId="0" applyNumberFormat="1" applyFont="1" applyFill="1"/>
    <xf numFmtId="2" fontId="0" fillId="0" borderId="25" xfId="0" applyNumberFormat="1" applyFill="1" applyBorder="1" applyProtection="1">
      <protection hidden="1"/>
    </xf>
    <xf numFmtId="164" fontId="0" fillId="0" borderId="0" xfId="0" applyNumberFormat="1" applyBorder="1" applyProtection="1">
      <protection hidden="1"/>
    </xf>
    <xf numFmtId="0" fontId="17" fillId="15" borderId="25" xfId="0" applyFont="1" applyFill="1" applyBorder="1" applyProtection="1">
      <protection hidden="1"/>
    </xf>
    <xf numFmtId="0" fontId="0" fillId="7" borderId="5" xfId="0" applyFill="1" applyBorder="1" applyProtection="1">
      <protection locked="0" hidden="1"/>
    </xf>
    <xf numFmtId="0" fontId="0" fillId="7" borderId="2" xfId="0" applyFill="1" applyBorder="1" applyProtection="1">
      <protection locked="0" hidden="1"/>
    </xf>
    <xf numFmtId="2" fontId="0" fillId="0" borderId="5" xfId="0" applyNumberFormat="1" applyBorder="1" applyProtection="1">
      <protection hidden="1"/>
    </xf>
    <xf numFmtId="167" fontId="0" fillId="0" borderId="5" xfId="0" applyNumberFormat="1" applyBorder="1" applyProtection="1">
      <protection hidden="1"/>
    </xf>
    <xf numFmtId="0" fontId="15" fillId="0" borderId="0" xfId="0" applyFont="1" applyFill="1" applyBorder="1"/>
    <xf numFmtId="0" fontId="13" fillId="15" borderId="3" xfId="0" applyFont="1" applyFill="1" applyBorder="1" applyAlignment="1" applyProtection="1">
      <alignment horizontal="right"/>
      <protection hidden="1"/>
    </xf>
    <xf numFmtId="0" fontId="13" fillId="6" borderId="0" xfId="0" applyFont="1" applyFill="1" applyAlignment="1" applyProtection="1">
      <alignment horizontal="right"/>
      <protection hidden="1"/>
    </xf>
    <xf numFmtId="0" fontId="13" fillId="8" borderId="0" xfId="0" applyFont="1" applyFill="1" applyBorder="1" applyAlignment="1" applyProtection="1">
      <alignment horizontal="right"/>
      <protection hidden="1"/>
    </xf>
    <xf numFmtId="0" fontId="13" fillId="8" borderId="1" xfId="0" applyFont="1" applyFill="1" applyBorder="1" applyAlignment="1" applyProtection="1">
      <alignment horizontal="right"/>
      <protection hidden="1"/>
    </xf>
    <xf numFmtId="0" fontId="13" fillId="15" borderId="0" xfId="0" applyFont="1" applyFill="1" applyAlignment="1" applyProtection="1">
      <alignment horizontal="right"/>
      <protection hidden="1"/>
    </xf>
    <xf numFmtId="0" fontId="23" fillId="15" borderId="3" xfId="0" applyFont="1" applyFill="1" applyBorder="1" applyAlignment="1" applyProtection="1">
      <alignment horizontal="right"/>
      <protection hidden="1"/>
    </xf>
    <xf numFmtId="0" fontId="49" fillId="15" borderId="0" xfId="0" applyFont="1" applyFill="1" applyBorder="1" applyAlignment="1" applyProtection="1">
      <alignment horizontal="right"/>
      <protection hidden="1"/>
    </xf>
    <xf numFmtId="0" fontId="23" fillId="15" borderId="0" xfId="0" applyFont="1" applyFill="1" applyBorder="1" applyAlignment="1" applyProtection="1">
      <alignment horizontal="right"/>
      <protection hidden="1"/>
    </xf>
    <xf numFmtId="0" fontId="13" fillId="15" borderId="0" xfId="0" applyFont="1" applyFill="1" applyBorder="1" applyAlignment="1" applyProtection="1">
      <alignment horizontal="center"/>
      <protection hidden="1"/>
    </xf>
    <xf numFmtId="0" fontId="46" fillId="15" borderId="10" xfId="0" applyFont="1" applyFill="1" applyBorder="1" applyAlignment="1" applyProtection="1">
      <alignment horizontal="left"/>
      <protection hidden="1"/>
    </xf>
    <xf numFmtId="0" fontId="13" fillId="15" borderId="7" xfId="0" applyFont="1" applyFill="1" applyBorder="1" applyAlignment="1" applyProtection="1">
      <alignment horizontal="left"/>
      <protection hidden="1"/>
    </xf>
    <xf numFmtId="0" fontId="13" fillId="8" borderId="0" xfId="0" applyFont="1" applyFill="1" applyAlignment="1" applyProtection="1">
      <alignment horizontal="right"/>
      <protection hidden="1"/>
    </xf>
    <xf numFmtId="0" fontId="50" fillId="15" borderId="0" xfId="0" applyFont="1" applyFill="1" applyBorder="1" applyAlignment="1" applyProtection="1">
      <alignment horizontal="right"/>
      <protection hidden="1"/>
    </xf>
    <xf numFmtId="0" fontId="50" fillId="15" borderId="0" xfId="0" applyFont="1" applyFill="1" applyBorder="1" applyProtection="1">
      <protection hidden="1"/>
    </xf>
    <xf numFmtId="0" fontId="50" fillId="15" borderId="0" xfId="0" applyFont="1" applyFill="1" applyAlignment="1" applyProtection="1">
      <alignment horizontal="right"/>
      <protection hidden="1"/>
    </xf>
    <xf numFmtId="0" fontId="13" fillId="14" borderId="0" xfId="0" applyFont="1" applyFill="1" applyAlignment="1" applyProtection="1">
      <alignment horizontal="right"/>
      <protection hidden="1"/>
    </xf>
    <xf numFmtId="0" fontId="0" fillId="0" borderId="0" xfId="0" applyAlignment="1">
      <alignment horizontal="right"/>
    </xf>
    <xf numFmtId="0" fontId="0" fillId="0" borderId="0" xfId="0" applyAlignment="1">
      <alignment horizontal="center"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right"/>
    </xf>
    <xf numFmtId="0" fontId="13" fillId="15" borderId="6" xfId="0" applyFont="1" applyFill="1" applyBorder="1" applyAlignment="1" applyProtection="1">
      <alignment horizontal="right"/>
      <protection hidden="1"/>
    </xf>
    <xf numFmtId="0" fontId="0" fillId="0" borderId="0" xfId="0" applyAlignment="1">
      <alignment horizontal="left"/>
    </xf>
    <xf numFmtId="0" fontId="0" fillId="0" borderId="0" xfId="0" applyFill="1" applyBorder="1" applyAlignment="1">
      <alignment horizontal="right"/>
    </xf>
    <xf numFmtId="0" fontId="34" fillId="15" borderId="0" xfId="0" applyFont="1" applyFill="1" applyBorder="1" applyAlignment="1" applyProtection="1">
      <alignment horizontal="right"/>
      <protection hidden="1"/>
    </xf>
    <xf numFmtId="0" fontId="34" fillId="15" borderId="8" xfId="0" applyFont="1" applyFill="1" applyBorder="1" applyAlignment="1" applyProtection="1">
      <alignment horizontal="right"/>
      <protection hidden="1"/>
    </xf>
    <xf numFmtId="0" fontId="0" fillId="0" borderId="1" xfId="0" applyFill="1" applyBorder="1"/>
    <xf numFmtId="0" fontId="0" fillId="0" borderId="1" xfId="0" applyBorder="1" applyAlignment="1">
      <alignment horizontal="center"/>
    </xf>
    <xf numFmtId="1" fontId="0" fillId="0" borderId="26" xfId="0" applyNumberFormat="1" applyFill="1" applyBorder="1" applyProtection="1">
      <protection hidden="1"/>
    </xf>
    <xf numFmtId="0" fontId="13" fillId="15" borderId="5" xfId="0" applyFont="1" applyFill="1" applyBorder="1" applyAlignment="1" applyProtection="1">
      <alignment horizontal="right"/>
      <protection hidden="1"/>
    </xf>
    <xf numFmtId="0" fontId="0" fillId="0" borderId="0" xfId="0" applyAlignment="1">
      <alignment horizontal="left" vertical="center"/>
    </xf>
    <xf numFmtId="0" fontId="0" fillId="0" borderId="1" xfId="0" applyBorder="1" applyAlignment="1">
      <alignment horizontal="left" vertical="center"/>
    </xf>
    <xf numFmtId="0" fontId="0" fillId="15" borderId="31" xfId="0" applyFill="1" applyBorder="1" applyAlignment="1" applyProtection="1">
      <alignment horizontal="center"/>
      <protection hidden="1"/>
    </xf>
    <xf numFmtId="0" fontId="0" fillId="15" borderId="31" xfId="0" applyFont="1" applyFill="1" applyBorder="1" applyAlignment="1" applyProtection="1">
      <alignment horizontal="center"/>
      <protection hidden="1"/>
    </xf>
    <xf numFmtId="0" fontId="0" fillId="15" borderId="33" xfId="0" applyFont="1" applyFill="1" applyBorder="1" applyAlignment="1" applyProtection="1">
      <alignment horizontal="left"/>
      <protection hidden="1"/>
    </xf>
    <xf numFmtId="0" fontId="17" fillId="0" borderId="0" xfId="0" applyFont="1" applyBorder="1"/>
    <xf numFmtId="0" fontId="17" fillId="15" borderId="0" xfId="0" applyFont="1" applyFill="1" applyBorder="1"/>
    <xf numFmtId="0" fontId="0" fillId="0" borderId="0" xfId="0" applyFont="1" applyFill="1" applyBorder="1"/>
    <xf numFmtId="0" fontId="15" fillId="0" borderId="0" xfId="0" applyFont="1" applyFill="1"/>
    <xf numFmtId="167" fontId="0" fillId="0" borderId="10" xfId="0" applyNumberFormat="1" applyFill="1" applyBorder="1" applyProtection="1">
      <protection hidden="1"/>
    </xf>
    <xf numFmtId="0" fontId="0" fillId="15" borderId="5" xfId="0" applyFont="1" applyFill="1" applyBorder="1" applyAlignment="1" applyProtection="1">
      <alignment horizontal="right"/>
      <protection hidden="1"/>
    </xf>
    <xf numFmtId="0" fontId="0" fillId="15" borderId="6" xfId="0" applyFont="1" applyFill="1" applyBorder="1" applyAlignment="1" applyProtection="1">
      <alignment horizontal="left"/>
      <protection hidden="1"/>
    </xf>
    <xf numFmtId="167" fontId="0" fillId="7" borderId="25" xfId="0" applyNumberFormat="1" applyFill="1" applyBorder="1" applyProtection="1">
      <protection locked="0" hidden="1"/>
    </xf>
    <xf numFmtId="0" fontId="0" fillId="7" borderId="25" xfId="0" applyNumberFormat="1" applyFill="1" applyBorder="1" applyProtection="1">
      <protection locked="0" hidden="1"/>
    </xf>
    <xf numFmtId="164" fontId="0" fillId="0" borderId="26" xfId="0" applyNumberFormat="1" applyFont="1" applyFill="1" applyBorder="1" applyProtection="1">
      <protection hidden="1"/>
    </xf>
    <xf numFmtId="2" fontId="0" fillId="0" borderId="0" xfId="0" applyNumberFormat="1" applyFill="1" applyBorder="1" applyProtection="1">
      <protection hidden="1"/>
    </xf>
    <xf numFmtId="0" fontId="5" fillId="0" borderId="0" xfId="3" applyFont="1" applyAlignment="1">
      <alignment horizontal="center"/>
    </xf>
    <xf numFmtId="167" fontId="0" fillId="15" borderId="5" xfId="0" applyNumberFormat="1" applyFill="1" applyBorder="1" applyProtection="1">
      <protection hidden="1"/>
    </xf>
    <xf numFmtId="167" fontId="0" fillId="15" borderId="7" xfId="0" applyNumberFormat="1" applyFill="1" applyBorder="1" applyProtection="1">
      <protection hidden="1"/>
    </xf>
    <xf numFmtId="164" fontId="15" fillId="15" borderId="0" xfId="0" applyNumberFormat="1" applyFont="1" applyFill="1"/>
    <xf numFmtId="164" fontId="0" fillId="15" borderId="25" xfId="0" applyNumberFormat="1" applyFill="1" applyBorder="1" applyProtection="1">
      <protection hidden="1"/>
    </xf>
    <xf numFmtId="0" fontId="3" fillId="0" borderId="0" xfId="3" applyFont="1"/>
    <xf numFmtId="0" fontId="3" fillId="5" borderId="0" xfId="3" applyFont="1" applyFill="1" applyAlignment="1">
      <alignment horizontal="right"/>
    </xf>
    <xf numFmtId="167" fontId="0" fillId="15" borderId="24" xfId="0" applyNumberFormat="1" applyFont="1" applyFill="1" applyBorder="1" applyAlignment="1" applyProtection="1">
      <alignment vertical="center"/>
      <protection hidden="1"/>
    </xf>
    <xf numFmtId="0" fontId="0" fillId="15" borderId="25" xfId="0" applyFont="1" applyFill="1" applyBorder="1" applyAlignment="1" applyProtection="1">
      <alignment vertical="top"/>
      <protection hidden="1"/>
    </xf>
    <xf numFmtId="167" fontId="0" fillId="15" borderId="25" xfId="0" applyNumberFormat="1" applyFont="1" applyFill="1" applyBorder="1" applyAlignment="1" applyProtection="1">
      <alignment vertical="center"/>
      <protection hidden="1"/>
    </xf>
    <xf numFmtId="167" fontId="0" fillId="15" borderId="25" xfId="0" applyNumberFormat="1" applyFont="1" applyFill="1" applyBorder="1" applyAlignment="1" applyProtection="1">
      <alignment horizontal="right" vertical="center"/>
      <protection hidden="1"/>
    </xf>
    <xf numFmtId="0" fontId="0" fillId="15" borderId="25" xfId="0" applyFont="1" applyFill="1" applyBorder="1" applyAlignment="1" applyProtection="1">
      <alignment horizontal="right" vertical="center"/>
      <protection hidden="1"/>
    </xf>
    <xf numFmtId="0" fontId="59" fillId="0" borderId="0" xfId="0" applyFont="1"/>
    <xf numFmtId="0" fontId="39" fillId="15" borderId="0" xfId="1" applyNumberFormat="1" applyFont="1" applyFill="1" applyAlignment="1">
      <alignment horizontal="left"/>
    </xf>
    <xf numFmtId="0" fontId="62" fillId="0" borderId="0" xfId="0" applyFont="1"/>
    <xf numFmtId="0" fontId="4" fillId="0" borderId="12" xfId="3" applyBorder="1"/>
    <xf numFmtId="0" fontId="4" fillId="0" borderId="34" xfId="3" applyBorder="1"/>
    <xf numFmtId="0" fontId="4" fillId="0" borderId="35" xfId="3" applyBorder="1"/>
    <xf numFmtId="0" fontId="4" fillId="0" borderId="36" xfId="3" applyBorder="1"/>
    <xf numFmtId="0" fontId="62" fillId="0" borderId="0" xfId="0" quotePrefix="1" applyFont="1"/>
    <xf numFmtId="0" fontId="63" fillId="0" borderId="0" xfId="0" applyFont="1"/>
    <xf numFmtId="0" fontId="0" fillId="15" borderId="32" xfId="0" applyFill="1" applyBorder="1" applyAlignment="1" applyProtection="1">
      <alignment horizontal="left"/>
      <protection hidden="1"/>
    </xf>
    <xf numFmtId="0" fontId="0" fillId="15" borderId="33" xfId="0" applyFill="1" applyBorder="1" applyAlignment="1" applyProtection="1">
      <alignment horizontal="left"/>
      <protection hidden="1"/>
    </xf>
    <xf numFmtId="0" fontId="22" fillId="15" borderId="2" xfId="0" applyFont="1" applyFill="1" applyBorder="1" applyAlignment="1" applyProtection="1">
      <alignment horizontal="center"/>
      <protection hidden="1"/>
    </xf>
    <xf numFmtId="0" fontId="22" fillId="15" borderId="4" xfId="0" applyFont="1" applyFill="1" applyBorder="1" applyAlignment="1" applyProtection="1">
      <alignment horizontal="center"/>
      <protection hidden="1"/>
    </xf>
    <xf numFmtId="0" fontId="22" fillId="15" borderId="2" xfId="0" applyFont="1" applyFill="1" applyBorder="1" applyAlignment="1" applyProtection="1">
      <alignment horizontal="center" vertical="center"/>
      <protection hidden="1"/>
    </xf>
    <xf numFmtId="0" fontId="22" fillId="15" borderId="3" xfId="0" applyFont="1" applyFill="1" applyBorder="1" applyAlignment="1" applyProtection="1">
      <alignment horizontal="center" vertical="center"/>
      <protection hidden="1"/>
    </xf>
    <xf numFmtId="0" fontId="22" fillId="15" borderId="4" xfId="0" applyFont="1" applyFill="1" applyBorder="1" applyAlignment="1" applyProtection="1">
      <alignment horizontal="center" vertical="center"/>
      <protection hidden="1"/>
    </xf>
    <xf numFmtId="0" fontId="22" fillId="15" borderId="3" xfId="0" applyFont="1" applyFill="1" applyBorder="1" applyAlignment="1" applyProtection="1">
      <alignment horizontal="center"/>
      <protection hidden="1"/>
    </xf>
    <xf numFmtId="0" fontId="0" fillId="15" borderId="5" xfId="0" applyFont="1" applyFill="1" applyBorder="1" applyAlignment="1" applyProtection="1">
      <alignment horizontal="left"/>
      <protection hidden="1"/>
    </xf>
    <xf numFmtId="0" fontId="0" fillId="15" borderId="6" xfId="0" applyFont="1" applyFill="1" applyBorder="1" applyAlignment="1" applyProtection="1">
      <alignment horizontal="left"/>
      <protection hidden="1"/>
    </xf>
    <xf numFmtId="0" fontId="15" fillId="15" borderId="5" xfId="0" applyFont="1" applyFill="1" applyBorder="1" applyAlignment="1" applyProtection="1">
      <alignment horizontal="left"/>
      <protection hidden="1"/>
    </xf>
    <xf numFmtId="0" fontId="15" fillId="15" borderId="6" xfId="0" applyFont="1" applyFill="1" applyBorder="1" applyAlignment="1" applyProtection="1">
      <alignment horizontal="left"/>
      <protection hidden="1"/>
    </xf>
    <xf numFmtId="0" fontId="6" fillId="2" borderId="0" xfId="3" applyFont="1" applyFill="1" applyAlignment="1">
      <alignment horizontal="center"/>
    </xf>
    <xf numFmtId="0" fontId="5" fillId="0" borderId="0" xfId="3" applyFont="1" applyAlignment="1">
      <alignment horizontal="center"/>
    </xf>
    <xf numFmtId="0" fontId="0" fillId="0" borderId="5"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4" fillId="0" borderId="0" xfId="3"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62" fillId="0" borderId="3" xfId="0" applyFont="1" applyBorder="1" applyAlignment="1">
      <alignment horizontal="center"/>
    </xf>
    <xf numFmtId="0" fontId="62" fillId="0" borderId="4" xfId="0" applyFont="1" applyBorder="1" applyAlignment="1">
      <alignment horizontal="center"/>
    </xf>
    <xf numFmtId="0" fontId="22" fillId="0" borderId="10" xfId="0" applyFont="1"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22" fillId="0" borderId="2" xfId="0" applyFont="1" applyBorder="1" applyAlignment="1">
      <alignment horizontal="center"/>
    </xf>
    <xf numFmtId="0" fontId="22" fillId="0" borderId="4" xfId="0" applyFont="1" applyBorder="1" applyAlignment="1">
      <alignment horizontal="center"/>
    </xf>
    <xf numFmtId="0" fontId="62" fillId="0" borderId="11" xfId="0" applyFont="1" applyBorder="1" applyAlignment="1">
      <alignment horizontal="center"/>
    </xf>
    <xf numFmtId="0" fontId="62" fillId="0" borderId="12" xfId="0" applyFont="1" applyBorder="1" applyAlignment="1">
      <alignment horizontal="center"/>
    </xf>
    <xf numFmtId="0" fontId="0" fillId="0" borderId="20" xfId="0" applyBorder="1" applyAlignment="1">
      <alignment horizontal="center" wrapText="1"/>
    </xf>
    <xf numFmtId="0" fontId="0" fillId="0" borderId="29"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7" xfId="0" applyBorder="1" applyAlignment="1">
      <alignment horizontal="center"/>
    </xf>
    <xf numFmtId="0" fontId="0" fillId="0" borderId="0" xfId="0" applyAlignment="1">
      <alignment horizontal="center"/>
    </xf>
    <xf numFmtId="0" fontId="40" fillId="15" borderId="0" xfId="1" applyFont="1" applyFill="1" applyAlignment="1">
      <alignment wrapText="1"/>
    </xf>
    <xf numFmtId="0" fontId="38" fillId="0" borderId="0" xfId="1" applyFont="1" applyAlignment="1">
      <alignment horizontal="center"/>
    </xf>
    <xf numFmtId="0" fontId="38" fillId="18" borderId="0" xfId="1" applyFont="1" applyFill="1" applyAlignment="1">
      <alignment horizontal="center"/>
    </xf>
    <xf numFmtId="0" fontId="43" fillId="19" borderId="0" xfId="1" applyFont="1" applyFill="1" applyAlignment="1">
      <alignment horizontal="left"/>
    </xf>
    <xf numFmtId="0" fontId="40" fillId="15" borderId="0" xfId="1" applyFont="1" applyFill="1" applyAlignment="1">
      <alignment horizontal="left"/>
    </xf>
  </cellXfs>
  <cellStyles count="10">
    <cellStyle name="Comma 2" xfId="5" xr:uid="{00000000-0005-0000-0000-000000000000}"/>
    <cellStyle name="Comma 3" xfId="2" xr:uid="{00000000-0005-0000-0000-000001000000}"/>
    <cellStyle name="Hyperlink" xfId="9" builtinId="8"/>
    <cellStyle name="Hyperlink 2" xfId="8" xr:uid="{2D44B194-6E86-457B-8D54-4B5F163423F1}"/>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s>
  <dxfs count="13">
    <dxf>
      <font>
        <color auto="1"/>
      </font>
      <fill>
        <patternFill>
          <bgColor rgb="FFFF0000"/>
        </patternFill>
      </fill>
    </dxf>
    <dxf>
      <font>
        <color auto="1"/>
      </font>
      <fill>
        <patternFill>
          <bgColor rgb="FFFF0000"/>
        </patternFill>
      </fill>
    </dxf>
    <dxf>
      <font>
        <color auto="1"/>
      </font>
      <fill>
        <patternFill>
          <bgColor rgb="FFFF0000"/>
        </patternFill>
      </fill>
    </dxf>
    <dxf>
      <font>
        <color theme="1"/>
      </font>
      <fill>
        <patternFill>
          <bgColor rgb="FFFF0000"/>
        </patternFill>
      </fill>
    </dxf>
    <dxf>
      <font>
        <b val="0"/>
        <i val="0"/>
        <strike val="0"/>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val="0"/>
        <i val="0"/>
        <color auto="1"/>
      </font>
      <fill>
        <patternFill patternType="solid">
          <bgColor rgb="FFFF0000"/>
        </patternFill>
      </fill>
    </dxf>
  </dxfs>
  <tableStyles count="0" defaultTableStyle="TableStyleMedium2" defaultPivotStyle="PivotStyleLight16"/>
  <colors>
    <mruColors>
      <color rgb="FFFF66FF"/>
      <color rgb="FF09BEF7"/>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9.0594052720499751E-2"/>
          <c:y val="8.915810801369385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Loop_Modeling!$BO$19:$BO$560</c:f>
              <c:numCache>
                <c:formatCode>General</c:formatCode>
                <c:ptCount val="542"/>
                <c:pt idx="0">
                  <c:v>42.823618506136313</c:v>
                </c:pt>
                <c:pt idx="1">
                  <c:v>42.623732611330198</c:v>
                </c:pt>
                <c:pt idx="2">
                  <c:v>42.423852055418358</c:v>
                </c:pt>
                <c:pt idx="3">
                  <c:v>42.223977086300806</c:v>
                </c:pt>
                <c:pt idx="4">
                  <c:v>42.02410796320563</c:v>
                </c:pt>
                <c:pt idx="5">
                  <c:v>41.824244957188711</c:v>
                </c:pt>
                <c:pt idx="6">
                  <c:v>41.624388351654822</c:v>
                </c:pt>
                <c:pt idx="7">
                  <c:v>41.424538442898054</c:v>
                </c:pt>
                <c:pt idx="8">
                  <c:v>41.224695540665977</c:v>
                </c:pt>
                <c:pt idx="9">
                  <c:v>41.02485996874443</c:v>
                </c:pt>
                <c:pt idx="10">
                  <c:v>40.825032065566717</c:v>
                </c:pt>
                <c:pt idx="11">
                  <c:v>40.625212184845367</c:v>
                </c:pt>
                <c:pt idx="12">
                  <c:v>40.425400696229133</c:v>
                </c:pt>
                <c:pt idx="13">
                  <c:v>40.225597985983804</c:v>
                </c:pt>
                <c:pt idx="14">
                  <c:v>40.025804457700744</c:v>
                </c:pt>
                <c:pt idx="15">
                  <c:v>39.826020533029251</c:v>
                </c:pt>
                <c:pt idx="16">
                  <c:v>39.626246652437203</c:v>
                </c:pt>
                <c:pt idx="17">
                  <c:v>39.426483275998706</c:v>
                </c:pt>
                <c:pt idx="18">
                  <c:v>39.226730884209651</c:v>
                </c:pt>
                <c:pt idx="19">
                  <c:v>39.026989978831502</c:v>
                </c:pt>
                <c:pt idx="20">
                  <c:v>38.827261083764391</c:v>
                </c:pt>
                <c:pt idx="21">
                  <c:v>38.627544745948171</c:v>
                </c:pt>
                <c:pt idx="22">
                  <c:v>38.427841536294395</c:v>
                </c:pt>
                <c:pt idx="23">
                  <c:v>38.228152050647054</c:v>
                </c:pt>
                <c:pt idx="24">
                  <c:v>38.028476910772902</c:v>
                </c:pt>
                <c:pt idx="25">
                  <c:v>37.828816765382641</c:v>
                </c:pt>
                <c:pt idx="26">
                  <c:v>37.629172291180339</c:v>
                </c:pt>
                <c:pt idx="27">
                  <c:v>37.429544193943457</c:v>
                </c:pt>
                <c:pt idx="28">
                  <c:v>37.229933209631653</c:v>
                </c:pt>
                <c:pt idx="29">
                  <c:v>37.030340105523855</c:v>
                </c:pt>
                <c:pt idx="30">
                  <c:v>36.830765681383099</c:v>
                </c:pt>
                <c:pt idx="31">
                  <c:v>36.631210770648714</c:v>
                </c:pt>
                <c:pt idx="32">
                  <c:v>36.431676241654003</c:v>
                </c:pt>
                <c:pt idx="33">
                  <c:v>36.232162998867679</c:v>
                </c:pt>
                <c:pt idx="34">
                  <c:v>36.032671984159073</c:v>
                </c:pt>
                <c:pt idx="35">
                  <c:v>35.833204178082447</c:v>
                </c:pt>
                <c:pt idx="36">
                  <c:v>35.633760601181407</c:v>
                </c:pt>
                <c:pt idx="37">
                  <c:v>35.434342315307141</c:v>
                </c:pt>
                <c:pt idx="38">
                  <c:v>35.23495042495037</c:v>
                </c:pt>
                <c:pt idx="39">
                  <c:v>35.035586078582504</c:v>
                </c:pt>
                <c:pt idx="40">
                  <c:v>34.836250470000095</c:v>
                </c:pt>
                <c:pt idx="41">
                  <c:v>34.636944839672729</c:v>
                </c:pt>
                <c:pt idx="42">
                  <c:v>34.437670476084122</c:v>
                </c:pt>
                <c:pt idx="43">
                  <c:v>34.238428717063769</c:v>
                </c:pt>
                <c:pt idx="44">
                  <c:v>34.03922095110336</c:v>
                </c:pt>
                <c:pt idx="45">
                  <c:v>33.840048618648296</c:v>
                </c:pt>
                <c:pt idx="46">
                  <c:v>33.640913213359973</c:v>
                </c:pt>
                <c:pt idx="47">
                  <c:v>33.441816283337523</c:v>
                </c:pt>
                <c:pt idx="48">
                  <c:v>33.242759432292218</c:v>
                </c:pt>
                <c:pt idx="49">
                  <c:v>33.043744320661965</c:v>
                </c:pt>
                <c:pt idx="50">
                  <c:v>32.844772666656937</c:v>
                </c:pt>
                <c:pt idx="51">
                  <c:v>32.645846247223986</c:v>
                </c:pt>
                <c:pt idx="52">
                  <c:v>32.446966898915456</c:v>
                </c:pt>
                <c:pt idx="53">
                  <c:v>32.248136518649126</c:v>
                </c:pt>
                <c:pt idx="54">
                  <c:v>32.049357064345742</c:v>
                </c:pt>
                <c:pt idx="55">
                  <c:v>31.850630555424388</c:v>
                </c:pt>
                <c:pt idx="56">
                  <c:v>31.651959073141342</c:v>
                </c:pt>
                <c:pt idx="57">
                  <c:v>31.453344760752127</c:v>
                </c:pt>
                <c:pt idx="58">
                  <c:v>31.254789823477338</c:v>
                </c:pt>
                <c:pt idx="59">
                  <c:v>31.056296528250158</c:v>
                </c:pt>
                <c:pt idx="60">
                  <c:v>30.85786720322595</c:v>
                </c:pt>
                <c:pt idx="61">
                  <c:v>30.659504237025487</c:v>
                </c:pt>
                <c:pt idx="62">
                  <c:v>30.46121007769294</c:v>
                </c:pt>
                <c:pt idx="63">
                  <c:v>30.262987231337924</c:v>
                </c:pt>
                <c:pt idx="64">
                  <c:v>30.064838260436954</c:v>
                </c:pt>
                <c:pt idx="65">
                  <c:v>29.8667657817658</c:v>
                </c:pt>
                <c:pt idx="66">
                  <c:v>29.668772463934623</c:v>
                </c:pt>
                <c:pt idx="67">
                  <c:v>29.470861024495303</c:v>
                </c:pt>
                <c:pt idx="68">
                  <c:v>29.273034226591488</c:v>
                </c:pt>
                <c:pt idx="69">
                  <c:v>29.07529487512139</c:v>
                </c:pt>
                <c:pt idx="70">
                  <c:v>28.877645812382063</c:v>
                </c:pt>
                <c:pt idx="71">
                  <c:v>28.680089913165588</c:v>
                </c:pt>
                <c:pt idx="72">
                  <c:v>28.482630079277431</c:v>
                </c:pt>
                <c:pt idx="73">
                  <c:v>28.285269233446986</c:v>
                </c:pt>
                <c:pt idx="74">
                  <c:v>28.088010312604744</c:v>
                </c:pt>
                <c:pt idx="75">
                  <c:v>27.890856260499103</c:v>
                </c:pt>
                <c:pt idx="76">
                  <c:v>27.693810019628835</c:v>
                </c:pt>
                <c:pt idx="77">
                  <c:v>27.496874522471902</c:v>
                </c:pt>
                <c:pt idx="78">
                  <c:v>27.300052681992376</c:v>
                </c:pt>
                <c:pt idx="79">
                  <c:v>27.103347381413101</c:v>
                </c:pt>
                <c:pt idx="80">
                  <c:v>26.906761463244443</c:v>
                </c:pt>
                <c:pt idx="81">
                  <c:v>26.710297717567695</c:v>
                </c:pt>
                <c:pt idx="82">
                  <c:v>26.513958869574765</c:v>
                </c:pt>
                <c:pt idx="83">
                  <c:v>26.317747566376291</c:v>
                </c:pt>
                <c:pt idx="84">
                  <c:v>26.121666363093937</c:v>
                </c:pt>
                <c:pt idx="85">
                  <c:v>25.92571770826504</c:v>
                </c:pt>
                <c:pt idx="86">
                  <c:v>25.729903928594254</c:v>
                </c:pt>
                <c:pt idx="87">
                  <c:v>25.534227213098418</c:v>
                </c:pt>
                <c:pt idx="88">
                  <c:v>25.338689596700643</c:v>
                </c:pt>
                <c:pt idx="89">
                  <c:v>25.143292943340821</c:v>
                </c:pt>
                <c:pt idx="90">
                  <c:v>24.948038928682227</c:v>
                </c:pt>
                <c:pt idx="91">
                  <c:v>24.752929022504979</c:v>
                </c:pt>
                <c:pt idx="92">
                  <c:v>24.557964470889608</c:v>
                </c:pt>
                <c:pt idx="93">
                  <c:v>24.363146278307212</c:v>
                </c:pt>
                <c:pt idx="94">
                  <c:v>24.16847518974339</c:v>
                </c:pt>
                <c:pt idx="95">
                  <c:v>23.973951672996662</c:v>
                </c:pt>
                <c:pt idx="96">
                  <c:v>23.779575901301033</c:v>
                </c:pt>
                <c:pt idx="97">
                  <c:v>23.585347736435498</c:v>
                </c:pt>
                <c:pt idx="98">
                  <c:v>23.39126671249111</c:v>
                </c:pt>
                <c:pt idx="99">
                  <c:v>23.197332020472579</c:v>
                </c:pt>
                <c:pt idx="100">
                  <c:v>23.003542493921607</c:v>
                </c:pt>
                <c:pt idx="101">
                  <c:v>22.809896595748668</c:v>
                </c:pt>
                <c:pt idx="102">
                  <c:v>22.616392406465909</c:v>
                </c:pt>
                <c:pt idx="103">
                  <c:v>22.423027614009104</c:v>
                </c:pt>
                <c:pt idx="104">
                  <c:v>22.229799505338931</c:v>
                </c:pt>
                <c:pt idx="105">
                  <c:v>22.03670495999809</c:v>
                </c:pt>
                <c:pt idx="106">
                  <c:v>21.843740445799046</c:v>
                </c:pt>
                <c:pt idx="107">
                  <c:v>21.650902016797701</c:v>
                </c:pt>
                <c:pt idx="108">
                  <c:v>21.458185313698472</c:v>
                </c:pt>
                <c:pt idx="109">
                  <c:v>21.265585566810966</c:v>
                </c:pt>
                <c:pt idx="110">
                  <c:v>21.07309760166298</c:v>
                </c:pt>
                <c:pt idx="111">
                  <c:v>20.880715847342056</c:v>
                </c:pt>
                <c:pt idx="112">
                  <c:v>20.688434347617051</c:v>
                </c:pt>
                <c:pt idx="113">
                  <c:v>20.496246774855575</c:v>
                </c:pt>
                <c:pt idx="114">
                  <c:v>20.304146446723802</c:v>
                </c:pt>
                <c:pt idx="115">
                  <c:v>20.112126345622329</c:v>
                </c:pt>
                <c:pt idx="116">
                  <c:v>19.92017914077401</c:v>
                </c:pt>
                <c:pt idx="117">
                  <c:v>19.72829721285046</c:v>
                </c:pt>
                <c:pt idx="118">
                  <c:v>19.536472680985245</c:v>
                </c:pt>
                <c:pt idx="119">
                  <c:v>19.344697431991364</c:v>
                </c:pt>
                <c:pt idx="120">
                  <c:v>19.152963151569214</c:v>
                </c:pt>
                <c:pt idx="121">
                  <c:v>18.961261357261336</c:v>
                </c:pt>
                <c:pt idx="122">
                  <c:v>18.769583432886954</c:v>
                </c:pt>
                <c:pt idx="123">
                  <c:v>18.577920664164402</c:v>
                </c:pt>
                <c:pt idx="124">
                  <c:v>18.386264275214753</c:v>
                </c:pt>
                <c:pt idx="125">
                  <c:v>18.194605465623141</c:v>
                </c:pt>
                <c:pt idx="126">
                  <c:v>18.002935447729659</c:v>
                </c:pt>
                <c:pt idx="127">
                  <c:v>17.811245483814858</c:v>
                </c:pt>
                <c:pt idx="128">
                  <c:v>17.619526922848031</c:v>
                </c:pt>
                <c:pt idx="129">
                  <c:v>17.427771236474076</c:v>
                </c:pt>
                <c:pt idx="130">
                  <c:v>17.235970053924248</c:v>
                </c:pt>
                <c:pt idx="131">
                  <c:v>17.044115195553093</c:v>
                </c:pt>
                <c:pt idx="132">
                  <c:v>16.852198704726959</c:v>
                </c:pt>
                <c:pt idx="133">
                  <c:v>16.660212877809226</c:v>
                </c:pt>
                <c:pt idx="134">
                  <c:v>16.468150292019217</c:v>
                </c:pt>
                <c:pt idx="135">
                  <c:v>16.276003830969742</c:v>
                </c:pt>
                <c:pt idx="136">
                  <c:v>16.083766707720901</c:v>
                </c:pt>
                <c:pt idx="137">
                  <c:v>15.891432485222833</c:v>
                </c:pt>
                <c:pt idx="138">
                  <c:v>15.698995094052313</c:v>
                </c:pt>
                <c:pt idx="139">
                  <c:v>15.506448847384064</c:v>
                </c:pt>
                <c:pt idx="140">
                  <c:v>15.313788453171473</c:v>
                </c:pt>
                <c:pt idx="141">
                  <c:v>15.121009023541223</c:v>
                </c:pt>
                <c:pt idx="142">
                  <c:v>14.928106081443573</c:v>
                </c:pt>
                <c:pt idx="143">
                  <c:v>14.735075564619631</c:v>
                </c:pt>
                <c:pt idx="144">
                  <c:v>14.541913826982922</c:v>
                </c:pt>
                <c:pt idx="145">
                  <c:v>14.348617637526742</c:v>
                </c:pt>
                <c:pt idx="146">
                  <c:v>14.155184176897535</c:v>
                </c:pt>
                <c:pt idx="147">
                  <c:v>13.961611031783573</c:v>
                </c:pt>
                <c:pt idx="148">
                  <c:v>13.767896187289635</c:v>
                </c:pt>
                <c:pt idx="149">
                  <c:v>13.574038017472718</c:v>
                </c:pt>
                <c:pt idx="150">
                  <c:v>13.380035274224651</c:v>
                </c:pt>
                <c:pt idx="151">
                  <c:v>13.185887074691928</c:v>
                </c:pt>
                <c:pt idx="152">
                  <c:v>12.991592887423026</c:v>
                </c:pt>
                <c:pt idx="153">
                  <c:v>12.797152517433144</c:v>
                </c:pt>
                <c:pt idx="154">
                  <c:v>12.602566090374525</c:v>
                </c:pt>
                <c:pt idx="155">
                  <c:v>12.407834035990874</c:v>
                </c:pt>
                <c:pt idx="156">
                  <c:v>12.212957071033639</c:v>
                </c:pt>
                <c:pt idx="157">
                  <c:v>12.017936181800712</c:v>
                </c:pt>
                <c:pt idx="158">
                  <c:v>11.822772606457939</c:v>
                </c:pt>
                <c:pt idx="159">
                  <c:v>11.627467817282806</c:v>
                </c:pt>
                <c:pt idx="160">
                  <c:v>11.432023502965869</c:v>
                </c:pt>
                <c:pt idx="161">
                  <c:v>11.236441551089571</c:v>
                </c:pt>
                <c:pt idx="162">
                  <c:v>11.040724030892532</c:v>
                </c:pt>
                <c:pt idx="163">
                  <c:v>10.844873176415417</c:v>
                </c:pt>
                <c:pt idx="164">
                  <c:v>10.648891370111521</c:v>
                </c:pt>
                <c:pt idx="165">
                  <c:v>10.452781126995433</c:v>
                </c:pt>
                <c:pt idx="166">
                  <c:v>10.256545079388594</c:v>
                </c:pt>
                <c:pt idx="167">
                  <c:v>10.060185962312787</c:v>
                </c:pt>
                <c:pt idx="168">
                  <c:v>9.8637065995706514</c:v>
                </c:pt>
                <c:pt idx="169">
                  <c:v>9.6671098905433279</c:v>
                </c:pt>
                <c:pt idx="170">
                  <c:v>9.4703987977262454</c:v>
                </c:pt>
                <c:pt idx="171">
                  <c:v>9.2735763350173279</c:v>
                </c:pt>
                <c:pt idx="172">
                  <c:v>9.076645556762454</c:v>
                </c:pt>
                <c:pt idx="173">
                  <c:v>8.8796095475586352</c:v>
                </c:pt>
                <c:pt idx="174">
                  <c:v>8.6824714128088765</c:v>
                </c:pt>
                <c:pt idx="175">
                  <c:v>8.4852342700170027</c:v>
                </c:pt>
                <c:pt idx="176">
                  <c:v>8.2879012408075141</c:v>
                </c:pt>
                <c:pt idx="177">
                  <c:v>8.0904754436516555</c:v>
                </c:pt>
                <c:pt idx="178">
                  <c:v>7.8929599872773295</c:v>
                </c:pt>
                <c:pt idx="179">
                  <c:v>7.6953579647379611</c:v>
                </c:pt>
                <c:pt idx="180">
                  <c:v>7.4976724481155053</c:v>
                </c:pt>
                <c:pt idx="181">
                  <c:v>7.2999064838272112</c:v>
                </c:pt>
                <c:pt idx="182">
                  <c:v>7.1020630885096665</c:v>
                </c:pt>
                <c:pt idx="183">
                  <c:v>6.9041452454491523</c:v>
                </c:pt>
                <c:pt idx="184">
                  <c:v>6.7061559015281578</c:v>
                </c:pt>
                <c:pt idx="185">
                  <c:v>6.5080979646600099</c:v>
                </c:pt>
                <c:pt idx="186">
                  <c:v>6.3099743016795875</c:v>
                </c:pt>
                <c:pt idx="187">
                  <c:v>6.1117877366629418</c:v>
                </c:pt>
                <c:pt idx="188">
                  <c:v>5.9135410496456506</c:v>
                </c:pt>
                <c:pt idx="189">
                  <c:v>5.7152369757139363</c:v>
                </c:pt>
                <c:pt idx="190">
                  <c:v>5.5168782044397444</c:v>
                </c:pt>
                <c:pt idx="191">
                  <c:v>5.3184673796360693</c:v>
                </c:pt>
                <c:pt idx="192">
                  <c:v>5.120007099405429</c:v>
                </c:pt>
                <c:pt idx="193">
                  <c:v>4.9214999164608608</c:v>
                </c:pt>
                <c:pt idx="194">
                  <c:v>4.7229483386940538</c:v>
                </c:pt>
                <c:pt idx="195">
                  <c:v>4.5243548299718634</c:v>
                </c:pt>
                <c:pt idx="196">
                  <c:v>4.3257218111387328</c:v>
                </c:pt>
                <c:pt idx="197">
                  <c:v>4.1270516612096824</c:v>
                </c:pt>
                <c:pt idx="198">
                  <c:v>3.9283467187316856</c:v>
                </c:pt>
                <c:pt idx="199">
                  <c:v>3.7296092833011985</c:v>
                </c:pt>
                <c:pt idx="200">
                  <c:v>3.5308416172193198</c:v>
                </c:pt>
                <c:pt idx="201">
                  <c:v>3.3320459472715274</c:v>
                </c:pt>
                <c:pt idx="202">
                  <c:v>3.1332244666185272</c:v>
                </c:pt>
                <c:pt idx="203">
                  <c:v>2.9343793367849154</c:v>
                </c:pt>
                <c:pt idx="204">
                  <c:v>2.7355126897355109</c:v>
                </c:pt>
                <c:pt idx="205">
                  <c:v>2.536626630026062</c:v>
                </c:pt>
                <c:pt idx="206">
                  <c:v>2.3377232370215677</c:v>
                </c:pt>
                <c:pt idx="207">
                  <c:v>2.1388045671701597</c:v>
                </c:pt>
                <c:pt idx="208">
                  <c:v>1.9398726563244257</c:v>
                </c:pt>
                <c:pt idx="209">
                  <c:v>1.7409295221039287</c:v>
                </c:pt>
                <c:pt idx="210">
                  <c:v>1.5419771662881998</c:v>
                </c:pt>
                <c:pt idx="211">
                  <c:v>1.3430175772358008</c:v>
                </c:pt>
                <c:pt idx="212">
                  <c:v>1.1440527323206853</c:v>
                </c:pt>
                <c:pt idx="213">
                  <c:v>0.94508460038102193</c:v>
                </c:pt>
                <c:pt idx="214">
                  <c:v>0.7461151441734325</c:v>
                </c:pt>
                <c:pt idx="215">
                  <c:v>0.54714632282683717</c:v>
                </c:pt>
                <c:pt idx="216">
                  <c:v>0.34818009428967395</c:v>
                </c:pt>
                <c:pt idx="217">
                  <c:v>0.14921841776639391</c:v>
                </c:pt>
                <c:pt idx="218">
                  <c:v>-4.9736743863706266E-2</c:v>
                </c:pt>
                <c:pt idx="219">
                  <c:v>-0.24868342165094984</c:v>
                </c:pt>
                <c:pt idx="220">
                  <c:v>-0.44761963820701067</c:v>
                </c:pt>
                <c:pt idx="221">
                  <c:v>-0.64654340537195709</c:v>
                </c:pt>
                <c:pt idx="222">
                  <c:v>-0.84545272191928689</c:v>
                </c:pt>
                <c:pt idx="223">
                  <c:v>-1.0443455713078325</c:v>
                </c:pt>
                <c:pt idx="224">
                  <c:v>-1.2432199194841014</c:v>
                </c:pt>
                <c:pt idx="225">
                  <c:v>-1.4420737127420122</c:v>
                </c:pt>
                <c:pt idx="226">
                  <c:v>-1.640904875647005</c:v>
                </c:pt>
                <c:pt idx="227">
                  <c:v>-1.8397113090297321</c:v>
                </c:pt>
                <c:pt idx="228">
                  <c:v>-2.0384908880569399</c:v>
                </c:pt>
                <c:pt idx="229">
                  <c:v>-2.2372414603854063</c:v>
                </c:pt>
                <c:pt idx="230">
                  <c:v>-2.4359608444075604</c:v>
                </c:pt>
                <c:pt idx="231">
                  <c:v>-2.6346468275940098</c:v>
                </c:pt>
                <c:pt idx="232">
                  <c:v>-2.8332971649421266</c:v>
                </c:pt>
                <c:pt idx="233">
                  <c:v>-3.0319095775356142</c:v>
                </c:pt>
                <c:pt idx="234">
                  <c:v>-3.2304817512258839</c:v>
                </c:pt>
                <c:pt idx="235">
                  <c:v>-3.4290113354387675</c:v>
                </c:pt>
                <c:pt idx="236">
                  <c:v>-3.6274959421163895</c:v>
                </c:pt>
                <c:pt idx="237">
                  <c:v>-3.8259331448002332</c:v>
                </c:pt>
                <c:pt idx="238">
                  <c:v>-4.0243204778616173</c:v>
                </c:pt>
                <c:pt idx="239">
                  <c:v>-4.2226554358863773</c:v>
                </c:pt>
                <c:pt idx="240">
                  <c:v>-4.4209354732180826</c:v>
                </c:pt>
                <c:pt idx="241">
                  <c:v>-4.6191580036666986</c:v>
                </c:pt>
                <c:pt idx="242">
                  <c:v>-4.8173204003833874</c:v>
                </c:pt>
                <c:pt idx="243">
                  <c:v>-5.0154199959065195</c:v>
                </c:pt>
                <c:pt idx="244">
                  <c:v>-5.2134540823785187</c:v>
                </c:pt>
                <c:pt idx="245">
                  <c:v>-5.4114199119348703</c:v>
                </c:pt>
                <c:pt idx="246">
                  <c:v>-5.6093146972603662</c:v>
                </c:pt>
                <c:pt idx="247">
                  <c:v>-5.8071356123111508</c:v>
                </c:pt>
                <c:pt idx="248">
                  <c:v>-6.0048797931937727</c:v>
                </c:pt>
                <c:pt idx="249">
                  <c:v>-6.2025443391935609</c:v>
                </c:pt>
                <c:pt idx="250">
                  <c:v>-6.4001263139389186</c:v>
                </c:pt>
                <c:pt idx="251">
                  <c:v>-6.5976227466871364</c:v>
                </c:pt>
                <c:pt idx="252">
                  <c:v>-6.7950306337127353</c:v>
                </c:pt>
                <c:pt idx="253">
                  <c:v>-6.9923469397769002</c:v>
                </c:pt>
                <c:pt idx="254">
                  <c:v>-7.1895685996498511</c:v>
                </c:pt>
                <c:pt idx="255">
                  <c:v>-7.3866925196599738</c:v>
                </c:pt>
                <c:pt idx="256">
                  <c:v>-7.5837155792308577</c:v>
                </c:pt>
                <c:pt idx="257">
                  <c:v>-7.7806346323722515</c:v>
                </c:pt>
                <c:pt idx="258">
                  <c:v>-7.9774465090787716</c:v>
                </c:pt>
                <c:pt idx="259">
                  <c:v>-8.1741480165919072</c:v>
                </c:pt>
                <c:pt idx="260">
                  <c:v>-8.3707359404732031</c:v>
                </c:pt>
                <c:pt idx="261">
                  <c:v>-8.5672070454334435</c:v>
                </c:pt>
                <c:pt idx="262">
                  <c:v>-8.7635580758597413</c:v>
                </c:pt>
                <c:pt idx="263">
                  <c:v>-8.9597857559778049</c:v>
                </c:pt>
                <c:pt idx="264">
                  <c:v>-9.1558867895854057</c:v>
                </c:pt>
                <c:pt idx="265">
                  <c:v>-9.3518578592889607</c:v>
                </c:pt>
                <c:pt idx="266">
                  <c:v>-9.5476956251747165</c:v>
                </c:pt>
                <c:pt idx="267">
                  <c:v>-9.7433967228458584</c:v>
                </c:pt>
                <c:pt idx="268">
                  <c:v>-9.9389577607544926</c:v>
                </c:pt>
                <c:pt idx="269">
                  <c:v>-10.134375316761648</c:v>
                </c:pt>
                <c:pt idx="270">
                  <c:v>-10.32964593385852</c:v>
                </c:pt>
                <c:pt idx="271">
                  <c:v>-10.524766114986164</c:v>
                </c:pt>
                <c:pt idx="272">
                  <c:v>-10.719732316895414</c:v>
                </c:pt>
                <c:pt idx="273">
                  <c:v>-10.91454094299473</c:v>
                </c:pt>
                <c:pt idx="274">
                  <c:v>-11.109188335140843</c:v>
                </c:pt>
                <c:pt idx="275">
                  <c:v>-11.303670764334175</c:v>
                </c:pt>
                <c:pt idx="276">
                  <c:v>-11.497984420293381</c:v>
                </c:pt>
                <c:pt idx="277">
                  <c:v>-11.692125399890649</c:v>
                </c:pt>
                <c:pt idx="278">
                  <c:v>-11.886089694443749</c:v>
                </c:pt>
                <c:pt idx="279">
                  <c:v>-12.079873175872372</c:v>
                </c:pt>
                <c:pt idx="280">
                  <c:v>-12.273471581740189</c:v>
                </c:pt>
                <c:pt idx="281">
                  <c:v>-12.466880499218323</c:v>
                </c:pt>
                <c:pt idx="282">
                  <c:v>-12.660095348019681</c:v>
                </c:pt>
                <c:pt idx="283">
                  <c:v>-12.853111362369756</c:v>
                </c:pt>
                <c:pt idx="284">
                  <c:v>-13.045923572093617</c:v>
                </c:pt>
                <c:pt idx="285">
                  <c:v>-13.238526782911977</c:v>
                </c:pt>
                <c:pt idx="286">
                  <c:v>-13.430915556056833</c:v>
                </c:pt>
                <c:pt idx="287">
                  <c:v>-13.623084187326118</c:v>
                </c:pt>
                <c:pt idx="288">
                  <c:v>-13.815026685713738</c:v>
                </c:pt>
                <c:pt idx="289">
                  <c:v>-14.006736751758469</c:v>
                </c:pt>
                <c:pt idx="290">
                  <c:v>-14.198207755770225</c:v>
                </c:pt>
                <c:pt idx="291">
                  <c:v>-14.389432716095776</c:v>
                </c:pt>
                <c:pt idx="292">
                  <c:v>-14.580404277598447</c:v>
                </c:pt>
                <c:pt idx="293">
                  <c:v>-14.771114690528243</c:v>
                </c:pt>
                <c:pt idx="294">
                  <c:v>-14.961555789966079</c:v>
                </c:pt>
                <c:pt idx="295">
                  <c:v>-15.151718976026585</c:v>
                </c:pt>
                <c:pt idx="296">
                  <c:v>-15.341595195007125</c:v>
                </c:pt>
                <c:pt idx="297">
                  <c:v>-15.531174921669384</c:v>
                </c:pt>
                <c:pt idx="298">
                  <c:v>-15.720448142839645</c:v>
                </c:pt>
                <c:pt idx="299">
                  <c:v>-15.909404342512097</c:v>
                </c:pt>
                <c:pt idx="300">
                  <c:v>-16.098032488634885</c:v>
                </c:pt>
                <c:pt idx="301">
                  <c:v>-16.286321021756571</c:v>
                </c:pt>
                <c:pt idx="302">
                  <c:v>-16.474257845706322</c:v>
                </c:pt>
                <c:pt idx="303">
                  <c:v>-16.661830320475868</c:v>
                </c:pt>
                <c:pt idx="304">
                  <c:v>-16.849025257466533</c:v>
                </c:pt>
                <c:pt idx="305">
                  <c:v>-17.035828917262059</c:v>
                </c:pt>
                <c:pt idx="306">
                  <c:v>-17.22222701007993</c:v>
                </c:pt>
                <c:pt idx="307">
                  <c:v>-17.408204699055243</c:v>
                </c:pt>
                <c:pt idx="308">
                  <c:v>-17.593746606500421</c:v>
                </c:pt>
                <c:pt idx="309">
                  <c:v>-17.778836823287676</c:v>
                </c:pt>
                <c:pt idx="310">
                  <c:v>-17.963458921493437</c:v>
                </c:pt>
                <c:pt idx="311">
                  <c:v>-18.147595970442907</c:v>
                </c:pt>
                <c:pt idx="312">
                  <c:v>-18.331230556292034</c:v>
                </c:pt>
                <c:pt idx="313">
                  <c:v>-18.514344805278977</c:v>
                </c:pt>
                <c:pt idx="314">
                  <c:v>-18.696920410777565</c:v>
                </c:pt>
                <c:pt idx="315">
                  <c:v>-18.878938664281595</c:v>
                </c:pt>
                <c:pt idx="316">
                  <c:v>-19.060380490445713</c:v>
                </c:pt>
                <c:pt idx="317">
                  <c:v>-19.241226486305788</c:v>
                </c:pt>
                <c:pt idx="318">
                  <c:v>-19.421456964795048</c:v>
                </c:pt>
                <c:pt idx="319">
                  <c:v>-19.601052002669274</c:v>
                </c:pt>
                <c:pt idx="320">
                  <c:v>-19.779991492943115</c:v>
                </c:pt>
                <c:pt idx="321">
                  <c:v>-19.958255201931088</c:v>
                </c:pt>
                <c:pt idx="322">
                  <c:v>-20.135822830976377</c:v>
                </c:pt>
                <c:pt idx="323">
                  <c:v>-20.312674082933036</c:v>
                </c:pt>
                <c:pt idx="324">
                  <c:v>-20.488788733450608</c:v>
                </c:pt>
                <c:pt idx="325">
                  <c:v>-20.66414670709003</c:v>
                </c:pt>
                <c:pt idx="326">
                  <c:v>-20.838728158275295</c:v>
                </c:pt>
                <c:pt idx="327">
                  <c:v>-21.012513557055268</c:v>
                </c:pt>
                <c:pt idx="328">
                  <c:v>-21.185483779622221</c:v>
                </c:pt>
                <c:pt idx="329">
                  <c:v>-21.357620203494776</c:v>
                </c:pt>
                <c:pt idx="330">
                  <c:v>-21.528904807237346</c:v>
                </c:pt>
                <c:pt idx="331">
                  <c:v>-21.699320274541456</c:v>
                </c:pt>
                <c:pt idx="332">
                  <c:v>-21.868850102451383</c:v>
                </c:pt>
                <c:pt idx="333">
                  <c:v>-22.037478713465887</c:v>
                </c:pt>
                <c:pt idx="334">
                  <c:v>-22.205191571194739</c:v>
                </c:pt>
                <c:pt idx="335">
                  <c:v>-22.371975299193565</c:v>
                </c:pt>
                <c:pt idx="336">
                  <c:v>-22.53781780254652</c:v>
                </c:pt>
                <c:pt idx="337">
                  <c:v>-22.702708391703133</c:v>
                </c:pt>
                <c:pt idx="338">
                  <c:v>-22.866637908021843</c:v>
                </c:pt>
                <c:pt idx="339">
                  <c:v>-23.029598850411077</c:v>
                </c:pt>
                <c:pt idx="340">
                  <c:v>-23.191585502402134</c:v>
                </c:pt>
                <c:pt idx="341">
                  <c:v>-23.352594058932997</c:v>
                </c:pt>
                <c:pt idx="342">
                  <c:v>-23.512622752070399</c:v>
                </c:pt>
                <c:pt idx="343">
                  <c:v>-23.671671974848394</c:v>
                </c:pt>
                <c:pt idx="344">
                  <c:v>-23.829744402359623</c:v>
                </c:pt>
                <c:pt idx="345">
                  <c:v>-23.986845109199265</c:v>
                </c:pt>
                <c:pt idx="346">
                  <c:v>-24.142981682332625</c:v>
                </c:pt>
                <c:pt idx="347">
                  <c:v>-24.298164328434972</c:v>
                </c:pt>
                <c:pt idx="348">
                  <c:v>-24.452405974745037</c:v>
                </c:pt>
                <c:pt idx="349">
                  <c:v>-24.605722362468498</c:v>
                </c:pt>
                <c:pt idx="350">
                  <c:v>-24.758132131779945</c:v>
                </c:pt>
                <c:pt idx="351">
                  <c:v>-24.909656897492653</c:v>
                </c:pt>
                <c:pt idx="352">
                  <c:v>-25.060321314499706</c:v>
                </c:pt>
                <c:pt idx="353">
                  <c:v>-25.210153132133954</c:v>
                </c:pt>
                <c:pt idx="354">
                  <c:v>-25.359183236653561</c:v>
                </c:pt>
                <c:pt idx="355">
                  <c:v>-25.50744568112977</c:v>
                </c:pt>
                <c:pt idx="356">
                  <c:v>-25.654977702091305</c:v>
                </c:pt>
                <c:pt idx="357">
                  <c:v>-25.801819722379339</c:v>
                </c:pt>
                <c:pt idx="358">
                  <c:v>-25.948015339759856</c:v>
                </c:pt>
                <c:pt idx="359">
                  <c:v>-26.093611300960859</c:v>
                </c:pt>
                <c:pt idx="360">
                  <c:v>-26.238657460914784</c:v>
                </c:pt>
                <c:pt idx="361">
                  <c:v>-26.38320672711469</c:v>
                </c:pt>
                <c:pt idx="362">
                  <c:v>-26.527314989124715</c:v>
                </c:pt>
                <c:pt idx="363">
                  <c:v>-26.671041033417232</c:v>
                </c:pt>
                <c:pt idx="364">
                  <c:v>-26.81444644384414</c:v>
                </c:pt>
                <c:pt idx="365">
                  <c:v>-26.957595488188268</c:v>
                </c:pt>
                <c:pt idx="366">
                  <c:v>-27.100554991370906</c:v>
                </c:pt>
                <c:pt idx="367">
                  <c:v>-27.243394196019494</c:v>
                </c:pt>
                <c:pt idx="368">
                  <c:v>-27.386184611225971</c:v>
                </c:pt>
                <c:pt idx="369">
                  <c:v>-27.528999850439003</c:v>
                </c:pt>
                <c:pt idx="370">
                  <c:v>-27.671915459539992</c:v>
                </c:pt>
                <c:pt idx="371">
                  <c:v>-27.815008736248693</c:v>
                </c:pt>
                <c:pt idx="372">
                  <c:v>-27.958358542085463</c:v>
                </c:pt>
                <c:pt idx="373">
                  <c:v>-28.102045108190225</c:v>
                </c:pt>
                <c:pt idx="374">
                  <c:v>-28.246149836348135</c:v>
                </c:pt>
                <c:pt idx="375">
                  <c:v>-28.390755096616502</c:v>
                </c:pt>
                <c:pt idx="376">
                  <c:v>-28.535944022968145</c:v>
                </c:pt>
                <c:pt idx="377">
                  <c:v>-28.681800308373326</c:v>
                </c:pt>
                <c:pt idx="378">
                  <c:v>-28.828408000735976</c:v>
                </c:pt>
                <c:pt idx="379">
                  <c:v>-28.975851301067841</c:v>
                </c:pt>
                <c:pt idx="380">
                  <c:v>-29.124214365249379</c:v>
                </c:pt>
                <c:pt idx="381">
                  <c:v>-29.273581110659723</c:v>
                </c:pt>
                <c:pt idx="382">
                  <c:v>-29.424035028890671</c:v>
                </c:pt>
                <c:pt idx="383">
                  <c:v>-29.575659005668761</c:v>
                </c:pt>
                <c:pt idx="384">
                  <c:v>-29.728535149008959</c:v>
                </c:pt>
                <c:pt idx="385">
                  <c:v>-29.882744626512139</c:v>
                </c:pt>
                <c:pt idx="386">
                  <c:v>-30.038367512594007</c:v>
                </c:pt>
                <c:pt idx="387">
                  <c:v>-30.195482646304246</c:v>
                </c:pt>
                <c:pt idx="388">
                  <c:v>-30.354167500254196</c:v>
                </c:pt>
                <c:pt idx="389">
                  <c:v>-30.514498061032185</c:v>
                </c:pt>
                <c:pt idx="390">
                  <c:v>-30.676548721336715</c:v>
                </c:pt>
                <c:pt idx="391">
                  <c:v>-30.840392183915192</c:v>
                </c:pt>
                <c:pt idx="392">
                  <c:v>-31.006099377251424</c:v>
                </c:pt>
                <c:pt idx="393">
                  <c:v>-31.173739382801209</c:v>
                </c:pt>
                <c:pt idx="394">
                  <c:v>-31.343379373446687</c:v>
                </c:pt>
                <c:pt idx="395">
                  <c:v>-31.51508456270658</c:v>
                </c:pt>
                <c:pt idx="396">
                  <c:v>-31.688918164126534</c:v>
                </c:pt>
                <c:pt idx="397">
                  <c:v>-31.864941360165805</c:v>
                </c:pt>
                <c:pt idx="398">
                  <c:v>-32.043213279801364</c:v>
                </c:pt>
                <c:pt idx="399">
                  <c:v>-32.223790983995968</c:v>
                </c:pt>
                <c:pt idx="400">
                  <c:v>-32.406729458104422</c:v>
                </c:pt>
                <c:pt idx="401">
                  <c:v>-32.592081610253359</c:v>
                </c:pt>
                <c:pt idx="402">
                  <c:v>-32.779898274690055</c:v>
                </c:pt>
                <c:pt idx="403">
                  <c:v>-32.970228219087218</c:v>
                </c:pt>
                <c:pt idx="404">
                  <c:v>-33.163118154789721</c:v>
                </c:pt>
                <c:pt idx="405">
                  <c:v>-33.358612749008657</c:v>
                </c:pt>
                <c:pt idx="406">
                  <c:v>-33.556754638005664</c:v>
                </c:pt>
                <c:pt idx="407">
                  <c:v>-33.757584440359537</c:v>
                </c:pt>
                <c:pt idx="408">
                  <c:v>-33.961140769473928</c:v>
                </c:pt>
                <c:pt idx="409">
                  <c:v>-34.167460244562335</c:v>
                </c:pt>
                <c:pt idx="410">
                  <c:v>-34.376577499439314</c:v>
                </c:pt>
                <c:pt idx="411">
                  <c:v>-34.588525188545908</c:v>
                </c:pt>
                <c:pt idx="412">
                  <c:v>-34.803333989748644</c:v>
                </c:pt>
                <c:pt idx="413">
                  <c:v>-35.021032603563249</c:v>
                </c:pt>
                <c:pt idx="414">
                  <c:v>-35.241647748578494</c:v>
                </c:pt>
                <c:pt idx="415">
                  <c:v>-35.465204152977115</c:v>
                </c:pt>
                <c:pt idx="416">
                  <c:v>-35.69172454216789</c:v>
                </c:pt>
                <c:pt idx="417">
                  <c:v>-35.921229622670893</c:v>
                </c:pt>
                <c:pt idx="418">
                  <c:v>-36.153738062508133</c:v>
                </c:pt>
                <c:pt idx="419">
                  <c:v>-36.389266468463376</c:v>
                </c:pt>
                <c:pt idx="420">
                  <c:v>-36.627829360676877</c:v>
                </c:pt>
                <c:pt idx="421">
                  <c:v>-36.869439145130045</c:v>
                </c:pt>
                <c:pt idx="422">
                  <c:v>-37.114106084658523</c:v>
                </c:pt>
                <c:pt idx="423">
                  <c:v>-37.361838269195701</c:v>
                </c:pt>
                <c:pt idx="424">
                  <c:v>-37.612641586002155</c:v>
                </c:pt>
                <c:pt idx="425">
                  <c:v>-37.866519690676789</c:v>
                </c:pt>
                <c:pt idx="426">
                  <c:v>-38.12347397976508</c:v>
                </c:pt>
                <c:pt idx="427">
                  <c:v>-38.383503565787855</c:v>
                </c:pt>
                <c:pt idx="428">
                  <c:v>-38.646605255504937</c:v>
                </c:pt>
                <c:pt idx="429">
                  <c:v>-38.912773532203452</c:v>
                </c:pt>
                <c:pt idx="430">
                  <c:v>-39.182000542762609</c:v>
                </c:pt>
                <c:pt idx="431">
                  <c:v>-39.454276090193645</c:v>
                </c:pt>
                <c:pt idx="432">
                  <c:v>-39.729587632285082</c:v>
                </c:pt>
                <c:pt idx="433">
                  <c:v>-40.007920286917013</c:v>
                </c:pt>
                <c:pt idx="434">
                  <c:v>-40.289256844510064</c:v>
                </c:pt>
                <c:pt idx="435">
                  <c:v>-40.5735777879908</c:v>
                </c:pt>
                <c:pt idx="436">
                  <c:v>-40.860861320555522</c:v>
                </c:pt>
                <c:pt idx="437">
                  <c:v>-41.151083401405558</c:v>
                </c:pt>
                <c:pt idx="438">
                  <c:v>-41.444217789532715</c:v>
                </c:pt>
                <c:pt idx="439">
                  <c:v>-41.740236095522867</c:v>
                </c:pt>
                <c:pt idx="440">
                  <c:v>-42.039107841245695</c:v>
                </c:pt>
                <c:pt idx="441">
                  <c:v>-42.340800527204379</c:v>
                </c:pt>
                <c:pt idx="442">
                  <c:v>-42.645279707221448</c:v>
                </c:pt>
                <c:pt idx="443">
                  <c:v>-42.952509070058142</c:v>
                </c:pt>
                <c:pt idx="444">
                  <c:v>-43.262450527481811</c:v>
                </c:pt>
                <c:pt idx="445">
                  <c:v>-43.575064308237479</c:v>
                </c:pt>
                <c:pt idx="446">
                  <c:v>-43.890309057308905</c:v>
                </c:pt>
                <c:pt idx="447">
                  <c:v>-44.208141939823697</c:v>
                </c:pt>
                <c:pt idx="448">
                  <c:v>-44.52851874890812</c:v>
                </c:pt>
                <c:pt idx="449">
                  <c:v>-44.85139401677948</c:v>
                </c:pt>
                <c:pt idx="450">
                  <c:v>-45.176721128346529</c:v>
                </c:pt>
                <c:pt idx="451">
                  <c:v>-45.504452436585879</c:v>
                </c:pt>
                <c:pt idx="452">
                  <c:v>-45.834539378967222</c:v>
                </c:pt>
                <c:pt idx="453">
                  <c:v>-46.166932594215865</c:v>
                </c:pt>
                <c:pt idx="454">
                  <c:v>-46.501582038721907</c:v>
                </c:pt>
                <c:pt idx="455">
                  <c:v>-46.838437101940897</c:v>
                </c:pt>
                <c:pt idx="456">
                  <c:v>-47.177446720158578</c:v>
                </c:pt>
                <c:pt idx="457">
                  <c:v>-47.518559488046918</c:v>
                </c:pt>
                <c:pt idx="458">
                  <c:v>-47.861723767470501</c:v>
                </c:pt>
                <c:pt idx="459">
                  <c:v>-48.206887793065746</c:v>
                </c:pt>
                <c:pt idx="460">
                  <c:v>-48.553999774157234</c:v>
                </c:pt>
                <c:pt idx="461">
                  <c:v>-48.903007992633135</c:v>
                </c:pt>
                <c:pt idx="462">
                  <c:v>-49.253860896456118</c:v>
                </c:pt>
                <c:pt idx="463">
                  <c:v>-49.606507188536639</c:v>
                </c:pt>
                <c:pt idx="464">
                  <c:v>-49.960895910751034</c:v>
                </c:pt>
                <c:pt idx="465">
                  <c:v>-50.316976522933707</c:v>
                </c:pt>
                <c:pt idx="466">
                  <c:v>-50.674698976727399</c:v>
                </c:pt>
                <c:pt idx="467">
                  <c:v>-51.034013784213059</c:v>
                </c:pt>
                <c:pt idx="468">
                  <c:v>-51.39487208129303</c:v>
                </c:pt>
                <c:pt idx="469">
                  <c:v>-51.75722568583231</c:v>
                </c:pt>
                <c:pt idx="470">
                  <c:v>-52.121027150605876</c:v>
                </c:pt>
                <c:pt idx="471">
                  <c:v>-52.486229811128347</c:v>
                </c:pt>
                <c:pt idx="472">
                  <c:v>-52.85278782847292</c:v>
                </c:pt>
                <c:pt idx="473">
                  <c:v>-53.220656227212977</c:v>
                </c:pt>
                <c:pt idx="474">
                  <c:v>-53.589790928638841</c:v>
                </c:pt>
                <c:pt idx="475">
                  <c:v>-53.96014877942558</c:v>
                </c:pt>
                <c:pt idx="476">
                  <c:v>-54.331687575937352</c:v>
                </c:pt>
                <c:pt idx="477">
                  <c:v>-54.704366084371287</c:v>
                </c:pt>
                <c:pt idx="478">
                  <c:v>-55.078144056949213</c:v>
                </c:pt>
                <c:pt idx="479">
                  <c:v>-55.452982244375669</c:v>
                </c:pt>
                <c:pt idx="480">
                  <c:v>-55.828842404782257</c:v>
                </c:pt>
                <c:pt idx="481">
                  <c:v>-56.205687309381076</c:v>
                </c:pt>
                <c:pt idx="482">
                  <c:v>-56.583480745052782</c:v>
                </c:pt>
                <c:pt idx="483">
                  <c:v>-56.962187514087105</c:v>
                </c:pt>
                <c:pt idx="484">
                  <c:v>-57.341773431297554</c:v>
                </c:pt>
                <c:pt idx="485">
                  <c:v>-57.722205318721642</c:v>
                </c:pt>
                <c:pt idx="486">
                  <c:v>-58.103450998115136</c:v>
                </c:pt>
                <c:pt idx="487">
                  <c:v>-58.485479281442672</c:v>
                </c:pt>
                <c:pt idx="488">
                  <c:v>-58.868259959555694</c:v>
                </c:pt>
                <c:pt idx="489">
                  <c:v>-59.251763789246404</c:v>
                </c:pt>
                <c:pt idx="490">
                  <c:v>-59.635962478852484</c:v>
                </c:pt>
                <c:pt idx="491">
                  <c:v>-60.02082867258251</c:v>
                </c:pt>
                <c:pt idx="492">
                  <c:v>-60.406335933718864</c:v>
                </c:pt>
                <c:pt idx="493">
                  <c:v>-60.792458726850612</c:v>
                </c:pt>
                <c:pt idx="494">
                  <c:v>-61.179172399275103</c:v>
                </c:pt>
                <c:pt idx="495">
                  <c:v>-61.566453161700437</c:v>
                </c:pt>
                <c:pt idx="496">
                  <c:v>-61.95427806837084</c:v>
                </c:pt>
                <c:pt idx="497">
                  <c:v>-62.342624996728688</c:v>
                </c:pt>
                <c:pt idx="498">
                  <c:v>-62.731472626718826</c:v>
                </c:pt>
                <c:pt idx="499">
                  <c:v>-63.120800419830623</c:v>
                </c:pt>
                <c:pt idx="500">
                  <c:v>-63.510588597966731</c:v>
                </c:pt>
                <c:pt idx="501">
                  <c:v>-63.900818122220436</c:v>
                </c:pt>
                <c:pt idx="502">
                  <c:v>-64.291470671633874</c:v>
                </c:pt>
                <c:pt idx="503">
                  <c:v>-64.682528622005179</c:v>
                </c:pt>
                <c:pt idx="504">
                  <c:v>-65.073975024803147</c:v>
                </c:pt>
                <c:pt idx="505">
                  <c:v>-65.465793586245354</c:v>
                </c:pt>
                <c:pt idx="506">
                  <c:v>-65.857968646584595</c:v>
                </c:pt>
                <c:pt idx="507">
                  <c:v>-66.250485159651049</c:v>
                </c:pt>
                <c:pt idx="508">
                  <c:v>-66.643328672682372</c:v>
                </c:pt>
                <c:pt idx="509">
                  <c:v>-67.036485306479094</c:v>
                </c:pt>
                <c:pt idx="510">
                  <c:v>-67.429941735910063</c:v>
                </c:pt>
                <c:pt idx="511">
                  <c:v>-67.82368517079523</c:v>
                </c:pt>
                <c:pt idx="512">
                  <c:v>-68.217703337184233</c:v>
                </c:pt>
                <c:pt idx="513">
                  <c:v>-68.611984459049339</c:v>
                </c:pt>
                <c:pt idx="514">
                  <c:v>-69.006517240405373</c:v>
                </c:pt>
                <c:pt idx="515">
                  <c:v>-69.401290847869063</c:v>
                </c:pt>
                <c:pt idx="516">
                  <c:v>-69.796294893665333</c:v>
                </c:pt>
                <c:pt idx="517">
                  <c:v>-70.1915194190872</c:v>
                </c:pt>
                <c:pt idx="518">
                  <c:v>-70.586954878412143</c:v>
                </c:pt>
                <c:pt idx="519">
                  <c:v>-70.982592123278778</c:v>
                </c:pt>
                <c:pt idx="520">
                  <c:v>-71.378422387522775</c:v>
                </c:pt>
                <c:pt idx="521">
                  <c:v>-71.774437272469399</c:v>
                </c:pt>
                <c:pt idx="522">
                  <c:v>-72.17062873268398</c:v>
                </c:pt>
                <c:pt idx="523">
                  <c:v>-72.566989062171132</c:v>
                </c:pt>
                <c:pt idx="524">
                  <c:v>-72.963510881023197</c:v>
                </c:pt>
                <c:pt idx="525">
                  <c:v>-73.360187122506275</c:v>
                </c:pt>
                <c:pt idx="526">
                  <c:v>-73.757011020582368</c:v>
                </c:pt>
                <c:pt idx="527">
                  <c:v>-74.153976097855903</c:v>
                </c:pt>
                <c:pt idx="528">
                  <c:v>-74.551076153939405</c:v>
                </c:pt>
                <c:pt idx="529">
                  <c:v>-74.948305254228359</c:v>
                </c:pt>
                <c:pt idx="530">
                  <c:v>-75.345657719075518</c:v>
                </c:pt>
                <c:pt idx="531">
                  <c:v>-75.743128113359091</c:v>
                </c:pt>
                <c:pt idx="532">
                  <c:v>-76.140711236428032</c:v>
                </c:pt>
                <c:pt idx="533">
                  <c:v>-76.538402112422958</c:v>
                </c:pt>
                <c:pt idx="534">
                  <c:v>-76.936195980956285</c:v>
                </c:pt>
                <c:pt idx="535">
                  <c:v>-77.334088288144983</c:v>
                </c:pt>
                <c:pt idx="536">
                  <c:v>-77.73207467798386</c:v>
                </c:pt>
                <c:pt idx="537">
                  <c:v>-78.130150984050772</c:v>
                </c:pt>
                <c:pt idx="538">
                  <c:v>-78.528313221532642</c:v>
                </c:pt>
                <c:pt idx="539">
                  <c:v>-78.926557579562854</c:v>
                </c:pt>
                <c:pt idx="540">
                  <c:v>-79.324880413858892</c:v>
                </c:pt>
                <c:pt idx="541">
                  <c:v>-79.723278239652274</c:v>
                </c:pt>
              </c:numCache>
            </c:numRef>
          </c:yVal>
          <c:smooth val="1"/>
          <c:extLst>
            <c:ext xmlns:c16="http://schemas.microsoft.com/office/drawing/2014/chart" uri="{C3380CC4-5D6E-409C-BE32-E72D297353CC}">
              <c16:uniqueId val="{00000000-DB7B-4578-A2FD-34A838A3EC7C}"/>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DB7B-4578-A2FD-34A838A3EC7C}"/>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B7B-4578-A2FD-34A838A3EC7C}"/>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Loop_Modeling!$O$11</c:f>
              <c:numCache>
                <c:formatCode>0</c:formatCode>
                <c:ptCount val="1"/>
                <c:pt idx="0">
                  <c:v>184.04098873899173</c:v>
                </c:pt>
              </c:numCache>
            </c:numRef>
          </c:xVal>
          <c:yVal>
            <c:numRef>
              <c:f>Loop_Modeling!$BO$11</c:f>
              <c:numCache>
                <c:formatCode>General</c:formatCode>
                <c:ptCount val="1"/>
                <c:pt idx="0">
                  <c:v>18.100410072621177</c:v>
                </c:pt>
              </c:numCache>
            </c:numRef>
          </c:yVal>
          <c:smooth val="0"/>
          <c:extLst>
            <c:ext xmlns:c16="http://schemas.microsoft.com/office/drawing/2014/chart" uri="{C3380CC4-5D6E-409C-BE32-E72D297353CC}">
              <c16:uniqueId val="{00000002-DB7B-4578-A2FD-34A838A3EC7C}"/>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B7B-4578-A2FD-34A838A3EC7C}"/>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Loop_Modeling!$O$9</c:f>
              <c:numCache>
                <c:formatCode>0</c:formatCode>
                <c:ptCount val="1"/>
                <c:pt idx="0">
                  <c:v>7891.9806491848949</c:v>
                </c:pt>
              </c:numCache>
            </c:numRef>
          </c:xVal>
          <c:yVal>
            <c:numRef>
              <c:f>Loop_Modeling!$BO$9</c:f>
              <c:numCache>
                <c:formatCode>General</c:formatCode>
                <c:ptCount val="1"/>
                <c:pt idx="0">
                  <c:v>-13.952813641779771</c:v>
                </c:pt>
              </c:numCache>
            </c:numRef>
          </c:yVal>
          <c:smooth val="1"/>
          <c:extLst>
            <c:ext xmlns:c16="http://schemas.microsoft.com/office/drawing/2014/chart" uri="{C3380CC4-5D6E-409C-BE32-E72D297353CC}">
              <c16:uniqueId val="{00000004-DB7B-4578-A2FD-34A838A3EC7C}"/>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DB7B-4578-A2FD-34A838A3EC7C}"/>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B7B-4578-A2FD-34A838A3EC7C}"/>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Loop_Modeling!$O$10</c:f>
              <c:numCache>
                <c:formatCode>0</c:formatCode>
                <c:ptCount val="1"/>
                <c:pt idx="0">
                  <c:v>176838.82565766151</c:v>
                </c:pt>
              </c:numCache>
            </c:numRef>
          </c:xVal>
          <c:yVal>
            <c:numRef>
              <c:f>Loop_Modeling!$BO$10</c:f>
              <c:numCache>
                <c:formatCode>General</c:formatCode>
                <c:ptCount val="1"/>
                <c:pt idx="0">
                  <c:v>-37.551605446848143</c:v>
                </c:pt>
              </c:numCache>
            </c:numRef>
          </c:yVal>
          <c:smooth val="1"/>
          <c:extLst>
            <c:ext xmlns:c16="http://schemas.microsoft.com/office/drawing/2014/chart" uri="{C3380CC4-5D6E-409C-BE32-E72D297353CC}">
              <c16:uniqueId val="{00000006-DB7B-4578-A2FD-34A838A3EC7C}"/>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B7B-4578-A2FD-34A838A3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Loop_Modeling!$O$12</c:f>
              <c:numCache>
                <c:formatCode>General</c:formatCode>
                <c:ptCount val="1"/>
                <c:pt idx="0">
                  <c:v>169.31376924669715</c:v>
                </c:pt>
              </c:numCache>
            </c:numRef>
          </c:xVal>
          <c:yVal>
            <c:numRef>
              <c:f>Loop_Modeling!$BO$12</c:f>
              <c:numCache>
                <c:formatCode>General</c:formatCode>
                <c:ptCount val="1"/>
                <c:pt idx="0">
                  <c:v>18.794648527105721</c:v>
                </c:pt>
              </c:numCache>
            </c:numRef>
          </c:yVal>
          <c:smooth val="1"/>
          <c:extLst>
            <c:ext xmlns:c16="http://schemas.microsoft.com/office/drawing/2014/chart" uri="{C3380CC4-5D6E-409C-BE32-E72D297353CC}">
              <c16:uniqueId val="{00000008-DB7B-4578-A2FD-34A838A3EC7C}"/>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B7B-4578-A2FD-34A838A3EC7C}"/>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Loop_Modeling!$O$13</c:f>
              <c:numCache>
                <c:formatCode>General</c:formatCode>
                <c:ptCount val="1"/>
                <c:pt idx="0">
                  <c:v>8127.0609238414627</c:v>
                </c:pt>
              </c:numCache>
            </c:numRef>
          </c:xVal>
          <c:yVal>
            <c:numRef>
              <c:f>Loop_Modeling!$BO$13</c:f>
              <c:numCache>
                <c:formatCode>General</c:formatCode>
                <c:ptCount val="1"/>
                <c:pt idx="0">
                  <c:v>-14.196935573329604</c:v>
                </c:pt>
              </c:numCache>
            </c:numRef>
          </c:yVal>
          <c:smooth val="1"/>
          <c:extLst>
            <c:ext xmlns:c16="http://schemas.microsoft.com/office/drawing/2014/chart" uri="{C3380CC4-5D6E-409C-BE32-E72D297353CC}">
              <c16:uniqueId val="{0000000A-DB7B-4578-A2FD-34A838A3EC7C}"/>
            </c:ext>
          </c:extLst>
        </c:ser>
        <c:dLbls>
          <c:showLegendKey val="0"/>
          <c:showVal val="0"/>
          <c:showCatName val="0"/>
          <c:showSerName val="0"/>
          <c:showPercent val="0"/>
          <c:showBubbleSize val="0"/>
        </c:dLbls>
        <c:axId val="357835904"/>
        <c:axId val="364477056"/>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Loop_Modeling!$BP$19:$BP$560</c:f>
              <c:numCache>
                <c:formatCode>General</c:formatCode>
                <c:ptCount val="542"/>
                <c:pt idx="0">
                  <c:v>90.134537970610864</c:v>
                </c:pt>
                <c:pt idx="1">
                  <c:v>90.137627064660009</c:v>
                </c:pt>
                <c:pt idx="2">
                  <c:v>90.140784931736206</c:v>
                </c:pt>
                <c:pt idx="3">
                  <c:v>90.144012948138453</c:v>
                </c:pt>
                <c:pt idx="4">
                  <c:v>90.14731250631587</c:v>
                </c:pt>
                <c:pt idx="5">
                  <c:v>90.150685014133515</c:v>
                </c:pt>
                <c:pt idx="6">
                  <c:v>90.154131894045705</c:v>
                </c:pt>
                <c:pt idx="7">
                  <c:v>90.157654582168291</c:v>
                </c:pt>
                <c:pt idx="8">
                  <c:v>90.161254527243329</c:v>
                </c:pt>
                <c:pt idx="9">
                  <c:v>90.1649331894873</c:v>
                </c:pt>
                <c:pt idx="10">
                  <c:v>90.168692039314266</c:v>
                </c:pt>
                <c:pt idx="11">
                  <c:v>90.172532555924988</c:v>
                </c:pt>
                <c:pt idx="12">
                  <c:v>90.176456225751494</c:v>
                </c:pt>
                <c:pt idx="13">
                  <c:v>90.180464540746954</c:v>
                </c:pt>
                <c:pt idx="14">
                  <c:v>90.184558996509892</c:v>
                </c:pt>
                <c:pt idx="15">
                  <c:v>90.188741090229783</c:v>
                </c:pt>
                <c:pt idx="16">
                  <c:v>90.193012318443024</c:v>
                </c:pt>
                <c:pt idx="17">
                  <c:v>90.197374174584183</c:v>
                </c:pt>
                <c:pt idx="18">
                  <c:v>90.201828146319158</c:v>
                </c:pt>
                <c:pt idx="19">
                  <c:v>90.206375712645297</c:v>
                </c:pt>
                <c:pt idx="20">
                  <c:v>90.211018340741816</c:v>
                </c:pt>
                <c:pt idx="21">
                  <c:v>90.215757482554324</c:v>
                </c:pt>
                <c:pt idx="22">
                  <c:v>90.220594571094523</c:v>
                </c:pt>
                <c:pt idx="23">
                  <c:v>90.225531016437913</c:v>
                </c:pt>
                <c:pt idx="24">
                  <c:v>90.230568201397247</c:v>
                </c:pt>
                <c:pt idx="25">
                  <c:v>90.235707476853023</c:v>
                </c:pt>
                <c:pt idx="26">
                  <c:v>90.240950156716664</c:v>
                </c:pt>
                <c:pt idx="27">
                  <c:v>90.24629751250481</c:v>
                </c:pt>
                <c:pt idx="28">
                  <c:v>90.251750767499487</c:v>
                </c:pt>
                <c:pt idx="29">
                  <c:v>90.257311090467894</c:v>
                </c:pt>
                <c:pt idx="30">
                  <c:v>90.262979588915726</c:v>
                </c:pt>
                <c:pt idx="31">
                  <c:v>90.268757301845099</c:v>
                </c:pt>
                <c:pt idx="32">
                  <c:v>90.27464519198783</c:v>
                </c:pt>
                <c:pt idx="33">
                  <c:v>90.280644137483378</c:v>
                </c:pt>
                <c:pt idx="34">
                  <c:v>90.286754922968129</c:v>
                </c:pt>
                <c:pt idx="35">
                  <c:v>90.292978230045208</c:v>
                </c:pt>
                <c:pt idx="36">
                  <c:v>90.299314627096521</c:v>
                </c:pt>
                <c:pt idx="37">
                  <c:v>90.305764558403808</c:v>
                </c:pt>
                <c:pt idx="38">
                  <c:v>90.312328332541327</c:v>
                </c:pt>
                <c:pt idx="39">
                  <c:v>90.319006109999791</c:v>
                </c:pt>
                <c:pt idx="40">
                  <c:v>90.325797890004765</c:v>
                </c:pt>
                <c:pt idx="41">
                  <c:v>90.332703496487994</c:v>
                </c:pt>
                <c:pt idx="42">
                  <c:v>90.339722563169872</c:v>
                </c:pt>
                <c:pt idx="43">
                  <c:v>90.346854517712558</c:v>
                </c:pt>
                <c:pt idx="44">
                  <c:v>90.354098564900923</c:v>
                </c:pt>
                <c:pt idx="45">
                  <c:v>90.361453668806988</c:v>
                </c:pt>
                <c:pt idx="46">
                  <c:v>90.36891853389875</c:v>
                </c:pt>
                <c:pt idx="47">
                  <c:v>90.376491585046026</c:v>
                </c:pt>
                <c:pt idx="48">
                  <c:v>90.384170946385296</c:v>
                </c:pt>
                <c:pt idx="49">
                  <c:v>90.391954418999887</c:v>
                </c:pt>
                <c:pt idx="50">
                  <c:v>90.399839457377112</c:v>
                </c:pt>
                <c:pt idx="51">
                  <c:v>90.407823144601196</c:v>
                </c:pt>
                <c:pt idx="52">
                  <c:v>90.415902166251172</c:v>
                </c:pt>
                <c:pt idx="53">
                  <c:v>90.42407278296406</c:v>
                </c:pt>
                <c:pt idx="54">
                  <c:v>90.432330801639864</c:v>
                </c:pt>
                <c:pt idx="55">
                  <c:v>90.440671545257956</c:v>
                </c:pt>
                <c:pt idx="56">
                  <c:v>90.44908982128679</c:v>
                </c:pt>
                <c:pt idx="57">
                  <c:v>90.457579888671773</c:v>
                </c:pt>
                <c:pt idx="58">
                  <c:v>90.466135423393169</c:v>
                </c:pt>
                <c:pt idx="59">
                  <c:v>90.47474948259223</c:v>
                </c:pt>
                <c:pt idx="60">
                  <c:v>90.483414467276788</c:v>
                </c:pt>
                <c:pt idx="61">
                  <c:v>90.492122083621595</c:v>
                </c:pt>
                <c:pt idx="62">
                  <c:v>90.500863302895468</c:v>
                </c:pt>
                <c:pt idx="63">
                  <c:v>90.509628320056265</c:v>
                </c:pt>
                <c:pt idx="64">
                  <c:v>90.518406511068932</c:v>
                </c:pt>
                <c:pt idx="65">
                  <c:v>90.527186389019334</c:v>
                </c:pt>
                <c:pt idx="66">
                  <c:v>90.535955559111684</c:v>
                </c:pt>
                <c:pt idx="67">
                  <c:v>90.544700672653846</c:v>
                </c:pt>
                <c:pt idx="68">
                  <c:v>90.553407380161147</c:v>
                </c:pt>
                <c:pt idx="69">
                  <c:v>90.56206028372101</c:v>
                </c:pt>
                <c:pt idx="70">
                  <c:v>90.570642888793884</c:v>
                </c:pt>
                <c:pt idx="71">
                  <c:v>90.579137555643371</c:v>
                </c:pt>
                <c:pt idx="72">
                  <c:v>90.587525450617036</c:v>
                </c:pt>
                <c:pt idx="73">
                  <c:v>90.595786497526518</c:v>
                </c:pt>
                <c:pt idx="74">
                  <c:v>90.603899329404172</c:v>
                </c:pt>
                <c:pt idx="75">
                  <c:v>90.611841240943761</c:v>
                </c:pt>
                <c:pt idx="76">
                  <c:v>90.619588141958388</c:v>
                </c:pt>
                <c:pt idx="77">
                  <c:v>90.627114512229525</c:v>
                </c:pt>
                <c:pt idx="78">
                  <c:v>90.634393358140173</c:v>
                </c:pt>
                <c:pt idx="79">
                  <c:v>90.641396171523283</c:v>
                </c:pt>
                <c:pt idx="80">
                  <c:v>90.648092891189407</c:v>
                </c:pt>
                <c:pt idx="81">
                  <c:v>90.654451867612977</c:v>
                </c:pt>
                <c:pt idx="82">
                  <c:v>90.660439831304373</c:v>
                </c:pt>
                <c:pt idx="83">
                  <c:v>90.666021865398008</c:v>
                </c:pt>
                <c:pt idx="84">
                  <c:v>90.671161383025222</c:v>
                </c:pt>
                <c:pt idx="85">
                  <c:v>90.675820110049884</c:v>
                </c:pt>
                <c:pt idx="86">
                  <c:v>90.67995807375911</c:v>
                </c:pt>
                <c:pt idx="87">
                  <c:v>90.683533598110415</c:v>
                </c:pt>
                <c:pt idx="88">
                  <c:v>90.686503306138832</c:v>
                </c:pt>
                <c:pt idx="89">
                  <c:v>90.688822130114744</c:v>
                </c:pt>
                <c:pt idx="90">
                  <c:v>90.69044333004193</c:v>
                </c:pt>
                <c:pt idx="91">
                  <c:v>90.691318521045716</c:v>
                </c:pt>
                <c:pt idx="92">
                  <c:v>90.69139771018358</c:v>
                </c:pt>
                <c:pt idx="93">
                  <c:v>90.69062934315555</c:v>
                </c:pt>
                <c:pt idx="94">
                  <c:v>90.688960361343902</c:v>
                </c:pt>
                <c:pt idx="95">
                  <c:v>90.686336269542082</c:v>
                </c:pt>
                <c:pt idx="96">
                  <c:v>90.682701214657754</c:v>
                </c:pt>
                <c:pt idx="97">
                  <c:v>90.677998075580931</c:v>
                </c:pt>
                <c:pt idx="98">
                  <c:v>90.672168564308151</c:v>
                </c:pt>
                <c:pt idx="99">
                  <c:v>90.665153338305174</c:v>
                </c:pt>
                <c:pt idx="100">
                  <c:v>90.656892123955757</c:v>
                </c:pt>
                <c:pt idx="101">
                  <c:v>90.64732385082263</c:v>
                </c:pt>
                <c:pt idx="102">
                  <c:v>90.636386796296421</c:v>
                </c:pt>
                <c:pt idx="103">
                  <c:v>90.624018740063832</c:v>
                </c:pt>
                <c:pt idx="104">
                  <c:v>90.610157127669027</c:v>
                </c:pt>
                <c:pt idx="105">
                  <c:v>90.594739242295105</c:v>
                </c:pt>
                <c:pt idx="106">
                  <c:v>90.577702383723533</c:v>
                </c:pt>
                <c:pt idx="107">
                  <c:v>90.558984053289919</c:v>
                </c:pt>
                <c:pt idx="108">
                  <c:v>90.538522143500145</c:v>
                </c:pt>
                <c:pt idx="109">
                  <c:v>90.51625513083728</c:v>
                </c:pt>
                <c:pt idx="110">
                  <c:v>90.492122270161843</c:v>
                </c:pt>
                <c:pt idx="111">
                  <c:v>90.466063789005403</c:v>
                </c:pt>
                <c:pt idx="112">
                  <c:v>90.438021079957821</c:v>
                </c:pt>
                <c:pt idx="113">
                  <c:v>90.40793688929007</c:v>
                </c:pt>
                <c:pt idx="114">
                  <c:v>90.375755499904869</c:v>
                </c:pt>
                <c:pt idx="115">
                  <c:v>90.34142290669007</c:v>
                </c:pt>
                <c:pt idx="116">
                  <c:v>90.30488698236681</c:v>
                </c:pt>
                <c:pt idx="117">
                  <c:v>90.266097631956427</c:v>
                </c:pt>
                <c:pt idx="118">
                  <c:v>90.225006934068332</c:v>
                </c:pt>
                <c:pt idx="119">
                  <c:v>90.181569267311502</c:v>
                </c:pt>
                <c:pt idx="120">
                  <c:v>90.135741420254021</c:v>
                </c:pt>
                <c:pt idx="121">
                  <c:v>90.087482683528336</c:v>
                </c:pt>
                <c:pt idx="122">
                  <c:v>90.036754922846114</c:v>
                </c:pt>
                <c:pt idx="123">
                  <c:v>89.983522631906055</c:v>
                </c:pt>
                <c:pt idx="124">
                  <c:v>89.927752964392752</c:v>
                </c:pt>
                <c:pt idx="125">
                  <c:v>89.869415744515464</c:v>
                </c:pt>
                <c:pt idx="126">
                  <c:v>89.808483455767856</c:v>
                </c:pt>
                <c:pt idx="127">
                  <c:v>89.744931207871929</c:v>
                </c:pt>
                <c:pt idx="128">
                  <c:v>89.678736682092932</c:v>
                </c:pt>
                <c:pt idx="129">
                  <c:v>89.609880055405853</c:v>
                </c:pt>
                <c:pt idx="130">
                  <c:v>89.538343904190967</c:v>
                </c:pt>
                <c:pt idx="131">
                  <c:v>89.464113088409107</c:v>
                </c:pt>
                <c:pt idx="132">
                  <c:v>89.387174617397733</c:v>
                </c:pt>
                <c:pt idx="133">
                  <c:v>89.307517498618807</c:v>
                </c:pt>
                <c:pt idx="134">
                  <c:v>89.225132570871949</c:v>
                </c:pt>
                <c:pt idx="135">
                  <c:v>89.140012323616006</c:v>
                </c:pt>
                <c:pt idx="136">
                  <c:v>89.052150704151089</c:v>
                </c:pt>
                <c:pt idx="137">
                  <c:v>88.961542914509039</c:v>
                </c:pt>
                <c:pt idx="138">
                  <c:v>88.868185199937216</c:v>
                </c:pt>
                <c:pt idx="139">
                  <c:v>88.772074630892106</c:v>
                </c:pt>
                <c:pt idx="140">
                  <c:v>88.67320888044982</c:v>
                </c:pt>
                <c:pt idx="141">
                  <c:v>88.571585999000447</c:v>
                </c:pt>
                <c:pt idx="142">
                  <c:v>88.467204188050431</c:v>
                </c:pt>
                <c:pt idx="143">
                  <c:v>88.360061574851102</c:v>
                </c:pt>
                <c:pt idx="144">
                  <c:v>88.250155989494232</c:v>
                </c:pt>
                <c:pt idx="145">
                  <c:v>88.137484745973822</c:v>
                </c:pt>
                <c:pt idx="146">
                  <c:v>88.022044428602854</c:v>
                </c:pt>
                <c:pt idx="147">
                  <c:v>87.903830685010405</c:v>
                </c:pt>
                <c:pt idx="148">
                  <c:v>87.782838026808776</c:v>
                </c:pt>
                <c:pt idx="149">
                  <c:v>87.659059638863042</c:v>
                </c:pt>
                <c:pt idx="150">
                  <c:v>87.532487197929143</c:v>
                </c:pt>
                <c:pt idx="151">
                  <c:v>87.403110701294821</c:v>
                </c:pt>
                <c:pt idx="152">
                  <c:v>87.270918305883981</c:v>
                </c:pt>
                <c:pt idx="153">
                  <c:v>87.135896178159868</c:v>
                </c:pt>
                <c:pt idx="154">
                  <c:v>86.998028355015819</c:v>
                </c:pt>
                <c:pt idx="155">
                  <c:v>86.857296615718823</c:v>
                </c:pt>
                <c:pt idx="156">
                  <c:v>86.713680364859059</c:v>
                </c:pt>
                <c:pt idx="157">
                  <c:v>86.567156526145197</c:v>
                </c:pt>
                <c:pt idx="158">
                  <c:v>86.417699446803297</c:v>
                </c:pt>
                <c:pt idx="159">
                  <c:v>86.265280812244924</c:v>
                </c:pt>
                <c:pt idx="160">
                  <c:v>86.109869570608254</c:v>
                </c:pt>
                <c:pt idx="161">
                  <c:v>85.951431866719432</c:v>
                </c:pt>
                <c:pt idx="162">
                  <c:v>85.789930984969047</c:v>
                </c:pt>
                <c:pt idx="163">
                  <c:v>85.625327300571456</c:v>
                </c:pt>
                <c:pt idx="164">
                  <c:v>85.457578238644388</c:v>
                </c:pt>
                <c:pt idx="165">
                  <c:v>85.286638240535126</c:v>
                </c:pt>
                <c:pt idx="166">
                  <c:v>85.112458736808762</c:v>
                </c:pt>
                <c:pt idx="167">
                  <c:v>84.934988126318586</c:v>
                </c:pt>
                <c:pt idx="168">
                  <c:v>84.754171760786889</c:v>
                </c:pt>
                <c:pt idx="169">
                  <c:v>84.569951934334071</c:v>
                </c:pt>
                <c:pt idx="170">
                  <c:v>84.38226787741857</c:v>
                </c:pt>
                <c:pt idx="171">
                  <c:v>84.191055754671197</c:v>
                </c:pt>
                <c:pt idx="172">
                  <c:v>83.996248666132686</c:v>
                </c:pt>
                <c:pt idx="173">
                  <c:v>83.797776651439648</c:v>
                </c:pt>
                <c:pt idx="174">
                  <c:v>83.595566696526291</c:v>
                </c:pt>
                <c:pt idx="175">
                  <c:v>83.389542742456172</c:v>
                </c:pt>
                <c:pt idx="176">
                  <c:v>83.179625696020182</c:v>
                </c:pt>
                <c:pt idx="177">
                  <c:v>82.965733441783456</c:v>
                </c:pt>
                <c:pt idx="178">
                  <c:v>82.747780855293485</c:v>
                </c:pt>
                <c:pt idx="179">
                  <c:v>82.525679817199702</c:v>
                </c:pt>
                <c:pt idx="180">
                  <c:v>82.299339228071588</c:v>
                </c:pt>
                <c:pt idx="181">
                  <c:v>82.068665023736244</c:v>
                </c:pt>
                <c:pt idx="182">
                  <c:v>81.833560190989232</c:v>
                </c:pt>
                <c:pt idx="183">
                  <c:v>81.593924783571026</c:v>
                </c:pt>
                <c:pt idx="184">
                  <c:v>81.349655938326038</c:v>
                </c:pt>
                <c:pt idx="185">
                  <c:v>81.100647891501808</c:v>
                </c:pt>
                <c:pt idx="186">
                  <c:v>80.846791995167578</c:v>
                </c:pt>
                <c:pt idx="187">
                  <c:v>80.587976733768116</c:v>
                </c:pt>
                <c:pt idx="188">
                  <c:v>80.324087740850615</c:v>
                </c:pt>
                <c:pt idx="189">
                  <c:v>80.055007816036223</c:v>
                </c:pt>
                <c:pt idx="190">
                  <c:v>79.780616942327597</c:v>
                </c:pt>
                <c:pt idx="191">
                  <c:v>79.500792303873965</c:v>
                </c:pt>
                <c:pt idx="192">
                  <c:v>79.215408304339519</c:v>
                </c:pt>
                <c:pt idx="193">
                  <c:v>78.924336586041193</c:v>
                </c:pt>
                <c:pt idx="194">
                  <c:v>78.627446050049102</c:v>
                </c:pt>
                <c:pt idx="195">
                  <c:v>78.324602877466589</c:v>
                </c:pt>
                <c:pt idx="196">
                  <c:v>78.015670552121392</c:v>
                </c:pt>
                <c:pt idx="197">
                  <c:v>77.700509884935158</c:v>
                </c:pt>
                <c:pt idx="198">
                  <c:v>77.378979040244133</c:v>
                </c:pt>
                <c:pt idx="199">
                  <c:v>77.050933564380273</c:v>
                </c:pt>
                <c:pt idx="200">
                  <c:v>76.716226416832072</c:v>
                </c:pt>
                <c:pt idx="201">
                  <c:v>76.374708004334636</c:v>
                </c:pt>
                <c:pt idx="202">
                  <c:v>76.026226218252077</c:v>
                </c:pt>
                <c:pt idx="203">
                  <c:v>75.670626475644852</c:v>
                </c:pt>
                <c:pt idx="204">
                  <c:v>75.307751764429042</c:v>
                </c:pt>
                <c:pt idx="205">
                  <c:v>74.937442693060646</c:v>
                </c:pt>
                <c:pt idx="206">
                  <c:v>74.559537545200598</c:v>
                </c:pt>
                <c:pt idx="207">
                  <c:v>74.17387233983392</c:v>
                </c:pt>
                <c:pt idx="208">
                  <c:v>73.780280897341939</c:v>
                </c:pt>
                <c:pt idx="209">
                  <c:v>73.378594912050744</c:v>
                </c:pt>
                <c:pt idx="210">
                  <c:v>72.968644031794639</c:v>
                </c:pt>
                <c:pt idx="211">
                  <c:v>72.550255945062759</c:v>
                </c:pt>
                <c:pt idx="212">
                  <c:v>72.123256476315049</c:v>
                </c:pt>
                <c:pt idx="213">
                  <c:v>71.687469690077791</c:v>
                </c:pt>
                <c:pt idx="214">
                  <c:v>71.242718004448591</c:v>
                </c:pt>
                <c:pt idx="215">
                  <c:v>70.788822314662454</c:v>
                </c:pt>
                <c:pt idx="216">
                  <c:v>70.325602127390809</c:v>
                </c:pt>
                <c:pt idx="217">
                  <c:v>69.852875706466776</c:v>
                </c:pt>
                <c:pt idx="218">
                  <c:v>69.370460230741486</c:v>
                </c:pt>
                <c:pt idx="219">
                  <c:v>68.878171964800757</c:v>
                </c:pt>
                <c:pt idx="220">
                  <c:v>68.37582644327901</c:v>
                </c:pt>
                <c:pt idx="221">
                  <c:v>67.863238669523085</c:v>
                </c:pt>
                <c:pt idx="222">
                  <c:v>67.340223329369465</c:v>
                </c:pt>
                <c:pt idx="223">
                  <c:v>66.806595020796848</c:v>
                </c:pt>
                <c:pt idx="224">
                  <c:v>66.262168500232249</c:v>
                </c:pt>
                <c:pt idx="225">
                  <c:v>65.706758946271577</c:v>
                </c:pt>
                <c:pt idx="226">
                  <c:v>65.140182241582323</c:v>
                </c:pt>
                <c:pt idx="227">
                  <c:v>64.562255273736881</c:v>
                </c:pt>
                <c:pt idx="228">
                  <c:v>63.972796255711167</c:v>
                </c:pt>
                <c:pt idx="229">
                  <c:v>63.371625066752941</c:v>
                </c:pt>
                <c:pt idx="230">
                  <c:v>62.758563614302084</c:v>
                </c:pt>
                <c:pt idx="231">
                  <c:v>62.133436217592049</c:v>
                </c:pt>
                <c:pt idx="232">
                  <c:v>61.496070013525525</c:v>
                </c:pt>
                <c:pt idx="233">
                  <c:v>60.84629538534265</c:v>
                </c:pt>
                <c:pt idx="234">
                  <c:v>60.183946414546526</c:v>
                </c:pt>
                <c:pt idx="235">
                  <c:v>59.508861356451874</c:v>
                </c:pt>
                <c:pt idx="236">
                  <c:v>58.820883139640294</c:v>
                </c:pt>
                <c:pt idx="237">
                  <c:v>58.119859889492155</c:v>
                </c:pt>
                <c:pt idx="238">
                  <c:v>57.405645475838817</c:v>
                </c:pt>
                <c:pt idx="239">
                  <c:v>56.678100084651525</c:v>
                </c:pt>
                <c:pt idx="240">
                  <c:v>55.937090813518687</c:v>
                </c:pt>
                <c:pt idx="241">
                  <c:v>55.182492290499376</c:v>
                </c:pt>
                <c:pt idx="242">
                  <c:v>54.414187315754617</c:v>
                </c:pt>
                <c:pt idx="243">
                  <c:v>53.632067525152813</c:v>
                </c:pt>
                <c:pt idx="244">
                  <c:v>52.836034074822436</c:v>
                </c:pt>
                <c:pt idx="245">
                  <c:v>52.025998345391947</c:v>
                </c:pt>
                <c:pt idx="246">
                  <c:v>51.201882664397154</c:v>
                </c:pt>
                <c:pt idx="247">
                  <c:v>50.363621045068655</c:v>
                </c:pt>
                <c:pt idx="248">
                  <c:v>49.511159939418349</c:v>
                </c:pt>
                <c:pt idx="249">
                  <c:v>48.644459003253317</c:v>
                </c:pt>
                <c:pt idx="250">
                  <c:v>47.763491870419507</c:v>
                </c:pt>
                <c:pt idx="251">
                  <c:v>46.868246933263741</c:v>
                </c:pt>
                <c:pt idx="252">
                  <c:v>45.958728125964953</c:v>
                </c:pt>
                <c:pt idx="253">
                  <c:v>45.034955707044041</c:v>
                </c:pt>
                <c:pt idx="254">
                  <c:v>44.09696703703743</c:v>
                </c:pt>
                <c:pt idx="255">
                  <c:v>43.144817346960501</c:v>
                </c:pt>
                <c:pt idx="256">
                  <c:v>42.178580492882418</c:v>
                </c:pt>
                <c:pt idx="257">
                  <c:v>41.198349691586323</c:v>
                </c:pt>
                <c:pt idx="258">
                  <c:v>40.204238232016849</c:v>
                </c:pt>
                <c:pt idx="259">
                  <c:v>39.196380156915247</c:v>
                </c:pt>
                <c:pt idx="260">
                  <c:v>38.174930908800803</c:v>
                </c:pt>
                <c:pt idx="261">
                  <c:v>37.140067934243767</c:v>
                </c:pt>
                <c:pt idx="262">
                  <c:v>36.091991240197537</c:v>
                </c:pt>
                <c:pt idx="263">
                  <c:v>35.030923896031517</c:v>
                </c:pt>
                <c:pt idx="264">
                  <c:v>33.957112474839974</c:v>
                </c:pt>
                <c:pt idx="265">
                  <c:v>32.870827427589589</c:v>
                </c:pt>
                <c:pt idx="266">
                  <c:v>31.772363383726766</c:v>
                </c:pt>
                <c:pt idx="267">
                  <c:v>30.662039371994812</c:v>
                </c:pt>
                <c:pt idx="268">
                  <c:v>29.540198955426053</c:v>
                </c:pt>
                <c:pt idx="269">
                  <c:v>28.407210274753265</c:v>
                </c:pt>
                <c:pt idx="270">
                  <c:v>27.263465994868803</c:v>
                </c:pt>
                <c:pt idx="271">
                  <c:v>26.109383149415418</c:v>
                </c:pt>
                <c:pt idx="272">
                  <c:v>24.945402879136871</c:v>
                </c:pt>
                <c:pt idx="273">
                  <c:v>23.771990060255721</c:v>
                </c:pt>
                <c:pt idx="274">
                  <c:v>22.589632819849324</c:v>
                </c:pt>
                <c:pt idx="275">
                  <c:v>21.398841935992696</c:v>
                </c:pt>
                <c:pt idx="276">
                  <c:v>20.200150121295344</c:v>
                </c:pt>
                <c:pt idx="277">
                  <c:v>18.99411118938043</c:v>
                </c:pt>
                <c:pt idx="278">
                  <c:v>17.781299104830211</c:v>
                </c:pt>
                <c:pt idx="279">
                  <c:v>16.56230691814282</c:v>
                </c:pt>
                <c:pt idx="280">
                  <c:v>15.337745588278608</c:v>
                </c:pt>
                <c:pt idx="281">
                  <c:v>14.108242696436939</c:v>
                </c:pt>
                <c:pt idx="282">
                  <c:v>12.874441055752797</c:v>
                </c:pt>
                <c:pt idx="283">
                  <c:v>11.636997222633129</c:v>
                </c:pt>
                <c:pt idx="284">
                  <c:v>10.396579916458714</c:v>
                </c:pt>
                <c:pt idx="285">
                  <c:v>9.1538683553089939</c:v>
                </c:pt>
                <c:pt idx="286">
                  <c:v>7.9095505162552042</c:v>
                </c:pt>
                <c:pt idx="287">
                  <c:v>6.6643213295460759</c:v>
                </c:pt>
                <c:pt idx="288">
                  <c:v>5.4188808167180413</c:v>
                </c:pt>
                <c:pt idx="289">
                  <c:v>4.1739321832309955</c:v>
                </c:pt>
                <c:pt idx="290">
                  <c:v>2.9301798766952887</c:v>
                </c:pt>
                <c:pt idx="291">
                  <c:v>1.688327622091363</c:v>
                </c:pt>
                <c:pt idx="292">
                  <c:v>0.4490764455669195</c:v>
                </c:pt>
                <c:pt idx="293">
                  <c:v>-0.78687730154141822</c:v>
                </c:pt>
                <c:pt idx="294">
                  <c:v>-2.0188439069052033</c:v>
                </c:pt>
                <c:pt idx="295">
                  <c:v>-3.2461422382889649</c:v>
                </c:pt>
                <c:pt idx="296">
                  <c:v>-4.4681016505467905</c:v>
                </c:pt>
                <c:pt idx="297">
                  <c:v>-5.6840638480442216</c:v>
                </c:pt>
                <c:pt idx="298">
                  <c:v>-6.8933846926197413</c:v>
                </c:pt>
                <c:pt idx="299">
                  <c:v>-8.095435947898908</c:v>
                </c:pt>
                <c:pt idx="300">
                  <c:v>-9.2896069515891497</c:v>
                </c:pt>
                <c:pt idx="301">
                  <c:v>-10.475306208231116</c:v>
                </c:pt>
                <c:pt idx="302">
                  <c:v>-11.651962895844244</c:v>
                </c:pt>
                <c:pt idx="303">
                  <c:v>-12.81902828085285</c:v>
                </c:pt>
                <c:pt idx="304">
                  <c:v>-13.975977036698165</c:v>
                </c:pt>
                <c:pt idx="305">
                  <c:v>-15.122308462543149</c:v>
                </c:pt>
                <c:pt idx="306">
                  <c:v>-16.257547599482528</c:v>
                </c:pt>
                <c:pt idx="307">
                  <c:v>-17.381246242640497</c:v>
                </c:pt>
                <c:pt idx="308">
                  <c:v>-18.492983848486428</c:v>
                </c:pt>
                <c:pt idx="309">
                  <c:v>-19.592368337581082</c:v>
                </c:pt>
                <c:pt idx="310">
                  <c:v>-20.679036793786313</c:v>
                </c:pt>
                <c:pt idx="311">
                  <c:v>-21.752656061730857</c:v>
                </c:pt>
                <c:pt idx="312">
                  <c:v>-22.8129232449838</c:v>
                </c:pt>
                <c:pt idx="313">
                  <c:v>-23.859566107976494</c:v>
                </c:pt>
                <c:pt idx="314">
                  <c:v>-24.892343385197375</c:v>
                </c:pt>
                <c:pt idx="315">
                  <c:v>-25.91104500158453</c:v>
                </c:pt>
                <c:pt idx="316">
                  <c:v>-26.91549220834456</c:v>
                </c:pt>
                <c:pt idx="317">
                  <c:v>-27.905537638620267</c:v>
                </c:pt>
                <c:pt idx="318">
                  <c:v>-28.881065287569804</c:v>
                </c:pt>
                <c:pt idx="319">
                  <c:v>-29.841990421422651</c:v>
                </c:pt>
                <c:pt idx="320">
                  <c:v>-30.788259420051141</c:v>
                </c:pt>
                <c:pt idx="321">
                  <c:v>-31.719849557451056</c:v>
                </c:pt>
                <c:pt idx="322">
                  <c:v>-32.636768724339404</c:v>
                </c:pt>
                <c:pt idx="323">
                  <c:v>-33.539055096819176</c:v>
                </c:pt>
                <c:pt idx="324">
                  <c:v>-34.426776754756929</c:v>
                </c:pt>
                <c:pt idx="325">
                  <c:v>-35.300031253162999</c:v>
                </c:pt>
                <c:pt idx="326">
                  <c:v>-36.158945149488744</c:v>
                </c:pt>
                <c:pt idx="327">
                  <c:v>-37.003673489346568</c:v>
                </c:pt>
                <c:pt idx="328">
                  <c:v>-37.834399252734585</c:v>
                </c:pt>
                <c:pt idx="329">
                  <c:v>-38.651332762422477</c:v>
                </c:pt>
                <c:pt idx="330">
                  <c:v>-39.454711055730911</c:v>
                </c:pt>
                <c:pt idx="331">
                  <c:v>-40.244797220532249</c:v>
                </c:pt>
                <c:pt idx="332">
                  <c:v>-41.021879695897539</c:v>
                </c:pt>
                <c:pt idx="333">
                  <c:v>-41.786271537477745</c:v>
                </c:pt>
                <c:pt idx="334">
                  <c:v>-42.538309647350246</c:v>
                </c:pt>
                <c:pt idx="335">
                  <c:v>-43.278353967820472</c:v>
                </c:pt>
                <c:pt idx="336">
                  <c:v>-44.006786638401628</c:v>
                </c:pt>
                <c:pt idx="337">
                  <c:v>-44.724011115048313</c:v>
                </c:pt>
                <c:pt idx="338">
                  <c:v>-45.430451250585882</c:v>
                </c:pt>
                <c:pt idx="339">
                  <c:v>-46.126550335235812</c:v>
                </c:pt>
                <c:pt idx="340">
                  <c:v>-46.812770096141804</c:v>
                </c:pt>
                <c:pt idx="341">
                  <c:v>-47.489589654897046</c:v>
                </c:pt>
                <c:pt idx="342">
                  <c:v>-48.157504442203567</c:v>
                </c:pt>
                <c:pt idx="343">
                  <c:v>-48.817025069027835</c:v>
                </c:pt>
                <c:pt idx="344">
                  <c:v>-49.468676153892524</c:v>
                </c:pt>
                <c:pt idx="345">
                  <c:v>-50.112995106293567</c:v>
                </c:pt>
                <c:pt idx="346">
                  <c:v>-50.750530866628466</c:v>
                </c:pt>
                <c:pt idx="347">
                  <c:v>-51.381842603489552</c:v>
                </c:pt>
                <c:pt idx="348">
                  <c:v>-52.007498369677215</c:v>
                </c:pt>
                <c:pt idx="349">
                  <c:v>-52.628073718822918</c:v>
                </c:pt>
                <c:pt idx="350">
                  <c:v>-53.244150285099501</c:v>
                </c:pt>
                <c:pt idx="351">
                  <c:v>-53.856314329080803</c:v>
                </c:pt>
                <c:pt idx="352">
                  <c:v>-54.465155253421123</c:v>
                </c:pt>
                <c:pt idx="353">
                  <c:v>-55.071264092633228</c:v>
                </c:pt>
                <c:pt idx="354">
                  <c:v>-55.675231981837591</c:v>
                </c:pt>
                <c:pt idx="355">
                  <c:v>-56.277648609923958</c:v>
                </c:pt>
                <c:pt idx="356">
                  <c:v>-56.879100663115928</c:v>
                </c:pt>
                <c:pt idx="357">
                  <c:v>-57.480170265412781</c:v>
                </c:pt>
                <c:pt idx="358">
                  <c:v>-58.081433422833925</c:v>
                </c:pt>
                <c:pt idx="359">
                  <c:v>-58.683458478761843</c:v>
                </c:pt>
                <c:pt idx="360">
                  <c:v>-59.286804587988492</c:v>
                </c:pt>
                <c:pt idx="361">
                  <c:v>-59.892020217282607</c:v>
                </c:pt>
                <c:pt idx="362">
                  <c:v>-60.499641680445777</c:v>
                </c:pt>
                <c:pt idx="363">
                  <c:v>-61.110191715855947</c:v>
                </c:pt>
                <c:pt idx="364">
                  <c:v>-61.724178114447831</c:v>
                </c:pt>
                <c:pt idx="365">
                  <c:v>-62.342092405931425</c:v>
                </c:pt>
                <c:pt idx="366">
                  <c:v>-62.964408610795388</c:v>
                </c:pt>
                <c:pt idx="367">
                  <c:v>-63.591582065297203</c:v>
                </c:pt>
                <c:pt idx="368">
                  <c:v>-64.224048326201967</c:v>
                </c:pt>
                <c:pt idx="369">
                  <c:v>-64.862222161490081</c:v>
                </c:pt>
                <c:pt idx="370">
                  <c:v>-65.506496632650908</c:v>
                </c:pt>
                <c:pt idx="371">
                  <c:v>-66.157242273466224</c:v>
                </c:pt>
                <c:pt idx="372">
                  <c:v>-66.814806369441783</c:v>
                </c:pt>
                <c:pt idx="373">
                  <c:v>-67.479512341200476</c:v>
                </c:pt>
                <c:pt idx="374">
                  <c:v>-68.151659234293902</c:v>
                </c:pt>
                <c:pt idx="375">
                  <c:v>-68.831521316962082</c:v>
                </c:pt>
                <c:pt idx="376">
                  <c:v>-69.519347786442623</c:v>
                </c:pt>
                <c:pt idx="377">
                  <c:v>-70.215362583467467</c:v>
                </c:pt>
                <c:pt idx="378">
                  <c:v>-70.919764313642375</c:v>
                </c:pt>
                <c:pt idx="379">
                  <c:v>-71.63272627344648</c:v>
                </c:pt>
                <c:pt idx="380">
                  <c:v>-72.354396577684412</c:v>
                </c:pt>
                <c:pt idx="381">
                  <c:v>-73.084898384333272</c:v>
                </c:pt>
                <c:pt idx="382">
                  <c:v>-73.824330211892928</c:v>
                </c:pt>
                <c:pt idx="383">
                  <c:v>-74.572766343583439</c:v>
                </c:pt>
                <c:pt idx="384">
                  <c:v>-75.330257312024088</c:v>
                </c:pt>
                <c:pt idx="385">
                  <c:v>-76.096830457410888</c:v>
                </c:pt>
                <c:pt idx="386">
                  <c:v>-76.872490551684464</c:v>
                </c:pt>
                <c:pt idx="387">
                  <c:v>-77.657220480744357</c:v>
                </c:pt>
                <c:pt idx="388">
                  <c:v>-78.450981976436083</c:v>
                </c:pt>
                <c:pt idx="389">
                  <c:v>-79.253716389824518</c:v>
                </c:pt>
                <c:pt idx="390">
                  <c:v>-80.06534549715289</c:v>
                </c:pt>
                <c:pt idx="391">
                  <c:v>-80.885772329900973</c:v>
                </c:pt>
                <c:pt idx="392">
                  <c:v>-81.714882020463236</c:v>
                </c:pt>
                <c:pt idx="393">
                  <c:v>-82.552542655212108</c:v>
                </c:pt>
                <c:pt idx="394">
                  <c:v>-83.398606127033062</c:v>
                </c:pt>
                <c:pt idx="395">
                  <c:v>-84.252908979872473</c:v>
                </c:pt>
                <c:pt idx="396">
                  <c:v>-85.11527323835854</c:v>
                </c:pt>
                <c:pt idx="397">
                  <c:v>-85.985507216187386</c:v>
                </c:pt>
                <c:pt idx="398">
                  <c:v>-86.863406297651181</c:v>
                </c:pt>
                <c:pt idx="399">
                  <c:v>-87.748753687453586</c:v>
                </c:pt>
                <c:pt idx="400">
                  <c:v>-88.641321124769988</c:v>
                </c:pt>
                <c:pt idx="401">
                  <c:v>-89.540869558354501</c:v>
                </c:pt>
                <c:pt idx="402">
                  <c:v>-90.447149780389537</c:v>
                </c:pt>
                <c:pt idx="403">
                  <c:v>-91.359903017648492</c:v>
                </c:pt>
                <c:pt idx="404">
                  <c:v>-92.278861479442583</c:v>
                </c:pt>
                <c:pt idx="405">
                  <c:v>-93.203748862684421</c:v>
                </c:pt>
                <c:pt idx="406">
                  <c:v>-94.134280815252609</c:v>
                </c:pt>
                <c:pt idx="407">
                  <c:v>-95.070165359627993</c:v>
                </c:pt>
                <c:pt idx="408">
                  <c:v>-96.011103279524534</c:v>
                </c:pt>
                <c:pt idx="409">
                  <c:v>-96.956788472901067</c:v>
                </c:pt>
                <c:pt idx="410">
                  <c:v>-97.906908275342616</c:v>
                </c:pt>
                <c:pt idx="411">
                  <c:v>-98.861143758304863</c:v>
                </c:pt>
                <c:pt idx="412">
                  <c:v>-99.819170007128662</c:v>
                </c:pt>
                <c:pt idx="413">
                  <c:v>-100.78065638404244</c:v>
                </c:pt>
                <c:pt idx="414">
                  <c:v>-101.74526678157595</c:v>
                </c:pt>
                <c:pt idx="415">
                  <c:v>-102.71265987191141</c:v>
                </c:pt>
                <c:pt idx="416">
                  <c:v>-103.68248935768369</c:v>
                </c:pt>
                <c:pt idx="417">
                  <c:v>-104.6544042296203</c:v>
                </c:pt>
                <c:pt idx="418">
                  <c:v>-105.62804903620153</c:v>
                </c:pt>
                <c:pt idx="419">
                  <c:v>-106.60306417018749</c:v>
                </c:pt>
                <c:pt idx="420">
                  <c:v>-107.57908617645046</c:v>
                </c:pt>
                <c:pt idx="421">
                  <c:v>-108.55574808505258</c:v>
                </c:pt>
                <c:pt idx="422">
                  <c:v>-109.5326797729351</c:v>
                </c:pt>
                <c:pt idx="423">
                  <c:v>-110.50950835695083</c:v>
                </c:pt>
                <c:pt idx="424">
                  <c:v>-111.48585862028121</c:v>
                </c:pt>
                <c:pt idx="425">
                  <c:v>-112.46135347356038</c:v>
                </c:pt>
                <c:pt idx="426">
                  <c:v>-113.43561445128068</c:v>
                </c:pt>
                <c:pt idx="427">
                  <c:v>-114.40826224328958</c:v>
                </c:pt>
                <c:pt idx="428">
                  <c:v>-115.37891726044775</c:v>
                </c:pt>
                <c:pt idx="429">
                  <c:v>-116.34720023278389</c:v>
                </c:pt>
                <c:pt idx="430">
                  <c:v>-117.3127328377726</c:v>
                </c:pt>
                <c:pt idx="431">
                  <c:v>-118.27513835572569</c:v>
                </c:pt>
                <c:pt idx="432">
                  <c:v>-119.23404234867532</c:v>
                </c:pt>
                <c:pt idx="433">
                  <c:v>-120.18907335861617</c:v>
                </c:pt>
                <c:pt idx="434">
                  <c:v>-121.13986362050534</c:v>
                </c:pt>
                <c:pt idx="435">
                  <c:v>-122.08604978506368</c:v>
                </c:pt>
                <c:pt idx="436">
                  <c:v>-123.02727364614036</c:v>
                </c:pt>
                <c:pt idx="437">
                  <c:v>-123.96318286720319</c:v>
                </c:pt>
                <c:pt idx="438">
                  <c:v>-124.8934317014419</c:v>
                </c:pt>
                <c:pt idx="439">
                  <c:v>-125.8176816999449</c:v>
                </c:pt>
                <c:pt idx="440">
                  <c:v>-126.73560240251228</c:v>
                </c:pt>
                <c:pt idx="441">
                  <c:v>-127.64687200582611</c:v>
                </c:pt>
                <c:pt idx="442">
                  <c:v>-128.55117800395087</c:v>
                </c:pt>
                <c:pt idx="443">
                  <c:v>-129.44821779645721</c:v>
                </c:pt>
                <c:pt idx="444">
                  <c:v>-130.33769925983145</c:v>
                </c:pt>
                <c:pt idx="445">
                  <c:v>-131.21934127829059</c:v>
                </c:pt>
                <c:pt idx="446">
                  <c:v>-132.09287423056554</c:v>
                </c:pt>
                <c:pt idx="447">
                  <c:v>-132.95804042976079</c:v>
                </c:pt>
                <c:pt idx="448">
                  <c:v>-133.81459451390444</c:v>
                </c:pt>
                <c:pt idx="449">
                  <c:v>-134.66230378535832</c:v>
                </c:pt>
                <c:pt idx="450">
                  <c:v>-135.5009484978039</c:v>
                </c:pt>
                <c:pt idx="451">
                  <c:v>-136.3303220900568</c:v>
                </c:pt>
                <c:pt idx="452">
                  <c:v>-137.15023136649393</c:v>
                </c:pt>
                <c:pt idx="453">
                  <c:v>-137.96049662436954</c:v>
                </c:pt>
                <c:pt idx="454">
                  <c:v>-138.76095172877748</c:v>
                </c:pt>
                <c:pt idx="455">
                  <c:v>-139.55144413645652</c:v>
                </c:pt>
                <c:pt idx="456">
                  <c:v>-140.33183487002444</c:v>
                </c:pt>
                <c:pt idx="457">
                  <c:v>-141.10199844459524</c:v>
                </c:pt>
                <c:pt idx="458">
                  <c:v>-141.86182274904024</c:v>
                </c:pt>
                <c:pt idx="459">
                  <c:v>-142.6112088844167</c:v>
                </c:pt>
                <c:pt idx="460">
                  <c:v>-143.35007096231692</c:v>
                </c:pt>
                <c:pt idx="461">
                  <c:v>-144.07833586605281</c:v>
                </c:pt>
                <c:pt idx="462">
                  <c:v>-144.79594297773247</c:v>
                </c:pt>
                <c:pt idx="463">
                  <c:v>-145.50284387436457</c:v>
                </c:pt>
                <c:pt idx="464">
                  <c:v>-146.19900199617538</c:v>
                </c:pt>
                <c:pt idx="465">
                  <c:v>-146.88439229033443</c:v>
                </c:pt>
                <c:pt idx="466">
                  <c:v>-147.55900083326279</c:v>
                </c:pt>
                <c:pt idx="467">
                  <c:v>-148.22282443463956</c:v>
                </c:pt>
                <c:pt idx="468">
                  <c:v>-148.87587022614062</c:v>
                </c:pt>
                <c:pt idx="469">
                  <c:v>-149.51815523784794</c:v>
                </c:pt>
                <c:pt idx="470">
                  <c:v>-150.14970596513248</c:v>
                </c:pt>
                <c:pt idx="471">
                  <c:v>-150.77055792868015</c:v>
                </c:pt>
                <c:pt idx="472">
                  <c:v>-151.38075523017329</c:v>
                </c:pt>
                <c:pt idx="473">
                  <c:v>-151.9803501059871</c:v>
                </c:pt>
                <c:pt idx="474">
                  <c:v>-152.56940248107205</c:v>
                </c:pt>
                <c:pt idx="475">
                  <c:v>-153.14797952504247</c:v>
                </c:pt>
                <c:pt idx="476">
                  <c:v>-153.71615521229702</c:v>
                </c:pt>
                <c:pt idx="477">
                  <c:v>-154.27400988783447</c:v>
                </c:pt>
                <c:pt idx="478">
                  <c:v>-154.82162984025169</c:v>
                </c:pt>
                <c:pt idx="479">
                  <c:v>-155.35910688323872</c:v>
                </c:pt>
                <c:pt idx="480">
                  <c:v>-155.88653794673317</c:v>
                </c:pt>
                <c:pt idx="481">
                  <c:v>-156.40402467872906</c:v>
                </c:pt>
                <c:pt idx="482">
                  <c:v>-156.91167305859258</c:v>
                </c:pt>
                <c:pt idx="483">
                  <c:v>-157.40959302259554</c:v>
                </c:pt>
                <c:pt idx="484">
                  <c:v>-157.89789810224761</c:v>
                </c:pt>
                <c:pt idx="485">
                  <c:v>-158.37670507587802</c:v>
                </c:pt>
                <c:pt idx="486">
                  <c:v>-158.84613363381172</c:v>
                </c:pt>
                <c:pt idx="487">
                  <c:v>-159.30630605737829</c:v>
                </c:pt>
                <c:pt idx="488">
                  <c:v>-159.75734691189214</c:v>
                </c:pt>
                <c:pt idx="489">
                  <c:v>-160.1993827536615</c:v>
                </c:pt>
                <c:pt idx="490">
                  <c:v>-160.63254185100052</c:v>
                </c:pt>
                <c:pt idx="491">
                  <c:v>-161.05695391915626</c:v>
                </c:pt>
                <c:pt idx="492">
                  <c:v>-161.47274986899029</c:v>
                </c:pt>
                <c:pt idx="493">
                  <c:v>-161.88006156921247</c:v>
                </c:pt>
                <c:pt idx="494">
                  <c:v>-162.27902162190679</c:v>
                </c:pt>
                <c:pt idx="495">
                  <c:v>-162.66976315105788</c:v>
                </c:pt>
                <c:pt idx="496">
                  <c:v>-163.05241960374417</c:v>
                </c:pt>
                <c:pt idx="497">
                  <c:v>-163.42712456364373</c:v>
                </c:pt>
                <c:pt idx="498">
                  <c:v>-163.7940115764699</c:v>
                </c:pt>
                <c:pt idx="499">
                  <c:v>-164.15321398693686</c:v>
                </c:pt>
                <c:pt idx="500">
                  <c:v>-164.50486478684226</c:v>
                </c:pt>
                <c:pt idx="501">
                  <c:v>-164.84909647384703</c:v>
                </c:pt>
                <c:pt idx="502">
                  <c:v>-165.18604092051709</c:v>
                </c:pt>
                <c:pt idx="503">
                  <c:v>-165.51582925319923</c:v>
                </c:pt>
                <c:pt idx="504">
                  <c:v>-165.83859174029729</c:v>
                </c:pt>
                <c:pt idx="505">
                  <c:v>-166.1544576895156</c:v>
                </c:pt>
                <c:pt idx="506">
                  <c:v>-166.46355535364481</c:v>
                </c:pt>
                <c:pt idx="507">
                  <c:v>-166.76601184447054</c:v>
                </c:pt>
                <c:pt idx="508">
                  <c:v>-167.06195305438882</c:v>
                </c:pt>
                <c:pt idx="509">
                  <c:v>-167.35150358532664</c:v>
                </c:pt>
                <c:pt idx="510">
                  <c:v>-167.63478668457563</c:v>
                </c:pt>
                <c:pt idx="511">
                  <c:v>-167.91192418714996</c:v>
                </c:pt>
                <c:pt idx="512">
                  <c:v>-168.18303646430496</c:v>
                </c:pt>
                <c:pt idx="513">
                  <c:v>-168.44824237785278</c:v>
                </c:pt>
                <c:pt idx="514">
                  <c:v>-168.70765923993156</c:v>
                </c:pt>
                <c:pt idx="515">
                  <c:v>-168.96140277789374</c:v>
                </c:pt>
                <c:pt idx="516">
                  <c:v>-169.20958710399685</c:v>
                </c:pt>
                <c:pt idx="517">
                  <c:v>-169.45232468958625</c:v>
                </c:pt>
                <c:pt idx="518">
                  <c:v>-169.68972634348137</c:v>
                </c:pt>
                <c:pt idx="519">
                  <c:v>-169.92190119428193</c:v>
                </c:pt>
                <c:pt idx="520">
                  <c:v>-170.1489566763301</c:v>
                </c:pt>
                <c:pt idx="521">
                  <c:v>-170.37099851907419</c:v>
                </c:pt>
                <c:pt idx="522">
                  <c:v>-170.58813073959033</c:v>
                </c:pt>
                <c:pt idx="523">
                  <c:v>-170.80045563803614</c:v>
                </c:pt>
                <c:pt idx="524">
                  <c:v>-171.00807379581784</c:v>
                </c:pt>
                <c:pt idx="525">
                  <c:v>-171.21108407626531</c:v>
                </c:pt>
                <c:pt idx="526">
                  <c:v>-171.40958362762024</c:v>
                </c:pt>
                <c:pt idx="527">
                  <c:v>-171.60366788815503</c:v>
                </c:pt>
                <c:pt idx="528">
                  <c:v>-171.79343059324864</c:v>
                </c:pt>
                <c:pt idx="529">
                  <c:v>-171.97896378425639</c:v>
                </c:pt>
                <c:pt idx="530">
                  <c:v>-172.16035781901968</c:v>
                </c:pt>
                <c:pt idx="531">
                  <c:v>-172.33770138387209</c:v>
                </c:pt>
                <c:pt idx="532">
                  <c:v>-172.51108150700634</c:v>
                </c:pt>
                <c:pt idx="533">
                  <c:v>-172.68058357307419</c:v>
                </c:pt>
                <c:pt idx="534">
                  <c:v>-172.84629133890053</c:v>
                </c:pt>
                <c:pt idx="535">
                  <c:v>-173.00828695020039</c:v>
                </c:pt>
                <c:pt idx="536">
                  <c:v>-173.16665095919399</c:v>
                </c:pt>
                <c:pt idx="537">
                  <c:v>-173.32146234302249</c:v>
                </c:pt>
                <c:pt idx="538">
                  <c:v>-173.47279852287377</c:v>
                </c:pt>
                <c:pt idx="539">
                  <c:v>-173.62073538373261</c:v>
                </c:pt>
                <c:pt idx="540">
                  <c:v>-173.76534729467755</c:v>
                </c:pt>
                <c:pt idx="541">
                  <c:v>-173.90670712964911</c:v>
                </c:pt>
              </c:numCache>
            </c:numRef>
          </c:yVal>
          <c:smooth val="1"/>
          <c:extLst>
            <c:ext xmlns:c16="http://schemas.microsoft.com/office/drawing/2014/chart" uri="{C3380CC4-5D6E-409C-BE32-E72D297353CC}">
              <c16:uniqueId val="{0000000B-DB7B-4578-A2FD-34A838A3EC7C}"/>
            </c:ext>
          </c:extLst>
        </c:ser>
        <c:dLbls>
          <c:showLegendKey val="0"/>
          <c:showVal val="0"/>
          <c:showCatName val="0"/>
          <c:showSerName val="0"/>
          <c:showPercent val="0"/>
          <c:showBubbleSize val="0"/>
        </c:dLbls>
        <c:axId val="387647744"/>
        <c:axId val="364517248"/>
      </c:scatterChart>
      <c:valAx>
        <c:axId val="357835904"/>
        <c:scaling>
          <c:logBase val="10"/>
          <c:orientation val="minMax"/>
          <c:max val="20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364477056"/>
        <c:crosses val="autoZero"/>
        <c:crossBetween val="midCat"/>
      </c:valAx>
      <c:valAx>
        <c:axId val="364477056"/>
        <c:scaling>
          <c:orientation val="minMax"/>
          <c:max val="80"/>
          <c:min val="-8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357835904"/>
        <c:crosses val="autoZero"/>
        <c:crossBetween val="midCat"/>
        <c:majorUnit val="20"/>
        <c:minorUnit val="10"/>
      </c:valAx>
      <c:valAx>
        <c:axId val="364517248"/>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387647744"/>
        <c:crosses val="max"/>
        <c:crossBetween val="midCat"/>
        <c:majorUnit val="90"/>
        <c:minorUnit val="45"/>
      </c:valAx>
      <c:valAx>
        <c:axId val="387647744"/>
        <c:scaling>
          <c:logBase val="10"/>
          <c:orientation val="minMax"/>
        </c:scaling>
        <c:delete val="1"/>
        <c:axPos val="b"/>
        <c:numFmt formatCode="0.00" sourceLinked="1"/>
        <c:majorTickMark val="out"/>
        <c:minorTickMark val="none"/>
        <c:tickLblPos val="nextTo"/>
        <c:crossAx val="364517248"/>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82.768015964506432</c:v>
                </c:pt>
                <c:pt idx="2">
                  <c:v>86.682657917278163</c:v>
                </c:pt>
                <c:pt idx="3">
                  <c:v>87.953800007864942</c:v>
                </c:pt>
                <c:pt idx="4">
                  <c:v>88.536496271462724</c:v>
                </c:pt>
                <c:pt idx="5">
                  <c:v>88.845633519816332</c:v>
                </c:pt>
                <c:pt idx="6">
                  <c:v>89.021192209994112</c:v>
                </c:pt>
                <c:pt idx="7">
                  <c:v>89.122936777973891</c:v>
                </c:pt>
                <c:pt idx="8">
                  <c:v>89.467745647759855</c:v>
                </c:pt>
                <c:pt idx="9">
                  <c:v>89.923845394020418</c:v>
                </c:pt>
                <c:pt idx="10">
                  <c:v>90.278471225267737</c:v>
                </c:pt>
                <c:pt idx="11">
                  <c:v>90.558252021737147</c:v>
                </c:pt>
                <c:pt idx="12">
                  <c:v>90.781257750026001</c:v>
                </c:pt>
                <c:pt idx="13">
                  <c:v>90.960182373012771</c:v>
                </c:pt>
                <c:pt idx="14">
                  <c:v>91.10420468883666</c:v>
                </c:pt>
                <c:pt idx="15">
                  <c:v>91.220126285142911</c:v>
                </c:pt>
                <c:pt idx="16">
                  <c:v>91.313094310597037</c:v>
                </c:pt>
                <c:pt idx="17">
                  <c:v>91.387075659303662</c:v>
                </c:pt>
                <c:pt idx="18">
                  <c:v>91.445176908023669</c:v>
                </c:pt>
                <c:pt idx="19">
                  <c:v>91.489865533282682</c:v>
                </c:pt>
                <c:pt idx="20">
                  <c:v>91.52312620817851</c:v>
                </c:pt>
                <c:pt idx="21">
                  <c:v>91.546573369830739</c:v>
                </c:pt>
                <c:pt idx="22">
                  <c:v>91.561533695432757</c:v>
                </c:pt>
                <c:pt idx="23">
                  <c:v>91.569107471286543</c:v>
                </c:pt>
                <c:pt idx="24">
                  <c:v>91.570214898937806</c:v>
                </c:pt>
                <c:pt idx="25">
                  <c:v>91.565631482245408</c:v>
                </c:pt>
                <c:pt idx="26">
                  <c:v>91.556015385652856</c:v>
                </c:pt>
                <c:pt idx="27">
                  <c:v>91.541928811443412</c:v>
                </c:pt>
                <c:pt idx="28">
                  <c:v>91.52385486783551</c:v>
                </c:pt>
                <c:pt idx="29">
                  <c:v>91.502210999882607</c:v>
                </c:pt>
                <c:pt idx="30">
                  <c:v>91.477359773464812</c:v>
                </c:pt>
                <c:pt idx="31">
                  <c:v>91.449617601600451</c:v>
                </c:pt>
                <c:pt idx="32">
                  <c:v>91.419261857020402</c:v>
                </c:pt>
                <c:pt idx="33">
                  <c:v>91.38653670875712</c:v>
                </c:pt>
                <c:pt idx="34">
                  <c:v>91.351657942056619</c:v>
                </c:pt>
                <c:pt idx="35">
                  <c:v>91.314816962395469</c:v>
                </c:pt>
                <c:pt idx="36">
                  <c:v>91.276184140311315</c:v>
                </c:pt>
                <c:pt idx="37">
                  <c:v>91.235911620275544</c:v>
                </c:pt>
                <c:pt idx="38">
                  <c:v>91.194135691194234</c:v>
                </c:pt>
                <c:pt idx="39">
                  <c:v>91.150978796331202</c:v>
                </c:pt>
                <c:pt idx="40">
                  <c:v>91.10655124506053</c:v>
                </c:pt>
                <c:pt idx="41">
                  <c:v>91.060952676808142</c:v>
                </c:pt>
                <c:pt idx="42">
                  <c:v>91.014273318052005</c:v>
                </c:pt>
                <c:pt idx="43">
                  <c:v>90.966595065723283</c:v>
                </c:pt>
                <c:pt idx="44">
                  <c:v>90.917992424350274</c:v>
                </c:pt>
                <c:pt idx="45">
                  <c:v>90.868533319473158</c:v>
                </c:pt>
                <c:pt idx="46">
                  <c:v>90.818279805977681</c:v>
                </c:pt>
                <c:pt idx="47">
                  <c:v>90.767288686851217</c:v>
                </c:pt>
                <c:pt idx="48">
                  <c:v>90.715612055304717</c:v>
                </c:pt>
                <c:pt idx="49">
                  <c:v>90.663297771109356</c:v>
                </c:pt>
                <c:pt idx="50">
                  <c:v>90.61038988027704</c:v>
                </c:pt>
                <c:pt idx="51">
                  <c:v>90.55692898579359</c:v>
                </c:pt>
                <c:pt idx="52">
                  <c:v>90.502952575937627</c:v>
                </c:pt>
                <c:pt idx="53">
                  <c:v>90.44849531574063</c:v>
                </c:pt>
                <c:pt idx="54">
                  <c:v>90.393589306326987</c:v>
                </c:pt>
                <c:pt idx="55">
                  <c:v>90.338264316189239</c:v>
                </c:pt>
                <c:pt idx="56">
                  <c:v>90.282547987878843</c:v>
                </c:pt>
                <c:pt idx="57">
                  <c:v>90.2264660231085</c:v>
                </c:pt>
                <c:pt idx="58">
                  <c:v>90.170042348851368</c:v>
                </c:pt>
                <c:pt idx="59">
                  <c:v>90.113299266675128</c:v>
                </c:pt>
                <c:pt idx="60">
                  <c:v>90.056257587252333</c:v>
                </c:pt>
                <c:pt idx="61">
                  <c:v>89.998936751735741</c:v>
                </c:pt>
                <c:pt idx="62">
                  <c:v>89.941354941471303</c:v>
                </c:pt>
                <c:pt idx="63">
                  <c:v>89.883529177335078</c:v>
                </c:pt>
                <c:pt idx="64">
                  <c:v>89.825475409821735</c:v>
                </c:pt>
                <c:pt idx="65">
                  <c:v>89.76720860087319</c:v>
                </c:pt>
                <c:pt idx="66">
                  <c:v>89.708742798318099</c:v>
                </c:pt>
                <c:pt idx="67">
                  <c:v>89.650091203688831</c:v>
                </c:pt>
                <c:pt idx="68">
                  <c:v>89.591266234093212</c:v>
                </c:pt>
                <c:pt idx="69">
                  <c:v>89.5322795787405</c:v>
                </c:pt>
                <c:pt idx="70">
                  <c:v>89.473142250652614</c:v>
                </c:pt>
                <c:pt idx="71">
                  <c:v>89.413864634032393</c:v>
                </c:pt>
                <c:pt idx="72">
                  <c:v>89.354456527708649</c:v>
                </c:pt>
                <c:pt idx="73">
                  <c:v>89.294927185031639</c:v>
                </c:pt>
                <c:pt idx="74">
                  <c:v>89.235285350553212</c:v>
                </c:pt>
                <c:pt idx="75">
                  <c:v>89.175539293789356</c:v>
                </c:pt>
                <c:pt idx="76">
                  <c:v>89.11569684033276</c:v>
                </c:pt>
                <c:pt idx="77">
                  <c:v>89.055765400554805</c:v>
                </c:pt>
                <c:pt idx="78">
                  <c:v>88.995751996111977</c:v>
                </c:pt>
                <c:pt idx="79">
                  <c:v>88.935663284450229</c:v>
                </c:pt>
                <c:pt idx="80">
                  <c:v>88.875505581481548</c:v>
                </c:pt>
                <c:pt idx="81">
                  <c:v>88.815284882589779</c:v>
                </c:pt>
                <c:pt idx="82">
                  <c:v>88.755006882107622</c:v>
                </c:pt>
                <c:pt idx="83">
                  <c:v>88.694676991392754</c:v>
                </c:pt>
                <c:pt idx="84">
                  <c:v>88.634300355619771</c:v>
                </c:pt>
                <c:pt idx="85">
                  <c:v>88.573881869392622</c:v>
                </c:pt>
                <c:pt idx="86">
                  <c:v>88.513426191273339</c:v>
                </c:pt>
                <c:pt idx="87">
                  <c:v>88.452937757313578</c:v>
                </c:pt>
                <c:pt idx="88">
                  <c:v>88.392420793668308</c:v>
                </c:pt>
                <c:pt idx="89">
                  <c:v>88.331879328362959</c:v>
                </c:pt>
                <c:pt idx="90">
                  <c:v>88.271317202279974</c:v>
                </c:pt>
                <c:pt idx="91">
                  <c:v>88.210738079424289</c:v>
                </c:pt>
                <c:pt idx="92">
                  <c:v>88.150145456522353</c:v>
                </c:pt>
                <c:pt idx="93">
                  <c:v>88.089542672004811</c:v>
                </c:pt>
                <c:pt idx="94">
                  <c:v>88.028932914418164</c:v>
                </c:pt>
                <c:pt idx="95">
                  <c:v>87.968319230307785</c:v>
                </c:pt>
                <c:pt idx="96">
                  <c:v>87.907704531610165</c:v>
                </c:pt>
                <c:pt idx="97">
                  <c:v>87.847091602589899</c:v>
                </c:pt>
                <c:pt idx="98">
                  <c:v>87.786483106353799</c:v>
                </c:pt>
                <c:pt idx="99">
                  <c:v>87.725881590971881</c:v>
                </c:pt>
                <c:pt idx="100">
                  <c:v>87.665289495232486</c:v>
                </c:pt>
                <c:pt idx="101">
                  <c:v>87.604709154056977</c:v>
                </c:pt>
                <c:pt idx="102">
                  <c:v>87.544142803597097</c:v>
                </c:pt>
                <c:pt idx="103">
                  <c:v>87.483592586036693</c:v>
                </c:pt>
                <c:pt idx="104">
                  <c:v>87.423060554117313</c:v>
                </c:pt>
                <c:pt idx="105">
                  <c:v>87.362548675406259</c:v>
                </c:pt>
                <c:pt idx="106">
                  <c:v>87.302058836323951</c:v>
                </c:pt>
                <c:pt idx="107">
                  <c:v>87.241592845946215</c:v>
                </c:pt>
                <c:pt idx="108">
                  <c:v>87.18115243959619</c:v>
                </c:pt>
                <c:pt idx="109">
                  <c:v>87.120739282239128</c:v>
                </c:pt>
                <c:pt idx="110">
                  <c:v>87.060354971692632</c:v>
                </c:pt>
                <c:pt idx="111">
                  <c:v>87.000001041664049</c:v>
                </c:pt>
                <c:pt idx="112">
                  <c:v>86.9396789646256</c:v>
                </c:pt>
                <c:pt idx="113">
                  <c:v>86.879390154537404</c:v>
                </c:pt>
                <c:pt idx="114">
                  <c:v>86.819135969427592</c:v>
                </c:pt>
                <c:pt idx="115">
                  <c:v>86.758917713838173</c:v>
                </c:pt>
                <c:pt idx="116">
                  <c:v>86.69873664114499</c:v>
                </c:pt>
                <c:pt idx="117">
                  <c:v>86.638593955758708</c:v>
                </c:pt>
                <c:pt idx="118">
                  <c:v>86.578490815214565</c:v>
                </c:pt>
                <c:pt idx="119">
                  <c:v>86.518428332156816</c:v>
                </c:pt>
                <c:pt idx="120">
                  <c:v>86.458407576224232</c:v>
                </c:pt>
                <c:pt idx="121">
                  <c:v>86.398429575842584</c:v>
                </c:pt>
                <c:pt idx="122">
                  <c:v>86.338495319928867</c:v>
                </c:pt>
                <c:pt idx="123">
                  <c:v>86.278605759512857</c:v>
                </c:pt>
                <c:pt idx="124">
                  <c:v>86.218761809280281</c:v>
                </c:pt>
                <c:pt idx="125">
                  <c:v>86.158964349042108</c:v>
                </c:pt>
                <c:pt idx="126">
                  <c:v>86.099214225134006</c:v>
                </c:pt>
                <c:pt idx="127">
                  <c:v>86.039512251749855</c:v>
                </c:pt>
                <c:pt idx="128">
                  <c:v>85.979859212212943</c:v>
                </c:pt>
                <c:pt idx="129">
                  <c:v>85.920255860188036</c:v>
                </c:pt>
                <c:pt idx="130">
                  <c:v>85.86070292083761</c:v>
                </c:pt>
                <c:pt idx="131">
                  <c:v>85.801201091925392</c:v>
                </c:pt>
                <c:pt idx="132">
                  <c:v>85.741751044869645</c:v>
                </c:pt>
                <c:pt idx="133">
                  <c:v>85.682353425749099</c:v>
                </c:pt>
                <c:pt idx="134">
                  <c:v>85.623008856263894</c:v>
                </c:pt>
                <c:pt idx="135">
                  <c:v>85.563717934653809</c:v>
                </c:pt>
                <c:pt idx="136">
                  <c:v>85.504481236576225</c:v>
                </c:pt>
                <c:pt idx="137">
                  <c:v>85.445299315945448</c:v>
                </c:pt>
                <c:pt idx="138">
                  <c:v>85.386172705735746</c:v>
                </c:pt>
                <c:pt idx="139">
                  <c:v>85.327101918749662</c:v>
                </c:pt>
                <c:pt idx="140">
                  <c:v>85.268087448353469</c:v>
                </c:pt>
                <c:pt idx="141">
                  <c:v>85.209129769181473</c:v>
                </c:pt>
                <c:pt idx="142">
                  <c:v>85.150229337810231</c:v>
                </c:pt>
                <c:pt idx="143">
                  <c:v>85.091386593404934</c:v>
                </c:pt>
                <c:pt idx="144">
                  <c:v>85.032601958338574</c:v>
                </c:pt>
                <c:pt idx="145">
                  <c:v>84.973875838785531</c:v>
                </c:pt>
                <c:pt idx="146">
                  <c:v>84.915208625290902</c:v>
                </c:pt>
                <c:pt idx="147">
                  <c:v>84.856600693316508</c:v>
                </c:pt>
                <c:pt idx="148">
                  <c:v>84.798052403764743</c:v>
                </c:pt>
                <c:pt idx="149">
                  <c:v>84.739564103481314</c:v>
                </c:pt>
                <c:pt idx="150">
                  <c:v>84.681136125737993</c:v>
                </c:pt>
              </c:numCache>
            </c:numRef>
          </c:yVal>
          <c:smooth val="0"/>
          <c:extLst>
            <c:ext xmlns:c16="http://schemas.microsoft.com/office/drawing/2014/chart" uri="{C3380CC4-5D6E-409C-BE32-E72D297353CC}">
              <c16:uniqueId val="{00000000-0B9C-490C-9A55-CBAB0B003695}"/>
            </c:ext>
          </c:extLst>
        </c:ser>
        <c:dLbls>
          <c:showLegendKey val="0"/>
          <c:showVal val="0"/>
          <c:showCatName val="0"/>
          <c:showSerName val="0"/>
          <c:showPercent val="0"/>
          <c:showBubbleSize val="0"/>
        </c:dLbls>
        <c:axId val="361445248"/>
        <c:axId val="361446784"/>
      </c:scatterChart>
      <c:scatterChart>
        <c:scatterStyle val="smoothMarker"/>
        <c:varyColors val="0"/>
        <c:ser>
          <c:idx val="1"/>
          <c:order val="1"/>
          <c:tx>
            <c:v>LS MOSFET</c:v>
          </c:tx>
          <c:spPr>
            <a:ln>
              <a:solidFill>
                <a:schemeClr val="tx2">
                  <a:lumMod val="75000"/>
                </a:schemeClr>
              </a:solidFill>
              <a:prstDash val="dash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0.17349670634920636</c:v>
                </c:pt>
                <c:pt idx="2">
                  <c:v>0.34926146207105119</c:v>
                </c:pt>
                <c:pt idx="3">
                  <c:v>0.52650269634711822</c:v>
                </c:pt>
                <c:pt idx="4">
                  <c:v>0.70493793650793657</c:v>
                </c:pt>
                <c:pt idx="5">
                  <c:v>0.88440392894913999</c:v>
                </c:pt>
                <c:pt idx="6">
                  <c:v>1.0647905229366899</c:v>
                </c:pt>
                <c:pt idx="7">
                  <c:v>1.2460168540147132</c:v>
                </c:pt>
                <c:pt idx="8">
                  <c:v>1.4281406149809786</c:v>
                </c:pt>
                <c:pt idx="9">
                  <c:v>1.6116986546635184</c:v>
                </c:pt>
                <c:pt idx="10">
                  <c:v>1.7967624721238358</c:v>
                </c:pt>
                <c:pt idx="11">
                  <c:v>1.983332067361931</c:v>
                </c:pt>
                <c:pt idx="12">
                  <c:v>2.1714074403778043</c:v>
                </c:pt>
                <c:pt idx="13">
                  <c:v>2.3609885911714552</c:v>
                </c:pt>
                <c:pt idx="14">
                  <c:v>2.5520755197428828</c:v>
                </c:pt>
                <c:pt idx="15">
                  <c:v>2.7446682260920903</c:v>
                </c:pt>
                <c:pt idx="16">
                  <c:v>2.938766710219074</c:v>
                </c:pt>
                <c:pt idx="17">
                  <c:v>3.1343709721238353</c:v>
                </c:pt>
                <c:pt idx="18">
                  <c:v>3.3314810118063756</c:v>
                </c:pt>
                <c:pt idx="19">
                  <c:v>3.5300968292666921</c:v>
                </c:pt>
                <c:pt idx="20">
                  <c:v>3.7302184245047885</c:v>
                </c:pt>
                <c:pt idx="21">
                  <c:v>3.9318457975206602</c:v>
                </c:pt>
                <c:pt idx="22">
                  <c:v>4.1349789483143118</c:v>
                </c:pt>
                <c:pt idx="23">
                  <c:v>4.3396178768857405</c:v>
                </c:pt>
                <c:pt idx="24">
                  <c:v>4.5457625832349473</c:v>
                </c:pt>
                <c:pt idx="25">
                  <c:v>4.7534130673619313</c:v>
                </c:pt>
                <c:pt idx="26">
                  <c:v>4.9625693292666933</c:v>
                </c:pt>
                <c:pt idx="27">
                  <c:v>5.1732313689492315</c:v>
                </c:pt>
                <c:pt idx="28">
                  <c:v>5.3853991864095487</c:v>
                </c:pt>
                <c:pt idx="29">
                  <c:v>5.5990727816476458</c:v>
                </c:pt>
                <c:pt idx="30">
                  <c:v>5.8142521546635191</c:v>
                </c:pt>
                <c:pt idx="31">
                  <c:v>6.0309373054571687</c:v>
                </c:pt>
                <c:pt idx="32">
                  <c:v>6.2491282340285981</c:v>
                </c:pt>
                <c:pt idx="33">
                  <c:v>6.4688249403778046</c:v>
                </c:pt>
                <c:pt idx="34">
                  <c:v>6.6900274245047866</c:v>
                </c:pt>
                <c:pt idx="35">
                  <c:v>6.9127356864095519</c:v>
                </c:pt>
                <c:pt idx="36">
                  <c:v>7.13694972609209</c:v>
                </c:pt>
                <c:pt idx="37">
                  <c:v>7.3626695435524097</c:v>
                </c:pt>
                <c:pt idx="38">
                  <c:v>7.5898951387905003</c:v>
                </c:pt>
                <c:pt idx="39">
                  <c:v>7.8186265118063751</c:v>
                </c:pt>
                <c:pt idx="40">
                  <c:v>8.0488636626000272</c:v>
                </c:pt>
                <c:pt idx="41">
                  <c:v>8.2806065911714573</c:v>
                </c:pt>
                <c:pt idx="42">
                  <c:v>8.5138552975206601</c:v>
                </c:pt>
                <c:pt idx="43">
                  <c:v>8.7486097816476462</c:v>
                </c:pt>
                <c:pt idx="44">
                  <c:v>8.9848700435524069</c:v>
                </c:pt>
                <c:pt idx="45">
                  <c:v>9.2226360832349457</c:v>
                </c:pt>
                <c:pt idx="46">
                  <c:v>9.4619079006952642</c:v>
                </c:pt>
                <c:pt idx="47">
                  <c:v>9.7026854959333591</c:v>
                </c:pt>
                <c:pt idx="48">
                  <c:v>9.9449688689492337</c:v>
                </c:pt>
                <c:pt idx="49">
                  <c:v>10.188758019742881</c:v>
                </c:pt>
                <c:pt idx="50">
                  <c:v>10.434052948314312</c:v>
                </c:pt>
                <c:pt idx="51">
                  <c:v>10.680853654663521</c:v>
                </c:pt>
                <c:pt idx="52">
                  <c:v>10.929160138790504</c:v>
                </c:pt>
                <c:pt idx="53">
                  <c:v>11.178972400695264</c:v>
                </c:pt>
                <c:pt idx="54">
                  <c:v>11.430290440377801</c:v>
                </c:pt>
                <c:pt idx="55">
                  <c:v>11.683114257838122</c:v>
                </c:pt>
                <c:pt idx="56">
                  <c:v>11.937443853076214</c:v>
                </c:pt>
                <c:pt idx="57">
                  <c:v>12.193279226092088</c:v>
                </c:pt>
                <c:pt idx="58">
                  <c:v>12.450620376885741</c:v>
                </c:pt>
                <c:pt idx="59">
                  <c:v>12.709467305457171</c:v>
                </c:pt>
                <c:pt idx="60">
                  <c:v>12.969820011806378</c:v>
                </c:pt>
                <c:pt idx="61">
                  <c:v>13.231678495933359</c:v>
                </c:pt>
                <c:pt idx="62">
                  <c:v>13.495042757838121</c:v>
                </c:pt>
                <c:pt idx="63">
                  <c:v>13.759912797520661</c:v>
                </c:pt>
                <c:pt idx="64">
                  <c:v>14.026288614980977</c:v>
                </c:pt>
                <c:pt idx="65">
                  <c:v>14.294170210219074</c:v>
                </c:pt>
                <c:pt idx="66">
                  <c:v>14.563557583234948</c:v>
                </c:pt>
                <c:pt idx="67">
                  <c:v>14.834450734028596</c:v>
                </c:pt>
                <c:pt idx="68">
                  <c:v>15.106849662600023</c:v>
                </c:pt>
                <c:pt idx="69">
                  <c:v>15.380754368949228</c:v>
                </c:pt>
                <c:pt idx="70">
                  <c:v>15.656164853076222</c:v>
                </c:pt>
                <c:pt idx="71">
                  <c:v>15.933081114980979</c:v>
                </c:pt>
                <c:pt idx="72">
                  <c:v>16.211503154663518</c:v>
                </c:pt>
                <c:pt idx="73">
                  <c:v>16.491430972123837</c:v>
                </c:pt>
                <c:pt idx="74">
                  <c:v>16.772864567361935</c:v>
                </c:pt>
                <c:pt idx="75">
                  <c:v>17.055803940377803</c:v>
                </c:pt>
                <c:pt idx="76">
                  <c:v>17.340249091171451</c:v>
                </c:pt>
                <c:pt idx="77">
                  <c:v>17.626200019742885</c:v>
                </c:pt>
                <c:pt idx="78">
                  <c:v>17.913656726092089</c:v>
                </c:pt>
                <c:pt idx="79">
                  <c:v>18.202619210219073</c:v>
                </c:pt>
                <c:pt idx="80">
                  <c:v>18.493087472123836</c:v>
                </c:pt>
                <c:pt idx="81">
                  <c:v>18.785061511806379</c:v>
                </c:pt>
                <c:pt idx="82">
                  <c:v>19.078541329266699</c:v>
                </c:pt>
                <c:pt idx="83">
                  <c:v>19.373526924504795</c:v>
                </c:pt>
                <c:pt idx="84">
                  <c:v>19.670018297520656</c:v>
                </c:pt>
                <c:pt idx="85">
                  <c:v>19.968015448314315</c:v>
                </c:pt>
                <c:pt idx="86">
                  <c:v>20.267518376885747</c:v>
                </c:pt>
                <c:pt idx="87">
                  <c:v>20.568527083234947</c:v>
                </c:pt>
                <c:pt idx="88">
                  <c:v>20.871041567361932</c:v>
                </c:pt>
                <c:pt idx="89">
                  <c:v>21.175061829266692</c:v>
                </c:pt>
                <c:pt idx="90">
                  <c:v>21.480587868949232</c:v>
                </c:pt>
                <c:pt idx="91">
                  <c:v>21.787619686409549</c:v>
                </c:pt>
                <c:pt idx="92">
                  <c:v>22.096157281647645</c:v>
                </c:pt>
                <c:pt idx="93">
                  <c:v>22.406200654663518</c:v>
                </c:pt>
                <c:pt idx="94">
                  <c:v>22.717749805457167</c:v>
                </c:pt>
                <c:pt idx="95">
                  <c:v>23.0308047340286</c:v>
                </c:pt>
                <c:pt idx="96">
                  <c:v>23.345365440377808</c:v>
                </c:pt>
                <c:pt idx="97">
                  <c:v>23.661431924504789</c:v>
                </c:pt>
                <c:pt idx="98">
                  <c:v>23.979004186409544</c:v>
                </c:pt>
                <c:pt idx="99">
                  <c:v>24.298082226092088</c:v>
                </c:pt>
                <c:pt idx="100">
                  <c:v>24.618666043552409</c:v>
                </c:pt>
                <c:pt idx="101">
                  <c:v>24.940755638790499</c:v>
                </c:pt>
                <c:pt idx="102">
                  <c:v>25.264351011806379</c:v>
                </c:pt>
                <c:pt idx="103">
                  <c:v>25.589452162600033</c:v>
                </c:pt>
                <c:pt idx="104">
                  <c:v>25.916059091171459</c:v>
                </c:pt>
                <c:pt idx="105">
                  <c:v>26.244171797520664</c:v>
                </c:pt>
                <c:pt idx="106">
                  <c:v>26.573790281647643</c:v>
                </c:pt>
                <c:pt idx="107">
                  <c:v>26.904914543552408</c:v>
                </c:pt>
                <c:pt idx="108">
                  <c:v>27.237544583234943</c:v>
                </c:pt>
                <c:pt idx="109">
                  <c:v>27.571680400695268</c:v>
                </c:pt>
                <c:pt idx="110">
                  <c:v>27.907321995933358</c:v>
                </c:pt>
                <c:pt idx="111">
                  <c:v>28.244469368949236</c:v>
                </c:pt>
                <c:pt idx="112">
                  <c:v>28.583122519742879</c:v>
                </c:pt>
                <c:pt idx="113">
                  <c:v>28.923281448314317</c:v>
                </c:pt>
                <c:pt idx="114">
                  <c:v>29.264946154663519</c:v>
                </c:pt>
                <c:pt idx="115">
                  <c:v>29.608116638790502</c:v>
                </c:pt>
                <c:pt idx="116">
                  <c:v>29.952792900695265</c:v>
                </c:pt>
                <c:pt idx="117">
                  <c:v>30.298974940377811</c:v>
                </c:pt>
                <c:pt idx="118">
                  <c:v>30.646662757838126</c:v>
                </c:pt>
                <c:pt idx="119">
                  <c:v>30.995856353076213</c:v>
                </c:pt>
                <c:pt idx="120">
                  <c:v>31.346555726092092</c:v>
                </c:pt>
                <c:pt idx="121">
                  <c:v>31.698760876885743</c:v>
                </c:pt>
                <c:pt idx="122">
                  <c:v>32.052471805457174</c:v>
                </c:pt>
                <c:pt idx="123">
                  <c:v>32.40768851180637</c:v>
                </c:pt>
                <c:pt idx="124">
                  <c:v>32.76441099593336</c:v>
                </c:pt>
                <c:pt idx="125">
                  <c:v>33.122639257838124</c:v>
                </c:pt>
                <c:pt idx="126">
                  <c:v>33.482373297520667</c:v>
                </c:pt>
                <c:pt idx="127">
                  <c:v>33.843613114980975</c:v>
                </c:pt>
                <c:pt idx="128">
                  <c:v>34.206358710219071</c:v>
                </c:pt>
                <c:pt idx="129">
                  <c:v>34.570610083234946</c:v>
                </c:pt>
                <c:pt idx="130">
                  <c:v>34.936367234028594</c:v>
                </c:pt>
                <c:pt idx="131">
                  <c:v>35.303630162600022</c:v>
                </c:pt>
                <c:pt idx="132">
                  <c:v>35.67239886894923</c:v>
                </c:pt>
                <c:pt idx="133">
                  <c:v>36.042673353076225</c:v>
                </c:pt>
                <c:pt idx="134">
                  <c:v>36.414453614980978</c:v>
                </c:pt>
                <c:pt idx="135">
                  <c:v>36.787739654663518</c:v>
                </c:pt>
                <c:pt idx="136">
                  <c:v>37.162531472123831</c:v>
                </c:pt>
                <c:pt idx="137">
                  <c:v>37.538829067361931</c:v>
                </c:pt>
                <c:pt idx="138">
                  <c:v>37.916632440377796</c:v>
                </c:pt>
                <c:pt idx="139">
                  <c:v>38.295941591171456</c:v>
                </c:pt>
                <c:pt idx="140">
                  <c:v>38.676756519742895</c:v>
                </c:pt>
                <c:pt idx="141">
                  <c:v>39.059077226092086</c:v>
                </c:pt>
                <c:pt idx="142">
                  <c:v>39.442903710219078</c:v>
                </c:pt>
                <c:pt idx="143">
                  <c:v>39.828235972123835</c:v>
                </c:pt>
                <c:pt idx="144">
                  <c:v>40.215074011806379</c:v>
                </c:pt>
                <c:pt idx="145">
                  <c:v>40.603417829266689</c:v>
                </c:pt>
                <c:pt idx="146">
                  <c:v>40.993267424504793</c:v>
                </c:pt>
                <c:pt idx="147">
                  <c:v>41.384622797520663</c:v>
                </c:pt>
                <c:pt idx="148">
                  <c:v>41.777483948314327</c:v>
                </c:pt>
                <c:pt idx="149">
                  <c:v>42.171850876885742</c:v>
                </c:pt>
                <c:pt idx="150">
                  <c:v>42.567723583234944</c:v>
                </c:pt>
              </c:numCache>
            </c:numRef>
          </c:yVal>
          <c:smooth val="1"/>
          <c:extLst>
            <c:ext xmlns:c16="http://schemas.microsoft.com/office/drawing/2014/chart" uri="{C3380CC4-5D6E-409C-BE32-E72D297353CC}">
              <c16:uniqueId val="{00000001-0B9C-490C-9A55-CBAB0B003695}"/>
            </c:ext>
          </c:extLst>
        </c:ser>
        <c:ser>
          <c:idx val="2"/>
          <c:order val="2"/>
          <c:tx>
            <c:v>HS MOSFET</c:v>
          </c:tx>
          <c:spPr>
            <a:ln>
              <a:solidFill>
                <a:schemeClr val="bg2">
                  <a:lumMod val="50000"/>
                </a:schemeClr>
              </a:solidFill>
              <a:prstDash val="sysDash"/>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0.36274444444444448</c:v>
                </c:pt>
                <c:pt idx="2">
                  <c:v>0.36962920568032265</c:v>
                </c:pt>
                <c:pt idx="3">
                  <c:v>0.3755723686411449</c:v>
                </c:pt>
                <c:pt idx="4">
                  <c:v>0.38113555555555562</c:v>
                </c:pt>
                <c:pt idx="5">
                  <c:v>0.38652284601699644</c:v>
                </c:pt>
                <c:pt idx="6">
                  <c:v>0.39183229837888089</c:v>
                </c:pt>
                <c:pt idx="7">
                  <c:v>0.39711830633415685</c:v>
                </c:pt>
                <c:pt idx="8">
                  <c:v>0.40246941781450873</c:v>
                </c:pt>
                <c:pt idx="9">
                  <c:v>0.40816252892561988</c:v>
                </c:pt>
                <c:pt idx="10">
                  <c:v>0.41423208448117543</c:v>
                </c:pt>
                <c:pt idx="11">
                  <c:v>0.42067808448117539</c:v>
                </c:pt>
                <c:pt idx="12">
                  <c:v>0.4275005289256199</c:v>
                </c:pt>
                <c:pt idx="13">
                  <c:v>0.43469941781450877</c:v>
                </c:pt>
                <c:pt idx="14">
                  <c:v>0.44227475114784209</c:v>
                </c:pt>
                <c:pt idx="15">
                  <c:v>0.45022652892561987</c:v>
                </c:pt>
                <c:pt idx="16">
                  <c:v>0.45855475114784205</c:v>
                </c:pt>
                <c:pt idx="17">
                  <c:v>0.46725941781450875</c:v>
                </c:pt>
                <c:pt idx="18">
                  <c:v>0.4763405289256199</c:v>
                </c:pt>
                <c:pt idx="19">
                  <c:v>0.4857980844811754</c:v>
                </c:pt>
                <c:pt idx="20">
                  <c:v>0.49563208448117541</c:v>
                </c:pt>
                <c:pt idx="21">
                  <c:v>0.50584252892561976</c:v>
                </c:pt>
                <c:pt idx="22">
                  <c:v>0.51642941781450868</c:v>
                </c:pt>
                <c:pt idx="23">
                  <c:v>0.52739275114784201</c:v>
                </c:pt>
                <c:pt idx="24">
                  <c:v>0.53873252892561985</c:v>
                </c:pt>
                <c:pt idx="25">
                  <c:v>0.55044875114784209</c:v>
                </c:pt>
                <c:pt idx="26">
                  <c:v>0.56254141781450873</c:v>
                </c:pt>
                <c:pt idx="27">
                  <c:v>0.57501052892561977</c:v>
                </c:pt>
                <c:pt idx="28">
                  <c:v>0.58785608448117532</c:v>
                </c:pt>
                <c:pt idx="29">
                  <c:v>0.60107808448117539</c:v>
                </c:pt>
                <c:pt idx="30">
                  <c:v>0.61467652892561997</c:v>
                </c:pt>
                <c:pt idx="31">
                  <c:v>0.62865141781450873</c:v>
                </c:pt>
                <c:pt idx="32">
                  <c:v>0.64300275114784211</c:v>
                </c:pt>
                <c:pt idx="33">
                  <c:v>0.6577305289256199</c:v>
                </c:pt>
                <c:pt idx="34">
                  <c:v>0.67283475114784197</c:v>
                </c:pt>
                <c:pt idx="35">
                  <c:v>0.68831541781450878</c:v>
                </c:pt>
                <c:pt idx="36">
                  <c:v>0.70417252892561999</c:v>
                </c:pt>
                <c:pt idx="37">
                  <c:v>0.72040608448117549</c:v>
                </c:pt>
                <c:pt idx="38">
                  <c:v>0.73701608448117528</c:v>
                </c:pt>
                <c:pt idx="39">
                  <c:v>0.75400252892561981</c:v>
                </c:pt>
                <c:pt idx="40">
                  <c:v>0.77136541781450874</c:v>
                </c:pt>
                <c:pt idx="41">
                  <c:v>0.78910475114784207</c:v>
                </c:pt>
                <c:pt idx="42">
                  <c:v>0.8072205289256198</c:v>
                </c:pt>
                <c:pt idx="43">
                  <c:v>0.82571275114784226</c:v>
                </c:pt>
                <c:pt idx="44">
                  <c:v>0.84458141781450857</c:v>
                </c:pt>
                <c:pt idx="45">
                  <c:v>0.86382652892561973</c:v>
                </c:pt>
                <c:pt idx="46">
                  <c:v>0.88344808448117529</c:v>
                </c:pt>
                <c:pt idx="47">
                  <c:v>0.90344608448117536</c:v>
                </c:pt>
                <c:pt idx="48">
                  <c:v>0.92382052892561994</c:v>
                </c:pt>
                <c:pt idx="49">
                  <c:v>0.9445714178145086</c:v>
                </c:pt>
                <c:pt idx="50">
                  <c:v>0.96569875114784187</c:v>
                </c:pt>
                <c:pt idx="51">
                  <c:v>0.98720252892561999</c:v>
                </c:pt>
                <c:pt idx="52">
                  <c:v>1.0090827511478417</c:v>
                </c:pt>
                <c:pt idx="53">
                  <c:v>1.0313394178145088</c:v>
                </c:pt>
                <c:pt idx="54">
                  <c:v>1.0539725289256194</c:v>
                </c:pt>
                <c:pt idx="55">
                  <c:v>1.0769820844811755</c:v>
                </c:pt>
                <c:pt idx="56">
                  <c:v>1.1003680844811752</c:v>
                </c:pt>
                <c:pt idx="57">
                  <c:v>1.1241305289256196</c:v>
                </c:pt>
                <c:pt idx="58">
                  <c:v>1.1482694178145083</c:v>
                </c:pt>
                <c:pt idx="59">
                  <c:v>1.172784751147842</c:v>
                </c:pt>
                <c:pt idx="60">
                  <c:v>1.1976765289256199</c:v>
                </c:pt>
                <c:pt idx="61">
                  <c:v>1.222944751147842</c:v>
                </c:pt>
                <c:pt idx="62">
                  <c:v>1.2485894178145085</c:v>
                </c:pt>
                <c:pt idx="63">
                  <c:v>1.2746105289256198</c:v>
                </c:pt>
                <c:pt idx="64">
                  <c:v>1.3010080844811749</c:v>
                </c:pt>
                <c:pt idx="65">
                  <c:v>1.3277820844811752</c:v>
                </c:pt>
                <c:pt idx="66">
                  <c:v>1.3549325289256196</c:v>
                </c:pt>
                <c:pt idx="67">
                  <c:v>1.3824594178145084</c:v>
                </c:pt>
                <c:pt idx="68">
                  <c:v>1.4103627511478416</c:v>
                </c:pt>
                <c:pt idx="69">
                  <c:v>1.4386425289256195</c:v>
                </c:pt>
                <c:pt idx="70">
                  <c:v>1.4672987511478421</c:v>
                </c:pt>
                <c:pt idx="71">
                  <c:v>1.4963314178145088</c:v>
                </c:pt>
                <c:pt idx="72">
                  <c:v>1.5257405289256196</c:v>
                </c:pt>
                <c:pt idx="73">
                  <c:v>1.5555260844811751</c:v>
                </c:pt>
                <c:pt idx="74">
                  <c:v>1.5856880844811756</c:v>
                </c:pt>
                <c:pt idx="75">
                  <c:v>1.6162265289256195</c:v>
                </c:pt>
                <c:pt idx="76">
                  <c:v>1.6471414178145083</c:v>
                </c:pt>
                <c:pt idx="77">
                  <c:v>1.6784327511478419</c:v>
                </c:pt>
                <c:pt idx="78">
                  <c:v>1.7101005289256195</c:v>
                </c:pt>
                <c:pt idx="79">
                  <c:v>1.7421447511478414</c:v>
                </c:pt>
                <c:pt idx="80">
                  <c:v>1.7745654178145083</c:v>
                </c:pt>
                <c:pt idx="81">
                  <c:v>1.8073625289256199</c:v>
                </c:pt>
                <c:pt idx="82">
                  <c:v>1.8405360844811756</c:v>
                </c:pt>
                <c:pt idx="83">
                  <c:v>1.8740860844811755</c:v>
                </c:pt>
                <c:pt idx="84">
                  <c:v>1.9080125289256193</c:v>
                </c:pt>
                <c:pt idx="85">
                  <c:v>1.9423154178145092</c:v>
                </c:pt>
                <c:pt idx="86">
                  <c:v>1.9769947511478421</c:v>
                </c:pt>
                <c:pt idx="87">
                  <c:v>2.0120505289256201</c:v>
                </c:pt>
                <c:pt idx="88">
                  <c:v>2.0474827511478413</c:v>
                </c:pt>
                <c:pt idx="89">
                  <c:v>2.0832914178145083</c:v>
                </c:pt>
                <c:pt idx="90">
                  <c:v>2.1194765289256194</c:v>
                </c:pt>
                <c:pt idx="91">
                  <c:v>2.1560380844811751</c:v>
                </c:pt>
                <c:pt idx="92">
                  <c:v>2.1929760844811748</c:v>
                </c:pt>
                <c:pt idx="93">
                  <c:v>2.2302905289256199</c:v>
                </c:pt>
                <c:pt idx="94">
                  <c:v>2.2679814178145081</c:v>
                </c:pt>
                <c:pt idx="95">
                  <c:v>2.3060487511478422</c:v>
                </c:pt>
                <c:pt idx="96">
                  <c:v>2.34449252892562</c:v>
                </c:pt>
                <c:pt idx="97">
                  <c:v>2.3833127511478418</c:v>
                </c:pt>
                <c:pt idx="98">
                  <c:v>2.4225094178145072</c:v>
                </c:pt>
                <c:pt idx="99">
                  <c:v>2.4620825289256199</c:v>
                </c:pt>
                <c:pt idx="100">
                  <c:v>2.5020320844811748</c:v>
                </c:pt>
                <c:pt idx="101">
                  <c:v>2.5423580844811746</c:v>
                </c:pt>
                <c:pt idx="102">
                  <c:v>2.5830605289256199</c:v>
                </c:pt>
                <c:pt idx="103">
                  <c:v>2.6241394178145092</c:v>
                </c:pt>
                <c:pt idx="104">
                  <c:v>2.6655947511478417</c:v>
                </c:pt>
                <c:pt idx="105">
                  <c:v>2.7074265289256205</c:v>
                </c:pt>
                <c:pt idx="106">
                  <c:v>2.7496347511478421</c:v>
                </c:pt>
                <c:pt idx="107">
                  <c:v>2.7922194178145081</c:v>
                </c:pt>
                <c:pt idx="108">
                  <c:v>2.8351805289256191</c:v>
                </c:pt>
                <c:pt idx="109">
                  <c:v>2.8785180844811751</c:v>
                </c:pt>
                <c:pt idx="110">
                  <c:v>2.9222320844811751</c:v>
                </c:pt>
                <c:pt idx="111">
                  <c:v>2.9663225289256197</c:v>
                </c:pt>
                <c:pt idx="112">
                  <c:v>3.0107894178145078</c:v>
                </c:pt>
                <c:pt idx="113">
                  <c:v>3.0556327511478418</c:v>
                </c:pt>
                <c:pt idx="114">
                  <c:v>3.1008525289256195</c:v>
                </c:pt>
                <c:pt idx="115">
                  <c:v>3.1464487511478416</c:v>
                </c:pt>
                <c:pt idx="116">
                  <c:v>3.1924214178145078</c:v>
                </c:pt>
                <c:pt idx="117">
                  <c:v>3.2387705289256203</c:v>
                </c:pt>
                <c:pt idx="118">
                  <c:v>3.2854960844811756</c:v>
                </c:pt>
                <c:pt idx="119">
                  <c:v>3.3325980844811753</c:v>
                </c:pt>
                <c:pt idx="120">
                  <c:v>3.3800765289256196</c:v>
                </c:pt>
                <c:pt idx="121">
                  <c:v>3.4279314178145079</c:v>
                </c:pt>
                <c:pt idx="122">
                  <c:v>3.4761627511478412</c:v>
                </c:pt>
                <c:pt idx="123">
                  <c:v>3.5247705289256182</c:v>
                </c:pt>
                <c:pt idx="124">
                  <c:v>3.5737547511478418</c:v>
                </c:pt>
                <c:pt idx="125">
                  <c:v>3.6231154178145082</c:v>
                </c:pt>
                <c:pt idx="126">
                  <c:v>3.6728525289256195</c:v>
                </c:pt>
                <c:pt idx="127">
                  <c:v>3.7229660844811732</c:v>
                </c:pt>
                <c:pt idx="128">
                  <c:v>3.7734560844811744</c:v>
                </c:pt>
                <c:pt idx="129">
                  <c:v>3.8243225289256189</c:v>
                </c:pt>
                <c:pt idx="130">
                  <c:v>3.8755654178145074</c:v>
                </c:pt>
                <c:pt idx="131">
                  <c:v>3.9271847511478404</c:v>
                </c:pt>
                <c:pt idx="132">
                  <c:v>3.9791805289256184</c:v>
                </c:pt>
                <c:pt idx="133">
                  <c:v>4.0315527511478422</c:v>
                </c:pt>
                <c:pt idx="134">
                  <c:v>4.0843014178145083</c:v>
                </c:pt>
                <c:pt idx="135">
                  <c:v>4.1374265289256185</c:v>
                </c:pt>
                <c:pt idx="136">
                  <c:v>4.1909280844811736</c:v>
                </c:pt>
                <c:pt idx="137">
                  <c:v>4.2448060844811755</c:v>
                </c:pt>
                <c:pt idx="138">
                  <c:v>4.2990605289256179</c:v>
                </c:pt>
                <c:pt idx="139">
                  <c:v>4.3536914178145079</c:v>
                </c:pt>
                <c:pt idx="140">
                  <c:v>4.4086987511478428</c:v>
                </c:pt>
                <c:pt idx="141">
                  <c:v>4.4640825289256192</c:v>
                </c:pt>
                <c:pt idx="142">
                  <c:v>4.5198427511478414</c:v>
                </c:pt>
                <c:pt idx="143">
                  <c:v>4.5759794178145068</c:v>
                </c:pt>
                <c:pt idx="144">
                  <c:v>4.6324925289256198</c:v>
                </c:pt>
                <c:pt idx="145">
                  <c:v>4.6893820844811742</c:v>
                </c:pt>
                <c:pt idx="146">
                  <c:v>4.7466480844811727</c:v>
                </c:pt>
                <c:pt idx="147">
                  <c:v>4.8042905289256197</c:v>
                </c:pt>
                <c:pt idx="148">
                  <c:v>4.862309417814509</c:v>
                </c:pt>
                <c:pt idx="149">
                  <c:v>4.9207047511478414</c:v>
                </c:pt>
                <c:pt idx="150">
                  <c:v>4.9794765289256189</c:v>
                </c:pt>
              </c:numCache>
            </c:numRef>
          </c:yVal>
          <c:smooth val="1"/>
          <c:extLst>
            <c:ext xmlns:c16="http://schemas.microsoft.com/office/drawing/2014/chart" uri="{C3380CC4-5D6E-409C-BE32-E72D297353CC}">
              <c16:uniqueId val="{00000002-0B9C-490C-9A55-CBAB0B003695}"/>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7.3333333333333367E-4</c:v>
                </c:pt>
                <c:pt idx="2">
                  <c:v>2.0741798914805398E-3</c:v>
                </c:pt>
                <c:pt idx="3">
                  <c:v>3.8105117766515308E-3</c:v>
                </c:pt>
                <c:pt idx="4">
                  <c:v>5.8666666666666693E-3</c:v>
                </c:pt>
                <c:pt idx="5">
                  <c:v>8.1989159174992287E-3</c:v>
                </c:pt>
                <c:pt idx="6">
                  <c:v>1.0777754868245984E-2</c:v>
                </c:pt>
                <c:pt idx="7">
                  <c:v>1.3581523396798233E-2</c:v>
                </c:pt>
                <c:pt idx="8">
                  <c:v>1.6625674931129472E-2</c:v>
                </c:pt>
                <c:pt idx="9">
                  <c:v>2.0054008264462814E-2</c:v>
                </c:pt>
                <c:pt idx="10">
                  <c:v>2.3885674931129471E-2</c:v>
                </c:pt>
                <c:pt idx="11">
                  <c:v>2.8120674931129474E-2</c:v>
                </c:pt>
                <c:pt idx="12">
                  <c:v>3.2759008264462812E-2</c:v>
                </c:pt>
                <c:pt idx="13">
                  <c:v>3.7800674931129478E-2</c:v>
                </c:pt>
                <c:pt idx="14">
                  <c:v>4.3245674931129477E-2</c:v>
                </c:pt>
                <c:pt idx="15">
                  <c:v>4.9094008264462828E-2</c:v>
                </c:pt>
                <c:pt idx="16">
                  <c:v>5.5345674931129463E-2</c:v>
                </c:pt>
                <c:pt idx="17">
                  <c:v>6.2000674931129457E-2</c:v>
                </c:pt>
                <c:pt idx="18">
                  <c:v>6.9059008264462846E-2</c:v>
                </c:pt>
                <c:pt idx="19">
                  <c:v>7.6520674931129448E-2</c:v>
                </c:pt>
                <c:pt idx="20">
                  <c:v>8.4385674931129487E-2</c:v>
                </c:pt>
                <c:pt idx="21">
                  <c:v>9.2654008264462809E-2</c:v>
                </c:pt>
                <c:pt idx="22">
                  <c:v>0.10132567493112948</c:v>
                </c:pt>
                <c:pt idx="23">
                  <c:v>0.11040067493112947</c:v>
                </c:pt>
                <c:pt idx="24">
                  <c:v>0.11987900826446284</c:v>
                </c:pt>
                <c:pt idx="25">
                  <c:v>0.12976067493112944</c:v>
                </c:pt>
                <c:pt idx="26">
                  <c:v>0.14004567493112949</c:v>
                </c:pt>
                <c:pt idx="27">
                  <c:v>0.15073400826446279</c:v>
                </c:pt>
                <c:pt idx="28">
                  <c:v>0.16182567493112945</c:v>
                </c:pt>
                <c:pt idx="29">
                  <c:v>0.17332067493112943</c:v>
                </c:pt>
                <c:pt idx="30">
                  <c:v>0.18521900826446289</c:v>
                </c:pt>
                <c:pt idx="31">
                  <c:v>0.19752067493112949</c:v>
                </c:pt>
                <c:pt idx="32">
                  <c:v>0.21022567493112945</c:v>
                </c:pt>
                <c:pt idx="33">
                  <c:v>0.22333400826446287</c:v>
                </c:pt>
                <c:pt idx="34">
                  <c:v>0.2368456749311294</c:v>
                </c:pt>
                <c:pt idx="35">
                  <c:v>0.25076067493112963</c:v>
                </c:pt>
                <c:pt idx="36">
                  <c:v>0.2650790082644629</c:v>
                </c:pt>
                <c:pt idx="37">
                  <c:v>0.27980067493112953</c:v>
                </c:pt>
                <c:pt idx="38">
                  <c:v>0.29492567493112942</c:v>
                </c:pt>
                <c:pt idx="39">
                  <c:v>0.31045400826446273</c:v>
                </c:pt>
                <c:pt idx="40">
                  <c:v>0.32638567493112947</c:v>
                </c:pt>
                <c:pt idx="41">
                  <c:v>0.34272067493112957</c:v>
                </c:pt>
                <c:pt idx="42">
                  <c:v>0.35945900826446275</c:v>
                </c:pt>
                <c:pt idx="43">
                  <c:v>0.37660067493112948</c:v>
                </c:pt>
                <c:pt idx="44">
                  <c:v>0.39414567493112945</c:v>
                </c:pt>
                <c:pt idx="45">
                  <c:v>0.4120940082644628</c:v>
                </c:pt>
                <c:pt idx="46">
                  <c:v>0.43044567493112956</c:v>
                </c:pt>
                <c:pt idx="47">
                  <c:v>0.44920067493112947</c:v>
                </c:pt>
                <c:pt idx="48">
                  <c:v>0.46835900826446297</c:v>
                </c:pt>
                <c:pt idx="49">
                  <c:v>0.48792067493112928</c:v>
                </c:pt>
                <c:pt idx="50">
                  <c:v>0.50788567493112935</c:v>
                </c:pt>
                <c:pt idx="51">
                  <c:v>0.528254008264463</c:v>
                </c:pt>
                <c:pt idx="52">
                  <c:v>0.54902567493112953</c:v>
                </c:pt>
                <c:pt idx="53">
                  <c:v>0.57020067493112958</c:v>
                </c:pt>
                <c:pt idx="54">
                  <c:v>0.59177900826446272</c:v>
                </c:pt>
                <c:pt idx="55">
                  <c:v>0.61376067493112962</c:v>
                </c:pt>
                <c:pt idx="56">
                  <c:v>0.63614567493112939</c:v>
                </c:pt>
                <c:pt idx="57">
                  <c:v>0.65893400826446269</c:v>
                </c:pt>
                <c:pt idx="58">
                  <c:v>0.68212567493112952</c:v>
                </c:pt>
                <c:pt idx="59">
                  <c:v>0.70572067493112955</c:v>
                </c:pt>
                <c:pt idx="60">
                  <c:v>0.72971900826446312</c:v>
                </c:pt>
                <c:pt idx="61">
                  <c:v>0.75412067493112955</c:v>
                </c:pt>
                <c:pt idx="62">
                  <c:v>0.77892567493112941</c:v>
                </c:pt>
                <c:pt idx="63">
                  <c:v>0.80413400826446291</c:v>
                </c:pt>
                <c:pt idx="64">
                  <c:v>0.8297456749311295</c:v>
                </c:pt>
                <c:pt idx="65">
                  <c:v>0.85576067493112951</c:v>
                </c:pt>
                <c:pt idx="66">
                  <c:v>0.88217900826446272</c:v>
                </c:pt>
                <c:pt idx="67">
                  <c:v>0.90900067493112913</c:v>
                </c:pt>
                <c:pt idx="68">
                  <c:v>0.93622567493112907</c:v>
                </c:pt>
                <c:pt idx="69">
                  <c:v>0.96385400826446233</c:v>
                </c:pt>
                <c:pt idx="70">
                  <c:v>0.99188567493112967</c:v>
                </c:pt>
                <c:pt idx="71">
                  <c:v>1.0203206749311298</c:v>
                </c:pt>
                <c:pt idx="72">
                  <c:v>1.0491590082644631</c:v>
                </c:pt>
                <c:pt idx="73">
                  <c:v>1.0784006749311292</c:v>
                </c:pt>
                <c:pt idx="74">
                  <c:v>1.1080456749311298</c:v>
                </c:pt>
                <c:pt idx="75">
                  <c:v>1.1380940082644628</c:v>
                </c:pt>
                <c:pt idx="76">
                  <c:v>1.1685456749311294</c:v>
                </c:pt>
                <c:pt idx="77">
                  <c:v>1.1994006749311295</c:v>
                </c:pt>
                <c:pt idx="78">
                  <c:v>1.2306590082644626</c:v>
                </c:pt>
                <c:pt idx="79">
                  <c:v>1.2623206749311293</c:v>
                </c:pt>
                <c:pt idx="80">
                  <c:v>1.2943856749311293</c:v>
                </c:pt>
                <c:pt idx="81">
                  <c:v>1.3268540082644629</c:v>
                </c:pt>
                <c:pt idx="82">
                  <c:v>1.3597256749311297</c:v>
                </c:pt>
                <c:pt idx="83">
                  <c:v>1.3930006749311299</c:v>
                </c:pt>
                <c:pt idx="84">
                  <c:v>1.4266790082644625</c:v>
                </c:pt>
                <c:pt idx="85">
                  <c:v>1.4607606749311297</c:v>
                </c:pt>
                <c:pt idx="86">
                  <c:v>1.4952456749311298</c:v>
                </c:pt>
                <c:pt idx="87">
                  <c:v>1.5301340082644628</c:v>
                </c:pt>
                <c:pt idx="88">
                  <c:v>1.5654256749311293</c:v>
                </c:pt>
                <c:pt idx="89">
                  <c:v>1.6011206749311295</c:v>
                </c:pt>
                <c:pt idx="90">
                  <c:v>1.6372190082644626</c:v>
                </c:pt>
                <c:pt idx="91">
                  <c:v>1.6737206749311293</c:v>
                </c:pt>
                <c:pt idx="92">
                  <c:v>1.7106256749311295</c:v>
                </c:pt>
                <c:pt idx="93">
                  <c:v>1.7479340082644628</c:v>
                </c:pt>
                <c:pt idx="94">
                  <c:v>1.7856456749311298</c:v>
                </c:pt>
                <c:pt idx="95">
                  <c:v>1.8237606749311301</c:v>
                </c:pt>
                <c:pt idx="96">
                  <c:v>1.8622790082644631</c:v>
                </c:pt>
                <c:pt idx="97">
                  <c:v>1.9012006749311297</c:v>
                </c:pt>
                <c:pt idx="98">
                  <c:v>1.9405256749311295</c:v>
                </c:pt>
                <c:pt idx="99">
                  <c:v>1.9802540082644626</c:v>
                </c:pt>
                <c:pt idx="100">
                  <c:v>2.0203856749311293</c:v>
                </c:pt>
                <c:pt idx="101">
                  <c:v>2.0609206749311291</c:v>
                </c:pt>
                <c:pt idx="102">
                  <c:v>2.1018590082644635</c:v>
                </c:pt>
                <c:pt idx="103">
                  <c:v>2.1432006749311308</c:v>
                </c:pt>
                <c:pt idx="104">
                  <c:v>2.1849456749311291</c:v>
                </c:pt>
                <c:pt idx="105">
                  <c:v>2.2270940082644626</c:v>
                </c:pt>
                <c:pt idx="106">
                  <c:v>2.2696456749311298</c:v>
                </c:pt>
                <c:pt idx="107">
                  <c:v>2.3126006749311299</c:v>
                </c:pt>
                <c:pt idx="108">
                  <c:v>2.3559590082644628</c:v>
                </c:pt>
                <c:pt idx="109">
                  <c:v>2.3997206749311304</c:v>
                </c:pt>
                <c:pt idx="110">
                  <c:v>2.44388567493113</c:v>
                </c:pt>
                <c:pt idx="111">
                  <c:v>2.4884540082644637</c:v>
                </c:pt>
                <c:pt idx="112">
                  <c:v>2.5334256749311295</c:v>
                </c:pt>
                <c:pt idx="113">
                  <c:v>2.5788006749311303</c:v>
                </c:pt>
                <c:pt idx="114">
                  <c:v>2.6245790082644627</c:v>
                </c:pt>
                <c:pt idx="115">
                  <c:v>2.6707606749311292</c:v>
                </c:pt>
                <c:pt idx="116">
                  <c:v>2.7173456749311291</c:v>
                </c:pt>
                <c:pt idx="117">
                  <c:v>2.7643340082644641</c:v>
                </c:pt>
                <c:pt idx="118">
                  <c:v>2.8117256749311306</c:v>
                </c:pt>
                <c:pt idx="119">
                  <c:v>2.859520674931129</c:v>
                </c:pt>
                <c:pt idx="120">
                  <c:v>2.9077190082644635</c:v>
                </c:pt>
                <c:pt idx="121">
                  <c:v>2.956320674931129</c:v>
                </c:pt>
                <c:pt idx="122">
                  <c:v>3.0053256749311301</c:v>
                </c:pt>
                <c:pt idx="123">
                  <c:v>3.0547340082644627</c:v>
                </c:pt>
                <c:pt idx="124">
                  <c:v>3.10454567493113</c:v>
                </c:pt>
                <c:pt idx="125">
                  <c:v>3.1547606749311301</c:v>
                </c:pt>
                <c:pt idx="126">
                  <c:v>3.2053790082644622</c:v>
                </c:pt>
                <c:pt idx="127">
                  <c:v>3.2564006749311289</c:v>
                </c:pt>
                <c:pt idx="128">
                  <c:v>3.307825674931129</c:v>
                </c:pt>
                <c:pt idx="129">
                  <c:v>3.3596540082644637</c:v>
                </c:pt>
                <c:pt idx="130">
                  <c:v>3.411885674931129</c:v>
                </c:pt>
                <c:pt idx="131">
                  <c:v>3.4645206749311295</c:v>
                </c:pt>
                <c:pt idx="132">
                  <c:v>3.5175590082644637</c:v>
                </c:pt>
                <c:pt idx="133">
                  <c:v>3.5710006749311316</c:v>
                </c:pt>
                <c:pt idx="134">
                  <c:v>3.6248456749311293</c:v>
                </c:pt>
                <c:pt idx="135">
                  <c:v>3.679094008264463</c:v>
                </c:pt>
                <c:pt idx="136">
                  <c:v>3.7337456749311286</c:v>
                </c:pt>
                <c:pt idx="137">
                  <c:v>3.7888006749311298</c:v>
                </c:pt>
                <c:pt idx="138">
                  <c:v>3.8442590082644612</c:v>
                </c:pt>
                <c:pt idx="139">
                  <c:v>3.9001206749311295</c:v>
                </c:pt>
                <c:pt idx="140">
                  <c:v>3.9563856749311315</c:v>
                </c:pt>
                <c:pt idx="141">
                  <c:v>4.0130540082644632</c:v>
                </c:pt>
                <c:pt idx="142">
                  <c:v>4.0701256749311305</c:v>
                </c:pt>
                <c:pt idx="143">
                  <c:v>4.1276006749311289</c:v>
                </c:pt>
                <c:pt idx="144">
                  <c:v>4.1854790082644637</c:v>
                </c:pt>
                <c:pt idx="145">
                  <c:v>4.2437606749311287</c:v>
                </c:pt>
                <c:pt idx="146">
                  <c:v>4.3024456749311302</c:v>
                </c:pt>
                <c:pt idx="147">
                  <c:v>4.3615340082644636</c:v>
                </c:pt>
                <c:pt idx="148">
                  <c:v>4.4210256749311307</c:v>
                </c:pt>
                <c:pt idx="149">
                  <c:v>4.4809206749311299</c:v>
                </c:pt>
                <c:pt idx="150">
                  <c:v>4.5412190082644628</c:v>
                </c:pt>
              </c:numCache>
            </c:numRef>
          </c:yVal>
          <c:smooth val="1"/>
          <c:extLst>
            <c:ext xmlns:c16="http://schemas.microsoft.com/office/drawing/2014/chart" uri="{C3380CC4-5D6E-409C-BE32-E72D297353CC}">
              <c16:uniqueId val="{00000003-0B9C-490C-9A55-CBAB0B003695}"/>
            </c:ext>
          </c:extLst>
        </c:ser>
        <c:dLbls>
          <c:showLegendKey val="0"/>
          <c:showVal val="0"/>
          <c:showCatName val="0"/>
          <c:showSerName val="0"/>
          <c:showPercent val="0"/>
          <c:showBubbleSize val="0"/>
        </c:dLbls>
        <c:axId val="361467264"/>
        <c:axId val="361465344"/>
      </c:scatterChart>
      <c:valAx>
        <c:axId val="361445248"/>
        <c:scaling>
          <c:orientation val="minMax"/>
        </c:scaling>
        <c:delete val="0"/>
        <c:axPos val="b"/>
        <c:majorGridlines/>
        <c:numFmt formatCode="General" sourceLinked="1"/>
        <c:majorTickMark val="out"/>
        <c:minorTickMark val="none"/>
        <c:tickLblPos val="nextTo"/>
        <c:crossAx val="361446784"/>
        <c:crosses val="autoZero"/>
        <c:crossBetween val="midCat"/>
      </c:valAx>
      <c:valAx>
        <c:axId val="361446784"/>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361445248"/>
        <c:crosses val="autoZero"/>
        <c:crossBetween val="midCat"/>
      </c:valAx>
      <c:valAx>
        <c:axId val="361465344"/>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361467264"/>
        <c:crosses val="max"/>
        <c:crossBetween val="midCat"/>
      </c:valAx>
      <c:valAx>
        <c:axId val="361467264"/>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361465344"/>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82.768015964506432</c:v>
                </c:pt>
                <c:pt idx="2">
                  <c:v>86.682657917278163</c:v>
                </c:pt>
                <c:pt idx="3">
                  <c:v>87.953800007864942</c:v>
                </c:pt>
                <c:pt idx="4">
                  <c:v>88.536496271462724</c:v>
                </c:pt>
                <c:pt idx="5">
                  <c:v>88.845633519816332</c:v>
                </c:pt>
                <c:pt idx="6">
                  <c:v>89.021192209994112</c:v>
                </c:pt>
                <c:pt idx="7">
                  <c:v>89.122936777973891</c:v>
                </c:pt>
                <c:pt idx="8">
                  <c:v>89.467745647759855</c:v>
                </c:pt>
                <c:pt idx="9">
                  <c:v>89.923845394020418</c:v>
                </c:pt>
                <c:pt idx="10">
                  <c:v>90.278471225267737</c:v>
                </c:pt>
                <c:pt idx="11">
                  <c:v>90.558252021737147</c:v>
                </c:pt>
                <c:pt idx="12">
                  <c:v>90.781257750026001</c:v>
                </c:pt>
                <c:pt idx="13">
                  <c:v>90.960182373012771</c:v>
                </c:pt>
                <c:pt idx="14">
                  <c:v>91.10420468883666</c:v>
                </c:pt>
                <c:pt idx="15">
                  <c:v>91.220126285142911</c:v>
                </c:pt>
                <c:pt idx="16">
                  <c:v>91.313094310597037</c:v>
                </c:pt>
                <c:pt idx="17">
                  <c:v>91.387075659303662</c:v>
                </c:pt>
                <c:pt idx="18">
                  <c:v>91.445176908023669</c:v>
                </c:pt>
                <c:pt idx="19">
                  <c:v>91.489865533282682</c:v>
                </c:pt>
                <c:pt idx="20">
                  <c:v>91.52312620817851</c:v>
                </c:pt>
                <c:pt idx="21">
                  <c:v>91.546573369830739</c:v>
                </c:pt>
                <c:pt idx="22">
                  <c:v>91.561533695432757</c:v>
                </c:pt>
                <c:pt idx="23">
                  <c:v>91.569107471286543</c:v>
                </c:pt>
                <c:pt idx="24">
                  <c:v>91.570214898937806</c:v>
                </c:pt>
                <c:pt idx="25">
                  <c:v>91.565631482245408</c:v>
                </c:pt>
                <c:pt idx="26">
                  <c:v>91.556015385652856</c:v>
                </c:pt>
                <c:pt idx="27">
                  <c:v>91.541928811443412</c:v>
                </c:pt>
                <c:pt idx="28">
                  <c:v>91.52385486783551</c:v>
                </c:pt>
                <c:pt idx="29">
                  <c:v>91.502210999882607</c:v>
                </c:pt>
                <c:pt idx="30">
                  <c:v>91.477359773464812</c:v>
                </c:pt>
                <c:pt idx="31">
                  <c:v>91.449617601600451</c:v>
                </c:pt>
                <c:pt idx="32">
                  <c:v>91.419261857020402</c:v>
                </c:pt>
                <c:pt idx="33">
                  <c:v>91.38653670875712</c:v>
                </c:pt>
                <c:pt idx="34">
                  <c:v>91.351657942056619</c:v>
                </c:pt>
                <c:pt idx="35">
                  <c:v>91.314816962395469</c:v>
                </c:pt>
                <c:pt idx="36">
                  <c:v>91.276184140311315</c:v>
                </c:pt>
                <c:pt idx="37">
                  <c:v>91.235911620275544</c:v>
                </c:pt>
                <c:pt idx="38">
                  <c:v>91.194135691194234</c:v>
                </c:pt>
                <c:pt idx="39">
                  <c:v>91.150978796331202</c:v>
                </c:pt>
                <c:pt idx="40">
                  <c:v>91.10655124506053</c:v>
                </c:pt>
                <c:pt idx="41">
                  <c:v>91.060952676808142</c:v>
                </c:pt>
                <c:pt idx="42">
                  <c:v>91.014273318052005</c:v>
                </c:pt>
                <c:pt idx="43">
                  <c:v>90.966595065723283</c:v>
                </c:pt>
                <c:pt idx="44">
                  <c:v>90.917992424350274</c:v>
                </c:pt>
                <c:pt idx="45">
                  <c:v>90.868533319473158</c:v>
                </c:pt>
                <c:pt idx="46">
                  <c:v>90.818279805977681</c:v>
                </c:pt>
                <c:pt idx="47">
                  <c:v>90.767288686851217</c:v>
                </c:pt>
                <c:pt idx="48">
                  <c:v>90.715612055304717</c:v>
                </c:pt>
                <c:pt idx="49">
                  <c:v>90.663297771109356</c:v>
                </c:pt>
                <c:pt idx="50">
                  <c:v>90.61038988027704</c:v>
                </c:pt>
                <c:pt idx="51">
                  <c:v>90.55692898579359</c:v>
                </c:pt>
                <c:pt idx="52">
                  <c:v>90.502952575937627</c:v>
                </c:pt>
                <c:pt idx="53">
                  <c:v>90.44849531574063</c:v>
                </c:pt>
                <c:pt idx="54">
                  <c:v>90.393589306326987</c:v>
                </c:pt>
                <c:pt idx="55">
                  <c:v>90.338264316189239</c:v>
                </c:pt>
                <c:pt idx="56">
                  <c:v>90.282547987878843</c:v>
                </c:pt>
                <c:pt idx="57">
                  <c:v>90.2264660231085</c:v>
                </c:pt>
                <c:pt idx="58">
                  <c:v>90.170042348851368</c:v>
                </c:pt>
                <c:pt idx="59">
                  <c:v>90.113299266675128</c:v>
                </c:pt>
                <c:pt idx="60">
                  <c:v>90.056257587252333</c:v>
                </c:pt>
                <c:pt idx="61">
                  <c:v>89.998936751735741</c:v>
                </c:pt>
                <c:pt idx="62">
                  <c:v>89.941354941471303</c:v>
                </c:pt>
                <c:pt idx="63">
                  <c:v>89.883529177335078</c:v>
                </c:pt>
                <c:pt idx="64">
                  <c:v>89.825475409821735</c:v>
                </c:pt>
                <c:pt idx="65">
                  <c:v>89.76720860087319</c:v>
                </c:pt>
                <c:pt idx="66">
                  <c:v>89.708742798318099</c:v>
                </c:pt>
                <c:pt idx="67">
                  <c:v>89.650091203688831</c:v>
                </c:pt>
                <c:pt idx="68">
                  <c:v>89.591266234093212</c:v>
                </c:pt>
                <c:pt idx="69">
                  <c:v>89.5322795787405</c:v>
                </c:pt>
                <c:pt idx="70">
                  <c:v>89.473142250652614</c:v>
                </c:pt>
                <c:pt idx="71">
                  <c:v>89.413864634032393</c:v>
                </c:pt>
                <c:pt idx="72">
                  <c:v>89.354456527708649</c:v>
                </c:pt>
                <c:pt idx="73">
                  <c:v>89.294927185031639</c:v>
                </c:pt>
                <c:pt idx="74">
                  <c:v>89.235285350553212</c:v>
                </c:pt>
                <c:pt idx="75">
                  <c:v>89.175539293789356</c:v>
                </c:pt>
                <c:pt idx="76">
                  <c:v>89.11569684033276</c:v>
                </c:pt>
                <c:pt idx="77">
                  <c:v>89.055765400554805</c:v>
                </c:pt>
                <c:pt idx="78">
                  <c:v>88.995751996111977</c:v>
                </c:pt>
                <c:pt idx="79">
                  <c:v>88.935663284450229</c:v>
                </c:pt>
                <c:pt idx="80">
                  <c:v>88.875505581481548</c:v>
                </c:pt>
                <c:pt idx="81">
                  <c:v>88.815284882589779</c:v>
                </c:pt>
                <c:pt idx="82">
                  <c:v>88.755006882107622</c:v>
                </c:pt>
                <c:pt idx="83">
                  <c:v>88.694676991392754</c:v>
                </c:pt>
                <c:pt idx="84">
                  <c:v>88.634300355619771</c:v>
                </c:pt>
                <c:pt idx="85">
                  <c:v>88.573881869392622</c:v>
                </c:pt>
                <c:pt idx="86">
                  <c:v>88.513426191273339</c:v>
                </c:pt>
                <c:pt idx="87">
                  <c:v>88.452937757313578</c:v>
                </c:pt>
                <c:pt idx="88">
                  <c:v>88.392420793668308</c:v>
                </c:pt>
                <c:pt idx="89">
                  <c:v>88.331879328362959</c:v>
                </c:pt>
                <c:pt idx="90">
                  <c:v>88.271317202279974</c:v>
                </c:pt>
                <c:pt idx="91">
                  <c:v>88.210738079424289</c:v>
                </c:pt>
                <c:pt idx="92">
                  <c:v>88.150145456522353</c:v>
                </c:pt>
                <c:pt idx="93">
                  <c:v>88.089542672004811</c:v>
                </c:pt>
                <c:pt idx="94">
                  <c:v>88.028932914418164</c:v>
                </c:pt>
                <c:pt idx="95">
                  <c:v>87.968319230307785</c:v>
                </c:pt>
                <c:pt idx="96">
                  <c:v>87.907704531610165</c:v>
                </c:pt>
                <c:pt idx="97">
                  <c:v>87.847091602589899</c:v>
                </c:pt>
                <c:pt idx="98">
                  <c:v>87.786483106353799</c:v>
                </c:pt>
                <c:pt idx="99">
                  <c:v>87.725881590971881</c:v>
                </c:pt>
                <c:pt idx="100">
                  <c:v>87.665289495232486</c:v>
                </c:pt>
                <c:pt idx="101">
                  <c:v>87.604709154056977</c:v>
                </c:pt>
                <c:pt idx="102">
                  <c:v>87.544142803597097</c:v>
                </c:pt>
                <c:pt idx="103">
                  <c:v>87.483592586036693</c:v>
                </c:pt>
                <c:pt idx="104">
                  <c:v>87.423060554117313</c:v>
                </c:pt>
                <c:pt idx="105">
                  <c:v>87.362548675406259</c:v>
                </c:pt>
                <c:pt idx="106">
                  <c:v>87.302058836323951</c:v>
                </c:pt>
                <c:pt idx="107">
                  <c:v>87.241592845946215</c:v>
                </c:pt>
                <c:pt idx="108">
                  <c:v>87.18115243959619</c:v>
                </c:pt>
                <c:pt idx="109">
                  <c:v>87.120739282239128</c:v>
                </c:pt>
                <c:pt idx="110">
                  <c:v>87.060354971692632</c:v>
                </c:pt>
                <c:pt idx="111">
                  <c:v>87.000001041664049</c:v>
                </c:pt>
                <c:pt idx="112">
                  <c:v>86.9396789646256</c:v>
                </c:pt>
                <c:pt idx="113">
                  <c:v>86.879390154537404</c:v>
                </c:pt>
                <c:pt idx="114">
                  <c:v>86.819135969427592</c:v>
                </c:pt>
                <c:pt idx="115">
                  <c:v>86.758917713838173</c:v>
                </c:pt>
                <c:pt idx="116">
                  <c:v>86.69873664114499</c:v>
                </c:pt>
                <c:pt idx="117">
                  <c:v>86.638593955758708</c:v>
                </c:pt>
                <c:pt idx="118">
                  <c:v>86.578490815214565</c:v>
                </c:pt>
                <c:pt idx="119">
                  <c:v>86.518428332156816</c:v>
                </c:pt>
                <c:pt idx="120">
                  <c:v>86.458407576224232</c:v>
                </c:pt>
                <c:pt idx="121">
                  <c:v>86.398429575842584</c:v>
                </c:pt>
                <c:pt idx="122">
                  <c:v>86.338495319928867</c:v>
                </c:pt>
                <c:pt idx="123">
                  <c:v>86.278605759512857</c:v>
                </c:pt>
                <c:pt idx="124">
                  <c:v>86.218761809280281</c:v>
                </c:pt>
                <c:pt idx="125">
                  <c:v>86.158964349042108</c:v>
                </c:pt>
                <c:pt idx="126">
                  <c:v>86.099214225134006</c:v>
                </c:pt>
                <c:pt idx="127">
                  <c:v>86.039512251749855</c:v>
                </c:pt>
                <c:pt idx="128">
                  <c:v>85.979859212212943</c:v>
                </c:pt>
                <c:pt idx="129">
                  <c:v>85.920255860188036</c:v>
                </c:pt>
                <c:pt idx="130">
                  <c:v>85.86070292083761</c:v>
                </c:pt>
                <c:pt idx="131">
                  <c:v>85.801201091925392</c:v>
                </c:pt>
                <c:pt idx="132">
                  <c:v>85.741751044869645</c:v>
                </c:pt>
                <c:pt idx="133">
                  <c:v>85.682353425749099</c:v>
                </c:pt>
                <c:pt idx="134">
                  <c:v>85.623008856263894</c:v>
                </c:pt>
                <c:pt idx="135">
                  <c:v>85.563717934653809</c:v>
                </c:pt>
                <c:pt idx="136">
                  <c:v>85.504481236576225</c:v>
                </c:pt>
                <c:pt idx="137">
                  <c:v>85.445299315945448</c:v>
                </c:pt>
                <c:pt idx="138">
                  <c:v>85.386172705735746</c:v>
                </c:pt>
                <c:pt idx="139">
                  <c:v>85.327101918749662</c:v>
                </c:pt>
                <c:pt idx="140">
                  <c:v>85.268087448353469</c:v>
                </c:pt>
                <c:pt idx="141">
                  <c:v>85.209129769181473</c:v>
                </c:pt>
                <c:pt idx="142">
                  <c:v>85.150229337810231</c:v>
                </c:pt>
                <c:pt idx="143">
                  <c:v>85.091386593404934</c:v>
                </c:pt>
                <c:pt idx="144">
                  <c:v>85.032601958338574</c:v>
                </c:pt>
                <c:pt idx="145">
                  <c:v>84.973875838785531</c:v>
                </c:pt>
                <c:pt idx="146">
                  <c:v>84.915208625290902</c:v>
                </c:pt>
                <c:pt idx="147">
                  <c:v>84.856600693316508</c:v>
                </c:pt>
                <c:pt idx="148">
                  <c:v>84.798052403764743</c:v>
                </c:pt>
                <c:pt idx="149">
                  <c:v>84.739564103481314</c:v>
                </c:pt>
                <c:pt idx="150">
                  <c:v>84.681136125737993</c:v>
                </c:pt>
              </c:numCache>
            </c:numRef>
          </c:yVal>
          <c:smooth val="0"/>
          <c:extLst>
            <c:ext xmlns:c16="http://schemas.microsoft.com/office/drawing/2014/chart" uri="{C3380CC4-5D6E-409C-BE32-E72D297353CC}">
              <c16:uniqueId val="{00000000-CDCC-48C6-9CF0-E1F2D98B8528}"/>
            </c:ext>
          </c:extLst>
        </c:ser>
        <c:dLbls>
          <c:showLegendKey val="0"/>
          <c:showVal val="0"/>
          <c:showCatName val="0"/>
          <c:showSerName val="0"/>
          <c:showPercent val="0"/>
          <c:showBubbleSize val="0"/>
        </c:dLbls>
        <c:axId val="522488064"/>
        <c:axId val="522489856"/>
      </c:scatterChart>
      <c:scatterChart>
        <c:scatterStyle val="smoothMarker"/>
        <c:varyColors val="0"/>
        <c:ser>
          <c:idx val="1"/>
          <c:order val="1"/>
          <c:tx>
            <c:v>LS MOSFET</c:v>
          </c:tx>
          <c:spPr>
            <a:ln>
              <a:solidFill>
                <a:schemeClr val="tx2">
                  <a:lumMod val="75000"/>
                </a:schemeClr>
              </a:solidFill>
              <a:prstDash val="dash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0.17349670634920636</c:v>
                </c:pt>
                <c:pt idx="2">
                  <c:v>0.34926146207105119</c:v>
                </c:pt>
                <c:pt idx="3">
                  <c:v>0.52650269634711822</c:v>
                </c:pt>
                <c:pt idx="4">
                  <c:v>0.70493793650793657</c:v>
                </c:pt>
                <c:pt idx="5">
                  <c:v>0.88440392894913999</c:v>
                </c:pt>
                <c:pt idx="6">
                  <c:v>1.0647905229366899</c:v>
                </c:pt>
                <c:pt idx="7">
                  <c:v>1.2460168540147132</c:v>
                </c:pt>
                <c:pt idx="8">
                  <c:v>1.4281406149809786</c:v>
                </c:pt>
                <c:pt idx="9">
                  <c:v>1.6116986546635184</c:v>
                </c:pt>
                <c:pt idx="10">
                  <c:v>1.7967624721238358</c:v>
                </c:pt>
                <c:pt idx="11">
                  <c:v>1.983332067361931</c:v>
                </c:pt>
                <c:pt idx="12">
                  <c:v>2.1714074403778043</c:v>
                </c:pt>
                <c:pt idx="13">
                  <c:v>2.3609885911714552</c:v>
                </c:pt>
                <c:pt idx="14">
                  <c:v>2.5520755197428828</c:v>
                </c:pt>
                <c:pt idx="15">
                  <c:v>2.7446682260920903</c:v>
                </c:pt>
                <c:pt idx="16">
                  <c:v>2.938766710219074</c:v>
                </c:pt>
                <c:pt idx="17">
                  <c:v>3.1343709721238353</c:v>
                </c:pt>
                <c:pt idx="18">
                  <c:v>3.3314810118063756</c:v>
                </c:pt>
                <c:pt idx="19">
                  <c:v>3.5300968292666921</c:v>
                </c:pt>
                <c:pt idx="20">
                  <c:v>3.7302184245047885</c:v>
                </c:pt>
                <c:pt idx="21">
                  <c:v>3.9318457975206602</c:v>
                </c:pt>
                <c:pt idx="22">
                  <c:v>4.1349789483143118</c:v>
                </c:pt>
                <c:pt idx="23">
                  <c:v>4.3396178768857405</c:v>
                </c:pt>
                <c:pt idx="24">
                  <c:v>4.5457625832349473</c:v>
                </c:pt>
                <c:pt idx="25">
                  <c:v>4.7534130673619313</c:v>
                </c:pt>
                <c:pt idx="26">
                  <c:v>4.9625693292666933</c:v>
                </c:pt>
                <c:pt idx="27">
                  <c:v>5.1732313689492315</c:v>
                </c:pt>
                <c:pt idx="28">
                  <c:v>5.3853991864095487</c:v>
                </c:pt>
                <c:pt idx="29">
                  <c:v>5.5990727816476458</c:v>
                </c:pt>
                <c:pt idx="30">
                  <c:v>5.8142521546635191</c:v>
                </c:pt>
                <c:pt idx="31">
                  <c:v>6.0309373054571687</c:v>
                </c:pt>
                <c:pt idx="32">
                  <c:v>6.2491282340285981</c:v>
                </c:pt>
                <c:pt idx="33">
                  <c:v>6.4688249403778046</c:v>
                </c:pt>
                <c:pt idx="34">
                  <c:v>6.6900274245047866</c:v>
                </c:pt>
                <c:pt idx="35">
                  <c:v>6.9127356864095519</c:v>
                </c:pt>
                <c:pt idx="36">
                  <c:v>7.13694972609209</c:v>
                </c:pt>
                <c:pt idx="37">
                  <c:v>7.3626695435524097</c:v>
                </c:pt>
                <c:pt idx="38">
                  <c:v>7.5898951387905003</c:v>
                </c:pt>
                <c:pt idx="39">
                  <c:v>7.8186265118063751</c:v>
                </c:pt>
                <c:pt idx="40">
                  <c:v>8.0488636626000272</c:v>
                </c:pt>
                <c:pt idx="41">
                  <c:v>8.2806065911714573</c:v>
                </c:pt>
                <c:pt idx="42">
                  <c:v>8.5138552975206601</c:v>
                </c:pt>
                <c:pt idx="43">
                  <c:v>8.7486097816476462</c:v>
                </c:pt>
                <c:pt idx="44">
                  <c:v>8.9848700435524069</c:v>
                </c:pt>
                <c:pt idx="45">
                  <c:v>9.2226360832349457</c:v>
                </c:pt>
                <c:pt idx="46">
                  <c:v>9.4619079006952642</c:v>
                </c:pt>
                <c:pt idx="47">
                  <c:v>9.7026854959333591</c:v>
                </c:pt>
                <c:pt idx="48">
                  <c:v>9.9449688689492337</c:v>
                </c:pt>
                <c:pt idx="49">
                  <c:v>10.188758019742881</c:v>
                </c:pt>
                <c:pt idx="50">
                  <c:v>10.434052948314312</c:v>
                </c:pt>
                <c:pt idx="51">
                  <c:v>10.680853654663521</c:v>
                </c:pt>
                <c:pt idx="52">
                  <c:v>10.929160138790504</c:v>
                </c:pt>
                <c:pt idx="53">
                  <c:v>11.178972400695264</c:v>
                </c:pt>
                <c:pt idx="54">
                  <c:v>11.430290440377801</c:v>
                </c:pt>
                <c:pt idx="55">
                  <c:v>11.683114257838122</c:v>
                </c:pt>
                <c:pt idx="56">
                  <c:v>11.937443853076214</c:v>
                </c:pt>
                <c:pt idx="57">
                  <c:v>12.193279226092088</c:v>
                </c:pt>
                <c:pt idx="58">
                  <c:v>12.450620376885741</c:v>
                </c:pt>
                <c:pt idx="59">
                  <c:v>12.709467305457171</c:v>
                </c:pt>
                <c:pt idx="60">
                  <c:v>12.969820011806378</c:v>
                </c:pt>
                <c:pt idx="61">
                  <c:v>13.231678495933359</c:v>
                </c:pt>
                <c:pt idx="62">
                  <c:v>13.495042757838121</c:v>
                </c:pt>
                <c:pt idx="63">
                  <c:v>13.759912797520661</c:v>
                </c:pt>
                <c:pt idx="64">
                  <c:v>14.026288614980977</c:v>
                </c:pt>
                <c:pt idx="65">
                  <c:v>14.294170210219074</c:v>
                </c:pt>
                <c:pt idx="66">
                  <c:v>14.563557583234948</c:v>
                </c:pt>
                <c:pt idx="67">
                  <c:v>14.834450734028596</c:v>
                </c:pt>
                <c:pt idx="68">
                  <c:v>15.106849662600023</c:v>
                </c:pt>
                <c:pt idx="69">
                  <c:v>15.380754368949228</c:v>
                </c:pt>
                <c:pt idx="70">
                  <c:v>15.656164853076222</c:v>
                </c:pt>
                <c:pt idx="71">
                  <c:v>15.933081114980979</c:v>
                </c:pt>
                <c:pt idx="72">
                  <c:v>16.211503154663518</c:v>
                </c:pt>
                <c:pt idx="73">
                  <c:v>16.491430972123837</c:v>
                </c:pt>
                <c:pt idx="74">
                  <c:v>16.772864567361935</c:v>
                </c:pt>
                <c:pt idx="75">
                  <c:v>17.055803940377803</c:v>
                </c:pt>
                <c:pt idx="76">
                  <c:v>17.340249091171451</c:v>
                </c:pt>
                <c:pt idx="77">
                  <c:v>17.626200019742885</c:v>
                </c:pt>
                <c:pt idx="78">
                  <c:v>17.913656726092089</c:v>
                </c:pt>
                <c:pt idx="79">
                  <c:v>18.202619210219073</c:v>
                </c:pt>
                <c:pt idx="80">
                  <c:v>18.493087472123836</c:v>
                </c:pt>
                <c:pt idx="81">
                  <c:v>18.785061511806379</c:v>
                </c:pt>
                <c:pt idx="82">
                  <c:v>19.078541329266699</c:v>
                </c:pt>
                <c:pt idx="83">
                  <c:v>19.373526924504795</c:v>
                </c:pt>
                <c:pt idx="84">
                  <c:v>19.670018297520656</c:v>
                </c:pt>
                <c:pt idx="85">
                  <c:v>19.968015448314315</c:v>
                </c:pt>
                <c:pt idx="86">
                  <c:v>20.267518376885747</c:v>
                </c:pt>
                <c:pt idx="87">
                  <c:v>20.568527083234947</c:v>
                </c:pt>
                <c:pt idx="88">
                  <c:v>20.871041567361932</c:v>
                </c:pt>
                <c:pt idx="89">
                  <c:v>21.175061829266692</c:v>
                </c:pt>
                <c:pt idx="90">
                  <c:v>21.480587868949232</c:v>
                </c:pt>
                <c:pt idx="91">
                  <c:v>21.787619686409549</c:v>
                </c:pt>
                <c:pt idx="92">
                  <c:v>22.096157281647645</c:v>
                </c:pt>
                <c:pt idx="93">
                  <c:v>22.406200654663518</c:v>
                </c:pt>
                <c:pt idx="94">
                  <c:v>22.717749805457167</c:v>
                </c:pt>
                <c:pt idx="95">
                  <c:v>23.0308047340286</c:v>
                </c:pt>
                <c:pt idx="96">
                  <c:v>23.345365440377808</c:v>
                </c:pt>
                <c:pt idx="97">
                  <c:v>23.661431924504789</c:v>
                </c:pt>
                <c:pt idx="98">
                  <c:v>23.979004186409544</c:v>
                </c:pt>
                <c:pt idx="99">
                  <c:v>24.298082226092088</c:v>
                </c:pt>
                <c:pt idx="100">
                  <c:v>24.618666043552409</c:v>
                </c:pt>
                <c:pt idx="101">
                  <c:v>24.940755638790499</c:v>
                </c:pt>
                <c:pt idx="102">
                  <c:v>25.264351011806379</c:v>
                </c:pt>
                <c:pt idx="103">
                  <c:v>25.589452162600033</c:v>
                </c:pt>
                <c:pt idx="104">
                  <c:v>25.916059091171459</c:v>
                </c:pt>
                <c:pt idx="105">
                  <c:v>26.244171797520664</c:v>
                </c:pt>
                <c:pt idx="106">
                  <c:v>26.573790281647643</c:v>
                </c:pt>
                <c:pt idx="107">
                  <c:v>26.904914543552408</c:v>
                </c:pt>
                <c:pt idx="108">
                  <c:v>27.237544583234943</c:v>
                </c:pt>
                <c:pt idx="109">
                  <c:v>27.571680400695268</c:v>
                </c:pt>
                <c:pt idx="110">
                  <c:v>27.907321995933358</c:v>
                </c:pt>
                <c:pt idx="111">
                  <c:v>28.244469368949236</c:v>
                </c:pt>
                <c:pt idx="112">
                  <c:v>28.583122519742879</c:v>
                </c:pt>
                <c:pt idx="113">
                  <c:v>28.923281448314317</c:v>
                </c:pt>
                <c:pt idx="114">
                  <c:v>29.264946154663519</c:v>
                </c:pt>
                <c:pt idx="115">
                  <c:v>29.608116638790502</c:v>
                </c:pt>
                <c:pt idx="116">
                  <c:v>29.952792900695265</c:v>
                </c:pt>
                <c:pt idx="117">
                  <c:v>30.298974940377811</c:v>
                </c:pt>
                <c:pt idx="118">
                  <c:v>30.646662757838126</c:v>
                </c:pt>
                <c:pt idx="119">
                  <c:v>30.995856353076213</c:v>
                </c:pt>
                <c:pt idx="120">
                  <c:v>31.346555726092092</c:v>
                </c:pt>
                <c:pt idx="121">
                  <c:v>31.698760876885743</c:v>
                </c:pt>
                <c:pt idx="122">
                  <c:v>32.052471805457174</c:v>
                </c:pt>
                <c:pt idx="123">
                  <c:v>32.40768851180637</c:v>
                </c:pt>
                <c:pt idx="124">
                  <c:v>32.76441099593336</c:v>
                </c:pt>
                <c:pt idx="125">
                  <c:v>33.122639257838124</c:v>
                </c:pt>
                <c:pt idx="126">
                  <c:v>33.482373297520667</c:v>
                </c:pt>
                <c:pt idx="127">
                  <c:v>33.843613114980975</c:v>
                </c:pt>
                <c:pt idx="128">
                  <c:v>34.206358710219071</c:v>
                </c:pt>
                <c:pt idx="129">
                  <c:v>34.570610083234946</c:v>
                </c:pt>
                <c:pt idx="130">
                  <c:v>34.936367234028594</c:v>
                </c:pt>
                <c:pt idx="131">
                  <c:v>35.303630162600022</c:v>
                </c:pt>
                <c:pt idx="132">
                  <c:v>35.67239886894923</c:v>
                </c:pt>
                <c:pt idx="133">
                  <c:v>36.042673353076225</c:v>
                </c:pt>
                <c:pt idx="134">
                  <c:v>36.414453614980978</c:v>
                </c:pt>
                <c:pt idx="135">
                  <c:v>36.787739654663518</c:v>
                </c:pt>
                <c:pt idx="136">
                  <c:v>37.162531472123831</c:v>
                </c:pt>
                <c:pt idx="137">
                  <c:v>37.538829067361931</c:v>
                </c:pt>
                <c:pt idx="138">
                  <c:v>37.916632440377796</c:v>
                </c:pt>
                <c:pt idx="139">
                  <c:v>38.295941591171456</c:v>
                </c:pt>
                <c:pt idx="140">
                  <c:v>38.676756519742895</c:v>
                </c:pt>
                <c:pt idx="141">
                  <c:v>39.059077226092086</c:v>
                </c:pt>
                <c:pt idx="142">
                  <c:v>39.442903710219078</c:v>
                </c:pt>
                <c:pt idx="143">
                  <c:v>39.828235972123835</c:v>
                </c:pt>
                <c:pt idx="144">
                  <c:v>40.215074011806379</c:v>
                </c:pt>
                <c:pt idx="145">
                  <c:v>40.603417829266689</c:v>
                </c:pt>
                <c:pt idx="146">
                  <c:v>40.993267424504793</c:v>
                </c:pt>
                <c:pt idx="147">
                  <c:v>41.384622797520663</c:v>
                </c:pt>
                <c:pt idx="148">
                  <c:v>41.777483948314327</c:v>
                </c:pt>
                <c:pt idx="149">
                  <c:v>42.171850876885742</c:v>
                </c:pt>
                <c:pt idx="150">
                  <c:v>42.567723583234944</c:v>
                </c:pt>
              </c:numCache>
            </c:numRef>
          </c:yVal>
          <c:smooth val="1"/>
          <c:extLst>
            <c:ext xmlns:c16="http://schemas.microsoft.com/office/drawing/2014/chart" uri="{C3380CC4-5D6E-409C-BE32-E72D297353CC}">
              <c16:uniqueId val="{00000001-CDCC-48C6-9CF0-E1F2D98B8528}"/>
            </c:ext>
          </c:extLst>
        </c:ser>
        <c:ser>
          <c:idx val="2"/>
          <c:order val="2"/>
          <c:tx>
            <c:v>HS MOSFET</c:v>
          </c:tx>
          <c:spPr>
            <a:ln>
              <a:solidFill>
                <a:schemeClr val="bg2">
                  <a:lumMod val="50000"/>
                </a:schemeClr>
              </a:solidFill>
              <a:prstDash val="sysDash"/>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0.36274444444444448</c:v>
                </c:pt>
                <c:pt idx="2">
                  <c:v>0.36962920568032265</c:v>
                </c:pt>
                <c:pt idx="3">
                  <c:v>0.3755723686411449</c:v>
                </c:pt>
                <c:pt idx="4">
                  <c:v>0.38113555555555562</c:v>
                </c:pt>
                <c:pt idx="5">
                  <c:v>0.38652284601699644</c:v>
                </c:pt>
                <c:pt idx="6">
                  <c:v>0.39183229837888089</c:v>
                </c:pt>
                <c:pt idx="7">
                  <c:v>0.39711830633415685</c:v>
                </c:pt>
                <c:pt idx="8">
                  <c:v>0.40246941781450873</c:v>
                </c:pt>
                <c:pt idx="9">
                  <c:v>0.40816252892561988</c:v>
                </c:pt>
                <c:pt idx="10">
                  <c:v>0.41423208448117543</c:v>
                </c:pt>
                <c:pt idx="11">
                  <c:v>0.42067808448117539</c:v>
                </c:pt>
                <c:pt idx="12">
                  <c:v>0.4275005289256199</c:v>
                </c:pt>
                <c:pt idx="13">
                  <c:v>0.43469941781450877</c:v>
                </c:pt>
                <c:pt idx="14">
                  <c:v>0.44227475114784209</c:v>
                </c:pt>
                <c:pt idx="15">
                  <c:v>0.45022652892561987</c:v>
                </c:pt>
                <c:pt idx="16">
                  <c:v>0.45855475114784205</c:v>
                </c:pt>
                <c:pt idx="17">
                  <c:v>0.46725941781450875</c:v>
                </c:pt>
                <c:pt idx="18">
                  <c:v>0.4763405289256199</c:v>
                </c:pt>
                <c:pt idx="19">
                  <c:v>0.4857980844811754</c:v>
                </c:pt>
                <c:pt idx="20">
                  <c:v>0.49563208448117541</c:v>
                </c:pt>
                <c:pt idx="21">
                  <c:v>0.50584252892561976</c:v>
                </c:pt>
                <c:pt idx="22">
                  <c:v>0.51642941781450868</c:v>
                </c:pt>
                <c:pt idx="23">
                  <c:v>0.52739275114784201</c:v>
                </c:pt>
                <c:pt idx="24">
                  <c:v>0.53873252892561985</c:v>
                </c:pt>
                <c:pt idx="25">
                  <c:v>0.55044875114784209</c:v>
                </c:pt>
                <c:pt idx="26">
                  <c:v>0.56254141781450873</c:v>
                </c:pt>
                <c:pt idx="27">
                  <c:v>0.57501052892561977</c:v>
                </c:pt>
                <c:pt idx="28">
                  <c:v>0.58785608448117532</c:v>
                </c:pt>
                <c:pt idx="29">
                  <c:v>0.60107808448117539</c:v>
                </c:pt>
                <c:pt idx="30">
                  <c:v>0.61467652892561997</c:v>
                </c:pt>
                <c:pt idx="31">
                  <c:v>0.62865141781450873</c:v>
                </c:pt>
                <c:pt idx="32">
                  <c:v>0.64300275114784211</c:v>
                </c:pt>
                <c:pt idx="33">
                  <c:v>0.6577305289256199</c:v>
                </c:pt>
                <c:pt idx="34">
                  <c:v>0.67283475114784197</c:v>
                </c:pt>
                <c:pt idx="35">
                  <c:v>0.68831541781450878</c:v>
                </c:pt>
                <c:pt idx="36">
                  <c:v>0.70417252892561999</c:v>
                </c:pt>
                <c:pt idx="37">
                  <c:v>0.72040608448117549</c:v>
                </c:pt>
                <c:pt idx="38">
                  <c:v>0.73701608448117528</c:v>
                </c:pt>
                <c:pt idx="39">
                  <c:v>0.75400252892561981</c:v>
                </c:pt>
                <c:pt idx="40">
                  <c:v>0.77136541781450874</c:v>
                </c:pt>
                <c:pt idx="41">
                  <c:v>0.78910475114784207</c:v>
                </c:pt>
                <c:pt idx="42">
                  <c:v>0.8072205289256198</c:v>
                </c:pt>
                <c:pt idx="43">
                  <c:v>0.82571275114784226</c:v>
                </c:pt>
                <c:pt idx="44">
                  <c:v>0.84458141781450857</c:v>
                </c:pt>
                <c:pt idx="45">
                  <c:v>0.86382652892561973</c:v>
                </c:pt>
                <c:pt idx="46">
                  <c:v>0.88344808448117529</c:v>
                </c:pt>
                <c:pt idx="47">
                  <c:v>0.90344608448117536</c:v>
                </c:pt>
                <c:pt idx="48">
                  <c:v>0.92382052892561994</c:v>
                </c:pt>
                <c:pt idx="49">
                  <c:v>0.9445714178145086</c:v>
                </c:pt>
                <c:pt idx="50">
                  <c:v>0.96569875114784187</c:v>
                </c:pt>
                <c:pt idx="51">
                  <c:v>0.98720252892561999</c:v>
                </c:pt>
                <c:pt idx="52">
                  <c:v>1.0090827511478417</c:v>
                </c:pt>
                <c:pt idx="53">
                  <c:v>1.0313394178145088</c:v>
                </c:pt>
                <c:pt idx="54">
                  <c:v>1.0539725289256194</c:v>
                </c:pt>
                <c:pt idx="55">
                  <c:v>1.0769820844811755</c:v>
                </c:pt>
                <c:pt idx="56">
                  <c:v>1.1003680844811752</c:v>
                </c:pt>
                <c:pt idx="57">
                  <c:v>1.1241305289256196</c:v>
                </c:pt>
                <c:pt idx="58">
                  <c:v>1.1482694178145083</c:v>
                </c:pt>
                <c:pt idx="59">
                  <c:v>1.172784751147842</c:v>
                </c:pt>
                <c:pt idx="60">
                  <c:v>1.1976765289256199</c:v>
                </c:pt>
                <c:pt idx="61">
                  <c:v>1.222944751147842</c:v>
                </c:pt>
                <c:pt idx="62">
                  <c:v>1.2485894178145085</c:v>
                </c:pt>
                <c:pt idx="63">
                  <c:v>1.2746105289256198</c:v>
                </c:pt>
                <c:pt idx="64">
                  <c:v>1.3010080844811749</c:v>
                </c:pt>
                <c:pt idx="65">
                  <c:v>1.3277820844811752</c:v>
                </c:pt>
                <c:pt idx="66">
                  <c:v>1.3549325289256196</c:v>
                </c:pt>
                <c:pt idx="67">
                  <c:v>1.3824594178145084</c:v>
                </c:pt>
                <c:pt idx="68">
                  <c:v>1.4103627511478416</c:v>
                </c:pt>
                <c:pt idx="69">
                  <c:v>1.4386425289256195</c:v>
                </c:pt>
                <c:pt idx="70">
                  <c:v>1.4672987511478421</c:v>
                </c:pt>
                <c:pt idx="71">
                  <c:v>1.4963314178145088</c:v>
                </c:pt>
                <c:pt idx="72">
                  <c:v>1.5257405289256196</c:v>
                </c:pt>
                <c:pt idx="73">
                  <c:v>1.5555260844811751</c:v>
                </c:pt>
                <c:pt idx="74">
                  <c:v>1.5856880844811756</c:v>
                </c:pt>
                <c:pt idx="75">
                  <c:v>1.6162265289256195</c:v>
                </c:pt>
                <c:pt idx="76">
                  <c:v>1.6471414178145083</c:v>
                </c:pt>
                <c:pt idx="77">
                  <c:v>1.6784327511478419</c:v>
                </c:pt>
                <c:pt idx="78">
                  <c:v>1.7101005289256195</c:v>
                </c:pt>
                <c:pt idx="79">
                  <c:v>1.7421447511478414</c:v>
                </c:pt>
                <c:pt idx="80">
                  <c:v>1.7745654178145083</c:v>
                </c:pt>
                <c:pt idx="81">
                  <c:v>1.8073625289256199</c:v>
                </c:pt>
                <c:pt idx="82">
                  <c:v>1.8405360844811756</c:v>
                </c:pt>
                <c:pt idx="83">
                  <c:v>1.8740860844811755</c:v>
                </c:pt>
                <c:pt idx="84">
                  <c:v>1.9080125289256193</c:v>
                </c:pt>
                <c:pt idx="85">
                  <c:v>1.9423154178145092</c:v>
                </c:pt>
                <c:pt idx="86">
                  <c:v>1.9769947511478421</c:v>
                </c:pt>
                <c:pt idx="87">
                  <c:v>2.0120505289256201</c:v>
                </c:pt>
                <c:pt idx="88">
                  <c:v>2.0474827511478413</c:v>
                </c:pt>
                <c:pt idx="89">
                  <c:v>2.0832914178145083</c:v>
                </c:pt>
                <c:pt idx="90">
                  <c:v>2.1194765289256194</c:v>
                </c:pt>
                <c:pt idx="91">
                  <c:v>2.1560380844811751</c:v>
                </c:pt>
                <c:pt idx="92">
                  <c:v>2.1929760844811748</c:v>
                </c:pt>
                <c:pt idx="93">
                  <c:v>2.2302905289256199</c:v>
                </c:pt>
                <c:pt idx="94">
                  <c:v>2.2679814178145081</c:v>
                </c:pt>
                <c:pt idx="95">
                  <c:v>2.3060487511478422</c:v>
                </c:pt>
                <c:pt idx="96">
                  <c:v>2.34449252892562</c:v>
                </c:pt>
                <c:pt idx="97">
                  <c:v>2.3833127511478418</c:v>
                </c:pt>
                <c:pt idx="98">
                  <c:v>2.4225094178145072</c:v>
                </c:pt>
                <c:pt idx="99">
                  <c:v>2.4620825289256199</c:v>
                </c:pt>
                <c:pt idx="100">
                  <c:v>2.5020320844811748</c:v>
                </c:pt>
                <c:pt idx="101">
                  <c:v>2.5423580844811746</c:v>
                </c:pt>
                <c:pt idx="102">
                  <c:v>2.5830605289256199</c:v>
                </c:pt>
                <c:pt idx="103">
                  <c:v>2.6241394178145092</c:v>
                </c:pt>
                <c:pt idx="104">
                  <c:v>2.6655947511478417</c:v>
                </c:pt>
                <c:pt idx="105">
                  <c:v>2.7074265289256205</c:v>
                </c:pt>
                <c:pt idx="106">
                  <c:v>2.7496347511478421</c:v>
                </c:pt>
                <c:pt idx="107">
                  <c:v>2.7922194178145081</c:v>
                </c:pt>
                <c:pt idx="108">
                  <c:v>2.8351805289256191</c:v>
                </c:pt>
                <c:pt idx="109">
                  <c:v>2.8785180844811751</c:v>
                </c:pt>
                <c:pt idx="110">
                  <c:v>2.9222320844811751</c:v>
                </c:pt>
                <c:pt idx="111">
                  <c:v>2.9663225289256197</c:v>
                </c:pt>
                <c:pt idx="112">
                  <c:v>3.0107894178145078</c:v>
                </c:pt>
                <c:pt idx="113">
                  <c:v>3.0556327511478418</c:v>
                </c:pt>
                <c:pt idx="114">
                  <c:v>3.1008525289256195</c:v>
                </c:pt>
                <c:pt idx="115">
                  <c:v>3.1464487511478416</c:v>
                </c:pt>
                <c:pt idx="116">
                  <c:v>3.1924214178145078</c:v>
                </c:pt>
                <c:pt idx="117">
                  <c:v>3.2387705289256203</c:v>
                </c:pt>
                <c:pt idx="118">
                  <c:v>3.2854960844811756</c:v>
                </c:pt>
                <c:pt idx="119">
                  <c:v>3.3325980844811753</c:v>
                </c:pt>
                <c:pt idx="120">
                  <c:v>3.3800765289256196</c:v>
                </c:pt>
                <c:pt idx="121">
                  <c:v>3.4279314178145079</c:v>
                </c:pt>
                <c:pt idx="122">
                  <c:v>3.4761627511478412</c:v>
                </c:pt>
                <c:pt idx="123">
                  <c:v>3.5247705289256182</c:v>
                </c:pt>
                <c:pt idx="124">
                  <c:v>3.5737547511478418</c:v>
                </c:pt>
                <c:pt idx="125">
                  <c:v>3.6231154178145082</c:v>
                </c:pt>
                <c:pt idx="126">
                  <c:v>3.6728525289256195</c:v>
                </c:pt>
                <c:pt idx="127">
                  <c:v>3.7229660844811732</c:v>
                </c:pt>
                <c:pt idx="128">
                  <c:v>3.7734560844811744</c:v>
                </c:pt>
                <c:pt idx="129">
                  <c:v>3.8243225289256189</c:v>
                </c:pt>
                <c:pt idx="130">
                  <c:v>3.8755654178145074</c:v>
                </c:pt>
                <c:pt idx="131">
                  <c:v>3.9271847511478404</c:v>
                </c:pt>
                <c:pt idx="132">
                  <c:v>3.9791805289256184</c:v>
                </c:pt>
                <c:pt idx="133">
                  <c:v>4.0315527511478422</c:v>
                </c:pt>
                <c:pt idx="134">
                  <c:v>4.0843014178145083</c:v>
                </c:pt>
                <c:pt idx="135">
                  <c:v>4.1374265289256185</c:v>
                </c:pt>
                <c:pt idx="136">
                  <c:v>4.1909280844811736</c:v>
                </c:pt>
                <c:pt idx="137">
                  <c:v>4.2448060844811755</c:v>
                </c:pt>
                <c:pt idx="138">
                  <c:v>4.2990605289256179</c:v>
                </c:pt>
                <c:pt idx="139">
                  <c:v>4.3536914178145079</c:v>
                </c:pt>
                <c:pt idx="140">
                  <c:v>4.4086987511478428</c:v>
                </c:pt>
                <c:pt idx="141">
                  <c:v>4.4640825289256192</c:v>
                </c:pt>
                <c:pt idx="142">
                  <c:v>4.5198427511478414</c:v>
                </c:pt>
                <c:pt idx="143">
                  <c:v>4.5759794178145068</c:v>
                </c:pt>
                <c:pt idx="144">
                  <c:v>4.6324925289256198</c:v>
                </c:pt>
                <c:pt idx="145">
                  <c:v>4.6893820844811742</c:v>
                </c:pt>
                <c:pt idx="146">
                  <c:v>4.7466480844811727</c:v>
                </c:pt>
                <c:pt idx="147">
                  <c:v>4.8042905289256197</c:v>
                </c:pt>
                <c:pt idx="148">
                  <c:v>4.862309417814509</c:v>
                </c:pt>
                <c:pt idx="149">
                  <c:v>4.9207047511478414</c:v>
                </c:pt>
                <c:pt idx="150">
                  <c:v>4.9794765289256189</c:v>
                </c:pt>
              </c:numCache>
            </c:numRef>
          </c:yVal>
          <c:smooth val="1"/>
          <c:extLst>
            <c:ext xmlns:c16="http://schemas.microsoft.com/office/drawing/2014/chart" uri="{C3380CC4-5D6E-409C-BE32-E72D297353CC}">
              <c16:uniqueId val="{00000002-CDCC-48C6-9CF0-E1F2D98B8528}"/>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7.3333333333333367E-4</c:v>
                </c:pt>
                <c:pt idx="2">
                  <c:v>2.0741798914805398E-3</c:v>
                </c:pt>
                <c:pt idx="3">
                  <c:v>3.8105117766515308E-3</c:v>
                </c:pt>
                <c:pt idx="4">
                  <c:v>5.8666666666666693E-3</c:v>
                </c:pt>
                <c:pt idx="5">
                  <c:v>8.1989159174992287E-3</c:v>
                </c:pt>
                <c:pt idx="6">
                  <c:v>1.0777754868245984E-2</c:v>
                </c:pt>
                <c:pt idx="7">
                  <c:v>1.3581523396798233E-2</c:v>
                </c:pt>
                <c:pt idx="8">
                  <c:v>1.6625674931129472E-2</c:v>
                </c:pt>
                <c:pt idx="9">
                  <c:v>2.0054008264462814E-2</c:v>
                </c:pt>
                <c:pt idx="10">
                  <c:v>2.3885674931129471E-2</c:v>
                </c:pt>
                <c:pt idx="11">
                  <c:v>2.8120674931129474E-2</c:v>
                </c:pt>
                <c:pt idx="12">
                  <c:v>3.2759008264462812E-2</c:v>
                </c:pt>
                <c:pt idx="13">
                  <c:v>3.7800674931129478E-2</c:v>
                </c:pt>
                <c:pt idx="14">
                  <c:v>4.3245674931129477E-2</c:v>
                </c:pt>
                <c:pt idx="15">
                  <c:v>4.9094008264462828E-2</c:v>
                </c:pt>
                <c:pt idx="16">
                  <c:v>5.5345674931129463E-2</c:v>
                </c:pt>
                <c:pt idx="17">
                  <c:v>6.2000674931129457E-2</c:v>
                </c:pt>
                <c:pt idx="18">
                  <c:v>6.9059008264462846E-2</c:v>
                </c:pt>
                <c:pt idx="19">
                  <c:v>7.6520674931129448E-2</c:v>
                </c:pt>
                <c:pt idx="20">
                  <c:v>8.4385674931129487E-2</c:v>
                </c:pt>
                <c:pt idx="21">
                  <c:v>9.2654008264462809E-2</c:v>
                </c:pt>
                <c:pt idx="22">
                  <c:v>0.10132567493112948</c:v>
                </c:pt>
                <c:pt idx="23">
                  <c:v>0.11040067493112947</c:v>
                </c:pt>
                <c:pt idx="24">
                  <c:v>0.11987900826446284</c:v>
                </c:pt>
                <c:pt idx="25">
                  <c:v>0.12976067493112944</c:v>
                </c:pt>
                <c:pt idx="26">
                  <c:v>0.14004567493112949</c:v>
                </c:pt>
                <c:pt idx="27">
                  <c:v>0.15073400826446279</c:v>
                </c:pt>
                <c:pt idx="28">
                  <c:v>0.16182567493112945</c:v>
                </c:pt>
                <c:pt idx="29">
                  <c:v>0.17332067493112943</c:v>
                </c:pt>
                <c:pt idx="30">
                  <c:v>0.18521900826446289</c:v>
                </c:pt>
                <c:pt idx="31">
                  <c:v>0.19752067493112949</c:v>
                </c:pt>
                <c:pt idx="32">
                  <c:v>0.21022567493112945</c:v>
                </c:pt>
                <c:pt idx="33">
                  <c:v>0.22333400826446287</c:v>
                </c:pt>
                <c:pt idx="34">
                  <c:v>0.2368456749311294</c:v>
                </c:pt>
                <c:pt idx="35">
                  <c:v>0.25076067493112963</c:v>
                </c:pt>
                <c:pt idx="36">
                  <c:v>0.2650790082644629</c:v>
                </c:pt>
                <c:pt idx="37">
                  <c:v>0.27980067493112953</c:v>
                </c:pt>
                <c:pt idx="38">
                  <c:v>0.29492567493112942</c:v>
                </c:pt>
                <c:pt idx="39">
                  <c:v>0.31045400826446273</c:v>
                </c:pt>
                <c:pt idx="40">
                  <c:v>0.32638567493112947</c:v>
                </c:pt>
                <c:pt idx="41">
                  <c:v>0.34272067493112957</c:v>
                </c:pt>
                <c:pt idx="42">
                  <c:v>0.35945900826446275</c:v>
                </c:pt>
                <c:pt idx="43">
                  <c:v>0.37660067493112948</c:v>
                </c:pt>
                <c:pt idx="44">
                  <c:v>0.39414567493112945</c:v>
                </c:pt>
                <c:pt idx="45">
                  <c:v>0.4120940082644628</c:v>
                </c:pt>
                <c:pt idx="46">
                  <c:v>0.43044567493112956</c:v>
                </c:pt>
                <c:pt idx="47">
                  <c:v>0.44920067493112947</c:v>
                </c:pt>
                <c:pt idx="48">
                  <c:v>0.46835900826446297</c:v>
                </c:pt>
                <c:pt idx="49">
                  <c:v>0.48792067493112928</c:v>
                </c:pt>
                <c:pt idx="50">
                  <c:v>0.50788567493112935</c:v>
                </c:pt>
                <c:pt idx="51">
                  <c:v>0.528254008264463</c:v>
                </c:pt>
                <c:pt idx="52">
                  <c:v>0.54902567493112953</c:v>
                </c:pt>
                <c:pt idx="53">
                  <c:v>0.57020067493112958</c:v>
                </c:pt>
                <c:pt idx="54">
                  <c:v>0.59177900826446272</c:v>
                </c:pt>
                <c:pt idx="55">
                  <c:v>0.61376067493112962</c:v>
                </c:pt>
                <c:pt idx="56">
                  <c:v>0.63614567493112939</c:v>
                </c:pt>
                <c:pt idx="57">
                  <c:v>0.65893400826446269</c:v>
                </c:pt>
                <c:pt idx="58">
                  <c:v>0.68212567493112952</c:v>
                </c:pt>
                <c:pt idx="59">
                  <c:v>0.70572067493112955</c:v>
                </c:pt>
                <c:pt idx="60">
                  <c:v>0.72971900826446312</c:v>
                </c:pt>
                <c:pt idx="61">
                  <c:v>0.75412067493112955</c:v>
                </c:pt>
                <c:pt idx="62">
                  <c:v>0.77892567493112941</c:v>
                </c:pt>
                <c:pt idx="63">
                  <c:v>0.80413400826446291</c:v>
                </c:pt>
                <c:pt idx="64">
                  <c:v>0.8297456749311295</c:v>
                </c:pt>
                <c:pt idx="65">
                  <c:v>0.85576067493112951</c:v>
                </c:pt>
                <c:pt idx="66">
                  <c:v>0.88217900826446272</c:v>
                </c:pt>
                <c:pt idx="67">
                  <c:v>0.90900067493112913</c:v>
                </c:pt>
                <c:pt idx="68">
                  <c:v>0.93622567493112907</c:v>
                </c:pt>
                <c:pt idx="69">
                  <c:v>0.96385400826446233</c:v>
                </c:pt>
                <c:pt idx="70">
                  <c:v>0.99188567493112967</c:v>
                </c:pt>
                <c:pt idx="71">
                  <c:v>1.0203206749311298</c:v>
                </c:pt>
                <c:pt idx="72">
                  <c:v>1.0491590082644631</c:v>
                </c:pt>
                <c:pt idx="73">
                  <c:v>1.0784006749311292</c:v>
                </c:pt>
                <c:pt idx="74">
                  <c:v>1.1080456749311298</c:v>
                </c:pt>
                <c:pt idx="75">
                  <c:v>1.1380940082644628</c:v>
                </c:pt>
                <c:pt idx="76">
                  <c:v>1.1685456749311294</c:v>
                </c:pt>
                <c:pt idx="77">
                  <c:v>1.1994006749311295</c:v>
                </c:pt>
                <c:pt idx="78">
                  <c:v>1.2306590082644626</c:v>
                </c:pt>
                <c:pt idx="79">
                  <c:v>1.2623206749311293</c:v>
                </c:pt>
                <c:pt idx="80">
                  <c:v>1.2943856749311293</c:v>
                </c:pt>
                <c:pt idx="81">
                  <c:v>1.3268540082644629</c:v>
                </c:pt>
                <c:pt idx="82">
                  <c:v>1.3597256749311297</c:v>
                </c:pt>
                <c:pt idx="83">
                  <c:v>1.3930006749311299</c:v>
                </c:pt>
                <c:pt idx="84">
                  <c:v>1.4266790082644625</c:v>
                </c:pt>
                <c:pt idx="85">
                  <c:v>1.4607606749311297</c:v>
                </c:pt>
                <c:pt idx="86">
                  <c:v>1.4952456749311298</c:v>
                </c:pt>
                <c:pt idx="87">
                  <c:v>1.5301340082644628</c:v>
                </c:pt>
                <c:pt idx="88">
                  <c:v>1.5654256749311293</c:v>
                </c:pt>
                <c:pt idx="89">
                  <c:v>1.6011206749311295</c:v>
                </c:pt>
                <c:pt idx="90">
                  <c:v>1.6372190082644626</c:v>
                </c:pt>
                <c:pt idx="91">
                  <c:v>1.6737206749311293</c:v>
                </c:pt>
                <c:pt idx="92">
                  <c:v>1.7106256749311295</c:v>
                </c:pt>
                <c:pt idx="93">
                  <c:v>1.7479340082644628</c:v>
                </c:pt>
                <c:pt idx="94">
                  <c:v>1.7856456749311298</c:v>
                </c:pt>
                <c:pt idx="95">
                  <c:v>1.8237606749311301</c:v>
                </c:pt>
                <c:pt idx="96">
                  <c:v>1.8622790082644631</c:v>
                </c:pt>
                <c:pt idx="97">
                  <c:v>1.9012006749311297</c:v>
                </c:pt>
                <c:pt idx="98">
                  <c:v>1.9405256749311295</c:v>
                </c:pt>
                <c:pt idx="99">
                  <c:v>1.9802540082644626</c:v>
                </c:pt>
                <c:pt idx="100">
                  <c:v>2.0203856749311293</c:v>
                </c:pt>
                <c:pt idx="101">
                  <c:v>2.0609206749311291</c:v>
                </c:pt>
                <c:pt idx="102">
                  <c:v>2.1018590082644635</c:v>
                </c:pt>
                <c:pt idx="103">
                  <c:v>2.1432006749311308</c:v>
                </c:pt>
                <c:pt idx="104">
                  <c:v>2.1849456749311291</c:v>
                </c:pt>
                <c:pt idx="105">
                  <c:v>2.2270940082644626</c:v>
                </c:pt>
                <c:pt idx="106">
                  <c:v>2.2696456749311298</c:v>
                </c:pt>
                <c:pt idx="107">
                  <c:v>2.3126006749311299</c:v>
                </c:pt>
                <c:pt idx="108">
                  <c:v>2.3559590082644628</c:v>
                </c:pt>
                <c:pt idx="109">
                  <c:v>2.3997206749311304</c:v>
                </c:pt>
                <c:pt idx="110">
                  <c:v>2.44388567493113</c:v>
                </c:pt>
                <c:pt idx="111">
                  <c:v>2.4884540082644637</c:v>
                </c:pt>
                <c:pt idx="112">
                  <c:v>2.5334256749311295</c:v>
                </c:pt>
                <c:pt idx="113">
                  <c:v>2.5788006749311303</c:v>
                </c:pt>
                <c:pt idx="114">
                  <c:v>2.6245790082644627</c:v>
                </c:pt>
                <c:pt idx="115">
                  <c:v>2.6707606749311292</c:v>
                </c:pt>
                <c:pt idx="116">
                  <c:v>2.7173456749311291</c:v>
                </c:pt>
                <c:pt idx="117">
                  <c:v>2.7643340082644641</c:v>
                </c:pt>
                <c:pt idx="118">
                  <c:v>2.8117256749311306</c:v>
                </c:pt>
                <c:pt idx="119">
                  <c:v>2.859520674931129</c:v>
                </c:pt>
                <c:pt idx="120">
                  <c:v>2.9077190082644635</c:v>
                </c:pt>
                <c:pt idx="121">
                  <c:v>2.956320674931129</c:v>
                </c:pt>
                <c:pt idx="122">
                  <c:v>3.0053256749311301</c:v>
                </c:pt>
                <c:pt idx="123">
                  <c:v>3.0547340082644627</c:v>
                </c:pt>
                <c:pt idx="124">
                  <c:v>3.10454567493113</c:v>
                </c:pt>
                <c:pt idx="125">
                  <c:v>3.1547606749311301</c:v>
                </c:pt>
                <c:pt idx="126">
                  <c:v>3.2053790082644622</c:v>
                </c:pt>
                <c:pt idx="127">
                  <c:v>3.2564006749311289</c:v>
                </c:pt>
                <c:pt idx="128">
                  <c:v>3.307825674931129</c:v>
                </c:pt>
                <c:pt idx="129">
                  <c:v>3.3596540082644637</c:v>
                </c:pt>
                <c:pt idx="130">
                  <c:v>3.411885674931129</c:v>
                </c:pt>
                <c:pt idx="131">
                  <c:v>3.4645206749311295</c:v>
                </c:pt>
                <c:pt idx="132">
                  <c:v>3.5175590082644637</c:v>
                </c:pt>
                <c:pt idx="133">
                  <c:v>3.5710006749311316</c:v>
                </c:pt>
                <c:pt idx="134">
                  <c:v>3.6248456749311293</c:v>
                </c:pt>
                <c:pt idx="135">
                  <c:v>3.679094008264463</c:v>
                </c:pt>
                <c:pt idx="136">
                  <c:v>3.7337456749311286</c:v>
                </c:pt>
                <c:pt idx="137">
                  <c:v>3.7888006749311298</c:v>
                </c:pt>
                <c:pt idx="138">
                  <c:v>3.8442590082644612</c:v>
                </c:pt>
                <c:pt idx="139">
                  <c:v>3.9001206749311295</c:v>
                </c:pt>
                <c:pt idx="140">
                  <c:v>3.9563856749311315</c:v>
                </c:pt>
                <c:pt idx="141">
                  <c:v>4.0130540082644632</c:v>
                </c:pt>
                <c:pt idx="142">
                  <c:v>4.0701256749311305</c:v>
                </c:pt>
                <c:pt idx="143">
                  <c:v>4.1276006749311289</c:v>
                </c:pt>
                <c:pt idx="144">
                  <c:v>4.1854790082644637</c:v>
                </c:pt>
                <c:pt idx="145">
                  <c:v>4.2437606749311287</c:v>
                </c:pt>
                <c:pt idx="146">
                  <c:v>4.3024456749311302</c:v>
                </c:pt>
                <c:pt idx="147">
                  <c:v>4.3615340082644636</c:v>
                </c:pt>
                <c:pt idx="148">
                  <c:v>4.4210256749311307</c:v>
                </c:pt>
                <c:pt idx="149">
                  <c:v>4.4809206749311299</c:v>
                </c:pt>
                <c:pt idx="150">
                  <c:v>4.5412190082644628</c:v>
                </c:pt>
              </c:numCache>
            </c:numRef>
          </c:yVal>
          <c:smooth val="1"/>
          <c:extLst>
            <c:ext xmlns:c16="http://schemas.microsoft.com/office/drawing/2014/chart" uri="{C3380CC4-5D6E-409C-BE32-E72D297353CC}">
              <c16:uniqueId val="{00000003-CDCC-48C6-9CF0-E1F2D98B8528}"/>
            </c:ext>
          </c:extLst>
        </c:ser>
        <c:dLbls>
          <c:showLegendKey val="0"/>
          <c:showVal val="0"/>
          <c:showCatName val="0"/>
          <c:showSerName val="0"/>
          <c:showPercent val="0"/>
          <c:showBubbleSize val="0"/>
        </c:dLbls>
        <c:axId val="522502144"/>
        <c:axId val="522491776"/>
      </c:scatterChart>
      <c:valAx>
        <c:axId val="522488064"/>
        <c:scaling>
          <c:orientation val="minMax"/>
        </c:scaling>
        <c:delete val="0"/>
        <c:axPos val="b"/>
        <c:majorGridlines/>
        <c:numFmt formatCode="General" sourceLinked="1"/>
        <c:majorTickMark val="out"/>
        <c:minorTickMark val="none"/>
        <c:tickLblPos val="nextTo"/>
        <c:crossAx val="522489856"/>
        <c:crosses val="autoZero"/>
        <c:crossBetween val="midCat"/>
      </c:valAx>
      <c:valAx>
        <c:axId val="522489856"/>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22488064"/>
        <c:crosses val="autoZero"/>
        <c:crossBetween val="midCat"/>
      </c:valAx>
      <c:valAx>
        <c:axId val="522491776"/>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22502144"/>
        <c:crosses val="max"/>
        <c:crossBetween val="midCat"/>
      </c:valAx>
      <c:valAx>
        <c:axId val="522502144"/>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522491776"/>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CCM 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Loop_Modeling!$AG$19:$AG$560</c:f>
              <c:numCache>
                <c:formatCode>0.000</c:formatCode>
                <c:ptCount val="542"/>
                <c:pt idx="0">
                  <c:v>22.138637975385489</c:v>
                </c:pt>
                <c:pt idx="1">
                  <c:v>22.138007564865049</c:v>
                </c:pt>
                <c:pt idx="2">
                  <c:v>22.137347542186909</c:v>
                </c:pt>
                <c:pt idx="3">
                  <c:v>22.136656521211982</c:v>
                </c:pt>
                <c:pt idx="4">
                  <c:v>22.135933051380391</c:v>
                </c:pt>
                <c:pt idx="5">
                  <c:v>22.135175614761874</c:v>
                </c:pt>
                <c:pt idx="6">
                  <c:v>22.134382622975913</c:v>
                </c:pt>
                <c:pt idx="7">
                  <c:v>22.133552413975149</c:v>
                </c:pt>
                <c:pt idx="8">
                  <c:v>22.132683248687648</c:v>
                </c:pt>
                <c:pt idx="9">
                  <c:v>22.131773307511644</c:v>
                </c:pt>
                <c:pt idx="10">
                  <c:v>22.130820686656595</c:v>
                </c:pt>
                <c:pt idx="11">
                  <c:v>22.129823394325161</c:v>
                </c:pt>
                <c:pt idx="12">
                  <c:v>22.128779346729349</c:v>
                </c:pt>
                <c:pt idx="13">
                  <c:v>22.127686363933769</c:v>
                </c:pt>
                <c:pt idx="14">
                  <c:v>22.126542165521542</c:v>
                </c:pt>
                <c:pt idx="15">
                  <c:v>22.125344366072561</c:v>
                </c:pt>
                <c:pt idx="16">
                  <c:v>22.124090470450632</c:v>
                </c:pt>
                <c:pt idx="17">
                  <c:v>22.122777868889422</c:v>
                </c:pt>
                <c:pt idx="18">
                  <c:v>22.121403831872009</c:v>
                </c:pt>
                <c:pt idx="19">
                  <c:v>22.119965504795232</c:v>
                </c:pt>
                <c:pt idx="20">
                  <c:v>22.11845990241191</c:v>
                </c:pt>
                <c:pt idx="21">
                  <c:v>22.116883903042101</c:v>
                </c:pt>
                <c:pt idx="22">
                  <c:v>22.115234242547071</c:v>
                </c:pt>
                <c:pt idx="23">
                  <c:v>22.113507508057005</c:v>
                </c:pt>
                <c:pt idx="24">
                  <c:v>22.111700131443474</c:v>
                </c:pt>
                <c:pt idx="25">
                  <c:v>22.109808382531245</c:v>
                </c:pt>
                <c:pt idx="26">
                  <c:v>22.107828362037463</c:v>
                </c:pt>
                <c:pt idx="27">
                  <c:v>22.105755994233505</c:v>
                </c:pt>
                <c:pt idx="28">
                  <c:v>22.103587019319292</c:v>
                </c:pt>
                <c:pt idx="29">
                  <c:v>22.101316985501906</c:v>
                </c:pt>
                <c:pt idx="30">
                  <c:v>22.098941240771456</c:v>
                </c:pt>
                <c:pt idx="31">
                  <c:v>22.096454924365542</c:v>
                </c:pt>
                <c:pt idx="32">
                  <c:v>22.093852957914734</c:v>
                </c:pt>
                <c:pt idx="33">
                  <c:v>22.091130036261429</c:v>
                </c:pt>
                <c:pt idx="34">
                  <c:v>22.088280617945117</c:v>
                </c:pt>
                <c:pt idx="35">
                  <c:v>22.085298915346769</c:v>
                </c:pt>
                <c:pt idx="36">
                  <c:v>22.082178884487252</c:v>
                </c:pt>
                <c:pt idx="37">
                  <c:v>22.078914214470924</c:v>
                </c:pt>
                <c:pt idx="38">
                  <c:v>22.075498316573018</c:v>
                </c:pt>
                <c:pt idx="39">
                  <c:v>22.071924312963461</c:v>
                </c:pt>
                <c:pt idx="40">
                  <c:v>22.068185025063269</c:v>
                </c:pt>
                <c:pt idx="41">
                  <c:v>22.064272961533504</c:v>
                </c:pt>
                <c:pt idx="42">
                  <c:v>22.060180305891318</c:v>
                </c:pt>
                <c:pt idx="43">
                  <c:v>22.055898903754802</c:v>
                </c:pt>
                <c:pt idx="44">
                  <c:v>22.0514202497173</c:v>
                </c:pt>
                <c:pt idx="45">
                  <c:v>22.046735473851481</c:v>
                </c:pt>
                <c:pt idx="46">
                  <c:v>22.041835327850471</c:v>
                </c:pt>
                <c:pt idx="47">
                  <c:v>22.036710170807552</c:v>
                </c:pt>
                <c:pt idx="48">
                  <c:v>22.031349954646117</c:v>
                </c:pt>
                <c:pt idx="49">
                  <c:v>22.025744209207044</c:v>
                </c:pt>
                <c:pt idx="50">
                  <c:v>22.019882027007675</c:v>
                </c:pt>
                <c:pt idx="51">
                  <c:v>22.013752047687056</c:v>
                </c:pt>
                <c:pt idx="52">
                  <c:v>22.007342442155444</c:v>
                </c:pt>
                <c:pt idx="53">
                  <c:v>22.00064089646899</c:v>
                </c:pt>
                <c:pt idx="54">
                  <c:v>21.993634595456577</c:v>
                </c:pt>
                <c:pt idx="55">
                  <c:v>21.986310206124639</c:v>
                </c:pt>
                <c:pt idx="56">
                  <c:v>21.978653860874605</c:v>
                </c:pt>
                <c:pt idx="57">
                  <c:v>21.970651140570041</c:v>
                </c:pt>
                <c:pt idx="58">
                  <c:v>21.962287057494589</c:v>
                </c:pt>
                <c:pt idx="59">
                  <c:v>21.953546038247559</c:v>
                </c:pt>
                <c:pt idx="60">
                  <c:v>21.944411906631988</c:v>
                </c:pt>
                <c:pt idx="61">
                  <c:v>21.934867866588533</c:v>
                </c:pt>
                <c:pt idx="62">
                  <c:v>21.924896485244624</c:v>
                </c:pt>
                <c:pt idx="63">
                  <c:v>21.914479676146076</c:v>
                </c:pt>
                <c:pt idx="64">
                  <c:v>21.903598682748658</c:v>
                </c:pt>
                <c:pt idx="65">
                  <c:v>21.892234062256009</c:v>
                </c:pt>
                <c:pt idx="66">
                  <c:v>21.88036566989366</c:v>
                </c:pt>
                <c:pt idx="67">
                  <c:v>21.867972643719561</c:v>
                </c:pt>
                <c:pt idx="68">
                  <c:v>21.855033390078006</c:v>
                </c:pt>
                <c:pt idx="69">
                  <c:v>21.8415255698126</c:v>
                </c:pt>
                <c:pt idx="70">
                  <c:v>21.827426085361918</c:v>
                </c:pt>
                <c:pt idx="71">
                  <c:v>21.812711068869749</c:v>
                </c:pt>
                <c:pt idx="72">
                  <c:v>21.797355871451316</c:v>
                </c:pt>
                <c:pt idx="73">
                  <c:v>21.781335053762277</c:v>
                </c:pt>
                <c:pt idx="74">
                  <c:v>21.764622378031042</c:v>
                </c:pt>
                <c:pt idx="75">
                  <c:v>21.747190801717061</c:v>
                </c:pt>
                <c:pt idx="76">
                  <c:v>21.72901247296911</c:v>
                </c:pt>
                <c:pt idx="77">
                  <c:v>21.710058728064698</c:v>
                </c:pt>
                <c:pt idx="78">
                  <c:v>21.690300091017455</c:v>
                </c:pt>
                <c:pt idx="79">
                  <c:v>21.66970627554544</c:v>
                </c:pt>
                <c:pt idx="80">
                  <c:v>21.648246189599917</c:v>
                </c:pt>
                <c:pt idx="81">
                  <c:v>21.625887942655911</c:v>
                </c:pt>
                <c:pt idx="82">
                  <c:v>21.602598855971426</c:v>
                </c:pt>
                <c:pt idx="83">
                  <c:v>21.578345476021504</c:v>
                </c:pt>
                <c:pt idx="84">
                  <c:v>21.553093591313448</c:v>
                </c:pt>
                <c:pt idx="85">
                  <c:v>21.526808252788907</c:v>
                </c:pt>
                <c:pt idx="86">
                  <c:v>21.499453798012318</c:v>
                </c:pt>
                <c:pt idx="87">
                  <c:v>21.470993879339886</c:v>
                </c:pt>
                <c:pt idx="88">
                  <c:v>21.441391496255356</c:v>
                </c:pt>
                <c:pt idx="89">
                  <c:v>21.410609032043851</c:v>
                </c:pt>
                <c:pt idx="90">
                  <c:v>21.378608294965442</c:v>
                </c:pt>
                <c:pt idx="91">
                  <c:v>21.345350564067395</c:v>
                </c:pt>
                <c:pt idx="92">
                  <c:v>21.310796639757946</c:v>
                </c:pt>
                <c:pt idx="93">
                  <c:v>21.274906899236473</c:v>
                </c:pt>
                <c:pt idx="94">
                  <c:v>21.237641356850361</c:v>
                </c:pt>
                <c:pt idx="95">
                  <c:v>21.198959729416647</c:v>
                </c:pt>
                <c:pt idx="96">
                  <c:v>21.1588215065117</c:v>
                </c:pt>
                <c:pt idx="97">
                  <c:v>21.117186025696</c:v>
                </c:pt>
                <c:pt idx="98">
                  <c:v>21.074012552599406</c:v>
                </c:pt>
                <c:pt idx="99">
                  <c:v>21.029260365747852</c:v>
                </c:pt>
                <c:pt idx="100">
                  <c:v>20.982888845967373</c:v>
                </c:pt>
                <c:pt idx="101">
                  <c:v>20.93485757015122</c:v>
                </c:pt>
                <c:pt idx="102">
                  <c:v>20.885126409125764</c:v>
                </c:pt>
                <c:pt idx="103">
                  <c:v>20.833655629297692</c:v>
                </c:pt>
                <c:pt idx="104">
                  <c:v>20.780405997714418</c:v>
                </c:pt>
                <c:pt idx="105">
                  <c:v>20.725338890113335</c:v>
                </c:pt>
                <c:pt idx="106">
                  <c:v>20.668416401486311</c:v>
                </c:pt>
                <c:pt idx="107">
                  <c:v>20.609601458632408</c:v>
                </c:pt>
                <c:pt idx="108">
                  <c:v>20.548857934125671</c:v>
                </c:pt>
                <c:pt idx="109">
                  <c:v>20.4861507610769</c:v>
                </c:pt>
                <c:pt idx="110">
                  <c:v>20.42144604802963</c:v>
                </c:pt>
                <c:pt idx="111">
                  <c:v>20.35471119329182</c:v>
                </c:pt>
                <c:pt idx="112">
                  <c:v>20.285914997977127</c:v>
                </c:pt>
                <c:pt idx="113">
                  <c:v>20.215027777003257</c:v>
                </c:pt>
                <c:pt idx="114">
                  <c:v>20.142021467281396</c:v>
                </c:pt>
                <c:pt idx="115">
                  <c:v>20.066869732320782</c:v>
                </c:pt>
                <c:pt idx="116">
                  <c:v>19.989548062474583</c:v>
                </c:pt>
                <c:pt idx="117">
                  <c:v>19.910033870063518</c:v>
                </c:pt>
                <c:pt idx="118">
                  <c:v>19.828306578631604</c:v>
                </c:pt>
                <c:pt idx="119">
                  <c:v>19.74434770561977</c:v>
                </c:pt>
                <c:pt idx="120">
                  <c:v>19.658140937780416</c:v>
                </c:pt>
                <c:pt idx="121">
                  <c:v>19.56967219870333</c:v>
                </c:pt>
                <c:pt idx="122">
                  <c:v>19.478929707883349</c:v>
                </c:pt>
                <c:pt idx="123">
                  <c:v>19.385904030820228</c:v>
                </c:pt>
                <c:pt idx="124">
                  <c:v>19.290588119720002</c:v>
                </c:pt>
                <c:pt idx="125">
                  <c:v>19.192977344438905</c:v>
                </c:pt>
                <c:pt idx="126">
                  <c:v>19.093069513402618</c:v>
                </c:pt>
                <c:pt idx="127">
                  <c:v>18.990864884316348</c:v>
                </c:pt>
                <c:pt idx="128">
                  <c:v>18.886366164575726</c:v>
                </c:pt>
                <c:pt idx="129">
                  <c:v>18.779578501379998</c:v>
                </c:pt>
                <c:pt idx="130">
                  <c:v>18.670509461642975</c:v>
                </c:pt>
                <c:pt idx="131">
                  <c:v>18.559169001885316</c:v>
                </c:pt>
                <c:pt idx="132">
                  <c:v>18.445569428386108</c:v>
                </c:pt>
                <c:pt idx="133">
                  <c:v>18.329725347948095</c:v>
                </c:pt>
                <c:pt idx="134">
                  <c:v>18.211653609717715</c:v>
                </c:pt>
                <c:pt idx="135">
                  <c:v>18.091373238567904</c:v>
                </c:pt>
                <c:pt idx="136">
                  <c:v>17.968905360618901</c:v>
                </c:pt>
                <c:pt idx="137">
                  <c:v>17.844273121529383</c:v>
                </c:pt>
                <c:pt idx="138">
                  <c:v>17.717501598237163</c:v>
                </c:pt>
                <c:pt idx="139">
                  <c:v>17.588617704866984</c:v>
                </c:pt>
                <c:pt idx="140">
                  <c:v>17.457650093554538</c:v>
                </c:pt>
                <c:pt idx="141">
                  <c:v>17.324629050950307</c:v>
                </c:pt>
                <c:pt idx="142">
                  <c:v>17.189586391183244</c:v>
                </c:pt>
                <c:pt idx="143">
                  <c:v>17.052555346059158</c:v>
                </c:pt>
                <c:pt idx="144">
                  <c:v>16.913570453265152</c:v>
                </c:pt>
                <c:pt idx="145">
                  <c:v>16.772667443331258</c:v>
                </c:pt>
                <c:pt idx="146">
                  <c:v>16.629883126082191</c:v>
                </c:pt>
                <c:pt idx="147">
                  <c:v>16.48525527727471</c:v>
                </c:pt>
                <c:pt idx="148">
                  <c:v>16.338822526087345</c:v>
                </c:pt>
                <c:pt idx="149">
                  <c:v>16.190624244082166</c:v>
                </c:pt>
                <c:pt idx="150">
                  <c:v>16.040700436215488</c:v>
                </c:pt>
                <c:pt idx="151">
                  <c:v>15.889091634426396</c:v>
                </c:pt>
                <c:pt idx="152">
                  <c:v>15.735838794279903</c:v>
                </c:pt>
                <c:pt idx="153">
                  <c:v>15.580983195088729</c:v>
                </c:pt>
                <c:pt idx="154">
                  <c:v>15.424566343888165</c:v>
                </c:pt>
                <c:pt idx="155">
                  <c:v>15.266629883580228</c:v>
                </c:pt>
                <c:pt idx="156">
                  <c:v>15.107215505517397</c:v>
                </c:pt>
                <c:pt idx="157">
                  <c:v>14.946364866739755</c:v>
                </c:pt>
                <c:pt idx="158">
                  <c:v>14.784119512036217</c:v>
                </c:pt>
                <c:pt idx="159">
                  <c:v>14.620520800949095</c:v>
                </c:pt>
                <c:pt idx="160">
                  <c:v>14.455609839801166</c:v>
                </c:pt>
                <c:pt idx="161">
                  <c:v>14.289427418782301</c:v>
                </c:pt>
                <c:pt idx="162">
                  <c:v>14.122013954095177</c:v>
                </c:pt>
                <c:pt idx="163">
                  <c:v>13.953409435126369</c:v>
                </c:pt>
                <c:pt idx="164">
                  <c:v>13.783653376576675</c:v>
                </c:pt>
                <c:pt idx="165">
                  <c:v>13.612784775460305</c:v>
                </c:pt>
                <c:pt idx="166">
                  <c:v>13.440842072854839</c:v>
                </c:pt>
                <c:pt idx="167">
                  <c:v>13.267863120266705</c:v>
                </c:pt>
                <c:pt idx="168">
                  <c:v>13.093885150457972</c:v>
                </c:pt>
                <c:pt idx="169">
                  <c:v>12.918944752565714</c:v>
                </c:pt>
                <c:pt idx="170">
                  <c:v>12.743077851335132</c:v>
                </c:pt>
                <c:pt idx="171">
                  <c:v>12.566319690277254</c:v>
                </c:pt>
                <c:pt idx="172">
                  <c:v>12.388704818557812</c:v>
                </c:pt>
                <c:pt idx="173">
                  <c:v>12.210267081417623</c:v>
                </c:pt>
                <c:pt idx="174">
                  <c:v>12.031039613925467</c:v>
                </c:pt>
                <c:pt idx="175">
                  <c:v>11.851054837862032</c:v>
                </c:pt>
                <c:pt idx="176">
                  <c:v>11.670344461537152</c:v>
                </c:pt>
                <c:pt idx="177">
                  <c:v>11.488939482344179</c:v>
                </c:pt>
                <c:pt idx="178">
                  <c:v>11.306870191860645</c:v>
                </c:pt>
                <c:pt idx="179">
                  <c:v>11.124166183308956</c:v>
                </c:pt>
                <c:pt idx="180">
                  <c:v>10.940856361198039</c:v>
                </c:pt>
                <c:pt idx="181">
                  <c:v>10.75696895297218</c:v>
                </c:pt>
                <c:pt idx="182">
                  <c:v>10.572531522503432</c:v>
                </c:pt>
                <c:pt idx="183">
                  <c:v>10.387570985269024</c:v>
                </c:pt>
                <c:pt idx="184">
                  <c:v>10.202113625065257</c:v>
                </c:pt>
                <c:pt idx="185">
                  <c:v>10.016185112118052</c:v>
                </c:pt>
                <c:pt idx="186">
                  <c:v>9.8298105224574002</c:v>
                </c:pt>
                <c:pt idx="187">
                  <c:v>9.6430143584326107</c:v>
                </c:pt>
                <c:pt idx="188">
                  <c:v>9.4558205702534046</c:v>
                </c:pt>
                <c:pt idx="189">
                  <c:v>9.2682525784510368</c:v>
                </c:pt>
                <c:pt idx="190">
                  <c:v>9.0803332971593829</c:v>
                </c:pt>
                <c:pt idx="191">
                  <c:v>8.8920851581278946</c:v>
                </c:pt>
                <c:pt idx="192">
                  <c:v>8.70353013538063</c:v>
                </c:pt>
                <c:pt idx="193">
                  <c:v>8.5146897704490101</c:v>
                </c:pt>
                <c:pt idx="194">
                  <c:v>8.325585198106829</c:v>
                </c:pt>
                <c:pt idx="195">
                  <c:v>8.1362371725477232</c:v>
                </c:pt>
                <c:pt idx="196">
                  <c:v>7.9466660939470426</c:v>
                </c:pt>
                <c:pt idx="197">
                  <c:v>7.7568920353613269</c:v>
                </c:pt>
                <c:pt idx="198">
                  <c:v>7.5669347699168092</c:v>
                </c:pt>
                <c:pt idx="199">
                  <c:v>7.3768137982511188</c:v>
                </c:pt>
                <c:pt idx="200">
                  <c:v>7.1865483761703821</c:v>
                </c:pt>
                <c:pt idx="201">
                  <c:v>6.9961575424926492</c:v>
                </c:pt>
                <c:pt idx="202">
                  <c:v>6.8056601470497338</c:v>
                </c:pt>
                <c:pt idx="203">
                  <c:v>6.6150748788236227</c:v>
                </c:pt>
                <c:pt idx="204">
                  <c:v>6.4244202941975868</c:v>
                </c:pt>
                <c:pt idx="205">
                  <c:v>6.2337148453020461</c:v>
                </c:pt>
                <c:pt idx="206">
                  <c:v>6.0429769084406626</c:v>
                </c:pt>
                <c:pt idx="207">
                  <c:v>5.8522248125811993</c:v>
                </c:pt>
                <c:pt idx="208">
                  <c:v>5.661476867897866</c:v>
                </c:pt>
                <c:pt idx="209">
                  <c:v>5.4707513943534973</c:v>
                </c:pt>
                <c:pt idx="210">
                  <c:v>5.2800667503091514</c:v>
                </c:pt>
                <c:pt idx="211">
                  <c:v>5.0894413611493272</c:v>
                </c:pt>
                <c:pt idx="212">
                  <c:v>4.8988937479113073</c:v>
                </c:pt>
                <c:pt idx="213">
                  <c:v>4.7084425559052354</c:v>
                </c:pt>
                <c:pt idx="214">
                  <c:v>4.5181065833116527</c:v>
                </c:pt>
                <c:pt idx="215">
                  <c:v>4.3279048097408399</c:v>
                </c:pt>
                <c:pt idx="216">
                  <c:v>4.13785642473582</c:v>
                </c:pt>
                <c:pt idx="217">
                  <c:v>3.9479808562012071</c:v>
                </c:pt>
                <c:pt idx="218">
                  <c:v>3.7582977987342487</c:v>
                </c:pt>
                <c:pt idx="219">
                  <c:v>3.5688272418321887</c:v>
                </c:pt>
                <c:pt idx="220">
                  <c:v>3.3795894979486443</c:v>
                </c:pt>
                <c:pt idx="221">
                  <c:v>3.1906052303632331</c:v>
                </c:pt>
                <c:pt idx="222">
                  <c:v>3.0018954808305782</c:v>
                </c:pt>
                <c:pt idx="223">
                  <c:v>2.813481696962425</c:v>
                </c:pt>
                <c:pt idx="224">
                  <c:v>2.6253857592989061</c:v>
                </c:pt>
                <c:pt idx="225">
                  <c:v>2.4376300080138193</c:v>
                </c:pt>
                <c:pt idx="226">
                  <c:v>2.2502372691951895</c:v>
                </c:pt>
                <c:pt idx="227">
                  <c:v>2.0632308806360729</c:v>
                </c:pt>
                <c:pt idx="228">
                  <c:v>1.8766347170636251</c:v>
                </c:pt>
                <c:pt idx="229">
                  <c:v>1.690473214725086</c:v>
                </c:pt>
                <c:pt idx="230">
                  <c:v>1.504771395246717</c:v>
                </c:pt>
                <c:pt idx="231">
                  <c:v>1.3195548886687916</c:v>
                </c:pt>
                <c:pt idx="232">
                  <c:v>1.1348499555551865</c:v>
                </c:pt>
                <c:pt idx="233">
                  <c:v>0.95068350806665292</c:v>
                </c:pt>
                <c:pt idx="234">
                  <c:v>0.76708312987820648</c:v>
                </c:pt>
                <c:pt idx="235">
                  <c:v>0.58407709481407855</c:v>
                </c:pt>
                <c:pt idx="236">
                  <c:v>0.40169438406322866</c:v>
                </c:pt>
                <c:pt idx="237">
                  <c:v>0.21996470183154848</c:v>
                </c:pt>
                <c:pt idx="238">
                  <c:v>3.8918489278330443E-2</c:v>
                </c:pt>
                <c:pt idx="239">
                  <c:v>-0.1414130634238944</c:v>
                </c:pt>
                <c:pt idx="240">
                  <c:v>-0.32099800707263992</c:v>
                </c:pt>
                <c:pt idx="241">
                  <c:v>-0.4998036256400249</c:v>
                </c:pt>
                <c:pt idx="242">
                  <c:v>-0.67779643087613239</c:v>
                </c:pt>
                <c:pt idx="243">
                  <c:v>-0.85494215949999008</c:v>
                </c:pt>
                <c:pt idx="244">
                  <c:v>-1.0312057731688644</c:v>
                </c:pt>
                <c:pt idx="245">
                  <c:v>-1.2065514614209751</c:v>
                </c:pt>
                <c:pt idx="246">
                  <c:v>-1.3809426477858324</c:v>
                </c:pt>
                <c:pt idx="247">
                  <c:v>-1.5543419992612106</c:v>
                </c:pt>
                <c:pt idx="248">
                  <c:v>-1.7267114393498111</c:v>
                </c:pt>
                <c:pt idx="249">
                  <c:v>-1.8980121648483639</c:v>
                </c:pt>
                <c:pt idx="250">
                  <c:v>-2.0682046665737852</c:v>
                </c:pt>
                <c:pt idx="251">
                  <c:v>-2.237248754204729</c:v>
                </c:pt>
                <c:pt idx="252">
                  <c:v>-2.4051035854040905</c:v>
                </c:pt>
                <c:pt idx="253">
                  <c:v>-2.5717276993770106</c:v>
                </c:pt>
                <c:pt idx="254">
                  <c:v>-2.7370790549979924</c:v>
                </c:pt>
                <c:pt idx="255">
                  <c:v>-2.9011150736269697</c:v>
                </c:pt>
                <c:pt idx="256">
                  <c:v>-3.0637926867037835</c:v>
                </c:pt>
                <c:pt idx="257">
                  <c:v>-3.2250683881910773</c:v>
                </c:pt>
                <c:pt idx="258">
                  <c:v>-3.3848982919003294</c:v>
                </c:pt>
                <c:pt idx="259">
                  <c:v>-3.5432381937055144</c:v>
                </c:pt>
                <c:pt idx="260">
                  <c:v>-3.7000436386114748</c:v>
                </c:pt>
                <c:pt idx="261">
                  <c:v>-3.8552699926029277</c:v>
                </c:pt>
                <c:pt idx="262">
                  <c:v>-4.0088725191601782</c:v>
                </c:pt>
                <c:pt idx="263">
                  <c:v>-4.1608064602786294</c:v>
                </c:pt>
                <c:pt idx="264">
                  <c:v>-4.3110271217835052</c:v>
                </c:pt>
                <c:pt idx="265">
                  <c:v>-4.4594899626805757</c:v>
                </c:pt>
                <c:pt idx="266">
                  <c:v>-4.6061506882322227</c:v>
                </c:pt>
                <c:pt idx="267">
                  <c:v>-4.7509653463960504</c:v>
                </c:pt>
                <c:pt idx="268">
                  <c:v>-4.8938904272105974</c:v>
                </c:pt>
                <c:pt idx="269">
                  <c:v>-5.0348829646615245</c:v>
                </c:pt>
                <c:pt idx="270">
                  <c:v>-5.1739006405103174</c:v>
                </c:pt>
                <c:pt idx="271">
                  <c:v>-5.3109018895199345</c:v>
                </c:pt>
                <c:pt idx="272">
                  <c:v>-5.4458460054658531</c:v>
                </c:pt>
                <c:pt idx="273">
                  <c:v>-5.5786932472809649</c:v>
                </c:pt>
                <c:pt idx="274">
                  <c:v>-5.7094049446448523</c:v>
                </c:pt>
                <c:pt idx="275">
                  <c:v>-5.8379436022993678</c:v>
                </c:pt>
                <c:pt idx="276">
                  <c:v>-5.9642730023472215</c:v>
                </c:pt>
                <c:pt idx="277">
                  <c:v>-6.0883583037746387</c:v>
                </c:pt>
                <c:pt idx="278">
                  <c:v>-6.210166138430969</c:v>
                </c:pt>
                <c:pt idx="279">
                  <c:v>-6.3296647026992048</c:v>
                </c:pt>
                <c:pt idx="280">
                  <c:v>-6.4468238441001731</c:v>
                </c:pt>
                <c:pt idx="281">
                  <c:v>-6.5616151420947801</c:v>
                </c:pt>
                <c:pt idx="282">
                  <c:v>-6.6740119823756103</c:v>
                </c:pt>
                <c:pt idx="283">
                  <c:v>-6.783989623980835</c:v>
                </c:pt>
                <c:pt idx="284">
                  <c:v>-6.8915252586101943</c:v>
                </c:pt>
                <c:pt idx="285">
                  <c:v>-6.9965980615817989</c:v>
                </c:pt>
                <c:pt idx="286">
                  <c:v>-7.0991892339349416</c:v>
                </c:pt>
                <c:pt idx="287">
                  <c:v>-7.1992820352582676</c:v>
                </c:pt>
                <c:pt idx="288">
                  <c:v>-7.2968618069044364</c:v>
                </c:pt>
                <c:pt idx="289">
                  <c:v>-7.3919159853396401</c:v>
                </c:pt>
                <c:pt idx="290">
                  <c:v>-7.4844341054681864</c:v>
                </c:pt>
                <c:pt idx="291">
                  <c:v>-7.5744077938685717</c:v>
                </c:pt>
                <c:pt idx="292">
                  <c:v>-7.6618307519737003</c:v>
                </c:pt>
                <c:pt idx="293">
                  <c:v>-7.746698729327294</c:v>
                </c:pt>
                <c:pt idx="294">
                  <c:v>-7.8290094871447398</c:v>
                </c:pt>
                <c:pt idx="295">
                  <c:v>-7.9087627525031028</c:v>
                </c:pt>
                <c:pt idx="296">
                  <c:v>-7.9859601635743314</c:v>
                </c:pt>
                <c:pt idx="297">
                  <c:v>-8.0606052064048974</c:v>
                </c:pt>
                <c:pt idx="298">
                  <c:v>-8.1327031438232886</c:v>
                </c:pt>
                <c:pt idx="299">
                  <c:v>-8.2022609371335058</c:v>
                </c:pt>
                <c:pt idx="300">
                  <c:v>-8.2692871613141659</c:v>
                </c:pt>
                <c:pt idx="301">
                  <c:v>-8.3337919145051327</c:v>
                </c:pt>
                <c:pt idx="302">
                  <c:v>-8.3957867226072977</c:v>
                </c:pt>
                <c:pt idx="303">
                  <c:v>-8.4552844398633287</c:v>
                </c:pt>
                <c:pt idx="304">
                  <c:v>-8.5122991463136852</c:v>
                </c:pt>
                <c:pt idx="305">
                  <c:v>-8.5668460430442472</c:v>
                </c:pt>
                <c:pt idx="306">
                  <c:v>-8.6189413461497484</c:v>
                </c:pt>
                <c:pt idx="307">
                  <c:v>-8.6686021803412565</c:v>
                </c:pt>
                <c:pt idx="308">
                  <c:v>-8.7158464731154996</c:v>
                </c:pt>
                <c:pt idx="309">
                  <c:v>-8.7606928503909192</c:v>
                </c:pt>
                <c:pt idx="310">
                  <c:v>-8.8031605344903294</c:v>
                </c:pt>
                <c:pt idx="311">
                  <c:v>-8.8432692453219079</c:v>
                </c:pt>
                <c:pt idx="312">
                  <c:v>-8.8810391055737163</c:v>
                </c:pt>
                <c:pt idx="313">
                  <c:v>-8.9164905506954923</c:v>
                </c:pt>
                <c:pt idx="314">
                  <c:v>-8.9496442443965947</c:v>
                </c:pt>
                <c:pt idx="315">
                  <c:v>-8.9805210003389302</c:v>
                </c:pt>
                <c:pt idx="316">
                  <c:v>-9.0091417106502476</c:v>
                </c:pt>
                <c:pt idx="317">
                  <c:v>-9.0355272818295909</c:v>
                </c:pt>
                <c:pt idx="318">
                  <c:v>-9.0596985785561088</c:v>
                </c:pt>
                <c:pt idx="319">
                  <c:v>-9.081676375856869</c:v>
                </c:pt>
                <c:pt idx="320">
                  <c:v>-9.1014813200255134</c:v>
                </c:pt>
                <c:pt idx="321">
                  <c:v>-9.1191338986245345</c:v>
                </c:pt>
                <c:pt idx="322">
                  <c:v>-9.1346544198410111</c:v>
                </c:pt>
                <c:pt idx="323">
                  <c:v>-9.1480630014032123</c:v>
                </c:pt>
                <c:pt idx="324">
                  <c:v>-9.1593795692029136</c:v>
                </c:pt>
                <c:pt idx="325">
                  <c:v>-9.1686238657044026</c:v>
                </c:pt>
                <c:pt idx="326">
                  <c:v>-9.1758154681587296</c:v>
                </c:pt>
                <c:pt idx="327">
                  <c:v>-9.1809738165772572</c:v>
                </c:pt>
                <c:pt idx="328">
                  <c:v>-9.1841182513534463</c:v>
                </c:pt>
                <c:pt idx="329">
                  <c:v>-9.1852680603608032</c:v>
                </c:pt>
                <c:pt idx="330">
                  <c:v>-9.1844425352853118</c:v>
                </c:pt>
                <c:pt idx="331">
                  <c:v>-9.1816610368900804</c:v>
                </c:pt>
                <c:pt idx="332">
                  <c:v>-9.1769430688405293</c:v>
                </c:pt>
                <c:pt idx="333">
                  <c:v>-9.1703083596577653</c:v>
                </c:pt>
                <c:pt idx="334">
                  <c:v>-9.1617769522962025</c:v>
                </c:pt>
                <c:pt idx="335">
                  <c:v>-9.1513693007821963</c:v>
                </c:pt>
                <c:pt idx="336">
                  <c:v>-9.1391063732823437</c:v>
                </c:pt>
                <c:pt idx="337">
                  <c:v>-9.1250097609077265</c:v>
                </c:pt>
                <c:pt idx="338">
                  <c:v>-9.109101791498647</c:v>
                </c:pt>
                <c:pt idx="339">
                  <c:v>-9.0914056475748257</c:v>
                </c:pt>
                <c:pt idx="340">
                  <c:v>-9.0719454875788035</c:v>
                </c:pt>
                <c:pt idx="341">
                  <c:v>-9.0507465694869911</c:v>
                </c:pt>
                <c:pt idx="342">
                  <c:v>-9.0278353758161742</c:v>
                </c:pt>
                <c:pt idx="343">
                  <c:v>-9.0032397390061085</c:v>
                </c:pt>
                <c:pt idx="344">
                  <c:v>-8.9769889661257594</c:v>
                </c:pt>
                <c:pt idx="345">
                  <c:v>-8.9491139618180853</c:v>
                </c:pt>
                <c:pt idx="346">
                  <c:v>-8.9196473483778664</c:v>
                </c:pt>
                <c:pt idx="347">
                  <c:v>-8.8886235818426602</c:v>
                </c:pt>
                <c:pt idx="348">
                  <c:v>-8.856079062976244</c:v>
                </c:pt>
                <c:pt idx="349">
                  <c:v>-8.8220522420274978</c:v>
                </c:pt>
                <c:pt idx="350">
                  <c:v>-8.7865837161702025</c:v>
                </c:pt>
                <c:pt idx="351">
                  <c:v>-8.7497163185553752</c:v>
                </c:pt>
                <c:pt idx="352">
                  <c:v>-8.7114951979526758</c:v>
                </c:pt>
                <c:pt idx="353">
                  <c:v>-8.6719678880086484</c:v>
                </c:pt>
                <c:pt idx="354">
                  <c:v>-8.6311843652178286</c:v>
                </c:pt>
                <c:pt idx="355">
                  <c:v>-8.5891970947791201</c:v>
                </c:pt>
                <c:pt idx="356">
                  <c:v>-8.5460610635985823</c:v>
                </c:pt>
                <c:pt idx="357">
                  <c:v>-8.5018337998011635</c:v>
                </c:pt>
                <c:pt idx="358">
                  <c:v>-8.456575378221606</c:v>
                </c:pt>
                <c:pt idx="359">
                  <c:v>-8.4103484114649056</c:v>
                </c:pt>
                <c:pt idx="360">
                  <c:v>-8.3632180262507312</c:v>
                </c:pt>
                <c:pt idx="361">
                  <c:v>-8.3152518248904155</c:v>
                </c:pt>
                <c:pt idx="362">
                  <c:v>-8.266519831879604</c:v>
                </c:pt>
                <c:pt idx="363">
                  <c:v>-8.217094425731041</c:v>
                </c:pt>
                <c:pt idx="364">
                  <c:v>-8.167050256311212</c:v>
                </c:pt>
                <c:pt idx="365">
                  <c:v>-8.1164641480854929</c:v>
                </c:pt>
                <c:pt idx="366">
                  <c:v>-8.0654149898141583</c:v>
                </c:pt>
                <c:pt idx="367">
                  <c:v>-8.013983611372721</c:v>
                </c:pt>
                <c:pt idx="368">
                  <c:v>-7.9622526485003489</c:v>
                </c:pt>
                <c:pt idx="369">
                  <c:v>-7.9103063963957485</c:v>
                </c:pt>
                <c:pt idx="370">
                  <c:v>-7.8582306531919937</c:v>
                </c:pt>
                <c:pt idx="371">
                  <c:v>-7.8061125544381795</c:v>
                </c:pt>
                <c:pt idx="372">
                  <c:v>-7.7540403998028387</c:v>
                </c:pt>
                <c:pt idx="373">
                  <c:v>-7.7021034732857991</c:v>
                </c:pt>
                <c:pt idx="374">
                  <c:v>-7.6503918582819654</c:v>
                </c:pt>
                <c:pt idx="375">
                  <c:v>-7.5989962488831182</c:v>
                </c:pt>
                <c:pt idx="376">
                  <c:v>-7.54800775882903</c:v>
                </c:pt>
                <c:pt idx="377">
                  <c:v>-7.497517729527269</c:v>
                </c:pt>
                <c:pt idx="378">
                  <c:v>-7.4476175385545806</c:v>
                </c:pt>
                <c:pt idx="379">
                  <c:v>-7.3983984100256803</c:v>
                </c:pt>
                <c:pt idx="380">
                  <c:v>-7.3499512281770976</c:v>
                </c:pt>
                <c:pt idx="381">
                  <c:v>-7.302366355453219</c:v>
                </c:pt>
                <c:pt idx="382">
                  <c:v>-7.2557334563102573</c:v>
                </c:pt>
                <c:pt idx="383">
                  <c:v>-7.2101413278688034</c:v>
                </c:pt>
                <c:pt idx="384">
                  <c:v>-7.1656777384417003</c:v>
                </c:pt>
                <c:pt idx="385">
                  <c:v>-7.1224292748559446</c:v>
                </c:pt>
                <c:pt idx="386">
                  <c:v>-7.0804811993623975</c:v>
                </c:pt>
                <c:pt idx="387">
                  <c:v>-7.0399173167980802</c:v>
                </c:pt>
                <c:pt idx="388">
                  <c:v>-7.0008198525274121</c:v>
                </c:pt>
                <c:pt idx="389">
                  <c:v>-6.9632693415479086</c:v>
                </c:pt>
                <c:pt idx="390">
                  <c:v>-6.9273445289989457</c:v>
                </c:pt>
                <c:pt idx="391">
                  <c:v>-6.8931222821688509</c:v>
                </c:pt>
                <c:pt idx="392">
                  <c:v>-6.8606775139512397</c:v>
                </c:pt>
                <c:pt idx="393">
                  <c:v>-6.830083117558722</c:v>
                </c:pt>
                <c:pt idx="394">
                  <c:v>-6.8014099121722076</c:v>
                </c:pt>
                <c:pt idx="395">
                  <c:v>-6.7747265990715615</c:v>
                </c:pt>
                <c:pt idx="396">
                  <c:v>-6.7500997276800057</c:v>
                </c:pt>
                <c:pt idx="397">
                  <c:v>-6.7275936708461712</c:v>
                </c:pt>
                <c:pt idx="398">
                  <c:v>-6.7072706085942944</c:v>
                </c:pt>
                <c:pt idx="399">
                  <c:v>-6.6891905194952717</c:v>
                </c:pt>
                <c:pt idx="400">
                  <c:v>-6.6734111787425086</c:v>
                </c:pt>
                <c:pt idx="401">
                  <c:v>-6.6599881619752459</c:v>
                </c:pt>
                <c:pt idx="402">
                  <c:v>-6.6489748538516409</c:v>
                </c:pt>
                <c:pt idx="403">
                  <c:v>-6.6404224603676409</c:v>
                </c:pt>
                <c:pt idx="404">
                  <c:v>-6.6343800239136801</c:v>
                </c:pt>
                <c:pt idx="405">
                  <c:v>-6.6308944400826944</c:v>
                </c:pt>
                <c:pt idx="406">
                  <c:v>-6.6300104752797484</c:v>
                </c:pt>
                <c:pt idx="407">
                  <c:v>-6.6317707842308558</c:v>
                </c:pt>
                <c:pt idx="408">
                  <c:v>-6.6362159265579272</c:v>
                </c:pt>
                <c:pt idx="409">
                  <c:v>-6.6433843816621954</c:v>
                </c:pt>
                <c:pt idx="410">
                  <c:v>-6.6533125612510897</c:v>
                </c:pt>
                <c:pt idx="411">
                  <c:v>-6.6660348189430412</c:v>
                </c:pt>
                <c:pt idx="412">
                  <c:v>-6.6815834564955878</c:v>
                </c:pt>
                <c:pt idx="413">
                  <c:v>-6.6999887263137801</c:v>
                </c:pt>
                <c:pt idx="414">
                  <c:v>-6.7212788300203785</c:v>
                </c:pt>
                <c:pt idx="415">
                  <c:v>-6.7454799129882312</c:v>
                </c:pt>
                <c:pt idx="416">
                  <c:v>-6.7726160548578695</c:v>
                </c:pt>
                <c:pt idx="417">
                  <c:v>-6.8027092561835207</c:v>
                </c:pt>
                <c:pt idx="418">
                  <c:v>-6.835779421467655</c:v>
                </c:pt>
                <c:pt idx="419">
                  <c:v>-6.8718443389510586</c:v>
                </c:pt>
                <c:pt idx="420">
                  <c:v>-6.9109196576287433</c:v>
                </c:pt>
                <c:pt idx="421">
                  <c:v>-6.9530188620526321</c:v>
                </c:pt>
                <c:pt idx="422">
                  <c:v>-6.9981532455616815</c:v>
                </c:pt>
                <c:pt idx="423">
                  <c:v>-7.0463318826471415</c:v>
                </c:pt>
                <c:pt idx="424">
                  <c:v>-7.0975616012119245</c:v>
                </c:pt>
                <c:pt idx="425">
                  <c:v>-7.1518469555234452</c:v>
                </c:pt>
                <c:pt idx="426">
                  <c:v>-7.2091902006792816</c:v>
                </c:pt>
                <c:pt idx="427">
                  <c:v>-7.269591269412671</c:v>
                </c:pt>
                <c:pt idx="428">
                  <c:v>-7.3330477520548367</c:v>
                </c:pt>
                <c:pt idx="429">
                  <c:v>-7.3995548804492373</c:v>
                </c:pt>
                <c:pt idx="430">
                  <c:v>-7.4691055165694378</c:v>
                </c:pt>
                <c:pt idx="431">
                  <c:v>-7.5416901465451156</c:v>
                </c:pt>
                <c:pt idx="432">
                  <c:v>-7.6172968807287962</c:v>
                </c:pt>
                <c:pt idx="433">
                  <c:v>-7.6959114603679204</c:v>
                </c:pt>
                <c:pt idx="434">
                  <c:v>-7.7775172713528296</c:v>
                </c:pt>
                <c:pt idx="435">
                  <c:v>-7.8620953654241612</c:v>
                </c:pt>
                <c:pt idx="436">
                  <c:v>-7.949624489123293</c:v>
                </c:pt>
                <c:pt idx="437">
                  <c:v>-8.0400811206623057</c:v>
                </c:pt>
                <c:pt idx="438">
                  <c:v>-8.1334395147945013</c:v>
                </c:pt>
                <c:pt idx="439">
                  <c:v>-8.2296717556542802</c:v>
                </c:pt>
                <c:pt idx="440">
                  <c:v>-8.328747817438396</c:v>
                </c:pt>
                <c:pt idx="441">
                  <c:v>-8.430635632701831</c:v>
                </c:pt>
                <c:pt idx="442">
                  <c:v>-8.5353011679499726</c:v>
                </c:pt>
                <c:pt idx="443">
                  <c:v>-8.6427085061221618</c:v>
                </c:pt>
                <c:pt idx="444">
                  <c:v>-8.7528199354865066</c:v>
                </c:pt>
                <c:pt idx="445">
                  <c:v>-8.8655960444008581</c:v>
                </c:pt>
                <c:pt idx="446">
                  <c:v>-8.9809958213293939</c:v>
                </c:pt>
                <c:pt idx="447">
                  <c:v>-9.0989767594689237</c:v>
                </c:pt>
                <c:pt idx="448">
                  <c:v>-9.2194949652933094</c:v>
                </c:pt>
                <c:pt idx="449">
                  <c:v>-9.342505270304402</c:v>
                </c:pt>
                <c:pt idx="450">
                  <c:v>-9.4679613452617541</c:v>
                </c:pt>
                <c:pt idx="451">
                  <c:v>-9.595815816160794</c:v>
                </c:pt>
                <c:pt idx="452">
                  <c:v>-9.7260203812324786</c:v>
                </c:pt>
                <c:pt idx="453">
                  <c:v>-9.8585259282547746</c:v>
                </c:pt>
                <c:pt idx="454">
                  <c:v>-9.9932826514866733</c:v>
                </c:pt>
                <c:pt idx="455">
                  <c:v>-10.130240167569323</c:v>
                </c:pt>
                <c:pt idx="456">
                  <c:v>-10.269347629770602</c:v>
                </c:pt>
                <c:pt idx="457">
                  <c:v>-10.410553839997352</c:v>
                </c:pt>
                <c:pt idx="458">
                  <c:v>-10.553807358039833</c:v>
                </c:pt>
                <c:pt idx="459">
                  <c:v>-10.699056607567826</c:v>
                </c:pt>
                <c:pt idx="460">
                  <c:v>-10.846249978445739</c:v>
                </c:pt>
                <c:pt idx="461">
                  <c:v>-10.995335924989384</c:v>
                </c:pt>
                <c:pt idx="462">
                  <c:v>-11.146263059840564</c:v>
                </c:pt>
                <c:pt idx="463">
                  <c:v>-11.298980243188213</c:v>
                </c:pt>
                <c:pt idx="464">
                  <c:v>-11.453436667118213</c:v>
                </c:pt>
                <c:pt idx="465">
                  <c:v>-11.609581934923563</c:v>
                </c:pt>
                <c:pt idx="466">
                  <c:v>-11.76736613525674</c:v>
                </c:pt>
                <c:pt idx="467">
                  <c:v>-11.92673991105017</c:v>
                </c:pt>
                <c:pt idx="468">
                  <c:v>-12.087654523174905</c:v>
                </c:pt>
                <c:pt idx="469">
                  <c:v>-12.250061908846696</c:v>
                </c:pt>
                <c:pt idx="470">
                  <c:v>-12.41391473482534</c:v>
                </c:pt>
                <c:pt idx="471">
                  <c:v>-12.579166445485424</c:v>
                </c:pt>
                <c:pt idx="472">
                  <c:v>-12.745771305865382</c:v>
                </c:pt>
                <c:pt idx="473">
                  <c:v>-12.913684439828934</c:v>
                </c:pt>
                <c:pt idx="474">
                  <c:v>-13.082861863492091</c:v>
                </c:pt>
                <c:pt idx="475">
                  <c:v>-13.253260514091462</c:v>
                </c:pt>
                <c:pt idx="476">
                  <c:v>-13.424838274479853</c:v>
                </c:pt>
                <c:pt idx="477">
                  <c:v>-13.597553993453708</c:v>
                </c:pt>
                <c:pt idx="478">
                  <c:v>-13.771367502119285</c:v>
                </c:pt>
                <c:pt idx="479">
                  <c:v>-13.946239626517706</c:v>
                </c:pt>
                <c:pt idx="480">
                  <c:v>-14.122132196728568</c:v>
                </c:pt>
                <c:pt idx="481">
                  <c:v>-14.299008052676252</c:v>
                </c:pt>
                <c:pt idx="482">
                  <c:v>-14.476831046862715</c:v>
                </c:pt>
                <c:pt idx="483">
                  <c:v>-14.655566044247498</c:v>
                </c:pt>
                <c:pt idx="484">
                  <c:v>-14.835178919494659</c:v>
                </c:pt>
                <c:pt idx="485">
                  <c:v>-15.015636551800355</c:v>
                </c:pt>
                <c:pt idx="486">
                  <c:v>-15.196906817507525</c:v>
                </c:pt>
                <c:pt idx="487">
                  <c:v>-15.378958580712389</c:v>
                </c:pt>
                <c:pt idx="488">
                  <c:v>-15.561761682052762</c:v>
                </c:pt>
                <c:pt idx="489">
                  <c:v>-15.745286925867507</c:v>
                </c:pt>
                <c:pt idx="490">
                  <c:v>-15.929506065901993</c:v>
                </c:pt>
                <c:pt idx="491">
                  <c:v>-16.114391789729453</c:v>
                </c:pt>
                <c:pt idx="492">
                  <c:v>-16.299917702046155</c:v>
                </c:pt>
                <c:pt idx="493">
                  <c:v>-16.486058306991637</c:v>
                </c:pt>
                <c:pt idx="494">
                  <c:v>-16.672788989634487</c:v>
                </c:pt>
                <c:pt idx="495">
                  <c:v>-16.860085996754449</c:v>
                </c:pt>
                <c:pt idx="496">
                  <c:v>-17.047926417044515</c:v>
                </c:pt>
                <c:pt idx="497">
                  <c:v>-17.236288160845966</c:v>
                </c:pt>
                <c:pt idx="498">
                  <c:v>-17.425149939522136</c:v>
                </c:pt>
                <c:pt idx="499">
                  <c:v>-17.614491244567301</c:v>
                </c:pt>
                <c:pt idx="500">
                  <c:v>-17.804292326538761</c:v>
                </c:pt>
                <c:pt idx="501">
                  <c:v>-17.994534173895438</c:v>
                </c:pt>
                <c:pt idx="502">
                  <c:v>-18.185198491813495</c:v>
                </c:pt>
                <c:pt idx="503">
                  <c:v>-18.376267681049299</c:v>
                </c:pt>
                <c:pt idx="504">
                  <c:v>-18.567724816906697</c:v>
                </c:pt>
                <c:pt idx="505">
                  <c:v>-18.759553628365836</c:v>
                </c:pt>
                <c:pt idx="506">
                  <c:v>-18.951738477417919</c:v>
                </c:pt>
                <c:pt idx="507">
                  <c:v>-19.144264338653088</c:v>
                </c:pt>
                <c:pt idx="508">
                  <c:v>-19.337116779135172</c:v>
                </c:pt>
                <c:pt idx="509">
                  <c:v>-19.530281938598225</c:v>
                </c:pt>
                <c:pt idx="510">
                  <c:v>-19.723746509992989</c:v>
                </c:pt>
                <c:pt idx="511">
                  <c:v>-19.917497720407415</c:v>
                </c:pt>
                <c:pt idx="512">
                  <c:v>-20.111523312382282</c:v>
                </c:pt>
                <c:pt idx="513">
                  <c:v>-20.305811525638688</c:v>
                </c:pt>
                <c:pt idx="514">
                  <c:v>-20.500351079231656</c:v>
                </c:pt>
                <c:pt idx="515">
                  <c:v>-20.695131154141301</c:v>
                </c:pt>
                <c:pt idx="516">
                  <c:v>-20.89014137630949</c:v>
                </c:pt>
                <c:pt idx="517">
                  <c:v>-21.0853718001289</c:v>
                </c:pt>
                <c:pt idx="518">
                  <c:v>-21.280812892387271</c:v>
                </c:pt>
                <c:pt idx="519">
                  <c:v>-21.476455516670523</c:v>
                </c:pt>
                <c:pt idx="520">
                  <c:v>-21.672290918223538</c:v>
                </c:pt>
                <c:pt idx="521">
                  <c:v>-21.86831070926798</c:v>
                </c:pt>
                <c:pt idx="522">
                  <c:v>-22.064506854774727</c:v>
                </c:pt>
                <c:pt idx="523">
                  <c:v>-22.260871658686014</c:v>
                </c:pt>
                <c:pt idx="524">
                  <c:v>-22.457397750584075</c:v>
                </c:pt>
                <c:pt idx="525">
                  <c:v>-22.654078072798477</c:v>
                </c:pt>
                <c:pt idx="526">
                  <c:v>-22.850905867946203</c:v>
                </c:pt>
                <c:pt idx="527">
                  <c:v>-23.047874666897631</c:v>
                </c:pt>
                <c:pt idx="528">
                  <c:v>-23.244978277158772</c:v>
                </c:pt>
                <c:pt idx="529">
                  <c:v>-23.442210771663767</c:v>
                </c:pt>
                <c:pt idx="530">
                  <c:v>-23.639566477964713</c:v>
                </c:pt>
                <c:pt idx="531">
                  <c:v>-23.837039967814746</c:v>
                </c:pt>
                <c:pt idx="532">
                  <c:v>-24.034626047128796</c:v>
                </c:pt>
                <c:pt idx="533">
                  <c:v>-24.232319746317742</c:v>
                </c:pt>
                <c:pt idx="534">
                  <c:v>-24.430116310982189</c:v>
                </c:pt>
                <c:pt idx="535">
                  <c:v>-24.628011192957633</c:v>
                </c:pt>
                <c:pt idx="536">
                  <c:v>-24.826000041700212</c:v>
                </c:pt>
                <c:pt idx="537">
                  <c:v>-25.024078696003219</c:v>
                </c:pt>
                <c:pt idx="538">
                  <c:v>-25.222243176034347</c:v>
                </c:pt>
                <c:pt idx="539">
                  <c:v>-25.420489675683502</c:v>
                </c:pt>
                <c:pt idx="540">
                  <c:v>-25.618814555210847</c:v>
                </c:pt>
                <c:pt idx="541">
                  <c:v>-25.817214334185806</c:v>
                </c:pt>
              </c:numCache>
            </c:numRef>
          </c:yVal>
          <c:smooth val="1"/>
          <c:extLst>
            <c:ext xmlns:c16="http://schemas.microsoft.com/office/drawing/2014/chart" uri="{C3380CC4-5D6E-409C-BE32-E72D297353CC}">
              <c16:uniqueId val="{00000000-C0DB-44D3-93C3-2FD2B4FE1384}"/>
            </c:ext>
          </c:extLst>
        </c:ser>
        <c:dLbls>
          <c:showLegendKey val="0"/>
          <c:showVal val="0"/>
          <c:showCatName val="0"/>
          <c:showSerName val="0"/>
          <c:showPercent val="0"/>
          <c:showBubbleSize val="0"/>
        </c:dLbls>
        <c:axId val="555231872"/>
        <c:axId val="555234048"/>
      </c:scatterChart>
      <c:scatterChart>
        <c:scatterStyle val="smoothMarker"/>
        <c:varyColors val="0"/>
        <c:ser>
          <c:idx val="1"/>
          <c:order val="1"/>
          <c:tx>
            <c:v>Phase (deg)</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Loop_Modeling!$AH$19:$AH$560</c:f>
              <c:numCache>
                <c:formatCode>General</c:formatCode>
                <c:ptCount val="542"/>
                <c:pt idx="0">
                  <c:v>-3.2519363813829076</c:v>
                </c:pt>
                <c:pt idx="1">
                  <c:v>-3.3275259853908836</c:v>
                </c:pt>
                <c:pt idx="2">
                  <c:v>-3.4048650472272786</c:v>
                </c:pt>
                <c:pt idx="3">
                  <c:v>-3.4839935160586704</c:v>
                </c:pt>
                <c:pt idx="4">
                  <c:v>-3.5649522147500852</c:v>
                </c:pt>
                <c:pt idx="5">
                  <c:v>-3.6477828562052026</c:v>
                </c:pt>
                <c:pt idx="6">
                  <c:v>-3.7325280598067083</c:v>
                </c:pt>
                <c:pt idx="7">
                  <c:v>-3.8192313679401488</c:v>
                </c:pt>
                <c:pt idx="8">
                  <c:v>-3.9079372625825446</c:v>
                </c:pt>
                <c:pt idx="9">
                  <c:v>-3.9986911819350963</c:v>
                </c:pt>
                <c:pt idx="10">
                  <c:v>-4.0915395370783409</c:v>
                </c:pt>
                <c:pt idx="11">
                  <c:v>-4.186529728624623</c:v>
                </c:pt>
                <c:pt idx="12">
                  <c:v>-4.2837101633418344</c:v>
                </c:pt>
                <c:pt idx="13">
                  <c:v>-4.3831302707192599</c:v>
                </c:pt>
                <c:pt idx="14">
                  <c:v>-4.4848405194439485</c:v>
                </c:pt>
                <c:pt idx="15">
                  <c:v>-4.5888924337539621</c:v>
                </c:pt>
                <c:pt idx="16">
                  <c:v>-4.6953386096309675</c:v>
                </c:pt>
                <c:pt idx="17">
                  <c:v>-4.804232730792374</c:v>
                </c:pt>
                <c:pt idx="18">
                  <c:v>-4.915629584440059</c:v>
                </c:pt>
                <c:pt idx="19">
                  <c:v>-5.0295850767184422</c:v>
                </c:pt>
                <c:pt idx="20">
                  <c:v>-5.1461562478317981</c:v>
                </c:pt>
                <c:pt idx="21">
                  <c:v>-5.2654012867666253</c:v>
                </c:pt>
                <c:pt idx="22">
                  <c:v>-5.3873795455605986</c:v>
                </c:pt>
                <c:pt idx="23">
                  <c:v>-5.5121515530552614</c:v>
                </c:pt>
                <c:pt idx="24">
                  <c:v>-5.639779028064992</c:v>
                </c:pt>
                <c:pt idx="25">
                  <c:v>-5.7703248918904047</c:v>
                </c:pt>
                <c:pt idx="26">
                  <c:v>-5.9038532800978381</c:v>
                </c:pt>
                <c:pt idx="27">
                  <c:v>-6.0404295534829435</c:v>
                </c:pt>
                <c:pt idx="28">
                  <c:v>-6.180120308128231</c:v>
                </c:pt>
                <c:pt idx="29">
                  <c:v>-6.3229933844615394</c:v>
                </c:pt>
                <c:pt idx="30">
                  <c:v>-6.4691178752121061</c:v>
                </c:pt>
                <c:pt idx="31">
                  <c:v>-6.6185641321580606</c:v>
                </c:pt>
                <c:pt idx="32">
                  <c:v>-6.7714037715482318</c:v>
                </c:pt>
                <c:pt idx="33">
                  <c:v>-6.92770967807789</c:v>
                </c:pt>
                <c:pt idx="34">
                  <c:v>-7.0875560072861932</c:v>
                </c:pt>
                <c:pt idx="35">
                  <c:v>-7.2510181862374568</c:v>
                </c:pt>
                <c:pt idx="36">
                  <c:v>-7.4181729123399789</c:v>
                </c:pt>
                <c:pt idx="37">
                  <c:v>-7.5890981501455839</c:v>
                </c:pt>
                <c:pt idx="38">
                  <c:v>-7.7638731259650671</c:v>
                </c:pt>
                <c:pt idx="39">
                  <c:v>-7.9425783201259126</c:v>
                </c:pt>
                <c:pt idx="40">
                  <c:v>-8.1252954566864766</c:v>
                </c:pt>
                <c:pt idx="41">
                  <c:v>-8.3121074904127497</c:v>
                </c:pt>
                <c:pt idx="42">
                  <c:v>-8.5030985908136429</c:v>
                </c:pt>
                <c:pt idx="43">
                  <c:v>-8.6983541230168537</c:v>
                </c:pt>
                <c:pt idx="44">
                  <c:v>-8.8979606252601311</c:v>
                </c:pt>
                <c:pt idx="45">
                  <c:v>-9.10200578276066</c:v>
                </c:pt>
                <c:pt idx="46">
                  <c:v>-9.3105783977100565</c:v>
                </c:pt>
                <c:pt idx="47">
                  <c:v>-9.52376835513871</c:v>
                </c:pt>
                <c:pt idx="48">
                  <c:v>-9.7416665843736538</c:v>
                </c:pt>
                <c:pt idx="49">
                  <c:v>-9.9643650158076955</c:v>
                </c:pt>
                <c:pt idx="50">
                  <c:v>-10.191956532685271</c:v>
                </c:pt>
                <c:pt idx="51">
                  <c:v>-10.424534917597926</c:v>
                </c:pt>
                <c:pt idx="52">
                  <c:v>-10.662194793372288</c:v>
                </c:pt>
                <c:pt idx="53">
                  <c:v>-10.905031558025364</c:v>
                </c:pt>
                <c:pt idx="54">
                  <c:v>-11.153141313446023</c:v>
                </c:pt>
                <c:pt idx="55">
                  <c:v>-11.406620787460403</c:v>
                </c:pt>
                <c:pt idx="56">
                  <c:v>-11.665567248924699</c:v>
                </c:pt>
                <c:pt idx="57">
                  <c:v>-11.930078415483797</c:v>
                </c:pt>
                <c:pt idx="58">
                  <c:v>-12.20025235362896</c:v>
                </c:pt>
                <c:pt idx="59">
                  <c:v>-12.476187370683322</c:v>
                </c:pt>
                <c:pt idx="60">
                  <c:v>-12.757981898339818</c:v>
                </c:pt>
                <c:pt idx="61">
                  <c:v>-13.045734367378772</c:v>
                </c:pt>
                <c:pt idx="62">
                  <c:v>-13.339543073190278</c:v>
                </c:pt>
                <c:pt idx="63">
                  <c:v>-13.639506031735097</c:v>
                </c:pt>
                <c:pt idx="64">
                  <c:v>-13.945720825583216</c:v>
                </c:pt>
                <c:pt idx="65">
                  <c:v>-14.258284439678636</c:v>
                </c:pt>
                <c:pt idx="66">
                  <c:v>-14.57729308649705</c:v>
                </c:pt>
                <c:pt idx="67">
                  <c:v>-14.902842020279563</c:v>
                </c:pt>
                <c:pt idx="68">
                  <c:v>-15.23502534004713</c:v>
                </c:pt>
                <c:pt idx="69">
                  <c:v>-15.573935781134018</c:v>
                </c:pt>
                <c:pt idx="70">
                  <c:v>-15.919664495004673</c:v>
                </c:pt>
                <c:pt idx="71">
                  <c:v>-16.272300817164798</c:v>
                </c:pt>
                <c:pt idx="72">
                  <c:v>-16.631932023016571</c:v>
                </c:pt>
                <c:pt idx="73">
                  <c:v>-16.998643071566985</c:v>
                </c:pt>
                <c:pt idx="74">
                  <c:v>-17.372516336950305</c:v>
                </c:pt>
                <c:pt idx="75">
                  <c:v>-17.753631327797205</c:v>
                </c:pt>
                <c:pt idx="76">
                  <c:v>-18.142064394558084</c:v>
                </c:pt>
                <c:pt idx="77">
                  <c:v>-18.537888424965328</c:v>
                </c:pt>
                <c:pt idx="78">
                  <c:v>-18.941172527917249</c:v>
                </c:pt>
                <c:pt idx="79">
                  <c:v>-19.351981706161059</c:v>
                </c:pt>
                <c:pt idx="80">
                  <c:v>-19.770376518261582</c:v>
                </c:pt>
                <c:pt idx="81">
                  <c:v>-20.196412730462242</c:v>
                </c:pt>
                <c:pt idx="82">
                  <c:v>-20.630140959162347</c:v>
                </c:pt>
                <c:pt idx="83">
                  <c:v>-21.071606304879616</c:v>
                </c:pt>
                <c:pt idx="84">
                  <c:v>-21.520847978696771</c:v>
                </c:pt>
                <c:pt idx="85">
                  <c:v>-21.97789892234627</c:v>
                </c:pt>
                <c:pt idx="86">
                  <c:v>-22.442785423241446</c:v>
                </c:pt>
                <c:pt idx="87">
                  <c:v>-22.915526725918397</c:v>
                </c:pt>
                <c:pt idx="88">
                  <c:v>-23.396134641522494</c:v>
                </c:pt>
                <c:pt idx="89">
                  <c:v>-23.884613157138482</c:v>
                </c:pt>
                <c:pt idx="90">
                  <c:v>-24.380958046927962</c:v>
                </c:pt>
                <c:pt idx="91">
                  <c:v>-24.885156487212654</c:v>
                </c:pt>
                <c:pt idx="92">
                  <c:v>-25.397186677797453</c:v>
                </c:pt>
                <c:pt idx="93">
                  <c:v>-25.917017471993923</c:v>
                </c:pt>
                <c:pt idx="94">
                  <c:v>-26.444608017950117</c:v>
                </c:pt>
                <c:pt idx="95">
                  <c:v>-26.97990741403272</c:v>
                </c:pt>
                <c:pt idx="96">
                  <c:v>-27.522854381137932</c:v>
                </c:pt>
                <c:pt idx="97">
                  <c:v>-28.073376954908763</c:v>
                </c:pt>
                <c:pt idx="98">
                  <c:v>-28.631392200929977</c:v>
                </c:pt>
                <c:pt idx="99">
                  <c:v>-29.196805956034545</c:v>
                </c:pt>
                <c:pt idx="100">
                  <c:v>-29.76951259888892</c:v>
                </c:pt>
                <c:pt idx="101">
                  <c:v>-30.349394853038497</c:v>
                </c:pt>
                <c:pt idx="102">
                  <c:v>-30.936323625559936</c:v>
                </c:pt>
                <c:pt idx="103">
                  <c:v>-31.530157884409935</c:v>
                </c:pt>
                <c:pt idx="104">
                  <c:v>-32.130744577454706</c:v>
                </c:pt>
                <c:pt idx="105">
                  <c:v>-32.73791859602396</c:v>
                </c:pt>
                <c:pt idx="106">
                  <c:v>-33.351502785647227</c:v>
                </c:pt>
                <c:pt idx="107">
                  <c:v>-33.971308006404207</c:v>
                </c:pt>
                <c:pt idx="108">
                  <c:v>-34.597133245045789</c:v>
                </c:pt>
                <c:pt idx="109">
                  <c:v>-35.228765780733603</c:v>
                </c:pt>
                <c:pt idx="110">
                  <c:v>-35.865981405884753</c:v>
                </c:pt>
                <c:pt idx="111">
                  <c:v>-36.508544703217297</c:v>
                </c:pt>
                <c:pt idx="112">
                  <c:v>-37.156209379659764</c:v>
                </c:pt>
                <c:pt idx="113">
                  <c:v>-37.808718657325393</c:v>
                </c:pt>
                <c:pt idx="114">
                  <c:v>-38.465805721261006</c:v>
                </c:pt>
                <c:pt idx="115">
                  <c:v>-39.127194223172182</c:v>
                </c:pt>
                <c:pt idx="116">
                  <c:v>-39.792598839796838</c:v>
                </c:pt>
                <c:pt idx="117">
                  <c:v>-40.461725884070688</c:v>
                </c:pt>
                <c:pt idx="118">
                  <c:v>-41.134273966692703</c:v>
                </c:pt>
                <c:pt idx="119">
                  <c:v>-41.809934705175351</c:v>
                </c:pt>
                <c:pt idx="120">
                  <c:v>-42.488393476958912</c:v>
                </c:pt>
                <c:pt idx="121">
                  <c:v>-43.169330212687356</c:v>
                </c:pt>
                <c:pt idx="122">
                  <c:v>-43.852420225292271</c:v>
                </c:pt>
                <c:pt idx="123">
                  <c:v>-44.537335070132912</c:v>
                </c:pt>
                <c:pt idx="124">
                  <c:v>-45.223743431072698</c:v>
                </c:pt>
                <c:pt idx="125">
                  <c:v>-45.911312027079838</c:v>
                </c:pt>
                <c:pt idx="126">
                  <c:v>-46.599706533695944</c:v>
                </c:pt>
                <c:pt idx="127">
                  <c:v>-47.288592513534653</c:v>
                </c:pt>
                <c:pt idx="128">
                  <c:v>-47.977636349881223</c:v>
                </c:pt>
                <c:pt idx="129">
                  <c:v>-48.666506177411186</c:v>
                </c:pt>
                <c:pt idx="130">
                  <c:v>-49.354872804095521</c:v>
                </c:pt>
                <c:pt idx="131">
                  <c:v>-50.042410618464231</c:v>
                </c:pt>
                <c:pt idx="132">
                  <c:v>-50.72879847656548</c:v>
                </c:pt>
                <c:pt idx="133">
                  <c:v>-51.413720563225432</c:v>
                </c:pt>
                <c:pt idx="134">
                  <c:v>-52.096867222482039</c:v>
                </c:pt>
                <c:pt idx="135">
                  <c:v>-52.777935752452976</c:v>
                </c:pt>
                <c:pt idx="136">
                  <c:v>-53.456631160293938</c:v>
                </c:pt>
                <c:pt idx="137">
                  <c:v>-54.132666873345983</c:v>
                </c:pt>
                <c:pt idx="138">
                  <c:v>-54.805765403061677</c:v>
                </c:pt>
                <c:pt idx="139">
                  <c:v>-55.475658958806882</c:v>
                </c:pt>
                <c:pt idx="140">
                  <c:v>-56.142090009145932</c:v>
                </c:pt>
                <c:pt idx="141">
                  <c:v>-56.804811788772014</c:v>
                </c:pt>
                <c:pt idx="142">
                  <c:v>-57.463588749756433</c:v>
                </c:pt>
                <c:pt idx="143">
                  <c:v>-58.118196956325853</c:v>
                </c:pt>
                <c:pt idx="144">
                  <c:v>-58.768424422887641</c:v>
                </c:pt>
                <c:pt idx="145">
                  <c:v>-59.414071395512849</c:v>
                </c:pt>
                <c:pt idx="146">
                  <c:v>-60.054950577536786</c:v>
                </c:pt>
                <c:pt idx="147">
                  <c:v>-60.690887300388184</c:v>
                </c:pt>
                <c:pt idx="148">
                  <c:v>-61.321719641133448</c:v>
                </c:pt>
                <c:pt idx="149">
                  <c:v>-61.947298488583911</c:v>
                </c:pt>
                <c:pt idx="150">
                  <c:v>-62.567487560132285</c:v>
                </c:pt>
                <c:pt idx="151">
                  <c:v>-63.182163371744849</c:v>
                </c:pt>
                <c:pt idx="152">
                  <c:v>-63.791215163769927</c:v>
                </c:pt>
                <c:pt idx="153">
                  <c:v>-64.394544785406481</c:v>
                </c:pt>
                <c:pt idx="154">
                  <c:v>-64.992066540810981</c:v>
                </c:pt>
                <c:pt idx="155">
                  <c:v>-65.583706999933796</c:v>
                </c:pt>
                <c:pt idx="156">
                  <c:v>-66.169404777223775</c:v>
                </c:pt>
                <c:pt idx="157">
                  <c:v>-66.749110281378464</c:v>
                </c:pt>
                <c:pt idx="158">
                  <c:v>-67.322785439298187</c:v>
                </c:pt>
                <c:pt idx="159">
                  <c:v>-67.890403397373603</c:v>
                </c:pt>
                <c:pt idx="160">
                  <c:v>-68.451948203165259</c:v>
                </c:pt>
                <c:pt idx="161">
                  <c:v>-69.007414470445326</c:v>
                </c:pt>
                <c:pt idx="162">
                  <c:v>-69.556807030464697</c:v>
                </c:pt>
                <c:pt idx="163">
                  <c:v>-70.100140572178645</c:v>
                </c:pt>
                <c:pt idx="164">
                  <c:v>-70.637439274026704</c:v>
                </c:pt>
                <c:pt idx="165">
                  <c:v>-71.168736429705703</c:v>
                </c:pt>
                <c:pt idx="166">
                  <c:v>-71.694074070221887</c:v>
                </c:pt>
                <c:pt idx="167">
                  <c:v>-72.213502584336453</c:v>
                </c:pt>
                <c:pt idx="168">
                  <c:v>-72.727080339351673</c:v>
                </c:pt>
                <c:pt idx="169">
                  <c:v>-73.234873304018819</c:v>
                </c:pt>
                <c:pt idx="170">
                  <c:v>-73.736954675174673</c:v>
                </c:pt>
                <c:pt idx="171">
                  <c:v>-74.233404509552372</c:v>
                </c:pt>
                <c:pt idx="172">
                  <c:v>-74.72430936204897</c:v>
                </c:pt>
                <c:pt idx="173">
                  <c:v>-75.20976193157226</c:v>
                </c:pt>
                <c:pt idx="174">
                  <c:v>-75.689860715446414</c:v>
                </c:pt>
                <c:pt idx="175">
                  <c:v>-76.164709673204598</c:v>
                </c:pt>
                <c:pt idx="176">
                  <c:v>-76.634417900466232</c:v>
                </c:pt>
                <c:pt idx="177">
                  <c:v>-77.099099313469011</c:v>
                </c:pt>
                <c:pt idx="178">
                  <c:v>-77.55887234470211</c:v>
                </c:pt>
                <c:pt idx="179">
                  <c:v>-78.01385964998255</c:v>
                </c:pt>
                <c:pt idx="180">
                  <c:v>-78.464187827208804</c:v>
                </c:pt>
                <c:pt idx="181">
                  <c:v>-78.909987146934796</c:v>
                </c:pt>
                <c:pt idx="182">
                  <c:v>-79.3513912948208</c:v>
                </c:pt>
                <c:pt idx="183">
                  <c:v>-79.788537125939087</c:v>
                </c:pt>
                <c:pt idx="184">
                  <c:v>-80.221564430843628</c:v>
                </c:pt>
                <c:pt idx="185">
                  <c:v>-80.650615713246665</c:v>
                </c:pt>
                <c:pt idx="186">
                  <c:v>-81.075835979093142</c:v>
                </c:pt>
                <c:pt idx="187">
                  <c:v>-81.497372536769262</c:v>
                </c:pt>
                <c:pt idx="188">
                  <c:v>-81.915374808141593</c:v>
                </c:pt>
                <c:pt idx="189">
                  <c:v>-82.32999415008122</c:v>
                </c:pt>
                <c:pt idx="190">
                  <c:v>-82.741383686096583</c:v>
                </c:pt>
                <c:pt idx="191">
                  <c:v>-83.149698147669071</c:v>
                </c:pt>
                <c:pt idx="192">
                  <c:v>-83.555093724859219</c:v>
                </c:pt>
                <c:pt idx="193">
                  <c:v>-83.957727925733707</c:v>
                </c:pt>
                <c:pt idx="194">
                  <c:v>-84.357759444144037</c:v>
                </c:pt>
                <c:pt idx="195">
                  <c:v>-84.755348035371071</c:v>
                </c:pt>
                <c:pt idx="196">
                  <c:v>-85.150654399145154</c:v>
                </c:pt>
                <c:pt idx="197">
                  <c:v>-85.543840069531896</c:v>
                </c:pt>
                <c:pt idx="198">
                  <c:v>-85.935067311175544</c:v>
                </c:pt>
                <c:pt idx="199">
                  <c:v>-86.32449902138012</c:v>
                </c:pt>
                <c:pt idx="200">
                  <c:v>-86.712298637507146</c:v>
                </c:pt>
                <c:pt idx="201">
                  <c:v>-87.098630049162821</c:v>
                </c:pt>
                <c:pt idx="202">
                  <c:v>-87.483657514649522</c:v>
                </c:pt>
                <c:pt idx="203">
                  <c:v>-87.867545581150182</c:v>
                </c:pt>
                <c:pt idx="204">
                  <c:v>-88.250459008116295</c:v>
                </c:pt>
                <c:pt idx="205">
                  <c:v>-88.632562693330073</c:v>
                </c:pt>
                <c:pt idx="206">
                  <c:v>-89.014021601108084</c:v>
                </c:pt>
                <c:pt idx="207">
                  <c:v>-89.395000692117208</c:v>
                </c:pt>
                <c:pt idx="208">
                  <c:v>-89.77566485427171</c:v>
                </c:pt>
                <c:pt idx="209">
                  <c:v>-90.156178834181944</c:v>
                </c:pt>
                <c:pt idx="210">
                  <c:v>-90.536707168622769</c:v>
                </c:pt>
                <c:pt idx="211">
                  <c:v>-90.917414115494935</c:v>
                </c:pt>
                <c:pt idx="212">
                  <c:v>-91.298463583745743</c:v>
                </c:pt>
                <c:pt idx="213">
                  <c:v>-91.68001906172293</c:v>
                </c:pt>
                <c:pt idx="214">
                  <c:v>-92.062243543430142</c:v>
                </c:pt>
                <c:pt idx="215">
                  <c:v>-92.445299452156007</c:v>
                </c:pt>
                <c:pt idx="216">
                  <c:v>-92.829348560948588</c:v>
                </c:pt>
                <c:pt idx="217">
                  <c:v>-93.21455190940604</c:v>
                </c:pt>
                <c:pt idx="218">
                  <c:v>-93.601069716258579</c:v>
                </c:pt>
                <c:pt idx="219">
                  <c:v>-93.989061287216302</c:v>
                </c:pt>
                <c:pt idx="220">
                  <c:v>-94.378684917560193</c:v>
                </c:pt>
                <c:pt idx="221">
                  <c:v>-94.770097788959575</c:v>
                </c:pt>
                <c:pt idx="222">
                  <c:v>-95.163455859997967</c:v>
                </c:pt>
                <c:pt idx="223">
                  <c:v>-95.558913749904818</c:v>
                </c:pt>
                <c:pt idx="224">
                  <c:v>-95.956624614986382</c:v>
                </c:pt>
                <c:pt idx="225">
                  <c:v>-96.356740017270511</c:v>
                </c:pt>
                <c:pt idx="226">
                  <c:v>-96.759409784882308</c:v>
                </c:pt>
                <c:pt idx="227">
                  <c:v>-97.164781863689043</c:v>
                </c:pt>
                <c:pt idx="228">
                  <c:v>-97.573002159763519</c:v>
                </c:pt>
                <c:pt idx="229">
                  <c:v>-97.984214372245916</c:v>
                </c:pt>
                <c:pt idx="230">
                  <c:v>-98.398559816194606</c:v>
                </c:pt>
                <c:pt idx="231">
                  <c:v>-98.816177235058845</c:v>
                </c:pt>
                <c:pt idx="232">
                  <c:v>-99.23720260243077</c:v>
                </c:pt>
                <c:pt idx="233">
                  <c:v>-99.661768912776523</c:v>
                </c:pt>
                <c:pt idx="234">
                  <c:v>-100.09000596088694</c:v>
                </c:pt>
                <c:pt idx="235">
                  <c:v>-100.52204010984217</c:v>
                </c:pt>
                <c:pt idx="236">
                  <c:v>-100.9579940473368</c:v>
                </c:pt>
                <c:pt idx="237">
                  <c:v>-101.39798653027694</c:v>
                </c:pt>
                <c:pt idx="238">
                  <c:v>-101.84213211763138</c:v>
                </c:pt>
                <c:pt idx="239">
                  <c:v>-102.29054089159376</c:v>
                </c:pt>
                <c:pt idx="240">
                  <c:v>-102.74331816720139</c:v>
                </c:pt>
                <c:pt idx="241">
                  <c:v>-103.20056419065153</c:v>
                </c:pt>
                <c:pt idx="242">
                  <c:v>-103.66237382665042</c:v>
                </c:pt>
                <c:pt idx="243">
                  <c:v>-104.12883623525138</c:v>
                </c:pt>
                <c:pt idx="244">
                  <c:v>-104.60003453875034</c:v>
                </c:pt>
                <c:pt idx="245">
                  <c:v>-105.07604547933839</c:v>
                </c:pt>
                <c:pt idx="246">
                  <c:v>-105.55693906834561</c:v>
                </c:pt>
                <c:pt idx="247">
                  <c:v>-106.04277822805392</c:v>
                </c:pt>
                <c:pt idx="248">
                  <c:v>-106.53361842721073</c:v>
                </c:pt>
                <c:pt idx="249">
                  <c:v>-107.02950731152943</c:v>
                </c:pt>
                <c:pt idx="250">
                  <c:v>-107.53048433062862</c:v>
                </c:pt>
                <c:pt idx="251">
                  <c:v>-108.03658036302922</c:v>
                </c:pt>
                <c:pt idx="252">
                  <c:v>-108.5478173409991</c:v>
                </c:pt>
                <c:pt idx="253">
                  <c:v>-109.06420787721099</c:v>
                </c:pt>
                <c:pt idx="254">
                  <c:v>-109.58575489534439</c:v>
                </c:pt>
                <c:pt idx="255">
                  <c:v>-110.11245126694293</c:v>
                </c:pt>
                <c:pt idx="256">
                  <c:v>-110.64427945699067</c:v>
                </c:pt>
                <c:pt idx="257">
                  <c:v>-111.18121118084322</c:v>
                </c:pt>
                <c:pt idx="258">
                  <c:v>-111.72320707528343</c:v>
                </c:pt>
                <c:pt idx="259">
                  <c:v>-112.2702163866138</c:v>
                </c:pt>
                <c:pt idx="260">
                  <c:v>-112.82217667881639</c:v>
                </c:pt>
                <c:pt idx="261">
                  <c:v>-113.37901356490289</c:v>
                </c:pt>
                <c:pt idx="262">
                  <c:v>-113.9406404646605</c:v>
                </c:pt>
                <c:pt idx="263">
                  <c:v>-114.50695839204592</c:v>
                </c:pt>
                <c:pt idx="264">
                  <c:v>-115.07785577549704</c:v>
                </c:pt>
                <c:pt idx="265">
                  <c:v>-115.65320831442584</c:v>
                </c:pt>
                <c:pt idx="266">
                  <c:v>-116.23287887510008</c:v>
                </c:pt>
                <c:pt idx="267">
                  <c:v>-116.816717429045</c:v>
                </c:pt>
                <c:pt idx="268">
                  <c:v>-117.4045610369612</c:v>
                </c:pt>
                <c:pt idx="269">
                  <c:v>-117.99623388099248</c:v>
                </c:pt>
                <c:pt idx="270">
                  <c:v>-118.59154734796671</c:v>
                </c:pt>
                <c:pt idx="271">
                  <c:v>-119.19030016597634</c:v>
                </c:pt>
                <c:pt idx="272">
                  <c:v>-119.79227859637133</c:v>
                </c:pt>
                <c:pt idx="273">
                  <c:v>-120.39725668289672</c:v>
                </c:pt>
                <c:pt idx="274">
                  <c:v>-121.00499655933196</c:v>
                </c:pt>
                <c:pt idx="275">
                  <c:v>-121.61524881657009</c:v>
                </c:pt>
                <c:pt idx="276">
                  <c:v>-122.22775292963325</c:v>
                </c:pt>
                <c:pt idx="277">
                  <c:v>-122.84223774463941</c:v>
                </c:pt>
                <c:pt idx="278">
                  <c:v>-123.45842202524329</c:v>
                </c:pt>
                <c:pt idx="279">
                  <c:v>-124.07601505755397</c:v>
                </c:pt>
                <c:pt idx="280">
                  <c:v>-124.69471731201376</c:v>
                </c:pt>
                <c:pt idx="281">
                  <c:v>-125.31422116019466</c:v>
                </c:pt>
                <c:pt idx="282">
                  <c:v>-125.93421164395183</c:v>
                </c:pt>
                <c:pt idx="283">
                  <c:v>-126.5543672938709</c:v>
                </c:pt>
                <c:pt idx="284">
                  <c:v>-127.17436099346294</c:v>
                </c:pt>
                <c:pt idx="285">
                  <c:v>-127.79386088511423</c:v>
                </c:pt>
                <c:pt idx="286">
                  <c:v>-128.41253131338658</c:v>
                </c:pt>
                <c:pt idx="287">
                  <c:v>-129.03003380090311</c:v>
                </c:pt>
                <c:pt idx="288">
                  <c:v>-129.64602805173828</c:v>
                </c:pt>
                <c:pt idx="289">
                  <c:v>-130.26017297698741</c:v>
                </c:pt>
                <c:pt idx="290">
                  <c:v>-130.87212773699579</c:v>
                </c:pt>
                <c:pt idx="291">
                  <c:v>-131.48155279460883</c:v>
                </c:pt>
                <c:pt idx="292">
                  <c:v>-132.08811097375545</c:v>
                </c:pt>
                <c:pt idx="293">
                  <c:v>-132.69146851768531</c:v>
                </c:pt>
                <c:pt idx="294">
                  <c:v>-133.29129614127672</c:v>
                </c:pt>
                <c:pt idx="295">
                  <c:v>-133.88727007197949</c:v>
                </c:pt>
                <c:pt idx="296">
                  <c:v>-134.47907307417265</c:v>
                </c:pt>
                <c:pt idx="297">
                  <c:v>-135.0663954519969</c:v>
                </c:pt>
                <c:pt idx="298">
                  <c:v>-135.64893602604781</c:v>
                </c:pt>
                <c:pt idx="299">
                  <c:v>-136.22640307968851</c:v>
                </c:pt>
                <c:pt idx="300">
                  <c:v>-136.79851527116227</c:v>
                </c:pt>
                <c:pt idx="301">
                  <c:v>-137.3650025081173</c:v>
                </c:pt>
                <c:pt idx="302">
                  <c:v>-137.92560678164082</c:v>
                </c:pt>
                <c:pt idx="303">
                  <c:v>-138.48008295735812</c:v>
                </c:pt>
                <c:pt idx="304">
                  <c:v>-139.02819952165459</c:v>
                </c:pt>
                <c:pt idx="305">
                  <c:v>-139.56973928154827</c:v>
                </c:pt>
                <c:pt idx="306">
                  <c:v>-140.10450001721696</c:v>
                </c:pt>
                <c:pt idx="307">
                  <c:v>-140.63229508661442</c:v>
                </c:pt>
                <c:pt idx="308">
                  <c:v>-141.15295398205382</c:v>
                </c:pt>
                <c:pt idx="309">
                  <c:v>-141.66632283900253</c:v>
                </c:pt>
                <c:pt idx="310">
                  <c:v>-142.1722648976872</c:v>
                </c:pt>
                <c:pt idx="311">
                  <c:v>-142.67066091841681</c:v>
                </c:pt>
                <c:pt idx="312">
                  <c:v>-143.16140955177289</c:v>
                </c:pt>
                <c:pt idx="313">
                  <c:v>-143.64442766504106</c:v>
                </c:pt>
                <c:pt idx="314">
                  <c:v>-144.11965062639695</c:v>
                </c:pt>
                <c:pt idx="315">
                  <c:v>-144.58703254847251</c:v>
                </c:pt>
                <c:pt idx="316">
                  <c:v>-145.04654649298047</c:v>
                </c:pt>
                <c:pt idx="317">
                  <c:v>-145.49818463806994</c:v>
                </c:pt>
                <c:pt idx="318">
                  <c:v>-145.94195841005163</c:v>
                </c:pt>
                <c:pt idx="319">
                  <c:v>-146.37789858102406</c:v>
                </c:pt>
                <c:pt idx="320">
                  <c:v>-146.80605533381731</c:v>
                </c:pt>
                <c:pt idx="321">
                  <c:v>-147.22649829548354</c:v>
                </c:pt>
                <c:pt idx="322">
                  <c:v>-147.63931654036853</c:v>
                </c:pt>
                <c:pt idx="323">
                  <c:v>-148.04461856356377</c:v>
                </c:pt>
                <c:pt idx="324">
                  <c:v>-148.44253222528357</c:v>
                </c:pt>
                <c:pt idx="325">
                  <c:v>-148.83320466643622</c:v>
                </c:pt>
                <c:pt idx="326">
                  <c:v>-149.21680219537768</c:v>
                </c:pt>
                <c:pt idx="327">
                  <c:v>-149.59351014554844</c:v>
                </c:pt>
                <c:pt idx="328">
                  <c:v>-149.96353270339964</c:v>
                </c:pt>
                <c:pt idx="329">
                  <c:v>-150.32709270574017</c:v>
                </c:pt>
                <c:pt idx="330">
                  <c:v>-150.6844314053626</c:v>
                </c:pt>
                <c:pt idx="331">
                  <c:v>-151.03580820356558</c:v>
                </c:pt>
                <c:pt idx="332">
                  <c:v>-151.38150034795183</c:v>
                </c:pt>
                <c:pt idx="333">
                  <c:v>-151.72180259371294</c:v>
                </c:pt>
                <c:pt idx="334">
                  <c:v>-152.05702682642428</c:v>
                </c:pt>
                <c:pt idx="335">
                  <c:v>-152.38750164429342</c:v>
                </c:pt>
                <c:pt idx="336">
                  <c:v>-152.71357189770785</c:v>
                </c:pt>
                <c:pt idx="337">
                  <c:v>-153.03559818393003</c:v>
                </c:pt>
                <c:pt idx="338">
                  <c:v>-153.35395629481309</c:v>
                </c:pt>
                <c:pt idx="339">
                  <c:v>-153.66903661550757</c:v>
                </c:pt>
                <c:pt idx="340">
                  <c:v>-153.98124347227625</c:v>
                </c:pt>
                <c:pt idx="341">
                  <c:v>-154.29099442775288</c:v>
                </c:pt>
                <c:pt idx="342">
                  <c:v>-154.59871952224117</c:v>
                </c:pt>
                <c:pt idx="343">
                  <c:v>-154.90486045998543</c:v>
                </c:pt>
                <c:pt idx="344">
                  <c:v>-155.209869739731</c:v>
                </c:pt>
                <c:pt idx="345">
                  <c:v>-155.51420972933423</c:v>
                </c:pt>
                <c:pt idx="346">
                  <c:v>-155.81835168466608</c:v>
                </c:pt>
                <c:pt idx="347">
                  <c:v>-156.12277471359926</c:v>
                </c:pt>
                <c:pt idx="348">
                  <c:v>-156.42796468643738</c:v>
                </c:pt>
                <c:pt idx="349">
                  <c:v>-156.73441309475075</c:v>
                </c:pt>
                <c:pt idx="350">
                  <c:v>-157.04261586121427</c:v>
                </c:pt>
                <c:pt idx="351">
                  <c:v>-157.35307210368956</c:v>
                </c:pt>
                <c:pt idx="352">
                  <c:v>-157.66628285743138</c:v>
                </c:pt>
                <c:pt idx="353">
                  <c:v>-157.98274975995426</c:v>
                </c:pt>
                <c:pt idx="354">
                  <c:v>-158.3029737037096</c:v>
                </c:pt>
                <c:pt idx="355">
                  <c:v>-158.62745346232563</c:v>
                </c:pt>
                <c:pt idx="356">
                  <c:v>-158.95668429672813</c:v>
                </c:pt>
                <c:pt idx="357">
                  <c:v>-159.29115654796135</c:v>
                </c:pt>
                <c:pt idx="358">
                  <c:v>-159.63135422399353</c:v>
                </c:pt>
                <c:pt idx="359">
                  <c:v>-159.97775358816622</c:v>
                </c:pt>
                <c:pt idx="360">
                  <c:v>-160.33082175726989</c:v>
                </c:pt>
                <c:pt idx="361">
                  <c:v>-160.6910153174336</c:v>
                </c:pt>
                <c:pt idx="362">
                  <c:v>-161.05877896617829</c:v>
                </c:pt>
                <c:pt idx="363">
                  <c:v>-161.43454418900239</c:v>
                </c:pt>
                <c:pt idx="364">
                  <c:v>-161.81872797882335</c:v>
                </c:pt>
                <c:pt idx="365">
                  <c:v>-162.21173160644148</c:v>
                </c:pt>
                <c:pt idx="366">
                  <c:v>-162.61393944993193</c:v>
                </c:pt>
                <c:pt idx="367">
                  <c:v>-163.02571789052035</c:v>
                </c:pt>
                <c:pt idx="368">
                  <c:v>-163.44741428204426</c:v>
                </c:pt>
                <c:pt idx="369">
                  <c:v>-163.87935600055772</c:v>
                </c:pt>
                <c:pt idx="370">
                  <c:v>-164.32184958001631</c:v>
                </c:pt>
                <c:pt idx="371">
                  <c:v>-164.77517993926253</c:v>
                </c:pt>
                <c:pt idx="372">
                  <c:v>-165.23960970476816</c:v>
                </c:pt>
                <c:pt idx="373">
                  <c:v>-165.71537863274037</c:v>
                </c:pt>
                <c:pt idx="374">
                  <c:v>-166.20270313332733</c:v>
                </c:pt>
                <c:pt idx="375">
                  <c:v>-166.70177589871781</c:v>
                </c:pt>
                <c:pt idx="376">
                  <c:v>-167.21276563599616</c:v>
                </c:pt>
                <c:pt idx="377">
                  <c:v>-167.73581690463237</c:v>
                </c:pt>
                <c:pt idx="378">
                  <c:v>-168.27105005753648</c:v>
                </c:pt>
                <c:pt idx="379">
                  <c:v>-168.8185612836389</c:v>
                </c:pt>
                <c:pt idx="380">
                  <c:v>-169.37842274903645</c:v>
                </c:pt>
                <c:pt idx="381">
                  <c:v>-169.95068283285144</c:v>
                </c:pt>
                <c:pt idx="382">
                  <c:v>-170.53536645309947</c:v>
                </c:pt>
                <c:pt idx="383">
                  <c:v>-171.13247547709219</c:v>
                </c:pt>
                <c:pt idx="384">
                  <c:v>-171.74198921017839</c:v>
                </c:pt>
                <c:pt idx="385">
                  <c:v>-172.363864956003</c:v>
                </c:pt>
                <c:pt idx="386">
                  <c:v>-172.9980386409274</c:v>
                </c:pt>
                <c:pt idx="387">
                  <c:v>-173.64442549481021</c:v>
                </c:pt>
                <c:pt idx="388">
                  <c:v>-174.3029207800115</c:v>
                </c:pt>
                <c:pt idx="389">
                  <c:v>-174.97340056025959</c:v>
                </c:pt>
                <c:pt idx="390">
                  <c:v>-175.65572250090062</c:v>
                </c:pt>
                <c:pt idx="391">
                  <c:v>-176.34972669205567</c:v>
                </c:pt>
                <c:pt idx="392">
                  <c:v>-177.05523648631308</c:v>
                </c:pt>
                <c:pt idx="393">
                  <c:v>-177.77205934281818</c:v>
                </c:pt>
                <c:pt idx="394">
                  <c:v>-178.49998766994128</c:v>
                </c:pt>
                <c:pt idx="395">
                  <c:v>-179.23879965915015</c:v>
                </c:pt>
                <c:pt idx="396">
                  <c:v>-179.98826010322915</c:v>
                </c:pt>
                <c:pt idx="397">
                  <c:v>179.25187880738784</c:v>
                </c:pt>
                <c:pt idx="398">
                  <c:v>178.48187671572319</c:v>
                </c:pt>
                <c:pt idx="399">
                  <c:v>177.70200436158888</c:v>
                </c:pt>
                <c:pt idx="400">
                  <c:v>176.91254288112899</c:v>
                </c:pt>
                <c:pt idx="401">
                  <c:v>176.11378314571186</c:v>
                </c:pt>
                <c:pt idx="402">
                  <c:v>175.30602514242435</c:v>
                </c:pt>
                <c:pt idx="403">
                  <c:v>174.48957739754692</c:v>
                </c:pt>
                <c:pt idx="404">
                  <c:v>173.66475644349461</c:v>
                </c:pt>
                <c:pt idx="405">
                  <c:v>172.83188632884747</c:v>
                </c:pt>
                <c:pt idx="406">
                  <c:v>171.99129817024885</c:v>
                </c:pt>
                <c:pt idx="407">
                  <c:v>171.143329744163</c:v>
                </c:pt>
                <c:pt idx="408">
                  <c:v>170.28832511573728</c:v>
                </c:pt>
                <c:pt idx="409">
                  <c:v>169.42663430135102</c:v>
                </c:pt>
                <c:pt idx="410">
                  <c:v>168.55861296083444</c:v>
                </c:pt>
                <c:pt idx="411">
                  <c:v>167.68462211483777</c:v>
                </c:pt>
                <c:pt idx="412">
                  <c:v>166.80502788242055</c:v>
                </c:pt>
                <c:pt idx="413">
                  <c:v>165.92020123362025</c:v>
                </c:pt>
                <c:pt idx="414">
                  <c:v>165.03051775155797</c:v>
                </c:pt>
                <c:pt idx="415">
                  <c:v>164.13635739853601</c:v>
                </c:pt>
                <c:pt idx="416">
                  <c:v>163.23810428059997</c:v>
                </c:pt>
                <c:pt idx="417">
                  <c:v>162.33614640515816</c:v>
                </c:pt>
                <c:pt idx="418">
                  <c:v>161.43087542646589</c:v>
                </c:pt>
                <c:pt idx="419">
                  <c:v>160.52268637411467</c:v>
                </c:pt>
                <c:pt idx="420">
                  <c:v>159.61197736007654</c:v>
                </c:pt>
                <c:pt idx="421">
                  <c:v>158.69914926035449</c:v>
                </c:pt>
                <c:pt idx="422">
                  <c:v>157.78460536786258</c:v>
                </c:pt>
                <c:pt idx="423">
                  <c:v>156.86875101379781</c:v>
                </c:pt>
                <c:pt idx="424">
                  <c:v>155.95199315545332</c:v>
                </c:pt>
                <c:pt idx="425">
                  <c:v>155.03473992914661</c:v>
                </c:pt>
                <c:pt idx="426">
                  <c:v>154.11740016768022</c:v>
                </c:pt>
                <c:pt idx="427">
                  <c:v>153.20038288252414</c:v>
                </c:pt>
                <c:pt idx="428">
                  <c:v>152.28409671164133</c:v>
                </c:pt>
                <c:pt idx="429">
                  <c:v>151.36894933462193</c:v>
                </c:pt>
                <c:pt idx="430">
                  <c:v>150.45534685749499</c:v>
                </c:pt>
                <c:pt idx="431">
                  <c:v>149.54369317022426</c:v>
                </c:pt>
                <c:pt idx="432">
                  <c:v>148.63438928050996</c:v>
                </c:pt>
                <c:pt idx="433">
                  <c:v>147.72783262802642</c:v>
                </c:pt>
                <c:pt idx="434">
                  <c:v>146.82441638369735</c:v>
                </c:pt>
                <c:pt idx="435">
                  <c:v>145.92452873896269</c:v>
                </c:pt>
                <c:pt idx="436">
                  <c:v>145.02855219027751</c:v>
                </c:pt>
                <c:pt idx="437">
                  <c:v>144.1368628242781</c:v>
                </c:pt>
                <c:pt idx="438">
                  <c:v>143.24982960913036</c:v>
                </c:pt>
                <c:pt idx="439">
                  <c:v>142.36781369760013</c:v>
                </c:pt>
                <c:pt idx="440">
                  <c:v>141.49116774728287</c:v>
                </c:pt>
                <c:pt idx="441">
                  <c:v>140.62023526327454</c:v>
                </c:pt>
                <c:pt idx="442">
                  <c:v>139.75534996830993</c:v>
                </c:pt>
                <c:pt idx="443">
                  <c:v>138.89683520507961</c:v>
                </c:pt>
                <c:pt idx="444">
                  <c:v>138.04500337506161</c:v>
                </c:pt>
                <c:pt idx="445">
                  <c:v>137.20015541775328</c:v>
                </c:pt>
                <c:pt idx="446">
                  <c:v>136.36258033373954</c:v>
                </c:pt>
                <c:pt idx="447">
                  <c:v>135.53255475449362</c:v>
                </c:pt>
                <c:pt idx="448">
                  <c:v>134.71034256129786</c:v>
                </c:pt>
                <c:pt idx="449">
                  <c:v>133.89619455511644</c:v>
                </c:pt>
                <c:pt idx="450">
                  <c:v>133.09034817870821</c:v>
                </c:pt>
                <c:pt idx="451">
                  <c:v>132.29302729172767</c:v>
                </c:pt>
                <c:pt idx="452">
                  <c:v>131.50444199903427</c:v>
                </c:pt>
                <c:pt idx="453">
                  <c:v>130.72478853193431</c:v>
                </c:pt>
                <c:pt idx="454">
                  <c:v>129.95424918160279</c:v>
                </c:pt>
                <c:pt idx="455">
                  <c:v>129.19299228348973</c:v>
                </c:pt>
                <c:pt idx="456">
                  <c:v>128.44117225112856</c:v>
                </c:pt>
                <c:pt idx="457">
                  <c:v>127.69892965739366</c:v>
                </c:pt>
                <c:pt idx="458">
                  <c:v>126.96639136095135</c:v>
                </c:pt>
                <c:pt idx="459">
                  <c:v>126.24367067538147</c:v>
                </c:pt>
                <c:pt idx="460">
                  <c:v>125.53086757821896</c:v>
                </c:pt>
                <c:pt idx="461">
                  <c:v>124.82806895700635</c:v>
                </c:pt>
                <c:pt idx="462">
                  <c:v>124.1353488892982</c:v>
                </c:pt>
                <c:pt idx="463">
                  <c:v>123.45276895349018</c:v>
                </c:pt>
                <c:pt idx="464">
                  <c:v>122.78037856728584</c:v>
                </c:pt>
                <c:pt idx="465">
                  <c:v>122.11821535061038</c:v>
                </c:pt>
                <c:pt idx="466">
                  <c:v>121.46630550979935</c:v>
                </c:pt>
                <c:pt idx="467">
                  <c:v>120.82466423994998</c:v>
                </c:pt>
                <c:pt idx="468">
                  <c:v>120.19329614240255</c:v>
                </c:pt>
                <c:pt idx="469">
                  <c:v>119.57219565441667</c:v>
                </c:pt>
                <c:pt idx="470">
                  <c:v>118.96134748824264</c:v>
                </c:pt>
                <c:pt idx="471">
                  <c:v>118.36072707692026</c:v>
                </c:pt>
                <c:pt idx="472">
                  <c:v>117.77030102429542</c:v>
                </c:pt>
                <c:pt idx="473">
                  <c:v>117.19002755689682</c:v>
                </c:pt>
                <c:pt idx="474">
                  <c:v>116.61985697550605</c:v>
                </c:pt>
                <c:pt idx="475">
                  <c:v>116.05973210440109</c:v>
                </c:pt>
                <c:pt idx="476">
                  <c:v>115.50958873645168</c:v>
                </c:pt>
                <c:pt idx="477">
                  <c:v>114.96935607240387</c:v>
                </c:pt>
                <c:pt idx="478">
                  <c:v>114.43895715287141</c:v>
                </c:pt>
                <c:pt idx="479">
                  <c:v>113.91830928171917</c:v>
                </c:pt>
                <c:pt idx="480">
                  <c:v>113.40732443967912</c:v>
                </c:pt>
                <c:pt idx="481">
                  <c:v>112.90590968720808</c:v>
                </c:pt>
                <c:pt idx="482">
                  <c:v>112.41396755573319</c:v>
                </c:pt>
                <c:pt idx="483">
                  <c:v>111.93139642658008</c:v>
                </c:pt>
                <c:pt idx="484">
                  <c:v>111.45809089700255</c:v>
                </c:pt>
                <c:pt idx="485">
                  <c:v>110.99394213286645</c:v>
                </c:pt>
                <c:pt idx="486">
                  <c:v>110.53883820764322</c:v>
                </c:pt>
                <c:pt idx="487">
                  <c:v>110.09266442747874</c:v>
                </c:pt>
                <c:pt idx="488">
                  <c:v>109.65530364219957</c:v>
                </c:pt>
                <c:pt idx="489">
                  <c:v>109.22663654220197</c:v>
                </c:pt>
                <c:pt idx="490">
                  <c:v>108.80654194124975</c:v>
                </c:pt>
                <c:pt idx="491">
                  <c:v>108.39489704527318</c:v>
                </c:pt>
                <c:pt idx="492">
                  <c:v>107.9915777073292</c:v>
                </c:pt>
                <c:pt idx="493">
                  <c:v>107.59645866892829</c:v>
                </c:pt>
                <c:pt idx="494">
                  <c:v>107.20941378798931</c:v>
                </c:pt>
                <c:pt idx="495">
                  <c:v>106.83031625371585</c:v>
                </c:pt>
                <c:pt idx="496">
                  <c:v>106.45903878872923</c:v>
                </c:pt>
                <c:pt idx="497">
                  <c:v>106.09545383881452</c:v>
                </c:pt>
                <c:pt idx="498">
                  <c:v>105.73943375066347</c:v>
                </c:pt>
                <c:pt idx="499">
                  <c:v>105.39085093801614</c:v>
                </c:pt>
                <c:pt idx="500">
                  <c:v>105.04957803661559</c:v>
                </c:pt>
                <c:pt idx="501">
                  <c:v>104.71548804839702</c:v>
                </c:pt>
                <c:pt idx="502">
                  <c:v>104.38845447534806</c:v>
                </c:pt>
                <c:pt idx="503">
                  <c:v>104.06835144347011</c:v>
                </c:pt>
                <c:pt idx="504">
                  <c:v>103.75505381727407</c:v>
                </c:pt>
                <c:pt idx="505">
                  <c:v>103.44843730524798</c:v>
                </c:pt>
                <c:pt idx="506">
                  <c:v>103.14837855671983</c:v>
                </c:pt>
                <c:pt idx="507">
                  <c:v>102.85475525053879</c:v>
                </c:pt>
                <c:pt idx="508">
                  <c:v>102.56744617599009</c:v>
                </c:pt>
                <c:pt idx="509">
                  <c:v>102.2863313063484</c:v>
                </c:pt>
                <c:pt idx="510">
                  <c:v>102.01129186546254</c:v>
                </c:pt>
                <c:pt idx="511">
                  <c:v>101.74221038775985</c:v>
                </c:pt>
                <c:pt idx="512">
                  <c:v>101.47897077203815</c:v>
                </c:pt>
                <c:pt idx="513">
                  <c:v>101.22145832940731</c:v>
                </c:pt>
                <c:pt idx="514">
                  <c:v>100.96955982572646</c:v>
                </c:pt>
                <c:pt idx="515">
                  <c:v>100.72316351887254</c:v>
                </c:pt>
                <c:pt idx="516">
                  <c:v>100.48215919115715</c:v>
                </c:pt>
                <c:pt idx="517">
                  <c:v>100.24643817720363</c:v>
                </c:pt>
                <c:pt idx="518">
                  <c:v>100.01589338757455</c:v>
                </c:pt>
                <c:pt idx="519">
                  <c:v>99.790419328433032</c:v>
                </c:pt>
                <c:pt idx="520">
                  <c:v>99.569912117503904</c:v>
                </c:pt>
                <c:pt idx="521">
                  <c:v>99.354269496589623</c:v>
                </c:pt>
                <c:pt idx="522">
                  <c:v>99.143390840885459</c:v>
                </c:pt>
                <c:pt idx="523">
                  <c:v>98.937177165321529</c:v>
                </c:pt>
                <c:pt idx="524">
                  <c:v>98.735531128150029</c:v>
                </c:pt>
                <c:pt idx="525">
                  <c:v>98.538357031985356</c:v>
                </c:pt>
                <c:pt idx="526">
                  <c:v>98.345560822491564</c:v>
                </c:pt>
                <c:pt idx="527">
                  <c:v>98.157050084901698</c:v>
                </c:pt>
                <c:pt idx="528">
                  <c:v>97.972734038542896</c:v>
                </c:pt>
                <c:pt idx="529">
                  <c:v>97.792523529530598</c:v>
                </c:pt>
                <c:pt idx="530">
                  <c:v>97.616331021788341</c:v>
                </c:pt>
                <c:pt idx="531">
                  <c:v>97.444070586535361</c:v>
                </c:pt>
                <c:pt idx="532">
                  <c:v>97.275657890380373</c:v>
                </c:pt>
                <c:pt idx="533">
                  <c:v>97.111010182148988</c:v>
                </c:pt>
                <c:pt idx="534">
                  <c:v>96.950046278563846</c:v>
                </c:pt>
                <c:pt idx="535">
                  <c:v>96.792686548891183</c:v>
                </c:pt>
                <c:pt idx="536">
                  <c:v>96.638852898657859</c:v>
                </c:pt>
                <c:pt idx="537">
                  <c:v>96.488468752537415</c:v>
                </c:pt>
                <c:pt idx="538">
                  <c:v>96.341459036496587</c:v>
                </c:pt>
                <c:pt idx="539">
                  <c:v>96.197750159288589</c:v>
                </c:pt>
                <c:pt idx="540">
                  <c:v>96.05726999337152</c:v>
                </c:pt>
                <c:pt idx="541">
                  <c:v>95.919947855327607</c:v>
                </c:pt>
              </c:numCache>
            </c:numRef>
          </c:yVal>
          <c:smooth val="1"/>
          <c:extLst>
            <c:ext xmlns:c16="http://schemas.microsoft.com/office/drawing/2014/chart" uri="{C3380CC4-5D6E-409C-BE32-E72D297353CC}">
              <c16:uniqueId val="{00000001-C0DB-44D3-93C3-2FD2B4FE1384}"/>
            </c:ext>
          </c:extLst>
        </c:ser>
        <c:dLbls>
          <c:showLegendKey val="0"/>
          <c:showVal val="0"/>
          <c:showCatName val="0"/>
          <c:showSerName val="0"/>
          <c:showPercent val="0"/>
          <c:showBubbleSize val="0"/>
        </c:dLbls>
        <c:axId val="555250048"/>
        <c:axId val="555235968"/>
      </c:scatterChart>
      <c:valAx>
        <c:axId val="55523187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234048"/>
        <c:crosses val="autoZero"/>
        <c:crossBetween val="midCat"/>
      </c:valAx>
      <c:valAx>
        <c:axId val="55523404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231872"/>
        <c:crosses val="autoZero"/>
        <c:crossBetween val="midCat"/>
        <c:majorUnit val="20"/>
        <c:minorUnit val="10"/>
      </c:valAx>
      <c:valAx>
        <c:axId val="555235968"/>
        <c:scaling>
          <c:orientation val="minMax"/>
          <c:max val="180"/>
          <c:min val="-180"/>
        </c:scaling>
        <c:delete val="0"/>
        <c:axPos val="r"/>
        <c:numFmt formatCode="General" sourceLinked="1"/>
        <c:majorTickMark val="out"/>
        <c:minorTickMark val="none"/>
        <c:tickLblPos val="nextTo"/>
        <c:crossAx val="555250048"/>
        <c:crosses val="max"/>
        <c:crossBetween val="midCat"/>
        <c:majorUnit val="90"/>
        <c:minorUnit val="45"/>
      </c:valAx>
      <c:valAx>
        <c:axId val="555250048"/>
        <c:scaling>
          <c:logBase val="10"/>
          <c:orientation val="minMax"/>
        </c:scaling>
        <c:delete val="1"/>
        <c:axPos val="b"/>
        <c:numFmt formatCode="0.00" sourceLinked="1"/>
        <c:majorTickMark val="out"/>
        <c:minorTickMark val="none"/>
        <c:tickLblPos val="nextTo"/>
        <c:crossAx val="555235968"/>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Loop_Modeling!$BG$19:$BG$560</c:f>
              <c:numCache>
                <c:formatCode>General</c:formatCode>
                <c:ptCount val="542"/>
                <c:pt idx="0">
                  <c:v>20.684980530750838</c:v>
                </c:pt>
                <c:pt idx="1">
                  <c:v>20.485725046465141</c:v>
                </c:pt>
                <c:pt idx="2">
                  <c:v>20.286504513231471</c:v>
                </c:pt>
                <c:pt idx="3">
                  <c:v>20.087320565088827</c:v>
                </c:pt>
                <c:pt idx="4">
                  <c:v>19.88817491182521</c:v>
                </c:pt>
                <c:pt idx="5">
                  <c:v>19.689069342426858</c:v>
                </c:pt>
                <c:pt idx="6">
                  <c:v>19.490005728678902</c:v>
                </c:pt>
                <c:pt idx="7">
                  <c:v>19.290986028922941</c:v>
                </c:pt>
                <c:pt idx="8">
                  <c:v>19.092012291978314</c:v>
                </c:pt>
                <c:pt idx="9">
                  <c:v>18.893086661232804</c:v>
                </c:pt>
                <c:pt idx="10">
                  <c:v>18.694211378910136</c:v>
                </c:pt>
                <c:pt idx="11">
                  <c:v>18.495388790520224</c:v>
                </c:pt>
                <c:pt idx="12">
                  <c:v>18.296621349499759</c:v>
                </c:pt>
                <c:pt idx="13">
                  <c:v>18.097911622050049</c:v>
                </c:pt>
                <c:pt idx="14">
                  <c:v>17.89926229217923</c:v>
                </c:pt>
                <c:pt idx="15">
                  <c:v>17.70067616695669</c:v>
                </c:pt>
                <c:pt idx="16">
                  <c:v>17.502156181986578</c:v>
                </c:pt>
                <c:pt idx="17">
                  <c:v>17.303705407109284</c:v>
                </c:pt>
                <c:pt idx="18">
                  <c:v>17.105327052337643</c:v>
                </c:pt>
                <c:pt idx="19">
                  <c:v>16.907024474036263</c:v>
                </c:pt>
                <c:pt idx="20">
                  <c:v>16.708801181352484</c:v>
                </c:pt>
                <c:pt idx="21">
                  <c:v>16.510660842906077</c:v>
                </c:pt>
                <c:pt idx="22">
                  <c:v>16.312607293747323</c:v>
                </c:pt>
                <c:pt idx="23">
                  <c:v>16.114644542590042</c:v>
                </c:pt>
                <c:pt idx="24">
                  <c:v>15.916776779329428</c:v>
                </c:pt>
                <c:pt idx="25">
                  <c:v>15.719008382851392</c:v>
                </c:pt>
                <c:pt idx="26">
                  <c:v>15.521343929142875</c:v>
                </c:pt>
                <c:pt idx="27">
                  <c:v>15.323788199709947</c:v>
                </c:pt>
                <c:pt idx="28">
                  <c:v>15.126346190312363</c:v>
                </c:pt>
                <c:pt idx="29">
                  <c:v>14.929023120021945</c:v>
                </c:pt>
                <c:pt idx="30">
                  <c:v>14.731824440611646</c:v>
                </c:pt>
                <c:pt idx="31">
                  <c:v>14.534755846283174</c:v>
                </c:pt>
                <c:pt idx="32">
                  <c:v>14.337823283739276</c:v>
                </c:pt>
                <c:pt idx="33">
                  <c:v>14.141032962606253</c:v>
                </c:pt>
                <c:pt idx="34">
                  <c:v>13.944391366213962</c:v>
                </c:pt>
                <c:pt idx="35">
                  <c:v>13.74790526273568</c:v>
                </c:pt>
                <c:pt idx="36">
                  <c:v>13.551581716694166</c:v>
                </c:pt>
                <c:pt idx="37">
                  <c:v>13.355428100836214</c:v>
                </c:pt>
                <c:pt idx="38">
                  <c:v>13.159452108377351</c:v>
                </c:pt>
                <c:pt idx="39">
                  <c:v>12.963661765619037</c:v>
                </c:pt>
                <c:pt idx="40">
                  <c:v>12.768065444936816</c:v>
                </c:pt>
                <c:pt idx="41">
                  <c:v>12.572671878139223</c:v>
                </c:pt>
                <c:pt idx="42">
                  <c:v>12.377490170192811</c:v>
                </c:pt>
                <c:pt idx="43">
                  <c:v>12.182529813308978</c:v>
                </c:pt>
                <c:pt idx="44">
                  <c:v>11.987800701386064</c:v>
                </c:pt>
                <c:pt idx="45">
                  <c:v>11.793313144796816</c:v>
                </c:pt>
                <c:pt idx="46">
                  <c:v>11.599077885509491</c:v>
                </c:pt>
                <c:pt idx="47">
                  <c:v>11.405106112529973</c:v>
                </c:pt>
                <c:pt idx="48">
                  <c:v>11.211409477646093</c:v>
                </c:pt>
                <c:pt idx="49">
                  <c:v>11.018000111454924</c:v>
                </c:pt>
                <c:pt idx="50">
                  <c:v>10.824890639649261</c:v>
                </c:pt>
                <c:pt idx="51">
                  <c:v>10.632094199536933</c:v>
                </c:pt>
                <c:pt idx="52">
                  <c:v>10.439624456760018</c:v>
                </c:pt>
                <c:pt idx="53">
                  <c:v>10.247495622180134</c:v>
                </c:pt>
                <c:pt idx="54">
                  <c:v>10.055722468889165</c:v>
                </c:pt>
                <c:pt idx="55">
                  <c:v>9.8643203492997564</c:v>
                </c:pt>
                <c:pt idx="56">
                  <c:v>9.6733052122667349</c:v>
                </c:pt>
                <c:pt idx="57">
                  <c:v>9.4826936201820704</c:v>
                </c:pt>
                <c:pt idx="58">
                  <c:v>9.2925027659827482</c:v>
                </c:pt>
                <c:pt idx="59">
                  <c:v>9.1027504900025864</c:v>
                </c:pt>
                <c:pt idx="60">
                  <c:v>8.9134552965939466</c:v>
                </c:pt>
                <c:pt idx="61">
                  <c:v>8.7246363704369472</c:v>
                </c:pt>
                <c:pt idx="62">
                  <c:v>8.5363135924483249</c:v>
                </c:pt>
                <c:pt idx="63">
                  <c:v>8.3485075551918548</c:v>
                </c:pt>
                <c:pt idx="64">
                  <c:v>8.1612395776882867</c:v>
                </c:pt>
                <c:pt idx="65">
                  <c:v>7.9745317195097956</c:v>
                </c:pt>
                <c:pt idx="66">
                  <c:v>7.7884067940409576</c:v>
                </c:pt>
                <c:pt idx="67">
                  <c:v>7.6028883807757452</c:v>
                </c:pt>
                <c:pt idx="68">
                  <c:v>7.4180008365134871</c:v>
                </c:pt>
                <c:pt idx="69">
                  <c:v>7.233769305308801</c:v>
                </c:pt>
                <c:pt idx="70">
                  <c:v>7.0502197270201492</c:v>
                </c:pt>
                <c:pt idx="71">
                  <c:v>6.8673788442958363</c:v>
                </c:pt>
                <c:pt idx="72">
                  <c:v>6.6852742078261116</c:v>
                </c:pt>
                <c:pt idx="73">
                  <c:v>6.5039341796846903</c:v>
                </c:pt>
                <c:pt idx="74">
                  <c:v>6.3233879345736916</c:v>
                </c:pt>
                <c:pt idx="75">
                  <c:v>6.1436654587820456</c:v>
                </c:pt>
                <c:pt idx="76">
                  <c:v>5.9647975466597387</c:v>
                </c:pt>
                <c:pt idx="77">
                  <c:v>5.7868157944071976</c:v>
                </c:pt>
                <c:pt idx="78">
                  <c:v>5.6097525909749413</c:v>
                </c:pt>
                <c:pt idx="79">
                  <c:v>5.4336411058676681</c:v>
                </c:pt>
                <c:pt idx="80">
                  <c:v>5.2585152736445409</c:v>
                </c:pt>
                <c:pt idx="81">
                  <c:v>5.0844097749117978</c:v>
                </c:pt>
                <c:pt idx="82">
                  <c:v>4.9113600136033542</c:v>
                </c:pt>
                <c:pt idx="83">
                  <c:v>4.7394020903548038</c:v>
                </c:pt>
                <c:pt idx="84">
                  <c:v>4.5685727717804987</c:v>
                </c:pt>
                <c:pt idx="85">
                  <c:v>4.398909455476133</c:v>
                </c:pt>
                <c:pt idx="86">
                  <c:v>4.2304501305819349</c:v>
                </c:pt>
                <c:pt idx="87">
                  <c:v>4.0632333337585225</c:v>
                </c:pt>
                <c:pt idx="88">
                  <c:v>3.8972981004453011</c:v>
                </c:pt>
                <c:pt idx="89">
                  <c:v>3.7326839112969603</c:v>
                </c:pt>
                <c:pt idx="90">
                  <c:v>3.569430633716808</c:v>
                </c:pt>
                <c:pt idx="91">
                  <c:v>3.407578458437607</c:v>
                </c:pt>
                <c:pt idx="92">
                  <c:v>3.2471678311316614</c:v>
                </c:pt>
                <c:pt idx="93">
                  <c:v>3.0882393790707425</c:v>
                </c:pt>
                <c:pt idx="94">
                  <c:v>2.9308338328930206</c:v>
                </c:pt>
                <c:pt idx="95">
                  <c:v>2.7749919435800141</c:v>
                </c:pt>
                <c:pt idx="96">
                  <c:v>2.6207543947893281</c:v>
                </c:pt>
                <c:pt idx="97">
                  <c:v>2.468161710739472</c:v>
                </c:pt>
                <c:pt idx="98">
                  <c:v>2.3172541598916854</c:v>
                </c:pt>
                <c:pt idx="99">
                  <c:v>2.1680716547247201</c:v>
                </c:pt>
                <c:pt idx="100">
                  <c:v>2.0206536479542394</c:v>
                </c:pt>
                <c:pt idx="101">
                  <c:v>1.8750390255974667</c:v>
                </c:pt>
                <c:pt idx="102">
                  <c:v>1.7312659973401565</c:v>
                </c:pt>
                <c:pt idx="103">
                  <c:v>1.5893719847114163</c:v>
                </c:pt>
                <c:pt idx="104">
                  <c:v>1.4493935076244986</c:v>
                </c:pt>
                <c:pt idx="105">
                  <c:v>1.3113660698847318</c:v>
                </c:pt>
                <c:pt idx="106">
                  <c:v>1.1753240443127075</c:v>
                </c:pt>
                <c:pt idx="107">
                  <c:v>1.0413005581653008</c:v>
                </c:pt>
                <c:pt idx="108">
                  <c:v>0.9093273795727691</c:v>
                </c:pt>
                <c:pt idx="109">
                  <c:v>0.77943480573409651</c:v>
                </c:pt>
                <c:pt idx="110">
                  <c:v>0.65165155363336902</c:v>
                </c:pt>
                <c:pt idx="111">
                  <c:v>0.52600465405022201</c:v>
                </c:pt>
                <c:pt idx="112">
                  <c:v>0.40251934963993607</c:v>
                </c:pt>
                <c:pt idx="113">
                  <c:v>0.28121899785227922</c:v>
                </c:pt>
                <c:pt idx="114">
                  <c:v>0.16212497944244375</c:v>
                </c:pt>
                <c:pt idx="115">
                  <c:v>4.5256613301576085E-2</c:v>
                </c:pt>
                <c:pt idx="116">
                  <c:v>-6.9368921700572378E-2</c:v>
                </c:pt>
                <c:pt idx="117">
                  <c:v>-0.18173665721305338</c:v>
                </c:pt>
                <c:pt idx="118">
                  <c:v>-0.29183389764635403</c:v>
                </c:pt>
                <c:pt idx="119">
                  <c:v>-0.39965027362840772</c:v>
                </c:pt>
                <c:pt idx="120">
                  <c:v>-0.50517778621120335</c:v>
                </c:pt>
                <c:pt idx="121">
                  <c:v>-0.60841084144200008</c:v>
                </c:pt>
                <c:pt idx="122">
                  <c:v>-0.70934627499639691</c:v>
                </c:pt>
                <c:pt idx="123">
                  <c:v>-0.80798336665582993</c:v>
                </c:pt>
                <c:pt idx="124">
                  <c:v>-0.90432384450524872</c:v>
                </c:pt>
                <c:pt idx="125">
                  <c:v>-0.99837187881576817</c:v>
                </c:pt>
                <c:pt idx="126">
                  <c:v>-1.0901340656729634</c:v>
                </c:pt>
                <c:pt idx="127">
                  <c:v>-1.1796194005014897</c:v>
                </c:pt>
                <c:pt idx="128">
                  <c:v>-1.2668392417276977</c:v>
                </c:pt>
                <c:pt idx="129">
                  <c:v>-1.351807264905923</c:v>
                </c:pt>
                <c:pt idx="130">
                  <c:v>-1.4345394077187308</c:v>
                </c:pt>
                <c:pt idx="131">
                  <c:v>-1.515053806332227</c:v>
                </c:pt>
                <c:pt idx="132">
                  <c:v>-1.5933707236591563</c:v>
                </c:pt>
                <c:pt idx="133">
                  <c:v>-1.6695124701388628</c:v>
                </c:pt>
                <c:pt idx="134">
                  <c:v>-1.7435033176984895</c:v>
                </c:pt>
                <c:pt idx="135">
                  <c:v>-1.8153694075981637</c:v>
                </c:pt>
                <c:pt idx="136">
                  <c:v>-1.885138652898001</c:v>
                </c:pt>
                <c:pt idx="137">
                  <c:v>-1.9528406363065529</c:v>
                </c:pt>
                <c:pt idx="138">
                  <c:v>-2.0185065041848462</c:v>
                </c:pt>
                <c:pt idx="139">
                  <c:v>-2.0821688574829125</c:v>
                </c:pt>
                <c:pt idx="140">
                  <c:v>-2.1438616403830748</c:v>
                </c:pt>
                <c:pt idx="141">
                  <c:v>-2.203620027409078</c:v>
                </c:pt>
                <c:pt idx="142">
                  <c:v>-2.2614803097396723</c:v>
                </c:pt>
                <c:pt idx="143">
                  <c:v>-2.317479781439518</c:v>
                </c:pt>
                <c:pt idx="144">
                  <c:v>-2.3716566262822356</c:v>
                </c:pt>
                <c:pt idx="145">
                  <c:v>-2.4240498058045152</c:v>
                </c:pt>
                <c:pt idx="146">
                  <c:v>-2.4746989491846509</c:v>
                </c:pt>
                <c:pt idx="147">
                  <c:v>-2.523644245491139</c:v>
                </c:pt>
                <c:pt idx="148">
                  <c:v>-2.5709263387977166</c:v>
                </c:pt>
                <c:pt idx="149">
                  <c:v>-2.6165862266094502</c:v>
                </c:pt>
                <c:pt idx="150">
                  <c:v>-2.660665161990833</c:v>
                </c:pt>
                <c:pt idx="151">
                  <c:v>-2.7032045597344725</c:v>
                </c:pt>
                <c:pt idx="152">
                  <c:v>-2.7442459068568805</c:v>
                </c:pt>
                <c:pt idx="153">
                  <c:v>-2.783830677655593</c:v>
                </c:pt>
                <c:pt idx="154">
                  <c:v>-2.8220002535136306</c:v>
                </c:pt>
                <c:pt idx="155">
                  <c:v>-2.8587958475893478</c:v>
                </c:pt>
                <c:pt idx="156">
                  <c:v>-2.8942584344837643</c:v>
                </c:pt>
                <c:pt idx="157">
                  <c:v>-2.9284286849390373</c:v>
                </c:pt>
                <c:pt idx="158">
                  <c:v>-2.9613469055782811</c:v>
                </c:pt>
                <c:pt idx="159">
                  <c:v>-2.9930529836662938</c:v>
                </c:pt>
                <c:pt idx="160">
                  <c:v>-3.0235863368353044</c:v>
                </c:pt>
                <c:pt idx="161">
                  <c:v>-3.0529858676927217</c:v>
                </c:pt>
                <c:pt idx="162">
                  <c:v>-3.0812899232026325</c:v>
                </c:pt>
                <c:pt idx="163">
                  <c:v>-3.1085362587109513</c:v>
                </c:pt>
                <c:pt idx="164">
                  <c:v>-3.1347620064651442</c:v>
                </c:pt>
                <c:pt idx="165">
                  <c:v>-3.1600036484648792</c:v>
                </c:pt>
                <c:pt idx="166">
                  <c:v>-3.1842969934662508</c:v>
                </c:pt>
                <c:pt idx="167">
                  <c:v>-3.2076771579539152</c:v>
                </c:pt>
                <c:pt idx="168">
                  <c:v>-3.2301785508873104</c:v>
                </c:pt>
                <c:pt idx="169">
                  <c:v>-3.2518348620223891</c:v>
                </c:pt>
                <c:pt idx="170">
                  <c:v>-3.272679053608897</c:v>
                </c:pt>
                <c:pt idx="171">
                  <c:v>-3.2927433552599212</c:v>
                </c:pt>
                <c:pt idx="172">
                  <c:v>-3.312059261795373</c:v>
                </c:pt>
                <c:pt idx="173">
                  <c:v>-3.3306575338589735</c:v>
                </c:pt>
                <c:pt idx="174">
                  <c:v>-3.3485682011165774</c:v>
                </c:pt>
                <c:pt idx="175">
                  <c:v>-3.365820567845045</c:v>
                </c:pt>
                <c:pt idx="176">
                  <c:v>-3.382443220729654</c:v>
                </c:pt>
                <c:pt idx="177">
                  <c:v>-3.3984640386925022</c:v>
                </c:pt>
                <c:pt idx="178">
                  <c:v>-3.4139102045833236</c:v>
                </c:pt>
                <c:pt idx="179">
                  <c:v>-3.4288082185709934</c:v>
                </c:pt>
                <c:pt idx="180">
                  <c:v>-3.4431839130825468</c:v>
                </c:pt>
                <c:pt idx="181">
                  <c:v>-3.4570624691449496</c:v>
                </c:pt>
                <c:pt idx="182">
                  <c:v>-3.4704684339937546</c:v>
                </c:pt>
                <c:pt idx="183">
                  <c:v>-3.4834257398198654</c:v>
                </c:pt>
                <c:pt idx="184">
                  <c:v>-3.4959577235370798</c:v>
                </c:pt>
                <c:pt idx="185">
                  <c:v>-3.5080871474580344</c:v>
                </c:pt>
                <c:pt idx="186">
                  <c:v>-3.5198362207778238</c:v>
                </c:pt>
                <c:pt idx="187">
                  <c:v>-3.5312266217696529</c:v>
                </c:pt>
                <c:pt idx="188">
                  <c:v>-3.5422795206077495</c:v>
                </c:pt>
                <c:pt idx="189">
                  <c:v>-3.5530156027370792</c:v>
                </c:pt>
                <c:pt idx="190">
                  <c:v>-3.5634550927196318</c:v>
                </c:pt>
                <c:pt idx="191">
                  <c:v>-3.5736177784918128</c:v>
                </c:pt>
                <c:pt idx="192">
                  <c:v>-3.5835230359751948</c:v>
                </c:pt>
                <c:pt idx="193">
                  <c:v>-3.5931898539881653</c:v>
                </c:pt>
                <c:pt idx="194">
                  <c:v>-3.6026368594127813</c:v>
                </c:pt>
                <c:pt idx="195">
                  <c:v>-3.6118823425758828</c:v>
                </c:pt>
                <c:pt idx="196">
                  <c:v>-3.6209442828083196</c:v>
                </c:pt>
                <c:pt idx="197">
                  <c:v>-3.6298403741516676</c:v>
                </c:pt>
                <c:pt idx="198">
                  <c:v>-3.6385880511851449</c:v>
                </c:pt>
                <c:pt idx="199">
                  <c:v>-3.6472045149499452</c:v>
                </c:pt>
                <c:pt idx="200">
                  <c:v>-3.655706758951081</c:v>
                </c:pt>
                <c:pt idx="201">
                  <c:v>-3.6641115952211396</c:v>
                </c:pt>
                <c:pt idx="202">
                  <c:v>-3.6724356804312173</c:v>
                </c:pt>
                <c:pt idx="203">
                  <c:v>-3.6806955420387033</c:v>
                </c:pt>
                <c:pt idx="204">
                  <c:v>-3.688907604462095</c:v>
                </c:pt>
                <c:pt idx="205">
                  <c:v>-3.6970882152759916</c:v>
                </c:pt>
                <c:pt idx="206">
                  <c:v>-3.7052536714190647</c:v>
                </c:pt>
                <c:pt idx="207">
                  <c:v>-3.7134202454110401</c:v>
                </c:pt>
                <c:pt idx="208">
                  <c:v>-3.7216042115734189</c:v>
                </c:pt>
                <c:pt idx="209">
                  <c:v>-3.729821872249548</c:v>
                </c:pt>
                <c:pt idx="210">
                  <c:v>-3.7380895840209174</c:v>
                </c:pt>
                <c:pt idx="211">
                  <c:v>-3.7464237839135506</c:v>
                </c:pt>
                <c:pt idx="212">
                  <c:v>-3.7548410155906238</c:v>
                </c:pt>
                <c:pt idx="213">
                  <c:v>-3.7633579555241976</c:v>
                </c:pt>
                <c:pt idx="214">
                  <c:v>-3.7719914391382261</c:v>
                </c:pt>
                <c:pt idx="215">
                  <c:v>-3.7807584869139936</c:v>
                </c:pt>
                <c:pt idx="216">
                  <c:v>-3.7896763304461469</c:v>
                </c:pt>
                <c:pt idx="217">
                  <c:v>-3.7987624384348111</c:v>
                </c:pt>
                <c:pt idx="218">
                  <c:v>-3.8080345425979552</c:v>
                </c:pt>
                <c:pt idx="219">
                  <c:v>-3.8175106634831395</c:v>
                </c:pt>
                <c:pt idx="220">
                  <c:v>-3.8272091361556559</c:v>
                </c:pt>
                <c:pt idx="221">
                  <c:v>-3.8371486357351885</c:v>
                </c:pt>
                <c:pt idx="222">
                  <c:v>-3.8473482027498678</c:v>
                </c:pt>
                <c:pt idx="223">
                  <c:v>-3.8578272682702579</c:v>
                </c:pt>
                <c:pt idx="224">
                  <c:v>-3.8686056787830099</c:v>
                </c:pt>
                <c:pt idx="225">
                  <c:v>-3.8797037207558294</c:v>
                </c:pt>
                <c:pt idx="226">
                  <c:v>-3.8911421448421972</c:v>
                </c:pt>
                <c:pt idx="227">
                  <c:v>-3.9029421896658079</c:v>
                </c:pt>
                <c:pt idx="228">
                  <c:v>-3.9151256051205623</c:v>
                </c:pt>
                <c:pt idx="229">
                  <c:v>-3.927714675110491</c:v>
                </c:pt>
                <c:pt idx="230">
                  <c:v>-3.9407322396542765</c:v>
                </c:pt>
                <c:pt idx="231">
                  <c:v>-3.9542017162628036</c:v>
                </c:pt>
                <c:pt idx="232">
                  <c:v>-3.9681471204973118</c:v>
                </c:pt>
                <c:pt idx="233">
                  <c:v>-3.9825930856022644</c:v>
                </c:pt>
                <c:pt idx="234">
                  <c:v>-3.9975648811040876</c:v>
                </c:pt>
                <c:pt idx="235">
                  <c:v>-4.013088430252842</c:v>
                </c:pt>
                <c:pt idx="236">
                  <c:v>-4.0291903261796218</c:v>
                </c:pt>
                <c:pt idx="237">
                  <c:v>-4.0458978466317834</c:v>
                </c:pt>
                <c:pt idx="238">
                  <c:v>-4.0632389671399425</c:v>
                </c:pt>
                <c:pt idx="239">
                  <c:v>-4.0812423724624836</c:v>
                </c:pt>
                <c:pt idx="240">
                  <c:v>-4.0999374661454402</c:v>
                </c:pt>
                <c:pt idx="241">
                  <c:v>-4.119354378026677</c:v>
                </c:pt>
                <c:pt idx="242">
                  <c:v>-4.1395239695072599</c:v>
                </c:pt>
                <c:pt idx="243">
                  <c:v>-4.1604778364065211</c:v>
                </c:pt>
                <c:pt idx="244">
                  <c:v>-4.1822483092096627</c:v>
                </c:pt>
                <c:pt idx="245">
                  <c:v>-4.2048684505139056</c:v>
                </c:pt>
                <c:pt idx="246">
                  <c:v>-4.2283720494745358</c:v>
                </c:pt>
                <c:pt idx="247">
                  <c:v>-4.252793613049934</c:v>
                </c:pt>
                <c:pt idx="248">
                  <c:v>-4.2781683538439639</c:v>
                </c:pt>
                <c:pt idx="249">
                  <c:v>-4.3045321743452014</c:v>
                </c:pt>
                <c:pt idx="250">
                  <c:v>-4.3319216473651334</c:v>
                </c:pt>
                <c:pt idx="251">
                  <c:v>-4.3603739924824163</c:v>
                </c:pt>
                <c:pt idx="252">
                  <c:v>-4.3899270483086568</c:v>
                </c:pt>
                <c:pt idx="253">
                  <c:v>-4.4206192403998816</c:v>
                </c:pt>
                <c:pt idx="254">
                  <c:v>-4.4524895446518507</c:v>
                </c:pt>
                <c:pt idx="255">
                  <c:v>-4.4855774460330036</c:v>
                </c:pt>
                <c:pt idx="256">
                  <c:v>-4.5199228925270702</c:v>
                </c:pt>
                <c:pt idx="257">
                  <c:v>-4.555566244181172</c:v>
                </c:pt>
                <c:pt idx="258">
                  <c:v>-4.5925482171784324</c:v>
                </c:pt>
                <c:pt idx="259">
                  <c:v>-4.6309098228863927</c:v>
                </c:pt>
                <c:pt idx="260">
                  <c:v>-4.6706923018617319</c:v>
                </c:pt>
                <c:pt idx="261">
                  <c:v>-4.7119370528305202</c:v>
                </c:pt>
                <c:pt idx="262">
                  <c:v>-4.754685556699572</c:v>
                </c:pt>
                <c:pt idx="263">
                  <c:v>-4.7989792956991746</c:v>
                </c:pt>
                <c:pt idx="264">
                  <c:v>-4.8448596678019022</c:v>
                </c:pt>
                <c:pt idx="265">
                  <c:v>-4.8923678966083717</c:v>
                </c:pt>
                <c:pt idx="266">
                  <c:v>-4.9415449369424973</c:v>
                </c:pt>
                <c:pt idx="267">
                  <c:v>-4.9924313764497903</c:v>
                </c:pt>
                <c:pt idx="268">
                  <c:v>-5.0450673335438907</c:v>
                </c:pt>
                <c:pt idx="269">
                  <c:v>-5.0994923521001256</c:v>
                </c:pt>
                <c:pt idx="270">
                  <c:v>-5.155745293348196</c:v>
                </c:pt>
                <c:pt idx="271">
                  <c:v>-5.2138642254662422</c:v>
                </c:pt>
                <c:pt idx="272">
                  <c:v>-5.2738863114295569</c:v>
                </c:pt>
                <c:pt idx="273">
                  <c:v>-5.3358476957137748</c:v>
                </c:pt>
                <c:pt idx="274">
                  <c:v>-5.3997833904959727</c:v>
                </c:pt>
                <c:pt idx="275">
                  <c:v>-5.4657271620348089</c:v>
                </c:pt>
                <c:pt idx="276">
                  <c:v>-5.5337114179461722</c:v>
                </c:pt>
                <c:pt idx="277">
                  <c:v>-5.6037670961160284</c:v>
                </c:pt>
                <c:pt idx="278">
                  <c:v>-5.6759235560127772</c:v>
                </c:pt>
                <c:pt idx="279">
                  <c:v>-5.7502084731731582</c:v>
                </c:pt>
                <c:pt idx="280">
                  <c:v>-5.8266477376400205</c:v>
                </c:pt>
                <c:pt idx="281">
                  <c:v>-5.9052653571235503</c:v>
                </c:pt>
                <c:pt idx="282">
                  <c:v>-5.9860833656440615</c:v>
                </c:pt>
                <c:pt idx="283">
                  <c:v>-6.069121738388934</c:v>
                </c:pt>
                <c:pt idx="284">
                  <c:v>-6.1543983134834335</c:v>
                </c:pt>
                <c:pt idx="285">
                  <c:v>-6.2419287213301944</c:v>
                </c:pt>
                <c:pt idx="286">
                  <c:v>-6.3317263221219102</c:v>
                </c:pt>
                <c:pt idx="287">
                  <c:v>-6.4238021520678599</c:v>
                </c:pt>
                <c:pt idx="288">
                  <c:v>-6.518164878809289</c:v>
                </c:pt>
                <c:pt idx="289">
                  <c:v>-6.6148207664188474</c:v>
                </c:pt>
                <c:pt idx="290">
                  <c:v>-6.7137736503020484</c:v>
                </c:pt>
                <c:pt idx="291">
                  <c:v>-6.8150249222272175</c:v>
                </c:pt>
                <c:pt idx="292">
                  <c:v>-6.9185735256247227</c:v>
                </c:pt>
                <c:pt idx="293">
                  <c:v>-7.0244159612009636</c:v>
                </c:pt>
                <c:pt idx="294">
                  <c:v>-7.1325463028213338</c:v>
                </c:pt>
                <c:pt idx="295">
                  <c:v>-7.2429562235234801</c:v>
                </c:pt>
                <c:pt idx="296">
                  <c:v>-7.355635031432799</c:v>
                </c:pt>
                <c:pt idx="297">
                  <c:v>-7.4705697152645021</c:v>
                </c:pt>
                <c:pt idx="298">
                  <c:v>-7.5877449990163601</c:v>
                </c:pt>
                <c:pt idx="299">
                  <c:v>-7.7071434053786181</c:v>
                </c:pt>
                <c:pt idx="300">
                  <c:v>-7.8287453273207035</c:v>
                </c:pt>
                <c:pt idx="301">
                  <c:v>-7.9525291072514115</c:v>
                </c:pt>
                <c:pt idx="302">
                  <c:v>-8.07847112309903</c:v>
                </c:pt>
                <c:pt idx="303">
                  <c:v>-8.206545880612536</c:v>
                </c:pt>
                <c:pt idx="304">
                  <c:v>-8.336726111152867</c:v>
                </c:pt>
                <c:pt idx="305">
                  <c:v>-8.4689828742177919</c:v>
                </c:pt>
                <c:pt idx="306">
                  <c:v>-8.6032856639302029</c:v>
                </c:pt>
                <c:pt idx="307">
                  <c:v>-8.7396025187140083</c:v>
                </c:pt>
                <c:pt idx="308">
                  <c:v>-8.8779001333849052</c:v>
                </c:pt>
                <c:pt idx="309">
                  <c:v>-9.0181439728967376</c:v>
                </c:pt>
                <c:pt idx="310">
                  <c:v>-9.1602983870030759</c:v>
                </c:pt>
                <c:pt idx="311">
                  <c:v>-9.3043267251209851</c:v>
                </c:pt>
                <c:pt idx="312">
                  <c:v>-9.4501914507183198</c:v>
                </c:pt>
                <c:pt idx="313">
                  <c:v>-9.597854254583476</c:v>
                </c:pt>
                <c:pt idx="314">
                  <c:v>-9.747276166380944</c:v>
                </c:pt>
                <c:pt idx="315">
                  <c:v>-9.8984176639426948</c:v>
                </c:pt>
                <c:pt idx="316">
                  <c:v>-10.051238779795465</c:v>
                </c:pt>
                <c:pt idx="317">
                  <c:v>-10.2056992044762</c:v>
                </c:pt>
                <c:pt idx="318">
                  <c:v>-10.361758386238938</c:v>
                </c:pt>
                <c:pt idx="319">
                  <c:v>-10.519375626812401</c:v>
                </c:pt>
                <c:pt idx="320">
                  <c:v>-10.6785101729176</c:v>
                </c:pt>
                <c:pt idx="321">
                  <c:v>-10.839121303306559</c:v>
                </c:pt>
                <c:pt idx="322">
                  <c:v>-11.001168411135374</c:v>
                </c:pt>
                <c:pt idx="323">
                  <c:v>-11.164611081529827</c:v>
                </c:pt>
                <c:pt idx="324">
                  <c:v>-11.329409164247696</c:v>
                </c:pt>
                <c:pt idx="325">
                  <c:v>-11.495522841385625</c:v>
                </c:pt>
                <c:pt idx="326">
                  <c:v>-11.662912690116563</c:v>
                </c:pt>
                <c:pt idx="327">
                  <c:v>-11.831539740478011</c:v>
                </c:pt>
                <c:pt idx="328">
                  <c:v>-12.001365528268774</c:v>
                </c:pt>
                <c:pt idx="329">
                  <c:v>-12.172352143133978</c:v>
                </c:pt>
                <c:pt idx="330">
                  <c:v>-12.344462271952034</c:v>
                </c:pt>
                <c:pt idx="331">
                  <c:v>-12.51765923765138</c:v>
                </c:pt>
                <c:pt idx="332">
                  <c:v>-12.69190703361086</c:v>
                </c:pt>
                <c:pt idx="333">
                  <c:v>-12.867170353808124</c:v>
                </c:pt>
                <c:pt idx="334">
                  <c:v>-13.043414618898536</c:v>
                </c:pt>
                <c:pt idx="335">
                  <c:v>-13.220605998411372</c:v>
                </c:pt>
                <c:pt idx="336">
                  <c:v>-13.398711429264171</c:v>
                </c:pt>
                <c:pt idx="337">
                  <c:v>-13.577698630795403</c:v>
                </c:pt>
                <c:pt idx="338">
                  <c:v>-13.757536116523202</c:v>
                </c:pt>
                <c:pt idx="339">
                  <c:v>-13.938193202836251</c:v>
                </c:pt>
                <c:pt idx="340">
                  <c:v>-14.119640014823327</c:v>
                </c:pt>
                <c:pt idx="341">
                  <c:v>-14.301847489446011</c:v>
                </c:pt>
                <c:pt idx="342">
                  <c:v>-14.484787376254225</c:v>
                </c:pt>
                <c:pt idx="343">
                  <c:v>-14.668432235842291</c:v>
                </c:pt>
                <c:pt idx="344">
                  <c:v>-14.852755436233858</c:v>
                </c:pt>
                <c:pt idx="345">
                  <c:v>-15.03773114738118</c:v>
                </c:pt>
                <c:pt idx="346">
                  <c:v>-15.223334333954764</c:v>
                </c:pt>
                <c:pt idx="347">
                  <c:v>-15.409540746592311</c:v>
                </c:pt>
                <c:pt idx="348">
                  <c:v>-15.596326911768799</c:v>
                </c:pt>
                <c:pt idx="349">
                  <c:v>-15.783670120441</c:v>
                </c:pt>
                <c:pt idx="350">
                  <c:v>-15.971548415609739</c:v>
                </c:pt>
                <c:pt idx="351">
                  <c:v>-16.159940578937281</c:v>
                </c:pt>
                <c:pt idx="352">
                  <c:v>-16.348826116547038</c:v>
                </c:pt>
                <c:pt idx="353">
                  <c:v>-16.538185244125302</c:v>
                </c:pt>
                <c:pt idx="354">
                  <c:v>-16.72799887143572</c:v>
                </c:pt>
                <c:pt idx="355">
                  <c:v>-16.91824858635065</c:v>
                </c:pt>
                <c:pt idx="356">
                  <c:v>-17.108916638492722</c:v>
                </c:pt>
                <c:pt idx="357">
                  <c:v>-17.299985922578166</c:v>
                </c:pt>
                <c:pt idx="358">
                  <c:v>-17.491439961538251</c:v>
                </c:pt>
                <c:pt idx="359">
                  <c:v>-17.683262889495953</c:v>
                </c:pt>
                <c:pt idx="360">
                  <c:v>-17.875439434664052</c:v>
                </c:pt>
                <c:pt idx="361">
                  <c:v>-18.067954902224276</c:v>
                </c:pt>
                <c:pt idx="362">
                  <c:v>-18.260795157245116</c:v>
                </c:pt>
                <c:pt idx="363">
                  <c:v>-18.453946607686188</c:v>
                </c:pt>
                <c:pt idx="364">
                  <c:v>-18.647396187532934</c:v>
                </c:pt>
                <c:pt idx="365">
                  <c:v>-18.841131340102773</c:v>
                </c:pt>
                <c:pt idx="366">
                  <c:v>-19.035140001556744</c:v>
                </c:pt>
                <c:pt idx="367">
                  <c:v>-19.229410584646772</c:v>
                </c:pt>
                <c:pt idx="368">
                  <c:v>-19.423931962725622</c:v>
                </c:pt>
                <c:pt idx="369">
                  <c:v>-19.61869345404325</c:v>
                </c:pt>
                <c:pt idx="370">
                  <c:v>-19.813684806348004</c:v>
                </c:pt>
                <c:pt idx="371">
                  <c:v>-20.008896181810513</c:v>
                </c:pt>
                <c:pt idx="372">
                  <c:v>-20.20431814228262</c:v>
                </c:pt>
                <c:pt idx="373">
                  <c:v>-20.399941634904412</c:v>
                </c:pt>
                <c:pt idx="374">
                  <c:v>-20.595757978066178</c:v>
                </c:pt>
                <c:pt idx="375">
                  <c:v>-20.791758847733384</c:v>
                </c:pt>
                <c:pt idx="376">
                  <c:v>-20.987936264139115</c:v>
                </c:pt>
                <c:pt idx="377">
                  <c:v>-21.184282578846055</c:v>
                </c:pt>
                <c:pt idx="378">
                  <c:v>-21.380790462181395</c:v>
                </c:pt>
                <c:pt idx="379">
                  <c:v>-21.577452891042167</c:v>
                </c:pt>
                <c:pt idx="380">
                  <c:v>-21.774263137072282</c:v>
                </c:pt>
                <c:pt idx="381">
                  <c:v>-21.971214755206503</c:v>
                </c:pt>
                <c:pt idx="382">
                  <c:v>-22.168301572580418</c:v>
                </c:pt>
                <c:pt idx="383">
                  <c:v>-22.365517677799957</c:v>
                </c:pt>
                <c:pt idx="384">
                  <c:v>-22.562857410567272</c:v>
                </c:pt>
                <c:pt idx="385">
                  <c:v>-22.760315351656185</c:v>
                </c:pt>
                <c:pt idx="386">
                  <c:v>-22.957886313231608</c:v>
                </c:pt>
                <c:pt idx="387">
                  <c:v>-23.155565329506178</c:v>
                </c:pt>
                <c:pt idx="388">
                  <c:v>-23.353347647726785</c:v>
                </c:pt>
                <c:pt idx="389">
                  <c:v>-23.551228719484296</c:v>
                </c:pt>
                <c:pt idx="390">
                  <c:v>-23.749204192337778</c:v>
                </c:pt>
                <c:pt idx="391">
                  <c:v>-23.947269901746353</c:v>
                </c:pt>
                <c:pt idx="392">
                  <c:v>-24.1454218633002</c:v>
                </c:pt>
                <c:pt idx="393">
                  <c:v>-24.343656265242476</c:v>
                </c:pt>
                <c:pt idx="394">
                  <c:v>-24.541969461274491</c:v>
                </c:pt>
                <c:pt idx="395">
                  <c:v>-24.740357963635017</c:v>
                </c:pt>
                <c:pt idx="396">
                  <c:v>-24.938818436446528</c:v>
                </c:pt>
                <c:pt idx="397">
                  <c:v>-25.137347689319625</c:v>
                </c:pt>
                <c:pt idx="398">
                  <c:v>-25.335942671207064</c:v>
                </c:pt>
                <c:pt idx="399">
                  <c:v>-25.534600464500702</c:v>
                </c:pt>
                <c:pt idx="400">
                  <c:v>-25.733318279361907</c:v>
                </c:pt>
                <c:pt idx="401">
                  <c:v>-25.93209344827811</c:v>
                </c:pt>
                <c:pt idx="402">
                  <c:v>-26.130923420838393</c:v>
                </c:pt>
                <c:pt idx="403">
                  <c:v>-26.329805758719559</c:v>
                </c:pt>
                <c:pt idx="404">
                  <c:v>-26.528738130876029</c:v>
                </c:pt>
                <c:pt idx="405">
                  <c:v>-26.727718308925951</c:v>
                </c:pt>
                <c:pt idx="406">
                  <c:v>-26.926744162725925</c:v>
                </c:pt>
                <c:pt idx="407">
                  <c:v>-27.125813656128681</c:v>
                </c:pt>
                <c:pt idx="408">
                  <c:v>-27.324924842915991</c:v>
                </c:pt>
                <c:pt idx="409">
                  <c:v>-27.524075862900162</c:v>
                </c:pt>
                <c:pt idx="410">
                  <c:v>-27.72326493818823</c:v>
                </c:pt>
                <c:pt idx="411">
                  <c:v>-27.922490369602873</c:v>
                </c:pt>
                <c:pt idx="412">
                  <c:v>-28.121750533253049</c:v>
                </c:pt>
                <c:pt idx="413">
                  <c:v>-28.321043877249462</c:v>
                </c:pt>
                <c:pt idx="414">
                  <c:v>-28.520368918558102</c:v>
                </c:pt>
                <c:pt idx="415">
                  <c:v>-28.719724239988906</c:v>
                </c:pt>
                <c:pt idx="416">
                  <c:v>-28.919108487310034</c:v>
                </c:pt>
                <c:pt idx="417">
                  <c:v>-29.11852036648737</c:v>
                </c:pt>
                <c:pt idx="418">
                  <c:v>-29.317958641040491</c:v>
                </c:pt>
                <c:pt idx="419">
                  <c:v>-29.517422129512326</c:v>
                </c:pt>
                <c:pt idx="420">
                  <c:v>-29.716909703048135</c:v>
                </c:pt>
                <c:pt idx="421">
                  <c:v>-29.9164202830774</c:v>
                </c:pt>
                <c:pt idx="422">
                  <c:v>-30.115952839096821</c:v>
                </c:pt>
                <c:pt idx="423">
                  <c:v>-30.315506386548535</c:v>
                </c:pt>
                <c:pt idx="424">
                  <c:v>-30.515079984790248</c:v>
                </c:pt>
                <c:pt idx="425">
                  <c:v>-30.714672735153329</c:v>
                </c:pt>
                <c:pt idx="426">
                  <c:v>-30.914283779085817</c:v>
                </c:pt>
                <c:pt idx="427">
                  <c:v>-31.113912296375176</c:v>
                </c:pt>
                <c:pt idx="428">
                  <c:v>-31.31355750345007</c:v>
                </c:pt>
                <c:pt idx="429">
                  <c:v>-31.513218651754219</c:v>
                </c:pt>
                <c:pt idx="430">
                  <c:v>-31.71289502619317</c:v>
                </c:pt>
                <c:pt idx="431">
                  <c:v>-31.91258594364853</c:v>
                </c:pt>
                <c:pt idx="432">
                  <c:v>-32.112290751556287</c:v>
                </c:pt>
                <c:pt idx="433">
                  <c:v>-32.312008826549089</c:v>
                </c:pt>
                <c:pt idx="434">
                  <c:v>-32.511739573157229</c:v>
                </c:pt>
                <c:pt idx="435">
                  <c:v>-32.711482422566633</c:v>
                </c:pt>
                <c:pt idx="436">
                  <c:v>-32.911236831432234</c:v>
                </c:pt>
                <c:pt idx="437">
                  <c:v>-33.11100228074325</c:v>
                </c:pt>
                <c:pt idx="438">
                  <c:v>-33.310778274738205</c:v>
                </c:pt>
                <c:pt idx="439">
                  <c:v>-33.51056433986858</c:v>
                </c:pt>
                <c:pt idx="440">
                  <c:v>-33.710360023807297</c:v>
                </c:pt>
                <c:pt idx="441">
                  <c:v>-33.91016489450255</c:v>
                </c:pt>
                <c:pt idx="442">
                  <c:v>-34.109978539271474</c:v>
                </c:pt>
                <c:pt idx="443">
                  <c:v>-34.30980056393598</c:v>
                </c:pt>
                <c:pt idx="444">
                  <c:v>-34.509630591995304</c:v>
                </c:pt>
                <c:pt idx="445">
                  <c:v>-34.709468263836627</c:v>
                </c:pt>
                <c:pt idx="446">
                  <c:v>-34.909313235979496</c:v>
                </c:pt>
                <c:pt idx="447">
                  <c:v>-35.109165180354779</c:v>
                </c:pt>
                <c:pt idx="448">
                  <c:v>-35.309023783614812</c:v>
                </c:pt>
                <c:pt idx="449">
                  <c:v>-35.50888874647508</c:v>
                </c:pt>
                <c:pt idx="450">
                  <c:v>-35.70875978308478</c:v>
                </c:pt>
                <c:pt idx="451">
                  <c:v>-35.908636620425092</c:v>
                </c:pt>
                <c:pt idx="452">
                  <c:v>-36.108518997734748</c:v>
                </c:pt>
                <c:pt idx="453">
                  <c:v>-36.308406665961087</c:v>
                </c:pt>
                <c:pt idx="454">
                  <c:v>-36.508299387235226</c:v>
                </c:pt>
                <c:pt idx="455">
                  <c:v>-36.708196934371571</c:v>
                </c:pt>
                <c:pt idx="456">
                  <c:v>-36.908099090387971</c:v>
                </c:pt>
                <c:pt idx="457">
                  <c:v>-37.10800564804957</c:v>
                </c:pt>
                <c:pt idx="458">
                  <c:v>-37.307916409430668</c:v>
                </c:pt>
                <c:pt idx="459">
                  <c:v>-37.507831185497913</c:v>
                </c:pt>
                <c:pt idx="460">
                  <c:v>-37.707749795711493</c:v>
                </c:pt>
                <c:pt idx="461">
                  <c:v>-37.907672067643752</c:v>
                </c:pt>
                <c:pt idx="462">
                  <c:v>-38.107597836615533</c:v>
                </c:pt>
                <c:pt idx="463">
                  <c:v>-38.307526945348421</c:v>
                </c:pt>
                <c:pt idx="464">
                  <c:v>-38.507459243632823</c:v>
                </c:pt>
                <c:pt idx="465">
                  <c:v>-38.707394588010153</c:v>
                </c:pt>
                <c:pt idx="466">
                  <c:v>-38.907332841470648</c:v>
                </c:pt>
                <c:pt idx="467">
                  <c:v>-39.107273873162882</c:v>
                </c:pt>
                <c:pt idx="468">
                  <c:v>-39.307217558118111</c:v>
                </c:pt>
                <c:pt idx="469">
                  <c:v>-39.507163776985628</c:v>
                </c:pt>
                <c:pt idx="470">
                  <c:v>-39.707112415780529</c:v>
                </c:pt>
                <c:pt idx="471">
                  <c:v>-39.907063365642941</c:v>
                </c:pt>
                <c:pt idx="472">
                  <c:v>-40.107016522607559</c:v>
                </c:pt>
                <c:pt idx="473">
                  <c:v>-40.306971787384029</c:v>
                </c:pt>
                <c:pt idx="474">
                  <c:v>-40.50692906514675</c:v>
                </c:pt>
                <c:pt idx="475">
                  <c:v>-40.706888265334115</c:v>
                </c:pt>
                <c:pt idx="476">
                  <c:v>-40.906849301457513</c:v>
                </c:pt>
                <c:pt idx="477">
                  <c:v>-41.106812090917586</c:v>
                </c:pt>
                <c:pt idx="478">
                  <c:v>-41.306776554829916</c:v>
                </c:pt>
                <c:pt idx="479">
                  <c:v>-41.506742617857981</c:v>
                </c:pt>
                <c:pt idx="480">
                  <c:v>-41.706710208053664</c:v>
                </c:pt>
                <c:pt idx="481">
                  <c:v>-41.906679256704827</c:v>
                </c:pt>
                <c:pt idx="482">
                  <c:v>-42.106649698190083</c:v>
                </c:pt>
                <c:pt idx="483">
                  <c:v>-42.306621469839627</c:v>
                </c:pt>
                <c:pt idx="484">
                  <c:v>-42.506594511802874</c:v>
                </c:pt>
                <c:pt idx="485">
                  <c:v>-42.706568766921258</c:v>
                </c:pt>
                <c:pt idx="486">
                  <c:v>-42.906544180607604</c:v>
                </c:pt>
                <c:pt idx="487">
                  <c:v>-43.106520700730286</c:v>
                </c:pt>
                <c:pt idx="488">
                  <c:v>-43.306498277502925</c:v>
                </c:pt>
                <c:pt idx="489">
                  <c:v>-43.506476863378879</c:v>
                </c:pt>
                <c:pt idx="490">
                  <c:v>-43.706456412950487</c:v>
                </c:pt>
                <c:pt idx="491">
                  <c:v>-43.90643688285305</c:v>
                </c:pt>
                <c:pt idx="492">
                  <c:v>-44.106418231672713</c:v>
                </c:pt>
                <c:pt idx="493">
                  <c:v>-44.306400419858974</c:v>
                </c:pt>
                <c:pt idx="494">
                  <c:v>-44.50638340964062</c:v>
                </c:pt>
                <c:pt idx="495">
                  <c:v>-44.706367164945988</c:v>
                </c:pt>
                <c:pt idx="496">
                  <c:v>-44.906351651326332</c:v>
                </c:pt>
                <c:pt idx="497">
                  <c:v>-45.106336835882715</c:v>
                </c:pt>
                <c:pt idx="498">
                  <c:v>-45.306322687196683</c:v>
                </c:pt>
                <c:pt idx="499">
                  <c:v>-45.506309175263326</c:v>
                </c:pt>
                <c:pt idx="500">
                  <c:v>-45.706296271427966</c:v>
                </c:pt>
                <c:pt idx="501">
                  <c:v>-45.906283948324997</c:v>
                </c:pt>
                <c:pt idx="502">
                  <c:v>-46.106272179820394</c:v>
                </c:pt>
                <c:pt idx="503">
                  <c:v>-46.306260940955895</c:v>
                </c:pt>
                <c:pt idx="504">
                  <c:v>-46.506250207896464</c:v>
                </c:pt>
                <c:pt idx="505">
                  <c:v>-46.706239957879518</c:v>
                </c:pt>
                <c:pt idx="506">
                  <c:v>-46.906230169166676</c:v>
                </c:pt>
                <c:pt idx="507">
                  <c:v>-47.106220820997962</c:v>
                </c:pt>
                <c:pt idx="508">
                  <c:v>-47.306211893547207</c:v>
                </c:pt>
                <c:pt idx="509">
                  <c:v>-47.506203367880872</c:v>
                </c:pt>
                <c:pt idx="510">
                  <c:v>-47.706195225917085</c:v>
                </c:pt>
                <c:pt idx="511">
                  <c:v>-47.906187450387819</c:v>
                </c:pt>
                <c:pt idx="512">
                  <c:v>-48.106180024801958</c:v>
                </c:pt>
                <c:pt idx="513">
                  <c:v>-48.30617293341065</c:v>
                </c:pt>
                <c:pt idx="514">
                  <c:v>-48.506166161173709</c:v>
                </c:pt>
                <c:pt idx="515">
                  <c:v>-48.706159693727749</c:v>
                </c:pt>
                <c:pt idx="516">
                  <c:v>-48.906153517355847</c:v>
                </c:pt>
                <c:pt idx="517">
                  <c:v>-49.106147618958296</c:v>
                </c:pt>
                <c:pt idx="518">
                  <c:v>-49.306141986024876</c:v>
                </c:pt>
                <c:pt idx="519">
                  <c:v>-49.506136606608251</c:v>
                </c:pt>
                <c:pt idx="520">
                  <c:v>-49.706131469299216</c:v>
                </c:pt>
                <c:pt idx="521">
                  <c:v>-49.906126563201418</c:v>
                </c:pt>
                <c:pt idx="522">
                  <c:v>-50.106121877909253</c:v>
                </c:pt>
                <c:pt idx="523">
                  <c:v>-50.306117403485125</c:v>
                </c:pt>
                <c:pt idx="524">
                  <c:v>-50.506113130439104</c:v>
                </c:pt>
                <c:pt idx="525">
                  <c:v>-50.706109049707813</c:v>
                </c:pt>
                <c:pt idx="526">
                  <c:v>-50.906105152636172</c:v>
                </c:pt>
                <c:pt idx="527">
                  <c:v>-51.106101430958276</c:v>
                </c:pt>
                <c:pt idx="528">
                  <c:v>-51.306097876780626</c:v>
                </c:pt>
                <c:pt idx="529">
                  <c:v>-51.506094482564571</c:v>
                </c:pt>
                <c:pt idx="530">
                  <c:v>-51.706091241110826</c:v>
                </c:pt>
                <c:pt idx="531">
                  <c:v>-51.906088145544359</c:v>
                </c:pt>
                <c:pt idx="532">
                  <c:v>-52.106085189299222</c:v>
                </c:pt>
                <c:pt idx="533">
                  <c:v>-52.306082366105215</c:v>
                </c:pt>
                <c:pt idx="534">
                  <c:v>-52.506079669974078</c:v>
                </c:pt>
                <c:pt idx="535">
                  <c:v>-52.706077095187325</c:v>
                </c:pt>
                <c:pt idx="536">
                  <c:v>-52.906074636283648</c:v>
                </c:pt>
                <c:pt idx="537">
                  <c:v>-53.106072288047557</c:v>
                </c:pt>
                <c:pt idx="538">
                  <c:v>-53.306070045498331</c:v>
                </c:pt>
                <c:pt idx="539">
                  <c:v>-53.506067903879327</c:v>
                </c:pt>
                <c:pt idx="540">
                  <c:v>-53.706065858648017</c:v>
                </c:pt>
                <c:pt idx="541">
                  <c:v>-53.906063905466496</c:v>
                </c:pt>
              </c:numCache>
            </c:numRef>
          </c:yVal>
          <c:smooth val="1"/>
          <c:extLst>
            <c:ext xmlns:c16="http://schemas.microsoft.com/office/drawing/2014/chart" uri="{C3380CC4-5D6E-409C-BE32-E72D297353CC}">
              <c16:uniqueId val="{00000000-739C-45D3-85A0-6F864EF09A5E}"/>
            </c:ext>
          </c:extLst>
        </c:ser>
        <c:dLbls>
          <c:showLegendKey val="0"/>
          <c:showVal val="0"/>
          <c:showCatName val="0"/>
          <c:showSerName val="0"/>
          <c:showPercent val="0"/>
          <c:showBubbleSize val="0"/>
        </c:dLbls>
        <c:axId val="555280640"/>
        <c:axId val="365437312"/>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Loop_Modeling!$BH$19:$BH$560</c:f>
              <c:numCache>
                <c:formatCode>General</c:formatCode>
                <c:ptCount val="542"/>
                <c:pt idx="0">
                  <c:v>93.386474351993783</c:v>
                </c:pt>
                <c:pt idx="1">
                  <c:v>93.465153050050901</c:v>
                </c:pt>
                <c:pt idx="2">
                  <c:v>93.545649978963482</c:v>
                </c:pt>
                <c:pt idx="3">
                  <c:v>93.628006464197128</c:v>
                </c:pt>
                <c:pt idx="4">
                  <c:v>93.712264721065949</c:v>
                </c:pt>
                <c:pt idx="5">
                  <c:v>93.798467870338712</c:v>
                </c:pt>
                <c:pt idx="6">
                  <c:v>93.886659953852416</c:v>
                </c:pt>
                <c:pt idx="7">
                  <c:v>93.976885950108453</c:v>
                </c:pt>
                <c:pt idx="8">
                  <c:v>94.069191789825879</c:v>
                </c:pt>
                <c:pt idx="9">
                  <c:v>94.163624371422401</c:v>
                </c:pt>
                <c:pt idx="10">
                  <c:v>94.260231576392599</c:v>
                </c:pt>
                <c:pt idx="11">
                  <c:v>94.359062284549623</c:v>
                </c:pt>
                <c:pt idx="12">
                  <c:v>94.460166389093331</c:v>
                </c:pt>
                <c:pt idx="13">
                  <c:v>94.563594811466217</c:v>
                </c:pt>
                <c:pt idx="14">
                  <c:v>94.669399515953828</c:v>
                </c:pt>
                <c:pt idx="15">
                  <c:v>94.777633523983738</c:v>
                </c:pt>
                <c:pt idx="16">
                  <c:v>94.88835092807399</c:v>
                </c:pt>
                <c:pt idx="17">
                  <c:v>95.001606905376548</c:v>
                </c:pt>
                <c:pt idx="18">
                  <c:v>95.117457730759213</c:v>
                </c:pt>
                <c:pt idx="19">
                  <c:v>95.235960789363745</c:v>
                </c:pt>
                <c:pt idx="20">
                  <c:v>95.357174588573614</c:v>
                </c:pt>
                <c:pt idx="21">
                  <c:v>95.481158769320956</c:v>
                </c:pt>
                <c:pt idx="22">
                  <c:v>95.607974116655129</c:v>
                </c:pt>
                <c:pt idx="23">
                  <c:v>95.737682569493188</c:v>
                </c:pt>
                <c:pt idx="24">
                  <c:v>95.870347229462226</c:v>
                </c:pt>
                <c:pt idx="25">
                  <c:v>96.006032368743433</c:v>
                </c:pt>
                <c:pt idx="26">
                  <c:v>96.144803436814499</c:v>
                </c:pt>
                <c:pt idx="27">
                  <c:v>96.286727065987762</c:v>
                </c:pt>
                <c:pt idx="28">
                  <c:v>96.431871075627726</c:v>
                </c:pt>
                <c:pt idx="29">
                  <c:v>96.580304474929434</c:v>
                </c:pt>
                <c:pt idx="30">
                  <c:v>96.732097464127818</c:v>
                </c:pt>
                <c:pt idx="31">
                  <c:v>96.887321434003155</c:v>
                </c:pt>
                <c:pt idx="32">
                  <c:v>97.046048963536052</c:v>
                </c:pt>
                <c:pt idx="33">
                  <c:v>97.208353815561267</c:v>
                </c:pt>
                <c:pt idx="34">
                  <c:v>97.37431093025431</c:v>
                </c:pt>
                <c:pt idx="35">
                  <c:v>97.543996416282667</c:v>
                </c:pt>
                <c:pt idx="36">
                  <c:v>97.717487539436505</c:v>
                </c:pt>
                <c:pt idx="37">
                  <c:v>97.894862708549397</c:v>
                </c:pt>
                <c:pt idx="38">
                  <c:v>98.076201458506389</c:v>
                </c:pt>
                <c:pt idx="39">
                  <c:v>98.261584430125708</c:v>
                </c:pt>
                <c:pt idx="40">
                  <c:v>98.451093346691252</c:v>
                </c:pt>
                <c:pt idx="41">
                  <c:v>98.644810986900737</c:v>
                </c:pt>
                <c:pt idx="42">
                  <c:v>98.842821153983522</c:v>
                </c:pt>
                <c:pt idx="43">
                  <c:v>99.045208640729413</c:v>
                </c:pt>
                <c:pt idx="44">
                  <c:v>99.252059190161063</c:v>
                </c:pt>
                <c:pt idx="45">
                  <c:v>99.463459451567644</c:v>
                </c:pt>
                <c:pt idx="46">
                  <c:v>99.679496931608796</c:v>
                </c:pt>
                <c:pt idx="47">
                  <c:v>99.900259940184739</c:v>
                </c:pt>
                <c:pt idx="48">
                  <c:v>100.12583753075896</c:v>
                </c:pt>
                <c:pt idx="49">
                  <c:v>100.35631943480759</c:v>
                </c:pt>
                <c:pt idx="50">
                  <c:v>100.59179599006238</c:v>
                </c:pt>
                <c:pt idx="51">
                  <c:v>100.83235806219913</c:v>
                </c:pt>
                <c:pt idx="52">
                  <c:v>101.07809695962347</c:v>
                </c:pt>
                <c:pt idx="53">
                  <c:v>101.32910434098942</c:v>
                </c:pt>
                <c:pt idx="54">
                  <c:v>101.58547211508589</c:v>
                </c:pt>
                <c:pt idx="55">
                  <c:v>101.84729233271835</c:v>
                </c:pt>
                <c:pt idx="56">
                  <c:v>102.11465707021148</c:v>
                </c:pt>
                <c:pt idx="57">
                  <c:v>102.38765830415558</c:v>
                </c:pt>
                <c:pt idx="58">
                  <c:v>102.66638777702214</c:v>
                </c:pt>
                <c:pt idx="59">
                  <c:v>102.95093685327554</c:v>
                </c:pt>
                <c:pt idx="60">
                  <c:v>103.24139636561661</c:v>
                </c:pt>
                <c:pt idx="61">
                  <c:v>103.53785645100037</c:v>
                </c:pt>
                <c:pt idx="62">
                  <c:v>103.84040637608574</c:v>
                </c:pt>
                <c:pt idx="63">
                  <c:v>104.14913435179136</c:v>
                </c:pt>
                <c:pt idx="64">
                  <c:v>104.46412733665214</c:v>
                </c:pt>
                <c:pt idx="65">
                  <c:v>104.78547082869797</c:v>
                </c:pt>
                <c:pt idx="66">
                  <c:v>105.11324864560873</c:v>
                </c:pt>
                <c:pt idx="67">
                  <c:v>105.44754269293341</c:v>
                </c:pt>
                <c:pt idx="68">
                  <c:v>105.78843272020828</c:v>
                </c:pt>
                <c:pt idx="69">
                  <c:v>106.13599606485502</c:v>
                </c:pt>
                <c:pt idx="70">
                  <c:v>106.49030738379857</c:v>
                </c:pt>
                <c:pt idx="71">
                  <c:v>106.85143837280816</c:v>
                </c:pt>
                <c:pt idx="72">
                  <c:v>107.21945747363361</c:v>
                </c:pt>
                <c:pt idx="73">
                  <c:v>107.59442956909351</c:v>
                </c:pt>
                <c:pt idx="74">
                  <c:v>107.97641566635447</c:v>
                </c:pt>
                <c:pt idx="75">
                  <c:v>108.36547256874097</c:v>
                </c:pt>
                <c:pt idx="76">
                  <c:v>108.76165253651646</c:v>
                </c:pt>
                <c:pt idx="77">
                  <c:v>109.16500293719484</c:v>
                </c:pt>
                <c:pt idx="78">
                  <c:v>109.5755658860574</c:v>
                </c:pt>
                <c:pt idx="79">
                  <c:v>109.99337787768434</c:v>
                </c:pt>
                <c:pt idx="80">
                  <c:v>110.41846940945099</c:v>
                </c:pt>
                <c:pt idx="81">
                  <c:v>110.85086459807522</c:v>
                </c:pt>
                <c:pt idx="82">
                  <c:v>111.29058079046673</c:v>
                </c:pt>
                <c:pt idx="83">
                  <c:v>111.73762817027763</c:v>
                </c:pt>
                <c:pt idx="84">
                  <c:v>112.192009361722</c:v>
                </c:pt>
                <c:pt idx="85">
                  <c:v>112.65371903239615</c:v>
                </c:pt>
                <c:pt idx="86">
                  <c:v>113.12274349700056</c:v>
                </c:pt>
                <c:pt idx="87">
                  <c:v>113.59906032402883</c:v>
                </c:pt>
                <c:pt idx="88">
                  <c:v>114.08263794766131</c:v>
                </c:pt>
                <c:pt idx="89">
                  <c:v>114.57343528725323</c:v>
                </c:pt>
                <c:pt idx="90">
                  <c:v>115.07140137696986</c:v>
                </c:pt>
                <c:pt idx="91">
                  <c:v>115.57647500825837</c:v>
                </c:pt>
                <c:pt idx="92">
                  <c:v>116.08858438798103</c:v>
                </c:pt>
                <c:pt idx="93">
                  <c:v>116.60764681514948</c:v>
                </c:pt>
                <c:pt idx="94">
                  <c:v>117.13356837929402</c:v>
                </c:pt>
                <c:pt idx="95">
                  <c:v>117.66624368357481</c:v>
                </c:pt>
                <c:pt idx="96">
                  <c:v>118.20555559579569</c:v>
                </c:pt>
                <c:pt idx="97">
                  <c:v>118.7513750304897</c:v>
                </c:pt>
                <c:pt idx="98">
                  <c:v>119.30356076523813</c:v>
                </c:pt>
                <c:pt idx="99">
                  <c:v>119.86195929433974</c:v>
                </c:pt>
                <c:pt idx="100">
                  <c:v>120.42640472284468</c:v>
                </c:pt>
                <c:pt idx="101">
                  <c:v>120.99671870386113</c:v>
                </c:pt>
                <c:pt idx="102">
                  <c:v>121.57271042185636</c:v>
                </c:pt>
                <c:pt idx="103">
                  <c:v>122.15417662447378</c:v>
                </c:pt>
                <c:pt idx="104">
                  <c:v>122.74090170512373</c:v>
                </c:pt>
                <c:pt idx="105">
                  <c:v>123.33265783831907</c:v>
                </c:pt>
                <c:pt idx="106">
                  <c:v>123.92920516937076</c:v>
                </c:pt>
                <c:pt idx="107">
                  <c:v>124.53029205969412</c:v>
                </c:pt>
                <c:pt idx="108">
                  <c:v>125.13565538854594</c:v>
                </c:pt>
                <c:pt idx="109">
                  <c:v>125.74502091157088</c:v>
                </c:pt>
                <c:pt idx="110">
                  <c:v>126.3581036760466</c:v>
                </c:pt>
                <c:pt idx="111">
                  <c:v>126.97460849222269</c:v>
                </c:pt>
                <c:pt idx="112">
                  <c:v>127.59423045961756</c:v>
                </c:pt>
                <c:pt idx="113">
                  <c:v>128.21665554661547</c:v>
                </c:pt>
                <c:pt idx="114">
                  <c:v>128.84156122116588</c:v>
                </c:pt>
                <c:pt idx="115">
                  <c:v>129.46861712986225</c:v>
                </c:pt>
                <c:pt idx="116">
                  <c:v>130.09748582216363</c:v>
                </c:pt>
                <c:pt idx="117">
                  <c:v>130.72782351602712</c:v>
                </c:pt>
                <c:pt idx="118">
                  <c:v>131.35928090076104</c:v>
                </c:pt>
                <c:pt idx="119">
                  <c:v>131.99150397248687</c:v>
                </c:pt>
                <c:pt idx="120">
                  <c:v>132.62413489721297</c:v>
                </c:pt>
                <c:pt idx="121">
                  <c:v>133.25681289621571</c:v>
                </c:pt>
                <c:pt idx="122">
                  <c:v>133.88917514813838</c:v>
                </c:pt>
                <c:pt idx="123">
                  <c:v>134.52085770203897</c:v>
                </c:pt>
                <c:pt idx="124">
                  <c:v>135.15149639546544</c:v>
                </c:pt>
                <c:pt idx="125">
                  <c:v>135.78072777159528</c:v>
                </c:pt>
                <c:pt idx="126">
                  <c:v>136.40818998946381</c:v>
                </c:pt>
                <c:pt idx="127">
                  <c:v>137.03352372140657</c:v>
                </c:pt>
                <c:pt idx="128">
                  <c:v>137.65637303197417</c:v>
                </c:pt>
                <c:pt idx="129">
                  <c:v>138.27638623281703</c:v>
                </c:pt>
                <c:pt idx="130">
                  <c:v>138.89321670828647</c:v>
                </c:pt>
                <c:pt idx="131">
                  <c:v>139.50652370687334</c:v>
                </c:pt>
                <c:pt idx="132">
                  <c:v>140.11597309396319</c:v>
                </c:pt>
                <c:pt idx="133">
                  <c:v>140.72123806184425</c:v>
                </c:pt>
                <c:pt idx="134">
                  <c:v>141.32199979335397</c:v>
                </c:pt>
                <c:pt idx="135">
                  <c:v>141.91794807606897</c:v>
                </c:pt>
                <c:pt idx="136">
                  <c:v>142.50878186444501</c:v>
                </c:pt>
                <c:pt idx="137">
                  <c:v>143.09420978785502</c:v>
                </c:pt>
                <c:pt idx="138">
                  <c:v>143.6739506029989</c:v>
                </c:pt>
                <c:pt idx="139">
                  <c:v>144.24773358969898</c:v>
                </c:pt>
                <c:pt idx="140">
                  <c:v>144.81529888959574</c:v>
                </c:pt>
                <c:pt idx="141">
                  <c:v>145.37639778777245</c:v>
                </c:pt>
                <c:pt idx="142">
                  <c:v>145.93079293780687</c:v>
                </c:pt>
                <c:pt idx="143">
                  <c:v>146.47825853117695</c:v>
                </c:pt>
                <c:pt idx="144">
                  <c:v>147.01858041238185</c:v>
                </c:pt>
                <c:pt idx="145">
                  <c:v>147.55155614148669</c:v>
                </c:pt>
                <c:pt idx="146">
                  <c:v>148.07699500613964</c:v>
                </c:pt>
                <c:pt idx="147">
                  <c:v>148.59471798539857</c:v>
                </c:pt>
                <c:pt idx="148">
                  <c:v>149.1045576679422</c:v>
                </c:pt>
                <c:pt idx="149">
                  <c:v>149.60635812744695</c:v>
                </c:pt>
                <c:pt idx="150">
                  <c:v>150.09997475806142</c:v>
                </c:pt>
                <c:pt idx="151">
                  <c:v>150.58527407303967</c:v>
                </c:pt>
                <c:pt idx="152">
                  <c:v>151.0621334696539</c:v>
                </c:pt>
                <c:pt idx="153">
                  <c:v>151.53044096356635</c:v>
                </c:pt>
                <c:pt idx="154">
                  <c:v>151.99009489582679</c:v>
                </c:pt>
                <c:pt idx="155">
                  <c:v>152.44100361565262</c:v>
                </c:pt>
                <c:pt idx="156">
                  <c:v>152.88308514208285</c:v>
                </c:pt>
                <c:pt idx="157">
                  <c:v>153.31626680752368</c:v>
                </c:pt>
                <c:pt idx="158">
                  <c:v>153.74048488610148</c:v>
                </c:pt>
                <c:pt idx="159">
                  <c:v>154.15568420961853</c:v>
                </c:pt>
                <c:pt idx="160">
                  <c:v>154.5618177737735</c:v>
                </c:pt>
                <c:pt idx="161">
                  <c:v>154.95884633716474</c:v>
                </c:pt>
                <c:pt idx="162">
                  <c:v>155.34673801543371</c:v>
                </c:pt>
                <c:pt idx="163">
                  <c:v>155.7254678727501</c:v>
                </c:pt>
                <c:pt idx="164">
                  <c:v>156.09501751267109</c:v>
                </c:pt>
                <c:pt idx="165">
                  <c:v>156.45537467024079</c:v>
                </c:pt>
                <c:pt idx="166">
                  <c:v>156.80653280703064</c:v>
                </c:pt>
                <c:pt idx="167">
                  <c:v>157.14849071065504</c:v>
                </c:pt>
                <c:pt idx="168">
                  <c:v>157.48125210013856</c:v>
                </c:pt>
                <c:pt idx="169">
                  <c:v>157.80482523835292</c:v>
                </c:pt>
                <c:pt idx="170">
                  <c:v>158.11922255259321</c:v>
                </c:pt>
                <c:pt idx="171">
                  <c:v>158.42446026422357</c:v>
                </c:pt>
                <c:pt idx="172">
                  <c:v>158.72055802818167</c:v>
                </c:pt>
                <c:pt idx="173">
                  <c:v>159.00753858301192</c:v>
                </c:pt>
                <c:pt idx="174">
                  <c:v>159.28542741197271</c:v>
                </c:pt>
                <c:pt idx="175">
                  <c:v>159.55425241566076</c:v>
                </c:pt>
                <c:pt idx="176">
                  <c:v>159.81404359648641</c:v>
                </c:pt>
                <c:pt idx="177">
                  <c:v>160.06483275525247</c:v>
                </c:pt>
                <c:pt idx="178">
                  <c:v>160.30665319999557</c:v>
                </c:pt>
                <c:pt idx="179">
                  <c:v>160.53953946718224</c:v>
                </c:pt>
                <c:pt idx="180">
                  <c:v>160.76352705528035</c:v>
                </c:pt>
                <c:pt idx="181">
                  <c:v>160.97865217067107</c:v>
                </c:pt>
                <c:pt idx="182">
                  <c:v>161.18495148581005</c:v>
                </c:pt>
                <c:pt idx="183">
                  <c:v>161.38246190951011</c:v>
                </c:pt>
                <c:pt idx="184">
                  <c:v>161.57122036916968</c:v>
                </c:pt>
                <c:pt idx="185">
                  <c:v>161.75126360474849</c:v>
                </c:pt>
                <c:pt idx="186">
                  <c:v>161.92262797426071</c:v>
                </c:pt>
                <c:pt idx="187">
                  <c:v>162.08534927053736</c:v>
                </c:pt>
                <c:pt idx="188">
                  <c:v>162.23946254899221</c:v>
                </c:pt>
                <c:pt idx="189">
                  <c:v>162.38500196611747</c:v>
                </c:pt>
                <c:pt idx="190">
                  <c:v>162.52200062842419</c:v>
                </c:pt>
                <c:pt idx="191">
                  <c:v>162.65049045154305</c:v>
                </c:pt>
                <c:pt idx="192">
                  <c:v>162.77050202919875</c:v>
                </c:pt>
                <c:pt idx="193">
                  <c:v>162.88206451177487</c:v>
                </c:pt>
                <c:pt idx="194">
                  <c:v>162.98520549419311</c:v>
                </c:pt>
                <c:pt idx="195">
                  <c:v>163.07995091283763</c:v>
                </c:pt>
                <c:pt idx="196">
                  <c:v>163.16632495126652</c:v>
                </c:pt>
                <c:pt idx="197">
                  <c:v>163.244349954467</c:v>
                </c:pt>
                <c:pt idx="198">
                  <c:v>163.31404635141965</c:v>
                </c:pt>
                <c:pt idx="199">
                  <c:v>163.37543258576036</c:v>
                </c:pt>
                <c:pt idx="200">
                  <c:v>163.42852505433916</c:v>
                </c:pt>
                <c:pt idx="201">
                  <c:v>163.47333805349743</c:v>
                </c:pt>
                <c:pt idx="202">
                  <c:v>163.50988373290159</c:v>
                </c:pt>
                <c:pt idx="203">
                  <c:v>163.53817205679502</c:v>
                </c:pt>
                <c:pt idx="204">
                  <c:v>163.55821077254529</c:v>
                </c:pt>
                <c:pt idx="205">
                  <c:v>163.5700053863907</c:v>
                </c:pt>
                <c:pt idx="206">
                  <c:v>163.57355914630872</c:v>
                </c:pt>
                <c:pt idx="207">
                  <c:v>163.56887303195111</c:v>
                </c:pt>
                <c:pt idx="208">
                  <c:v>163.55594575161371</c:v>
                </c:pt>
                <c:pt idx="209">
                  <c:v>163.53477374623276</c:v>
                </c:pt>
                <c:pt idx="210">
                  <c:v>163.50535120041746</c:v>
                </c:pt>
                <c:pt idx="211">
                  <c:v>163.46767006055765</c:v>
                </c:pt>
                <c:pt idx="212">
                  <c:v>163.42172006006078</c:v>
                </c:pt>
                <c:pt idx="213">
                  <c:v>163.36748875180075</c:v>
                </c:pt>
                <c:pt idx="214">
                  <c:v>163.30496154787872</c:v>
                </c:pt>
                <c:pt idx="215">
                  <c:v>163.23412176681845</c:v>
                </c:pt>
                <c:pt idx="216">
                  <c:v>163.15495068833943</c:v>
                </c:pt>
                <c:pt idx="217">
                  <c:v>163.06742761587279</c:v>
                </c:pt>
                <c:pt idx="218">
                  <c:v>162.97152994700008</c:v>
                </c:pt>
                <c:pt idx="219">
                  <c:v>162.86723325201706</c:v>
                </c:pt>
                <c:pt idx="220">
                  <c:v>162.75451136083916</c:v>
                </c:pt>
                <c:pt idx="221">
                  <c:v>162.63333645848263</c:v>
                </c:pt>
                <c:pt idx="222">
                  <c:v>162.50367918936746</c:v>
                </c:pt>
                <c:pt idx="223">
                  <c:v>162.36550877070167</c:v>
                </c:pt>
                <c:pt idx="224">
                  <c:v>162.21879311521863</c:v>
                </c:pt>
                <c:pt idx="225">
                  <c:v>162.06349896354206</c:v>
                </c:pt>
                <c:pt idx="226">
                  <c:v>161.8995920264646</c:v>
                </c:pt>
                <c:pt idx="227">
                  <c:v>161.7270371374259</c:v>
                </c:pt>
                <c:pt idx="228">
                  <c:v>161.54579841547468</c:v>
                </c:pt>
                <c:pt idx="229">
                  <c:v>161.35583943899886</c:v>
                </c:pt>
                <c:pt idx="230">
                  <c:v>161.15712343049668</c:v>
                </c:pt>
                <c:pt idx="231">
                  <c:v>160.94961345265091</c:v>
                </c:pt>
                <c:pt idx="232">
                  <c:v>160.73327261595631</c:v>
                </c:pt>
                <c:pt idx="233">
                  <c:v>160.50806429811919</c:v>
                </c:pt>
                <c:pt idx="234">
                  <c:v>160.27395237543348</c:v>
                </c:pt>
                <c:pt idx="235">
                  <c:v>160.03090146629404</c:v>
                </c:pt>
                <c:pt idx="236">
                  <c:v>159.77887718697713</c:v>
                </c:pt>
                <c:pt idx="237">
                  <c:v>159.51784641976914</c:v>
                </c:pt>
                <c:pt idx="238">
                  <c:v>159.24777759347018</c:v>
                </c:pt>
                <c:pt idx="239">
                  <c:v>158.96864097624524</c:v>
                </c:pt>
                <c:pt idx="240">
                  <c:v>158.6804089807201</c:v>
                </c:pt>
                <c:pt idx="241">
                  <c:v>158.38305648115087</c:v>
                </c:pt>
                <c:pt idx="242">
                  <c:v>158.07656114240507</c:v>
                </c:pt>
                <c:pt idx="243">
                  <c:v>157.7609037604042</c:v>
                </c:pt>
                <c:pt idx="244">
                  <c:v>157.43606861357276</c:v>
                </c:pt>
                <c:pt idx="245">
                  <c:v>157.10204382473034</c:v>
                </c:pt>
                <c:pt idx="246">
                  <c:v>156.75882173274283</c:v>
                </c:pt>
                <c:pt idx="247">
                  <c:v>156.40639927312256</c:v>
                </c:pt>
                <c:pt idx="248">
                  <c:v>156.04477836662912</c:v>
                </c:pt>
                <c:pt idx="249">
                  <c:v>155.67396631478272</c:v>
                </c:pt>
                <c:pt idx="250">
                  <c:v>155.29397620104811</c:v>
                </c:pt>
                <c:pt idx="251">
                  <c:v>154.90482729629298</c:v>
                </c:pt>
                <c:pt idx="252">
                  <c:v>154.50654546696407</c:v>
                </c:pt>
                <c:pt idx="253">
                  <c:v>154.09916358425502</c:v>
                </c:pt>
                <c:pt idx="254">
                  <c:v>153.68272193238181</c:v>
                </c:pt>
                <c:pt idx="255">
                  <c:v>153.25726861390345</c:v>
                </c:pt>
                <c:pt idx="256">
                  <c:v>152.82285994987308</c:v>
                </c:pt>
                <c:pt idx="257">
                  <c:v>152.37956087242952</c:v>
                </c:pt>
                <c:pt idx="258">
                  <c:v>151.92744530730025</c:v>
                </c:pt>
                <c:pt idx="259">
                  <c:v>151.46659654352908</c:v>
                </c:pt>
                <c:pt idx="260">
                  <c:v>150.99710758761728</c:v>
                </c:pt>
                <c:pt idx="261">
                  <c:v>150.51908149914675</c:v>
                </c:pt>
                <c:pt idx="262">
                  <c:v>150.03263170485806</c:v>
                </c:pt>
                <c:pt idx="263">
                  <c:v>149.53788228807741</c:v>
                </c:pt>
                <c:pt idx="264">
                  <c:v>149.03496825033707</c:v>
                </c:pt>
                <c:pt idx="265">
                  <c:v>148.52403574201543</c:v>
                </c:pt>
                <c:pt idx="266">
                  <c:v>148.0052422588268</c:v>
                </c:pt>
                <c:pt idx="267">
                  <c:v>147.47875680103985</c:v>
                </c:pt>
                <c:pt idx="268">
                  <c:v>146.94475999238719</c:v>
                </c:pt>
                <c:pt idx="269">
                  <c:v>146.40344415574575</c:v>
                </c:pt>
                <c:pt idx="270">
                  <c:v>145.85501334283558</c:v>
                </c:pt>
                <c:pt idx="271">
                  <c:v>145.29968331539169</c:v>
                </c:pt>
                <c:pt idx="272">
                  <c:v>144.73768147550817</c:v>
                </c:pt>
                <c:pt idx="273">
                  <c:v>144.16924674315254</c:v>
                </c:pt>
                <c:pt idx="274">
                  <c:v>143.59462937918127</c:v>
                </c:pt>
                <c:pt idx="275">
                  <c:v>143.01409075256279</c:v>
                </c:pt>
                <c:pt idx="276">
                  <c:v>142.42790305092865</c:v>
                </c:pt>
                <c:pt idx="277">
                  <c:v>141.83634893401987</c:v>
                </c:pt>
                <c:pt idx="278">
                  <c:v>141.23972113007349</c:v>
                </c:pt>
                <c:pt idx="279">
                  <c:v>140.63832197569678</c:v>
                </c:pt>
                <c:pt idx="280">
                  <c:v>140.03246290029239</c:v>
                </c:pt>
                <c:pt idx="281">
                  <c:v>139.42246385663159</c:v>
                </c:pt>
                <c:pt idx="282">
                  <c:v>138.8086526997046</c:v>
                </c:pt>
                <c:pt idx="283">
                  <c:v>138.19136451650405</c:v>
                </c:pt>
                <c:pt idx="284">
                  <c:v>137.57094090992169</c:v>
                </c:pt>
                <c:pt idx="285">
                  <c:v>136.94772924042323</c:v>
                </c:pt>
                <c:pt idx="286">
                  <c:v>136.3220818296418</c:v>
                </c:pt>
                <c:pt idx="287">
                  <c:v>135.69435513044917</c:v>
                </c:pt>
                <c:pt idx="288">
                  <c:v>135.06490886845631</c:v>
                </c:pt>
                <c:pt idx="289">
                  <c:v>134.43410516021842</c:v>
                </c:pt>
                <c:pt idx="290">
                  <c:v>133.80230761369108</c:v>
                </c:pt>
                <c:pt idx="291">
                  <c:v>133.16988041670018</c:v>
                </c:pt>
                <c:pt idx="292">
                  <c:v>132.53718741932238</c:v>
                </c:pt>
                <c:pt idx="293">
                  <c:v>131.90459121614387</c:v>
                </c:pt>
                <c:pt idx="294">
                  <c:v>131.27245223437151</c:v>
                </c:pt>
                <c:pt idx="295">
                  <c:v>130.64112783369052</c:v>
                </c:pt>
                <c:pt idx="296">
                  <c:v>130.01097142362588</c:v>
                </c:pt>
                <c:pt idx="297">
                  <c:v>129.38233160395268</c:v>
                </c:pt>
                <c:pt idx="298">
                  <c:v>128.75555133342806</c:v>
                </c:pt>
                <c:pt idx="299">
                  <c:v>128.13096713178962</c:v>
                </c:pt>
                <c:pt idx="300">
                  <c:v>127.50890831957312</c:v>
                </c:pt>
                <c:pt idx="301">
                  <c:v>126.88969629988623</c:v>
                </c:pt>
                <c:pt idx="302">
                  <c:v>126.2736438857966</c:v>
                </c:pt>
                <c:pt idx="303">
                  <c:v>125.66105467650527</c:v>
                </c:pt>
                <c:pt idx="304">
                  <c:v>125.05222248495639</c:v>
                </c:pt>
                <c:pt idx="305">
                  <c:v>124.44743081900513</c:v>
                </c:pt>
                <c:pt idx="306">
                  <c:v>123.8469524177344</c:v>
                </c:pt>
                <c:pt idx="307">
                  <c:v>123.25104884397389</c:v>
                </c:pt>
                <c:pt idx="308">
                  <c:v>122.65997013356741</c:v>
                </c:pt>
                <c:pt idx="309">
                  <c:v>122.0739545014215</c:v>
                </c:pt>
                <c:pt idx="310">
                  <c:v>121.49322810390098</c:v>
                </c:pt>
                <c:pt idx="311">
                  <c:v>120.918004856686</c:v>
                </c:pt>
                <c:pt idx="312">
                  <c:v>120.34848630678914</c:v>
                </c:pt>
                <c:pt idx="313">
                  <c:v>119.78486155706457</c:v>
                </c:pt>
                <c:pt idx="314">
                  <c:v>119.22730724119965</c:v>
                </c:pt>
                <c:pt idx="315">
                  <c:v>118.67598754688785</c:v>
                </c:pt>
                <c:pt idx="316">
                  <c:v>118.13105428463591</c:v>
                </c:pt>
                <c:pt idx="317">
                  <c:v>117.59264699944971</c:v>
                </c:pt>
                <c:pt idx="318">
                  <c:v>117.0608931224818</c:v>
                </c:pt>
                <c:pt idx="319">
                  <c:v>116.53590815960139</c:v>
                </c:pt>
                <c:pt idx="320">
                  <c:v>116.01779591376615</c:v>
                </c:pt>
                <c:pt idx="321">
                  <c:v>115.50664873803247</c:v>
                </c:pt>
                <c:pt idx="322">
                  <c:v>115.00254781602915</c:v>
                </c:pt>
                <c:pt idx="323">
                  <c:v>114.5055634667446</c:v>
                </c:pt>
                <c:pt idx="324">
                  <c:v>114.0157554705266</c:v>
                </c:pt>
                <c:pt idx="325">
                  <c:v>113.53317341327318</c:v>
                </c:pt>
                <c:pt idx="326">
                  <c:v>113.05785704588898</c:v>
                </c:pt>
                <c:pt idx="327">
                  <c:v>112.58983665620188</c:v>
                </c:pt>
                <c:pt idx="328">
                  <c:v>112.12913345066508</c:v>
                </c:pt>
                <c:pt idx="329">
                  <c:v>111.67575994331767</c:v>
                </c:pt>
                <c:pt idx="330">
                  <c:v>111.22972034963169</c:v>
                </c:pt>
                <c:pt idx="331">
                  <c:v>110.79101098303337</c:v>
                </c:pt>
                <c:pt idx="332">
                  <c:v>110.3596206520543</c:v>
                </c:pt>
                <c:pt idx="333">
                  <c:v>109.93553105623519</c:v>
                </c:pt>
                <c:pt idx="334">
                  <c:v>109.51871717907406</c:v>
                </c:pt>
                <c:pt idx="335">
                  <c:v>109.10914767647294</c:v>
                </c:pt>
                <c:pt idx="336">
                  <c:v>108.70678525930622</c:v>
                </c:pt>
                <c:pt idx="337">
                  <c:v>108.31158706888178</c:v>
                </c:pt>
                <c:pt idx="338">
                  <c:v>107.92350504422724</c:v>
                </c:pt>
                <c:pt idx="339">
                  <c:v>107.54248628027182</c:v>
                </c:pt>
                <c:pt idx="340">
                  <c:v>107.16847337613447</c:v>
                </c:pt>
                <c:pt idx="341">
                  <c:v>106.8014047728558</c:v>
                </c:pt>
                <c:pt idx="342">
                  <c:v>106.44121508003764</c:v>
                </c:pt>
                <c:pt idx="343">
                  <c:v>106.08783539095762</c:v>
                </c:pt>
                <c:pt idx="344">
                  <c:v>105.74119358583846</c:v>
                </c:pt>
                <c:pt idx="345">
                  <c:v>105.40121462304066</c:v>
                </c:pt>
                <c:pt idx="346">
                  <c:v>105.0678208180376</c:v>
                </c:pt>
                <c:pt idx="347">
                  <c:v>104.74093211010968</c:v>
                </c:pt>
                <c:pt idx="348">
                  <c:v>104.42046631676017</c:v>
                </c:pt>
                <c:pt idx="349">
                  <c:v>104.10633937592782</c:v>
                </c:pt>
                <c:pt idx="350">
                  <c:v>103.79846557611482</c:v>
                </c:pt>
                <c:pt idx="351">
                  <c:v>103.49675777460874</c:v>
                </c:pt>
                <c:pt idx="352">
                  <c:v>103.20112760401025</c:v>
                </c:pt>
                <c:pt idx="353">
                  <c:v>102.9114856673211</c:v>
                </c:pt>
                <c:pt idx="354">
                  <c:v>102.62774172187201</c:v>
                </c:pt>
                <c:pt idx="355">
                  <c:v>102.34980485240168</c:v>
                </c:pt>
                <c:pt idx="356">
                  <c:v>102.07758363361214</c:v>
                </c:pt>
                <c:pt idx="357">
                  <c:v>101.8109862825486</c:v>
                </c:pt>
                <c:pt idx="358">
                  <c:v>101.54992080115962</c:v>
                </c:pt>
                <c:pt idx="359">
                  <c:v>101.29429510940446</c:v>
                </c:pt>
                <c:pt idx="360">
                  <c:v>101.04401716928139</c:v>
                </c:pt>
                <c:pt idx="361">
                  <c:v>100.798995100151</c:v>
                </c:pt>
                <c:pt idx="362">
                  <c:v>100.5591372857325</c:v>
                </c:pt>
                <c:pt idx="363">
                  <c:v>100.32435247314643</c:v>
                </c:pt>
                <c:pt idx="364">
                  <c:v>100.09454986437555</c:v>
                </c:pt>
                <c:pt idx="365">
                  <c:v>99.869639200510079</c:v>
                </c:pt>
                <c:pt idx="366">
                  <c:v>99.649530839136546</c:v>
                </c:pt>
                <c:pt idx="367">
                  <c:v>99.434135825223152</c:v>
                </c:pt>
                <c:pt idx="368">
                  <c:v>99.223365955842311</c:v>
                </c:pt>
                <c:pt idx="369">
                  <c:v>99.017133839067569</c:v>
                </c:pt>
                <c:pt idx="370">
                  <c:v>98.815352947365454</c:v>
                </c:pt>
                <c:pt idx="371">
                  <c:v>98.617937665796347</c:v>
                </c:pt>
                <c:pt idx="372">
                  <c:v>98.424803335326317</c:v>
                </c:pt>
                <c:pt idx="373">
                  <c:v>98.235866291539949</c:v>
                </c:pt>
                <c:pt idx="374">
                  <c:v>98.051043899033402</c:v>
                </c:pt>
                <c:pt idx="375">
                  <c:v>97.870254581755773</c:v>
                </c:pt>
                <c:pt idx="376">
                  <c:v>97.693417849553512</c:v>
                </c:pt>
                <c:pt idx="377">
                  <c:v>97.520454321164834</c:v>
                </c:pt>
                <c:pt idx="378">
                  <c:v>97.351285743894195</c:v>
                </c:pt>
                <c:pt idx="379">
                  <c:v>97.185835010192491</c:v>
                </c:pt>
                <c:pt idx="380">
                  <c:v>97.024026171352077</c:v>
                </c:pt>
                <c:pt idx="381">
                  <c:v>96.86578444851817</c:v>
                </c:pt>
                <c:pt idx="382">
                  <c:v>96.711036241206571</c:v>
                </c:pt>
                <c:pt idx="383">
                  <c:v>96.559709133508747</c:v>
                </c:pt>
                <c:pt idx="384">
                  <c:v>96.411731898154329</c:v>
                </c:pt>
                <c:pt idx="385">
                  <c:v>96.26703449859211</c:v>
                </c:pt>
                <c:pt idx="386">
                  <c:v>96.125548089242926</c:v>
                </c:pt>
                <c:pt idx="387">
                  <c:v>95.98720501406585</c:v>
                </c:pt>
                <c:pt idx="388">
                  <c:v>95.851938803575436</c:v>
                </c:pt>
                <c:pt idx="389">
                  <c:v>95.719684170435087</c:v>
                </c:pt>
                <c:pt idx="390">
                  <c:v>95.590377003747719</c:v>
                </c:pt>
                <c:pt idx="391">
                  <c:v>95.463954362154695</c:v>
                </c:pt>
                <c:pt idx="392">
                  <c:v>95.34035446584987</c:v>
                </c:pt>
                <c:pt idx="393">
                  <c:v>95.219516687606088</c:v>
                </c:pt>
                <c:pt idx="394">
                  <c:v>95.101381542908229</c:v>
                </c:pt>
                <c:pt idx="395">
                  <c:v>94.985890679277688</c:v>
                </c:pt>
                <c:pt idx="396">
                  <c:v>94.872986864870597</c:v>
                </c:pt>
                <c:pt idx="397">
                  <c:v>94.762613976424774</c:v>
                </c:pt>
                <c:pt idx="398">
                  <c:v>94.65471698662563</c:v>
                </c:pt>
                <c:pt idx="399">
                  <c:v>94.549241950957537</c:v>
                </c:pt>
                <c:pt idx="400">
                  <c:v>94.446135994101027</c:v>
                </c:pt>
                <c:pt idx="401">
                  <c:v>94.345347295933635</c:v>
                </c:pt>
                <c:pt idx="402">
                  <c:v>94.246825077186116</c:v>
                </c:pt>
                <c:pt idx="403">
                  <c:v>94.150519584804556</c:v>
                </c:pt>
                <c:pt idx="404">
                  <c:v>94.056382077062793</c:v>
                </c:pt>
                <c:pt idx="405">
                  <c:v>93.964364808468076</c:v>
                </c:pt>
                <c:pt idx="406">
                  <c:v>93.874421014498509</c:v>
                </c:pt>
                <c:pt idx="407">
                  <c:v>93.786504896208982</c:v>
                </c:pt>
                <c:pt idx="408">
                  <c:v>93.700571604738187</c:v>
                </c:pt>
                <c:pt idx="409">
                  <c:v>93.616577225747875</c:v>
                </c:pt>
                <c:pt idx="410">
                  <c:v>93.534478763822932</c:v>
                </c:pt>
                <c:pt idx="411">
                  <c:v>93.454234126857344</c:v>
                </c:pt>
                <c:pt idx="412">
                  <c:v>93.375802110450778</c:v>
                </c:pt>
                <c:pt idx="413">
                  <c:v>93.299142382337322</c:v>
                </c:pt>
                <c:pt idx="414">
                  <c:v>93.224215466866099</c:v>
                </c:pt>
                <c:pt idx="415">
                  <c:v>93.150982729552553</c:v>
                </c:pt>
                <c:pt idx="416">
                  <c:v>93.079406361716309</c:v>
                </c:pt>
                <c:pt idx="417">
                  <c:v>93.009449365221514</c:v>
                </c:pt>
                <c:pt idx="418">
                  <c:v>92.941075537332537</c:v>
                </c:pt>
                <c:pt idx="419">
                  <c:v>92.874249455697822</c:v>
                </c:pt>
                <c:pt idx="420">
                  <c:v>92.808936463472975</c:v>
                </c:pt>
                <c:pt idx="421">
                  <c:v>92.745102654592984</c:v>
                </c:pt>
                <c:pt idx="422">
                  <c:v>92.682714859202363</c:v>
                </c:pt>
                <c:pt idx="423">
                  <c:v>92.621740629251391</c:v>
                </c:pt>
                <c:pt idx="424">
                  <c:v>92.5621482242654</c:v>
                </c:pt>
                <c:pt idx="425">
                  <c:v>92.503906597293053</c:v>
                </c:pt>
                <c:pt idx="426">
                  <c:v>92.446985381039042</c:v>
                </c:pt>
                <c:pt idx="427">
                  <c:v>92.391354874186277</c:v>
                </c:pt>
                <c:pt idx="428">
                  <c:v>92.336986027911038</c:v>
                </c:pt>
                <c:pt idx="429">
                  <c:v>92.283850432594193</c:v>
                </c:pt>
                <c:pt idx="430">
                  <c:v>92.231920304732398</c:v>
                </c:pt>
                <c:pt idx="431">
                  <c:v>92.181168474050011</c:v>
                </c:pt>
                <c:pt idx="432">
                  <c:v>92.131568370814719</c:v>
                </c:pt>
                <c:pt idx="433">
                  <c:v>92.083094013357396</c:v>
                </c:pt>
                <c:pt idx="434">
                  <c:v>92.035719995797336</c:v>
                </c:pt>
                <c:pt idx="435">
                  <c:v>91.989421475973614</c:v>
                </c:pt>
                <c:pt idx="436">
                  <c:v>91.944174163582133</c:v>
                </c:pt>
                <c:pt idx="437">
                  <c:v>91.89995430851873</c:v>
                </c:pt>
                <c:pt idx="438">
                  <c:v>91.856738689427729</c:v>
                </c:pt>
                <c:pt idx="439">
                  <c:v>91.814504602454988</c:v>
                </c:pt>
                <c:pt idx="440">
                  <c:v>91.773229850204828</c:v>
                </c:pt>
                <c:pt idx="441">
                  <c:v>91.73289273089938</c:v>
                </c:pt>
                <c:pt idx="442">
                  <c:v>91.693472027739162</c:v>
                </c:pt>
                <c:pt idx="443">
                  <c:v>91.654946998463188</c:v>
                </c:pt>
                <c:pt idx="444">
                  <c:v>91.617297365106893</c:v>
                </c:pt>
                <c:pt idx="445">
                  <c:v>91.580503303956093</c:v>
                </c:pt>
                <c:pt idx="446">
                  <c:v>91.5445454356949</c:v>
                </c:pt>
                <c:pt idx="447">
                  <c:v>91.50940481574554</c:v>
                </c:pt>
                <c:pt idx="448">
                  <c:v>91.475062924797683</c:v>
                </c:pt>
                <c:pt idx="449">
                  <c:v>91.441501659525215</c:v>
                </c:pt>
                <c:pt idx="450">
                  <c:v>91.408703323487913</c:v>
                </c:pt>
                <c:pt idx="451">
                  <c:v>91.376650618215493</c:v>
                </c:pt>
                <c:pt idx="452">
                  <c:v>91.345326634471817</c:v>
                </c:pt>
                <c:pt idx="453">
                  <c:v>91.314714843696208</c:v>
                </c:pt>
                <c:pt idx="454">
                  <c:v>91.284799089619796</c:v>
                </c:pt>
                <c:pt idx="455">
                  <c:v>91.255563580053689</c:v>
                </c:pt>
                <c:pt idx="456">
                  <c:v>91.226992878847</c:v>
                </c:pt>
                <c:pt idx="457">
                  <c:v>91.199071898011098</c:v>
                </c:pt>
                <c:pt idx="458">
                  <c:v>91.171785890008323</c:v>
                </c:pt>
                <c:pt idx="459">
                  <c:v>91.145120440201836</c:v>
                </c:pt>
                <c:pt idx="460">
                  <c:v>91.119061459464035</c:v>
                </c:pt>
                <c:pt idx="461">
                  <c:v>91.09359517694088</c:v>
                </c:pt>
                <c:pt idx="462">
                  <c:v>91.068708132969334</c:v>
                </c:pt>
                <c:pt idx="463">
                  <c:v>91.044387172145207</c:v>
                </c:pt>
                <c:pt idx="464">
                  <c:v>91.020619436538766</c:v>
                </c:pt>
                <c:pt idx="465">
                  <c:v>90.997392359055254</c:v>
                </c:pt>
                <c:pt idx="466">
                  <c:v>90.974693656937873</c:v>
                </c:pt>
                <c:pt idx="467">
                  <c:v>90.952511325410384</c:v>
                </c:pt>
                <c:pt idx="468">
                  <c:v>90.930833631456764</c:v>
                </c:pt>
                <c:pt idx="469">
                  <c:v>90.909649107735376</c:v>
                </c:pt>
                <c:pt idx="470">
                  <c:v>90.888946546624879</c:v>
                </c:pt>
                <c:pt idx="471">
                  <c:v>90.868714994399539</c:v>
                </c:pt>
                <c:pt idx="472">
                  <c:v>90.848943745531315</c:v>
                </c:pt>
                <c:pt idx="473">
                  <c:v>90.829622337116064</c:v>
                </c:pt>
                <c:pt idx="474">
                  <c:v>90.810740543421886</c:v>
                </c:pt>
                <c:pt idx="475">
                  <c:v>90.792288370556392</c:v>
                </c:pt>
                <c:pt idx="476">
                  <c:v>90.774256051251328</c:v>
                </c:pt>
                <c:pt idx="477">
                  <c:v>90.756634039761678</c:v>
                </c:pt>
                <c:pt idx="478">
                  <c:v>90.739413006876859</c:v>
                </c:pt>
                <c:pt idx="479">
                  <c:v>90.722583835042144</c:v>
                </c:pt>
                <c:pt idx="480">
                  <c:v>90.706137613587657</c:v>
                </c:pt>
                <c:pt idx="481">
                  <c:v>90.690065634062847</c:v>
                </c:pt>
                <c:pt idx="482">
                  <c:v>90.674359385674251</c:v>
                </c:pt>
                <c:pt idx="483">
                  <c:v>90.659010550824419</c:v>
                </c:pt>
                <c:pt idx="484">
                  <c:v>90.644011000749771</c:v>
                </c:pt>
                <c:pt idx="485">
                  <c:v>90.629352791255442</c:v>
                </c:pt>
                <c:pt idx="486">
                  <c:v>90.615028158545016</c:v>
                </c:pt>
                <c:pt idx="487">
                  <c:v>90.601029515142955</c:v>
                </c:pt>
                <c:pt idx="488">
                  <c:v>90.587349445908217</c:v>
                </c:pt>
                <c:pt idx="489">
                  <c:v>90.573980704136503</c:v>
                </c:pt>
                <c:pt idx="490">
                  <c:v>90.560916207749713</c:v>
                </c:pt>
                <c:pt idx="491">
                  <c:v>90.54814903557056</c:v>
                </c:pt>
                <c:pt idx="492">
                  <c:v>90.535672423680523</c:v>
                </c:pt>
                <c:pt idx="493">
                  <c:v>90.523479761859249</c:v>
                </c:pt>
                <c:pt idx="494">
                  <c:v>90.511564590103873</c:v>
                </c:pt>
                <c:pt idx="495">
                  <c:v>90.499920595226257</c:v>
                </c:pt>
                <c:pt idx="496">
                  <c:v>90.488541607526571</c:v>
                </c:pt>
                <c:pt idx="497">
                  <c:v>90.477421597541721</c:v>
                </c:pt>
                <c:pt idx="498">
                  <c:v>90.466554672866621</c:v>
                </c:pt>
                <c:pt idx="499">
                  <c:v>90.455935075047009</c:v>
                </c:pt>
                <c:pt idx="500">
                  <c:v>90.445557176542167</c:v>
                </c:pt>
                <c:pt idx="501">
                  <c:v>90.435415477755996</c:v>
                </c:pt>
                <c:pt idx="502">
                  <c:v>90.425504604134787</c:v>
                </c:pt>
                <c:pt idx="503">
                  <c:v>90.415819303330679</c:v>
                </c:pt>
                <c:pt idx="504">
                  <c:v>90.406354442428679</c:v>
                </c:pt>
                <c:pt idx="505">
                  <c:v>90.397105005236497</c:v>
                </c:pt>
                <c:pt idx="506">
                  <c:v>90.388066089635373</c:v>
                </c:pt>
                <c:pt idx="507">
                  <c:v>90.379232904990715</c:v>
                </c:pt>
                <c:pt idx="508">
                  <c:v>90.370600769621163</c:v>
                </c:pt>
                <c:pt idx="509">
                  <c:v>90.36216510832493</c:v>
                </c:pt>
                <c:pt idx="510">
                  <c:v>90.353921449961831</c:v>
                </c:pt>
                <c:pt idx="511">
                  <c:v>90.345865425090167</c:v>
                </c:pt>
                <c:pt idx="512">
                  <c:v>90.337992763656857</c:v>
                </c:pt>
                <c:pt idx="513">
                  <c:v>90.330299292739923</c:v>
                </c:pt>
                <c:pt idx="514">
                  <c:v>90.322780934341978</c:v>
                </c:pt>
                <c:pt idx="515">
                  <c:v>90.315433703233694</c:v>
                </c:pt>
                <c:pt idx="516">
                  <c:v>90.30825370484601</c:v>
                </c:pt>
                <c:pt idx="517">
                  <c:v>90.301237133210108</c:v>
                </c:pt>
                <c:pt idx="518">
                  <c:v>90.294380268944082</c:v>
                </c:pt>
                <c:pt idx="519">
                  <c:v>90.287679477285025</c:v>
                </c:pt>
                <c:pt idx="520">
                  <c:v>90.281131206165981</c:v>
                </c:pt>
                <c:pt idx="521">
                  <c:v>90.274731984336199</c:v>
                </c:pt>
                <c:pt idx="522">
                  <c:v>90.268478419524186</c:v>
                </c:pt>
                <c:pt idx="523">
                  <c:v>90.262367196642316</c:v>
                </c:pt>
                <c:pt idx="524">
                  <c:v>90.256395076032078</c:v>
                </c:pt>
                <c:pt idx="525">
                  <c:v>90.250558891749336</c:v>
                </c:pt>
                <c:pt idx="526">
                  <c:v>90.244855549888214</c:v>
                </c:pt>
                <c:pt idx="527">
                  <c:v>90.239282026943243</c:v>
                </c:pt>
                <c:pt idx="528">
                  <c:v>90.23383536820846</c:v>
                </c:pt>
                <c:pt idx="529">
                  <c:v>90.228512686212966</c:v>
                </c:pt>
                <c:pt idx="530">
                  <c:v>90.223311159191994</c:v>
                </c:pt>
                <c:pt idx="531">
                  <c:v>90.218228029592552</c:v>
                </c:pt>
                <c:pt idx="532">
                  <c:v>90.213260602613232</c:v>
                </c:pt>
                <c:pt idx="533">
                  <c:v>90.20840624477681</c:v>
                </c:pt>
                <c:pt idx="534">
                  <c:v>90.203662382535612</c:v>
                </c:pt>
                <c:pt idx="535">
                  <c:v>90.199026500908403</c:v>
                </c:pt>
                <c:pt idx="536">
                  <c:v>90.194496142148111</c:v>
                </c:pt>
                <c:pt idx="537">
                  <c:v>90.190068904440082</c:v>
                </c:pt>
                <c:pt idx="538">
                  <c:v>90.185742440629667</c:v>
                </c:pt>
                <c:pt idx="539">
                  <c:v>90.181514456978803</c:v>
                </c:pt>
                <c:pt idx="540">
                  <c:v>90.177382711950898</c:v>
                </c:pt>
                <c:pt idx="541">
                  <c:v>90.173345015023273</c:v>
                </c:pt>
              </c:numCache>
            </c:numRef>
          </c:yVal>
          <c:smooth val="1"/>
          <c:extLst>
            <c:ext xmlns:c16="http://schemas.microsoft.com/office/drawing/2014/chart" uri="{C3380CC4-5D6E-409C-BE32-E72D297353CC}">
              <c16:uniqueId val="{00000001-739C-45D3-85A0-6F864EF09A5E}"/>
            </c:ext>
          </c:extLst>
        </c:ser>
        <c:dLbls>
          <c:showLegendKey val="0"/>
          <c:showVal val="0"/>
          <c:showCatName val="0"/>
          <c:showSerName val="0"/>
          <c:showPercent val="0"/>
          <c:showBubbleSize val="0"/>
        </c:dLbls>
        <c:axId val="365441024"/>
        <c:axId val="365439232"/>
      </c:scatterChart>
      <c:valAx>
        <c:axId val="55528064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65437312"/>
        <c:crosses val="autoZero"/>
        <c:crossBetween val="midCat"/>
      </c:valAx>
      <c:valAx>
        <c:axId val="365437312"/>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280640"/>
        <c:crosses val="autoZero"/>
        <c:crossBetween val="midCat"/>
        <c:majorUnit val="20"/>
        <c:minorUnit val="10"/>
      </c:valAx>
      <c:valAx>
        <c:axId val="365439232"/>
        <c:scaling>
          <c:orientation val="minMax"/>
          <c:max val="180"/>
          <c:min val="-180"/>
        </c:scaling>
        <c:delete val="0"/>
        <c:axPos val="r"/>
        <c:numFmt formatCode="General" sourceLinked="1"/>
        <c:majorTickMark val="out"/>
        <c:minorTickMark val="none"/>
        <c:tickLblPos val="nextTo"/>
        <c:crossAx val="365441024"/>
        <c:crosses val="max"/>
        <c:crossBetween val="midCat"/>
        <c:majorUnit val="90"/>
        <c:minorUnit val="45"/>
      </c:valAx>
      <c:valAx>
        <c:axId val="365441024"/>
        <c:scaling>
          <c:logBase val="10"/>
          <c:orientation val="minMax"/>
        </c:scaling>
        <c:delete val="1"/>
        <c:axPos val="b"/>
        <c:numFmt formatCode="0.00" sourceLinked="1"/>
        <c:majorTickMark val="out"/>
        <c:minorTickMark val="none"/>
        <c:tickLblPos val="nextTo"/>
        <c:crossAx val="365439232"/>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CCM 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Loop_Modeling!$BJ$19:$BJ$560</c:f>
              <c:numCache>
                <c:formatCode>0.000</c:formatCode>
                <c:ptCount val="542"/>
                <c:pt idx="0">
                  <c:v>42.823618506136313</c:v>
                </c:pt>
                <c:pt idx="1">
                  <c:v>42.623732611330198</c:v>
                </c:pt>
                <c:pt idx="2">
                  <c:v>42.423852055418358</c:v>
                </c:pt>
                <c:pt idx="3">
                  <c:v>42.223977086300806</c:v>
                </c:pt>
                <c:pt idx="4">
                  <c:v>42.02410796320563</c:v>
                </c:pt>
                <c:pt idx="5">
                  <c:v>41.824244957188711</c:v>
                </c:pt>
                <c:pt idx="6">
                  <c:v>41.624388351654822</c:v>
                </c:pt>
                <c:pt idx="7">
                  <c:v>41.424538442898054</c:v>
                </c:pt>
                <c:pt idx="8">
                  <c:v>41.224695540665977</c:v>
                </c:pt>
                <c:pt idx="9">
                  <c:v>41.02485996874443</c:v>
                </c:pt>
                <c:pt idx="10">
                  <c:v>40.825032065566717</c:v>
                </c:pt>
                <c:pt idx="11">
                  <c:v>40.625212184845367</c:v>
                </c:pt>
                <c:pt idx="12">
                  <c:v>40.425400696229133</c:v>
                </c:pt>
                <c:pt idx="13">
                  <c:v>40.225597985983804</c:v>
                </c:pt>
                <c:pt idx="14">
                  <c:v>40.025804457700744</c:v>
                </c:pt>
                <c:pt idx="15">
                  <c:v>39.826020533029251</c:v>
                </c:pt>
                <c:pt idx="16">
                  <c:v>39.626246652437203</c:v>
                </c:pt>
                <c:pt idx="17">
                  <c:v>39.426483275998706</c:v>
                </c:pt>
                <c:pt idx="18">
                  <c:v>39.226730884209651</c:v>
                </c:pt>
                <c:pt idx="19">
                  <c:v>39.026989978831502</c:v>
                </c:pt>
                <c:pt idx="20">
                  <c:v>38.827261083764391</c:v>
                </c:pt>
                <c:pt idx="21">
                  <c:v>38.627544745948171</c:v>
                </c:pt>
                <c:pt idx="22">
                  <c:v>38.427841536294395</c:v>
                </c:pt>
                <c:pt idx="23">
                  <c:v>38.228152050647054</c:v>
                </c:pt>
                <c:pt idx="24">
                  <c:v>38.028476910772902</c:v>
                </c:pt>
                <c:pt idx="25">
                  <c:v>37.828816765382641</c:v>
                </c:pt>
                <c:pt idx="26">
                  <c:v>37.629172291180339</c:v>
                </c:pt>
                <c:pt idx="27">
                  <c:v>37.429544193943457</c:v>
                </c:pt>
                <c:pt idx="28">
                  <c:v>37.229933209631653</c:v>
                </c:pt>
                <c:pt idx="29">
                  <c:v>37.030340105523855</c:v>
                </c:pt>
                <c:pt idx="30">
                  <c:v>36.830765681383099</c:v>
                </c:pt>
                <c:pt idx="31">
                  <c:v>36.631210770648714</c:v>
                </c:pt>
                <c:pt idx="32">
                  <c:v>36.431676241654003</c:v>
                </c:pt>
                <c:pt idx="33">
                  <c:v>36.232162998867679</c:v>
                </c:pt>
                <c:pt idx="34">
                  <c:v>36.032671984159073</c:v>
                </c:pt>
                <c:pt idx="35">
                  <c:v>35.833204178082447</c:v>
                </c:pt>
                <c:pt idx="36">
                  <c:v>35.633760601181407</c:v>
                </c:pt>
                <c:pt idx="37">
                  <c:v>35.434342315307141</c:v>
                </c:pt>
                <c:pt idx="38">
                  <c:v>35.23495042495037</c:v>
                </c:pt>
                <c:pt idx="39">
                  <c:v>35.035586078582504</c:v>
                </c:pt>
                <c:pt idx="40">
                  <c:v>34.836250470000095</c:v>
                </c:pt>
                <c:pt idx="41">
                  <c:v>34.636944839672729</c:v>
                </c:pt>
                <c:pt idx="42">
                  <c:v>34.437670476084122</c:v>
                </c:pt>
                <c:pt idx="43">
                  <c:v>34.238428717063769</c:v>
                </c:pt>
                <c:pt idx="44">
                  <c:v>34.03922095110336</c:v>
                </c:pt>
                <c:pt idx="45">
                  <c:v>33.840048618648296</c:v>
                </c:pt>
                <c:pt idx="46">
                  <c:v>33.640913213359973</c:v>
                </c:pt>
                <c:pt idx="47">
                  <c:v>33.441816283337523</c:v>
                </c:pt>
                <c:pt idx="48">
                  <c:v>33.242759432292218</c:v>
                </c:pt>
                <c:pt idx="49">
                  <c:v>33.043744320661965</c:v>
                </c:pt>
                <c:pt idx="50">
                  <c:v>32.844772666656937</c:v>
                </c:pt>
                <c:pt idx="51">
                  <c:v>32.645846247223986</c:v>
                </c:pt>
                <c:pt idx="52">
                  <c:v>32.446966898915456</c:v>
                </c:pt>
                <c:pt idx="53">
                  <c:v>32.248136518649126</c:v>
                </c:pt>
                <c:pt idx="54">
                  <c:v>32.049357064345742</c:v>
                </c:pt>
                <c:pt idx="55">
                  <c:v>31.850630555424388</c:v>
                </c:pt>
                <c:pt idx="56">
                  <c:v>31.651959073141342</c:v>
                </c:pt>
                <c:pt idx="57">
                  <c:v>31.453344760752127</c:v>
                </c:pt>
                <c:pt idx="58">
                  <c:v>31.254789823477338</c:v>
                </c:pt>
                <c:pt idx="59">
                  <c:v>31.056296528250158</c:v>
                </c:pt>
                <c:pt idx="60">
                  <c:v>30.85786720322595</c:v>
                </c:pt>
                <c:pt idx="61">
                  <c:v>30.659504237025487</c:v>
                </c:pt>
                <c:pt idx="62">
                  <c:v>30.46121007769294</c:v>
                </c:pt>
                <c:pt idx="63">
                  <c:v>30.262987231337924</c:v>
                </c:pt>
                <c:pt idx="64">
                  <c:v>30.064838260436954</c:v>
                </c:pt>
                <c:pt idx="65">
                  <c:v>29.8667657817658</c:v>
                </c:pt>
                <c:pt idx="66">
                  <c:v>29.668772463934623</c:v>
                </c:pt>
                <c:pt idx="67">
                  <c:v>29.470861024495303</c:v>
                </c:pt>
                <c:pt idx="68">
                  <c:v>29.273034226591488</c:v>
                </c:pt>
                <c:pt idx="69">
                  <c:v>29.07529487512139</c:v>
                </c:pt>
                <c:pt idx="70">
                  <c:v>28.877645812382063</c:v>
                </c:pt>
                <c:pt idx="71">
                  <c:v>28.680089913165588</c:v>
                </c:pt>
                <c:pt idx="72">
                  <c:v>28.482630079277431</c:v>
                </c:pt>
                <c:pt idx="73">
                  <c:v>28.285269233446986</c:v>
                </c:pt>
                <c:pt idx="74">
                  <c:v>28.088010312604744</c:v>
                </c:pt>
                <c:pt idx="75">
                  <c:v>27.890856260499103</c:v>
                </c:pt>
                <c:pt idx="76">
                  <c:v>27.693810019628835</c:v>
                </c:pt>
                <c:pt idx="77">
                  <c:v>27.496874522471902</c:v>
                </c:pt>
                <c:pt idx="78">
                  <c:v>27.300052681992376</c:v>
                </c:pt>
                <c:pt idx="79">
                  <c:v>27.103347381413101</c:v>
                </c:pt>
                <c:pt idx="80">
                  <c:v>26.906761463244443</c:v>
                </c:pt>
                <c:pt idx="81">
                  <c:v>26.710297717567695</c:v>
                </c:pt>
                <c:pt idx="82">
                  <c:v>26.513958869574765</c:v>
                </c:pt>
                <c:pt idx="83">
                  <c:v>26.317747566376291</c:v>
                </c:pt>
                <c:pt idx="84">
                  <c:v>26.121666363093937</c:v>
                </c:pt>
                <c:pt idx="85">
                  <c:v>25.92571770826504</c:v>
                </c:pt>
                <c:pt idx="86">
                  <c:v>25.729903928594254</c:v>
                </c:pt>
                <c:pt idx="87">
                  <c:v>25.534227213098418</c:v>
                </c:pt>
                <c:pt idx="88">
                  <c:v>25.338689596700643</c:v>
                </c:pt>
                <c:pt idx="89">
                  <c:v>25.143292943340821</c:v>
                </c:pt>
                <c:pt idx="90">
                  <c:v>24.948038928682227</c:v>
                </c:pt>
                <c:pt idx="91">
                  <c:v>24.752929022504979</c:v>
                </c:pt>
                <c:pt idx="92">
                  <c:v>24.557964470889608</c:v>
                </c:pt>
                <c:pt idx="93">
                  <c:v>24.363146278307212</c:v>
                </c:pt>
                <c:pt idx="94">
                  <c:v>24.16847518974339</c:v>
                </c:pt>
                <c:pt idx="95">
                  <c:v>23.973951672996662</c:v>
                </c:pt>
                <c:pt idx="96">
                  <c:v>23.779575901301033</c:v>
                </c:pt>
                <c:pt idx="97">
                  <c:v>23.585347736435498</c:v>
                </c:pt>
                <c:pt idx="98">
                  <c:v>23.39126671249111</c:v>
                </c:pt>
                <c:pt idx="99">
                  <c:v>23.197332020472579</c:v>
                </c:pt>
                <c:pt idx="100">
                  <c:v>23.003542493921607</c:v>
                </c:pt>
                <c:pt idx="101">
                  <c:v>22.809896595748668</c:v>
                </c:pt>
                <c:pt idx="102">
                  <c:v>22.616392406465909</c:v>
                </c:pt>
                <c:pt idx="103">
                  <c:v>22.423027614009104</c:v>
                </c:pt>
                <c:pt idx="104">
                  <c:v>22.229799505338931</c:v>
                </c:pt>
                <c:pt idx="105">
                  <c:v>22.03670495999809</c:v>
                </c:pt>
                <c:pt idx="106">
                  <c:v>21.843740445799046</c:v>
                </c:pt>
                <c:pt idx="107">
                  <c:v>21.650902016797701</c:v>
                </c:pt>
                <c:pt idx="108">
                  <c:v>21.458185313698472</c:v>
                </c:pt>
                <c:pt idx="109">
                  <c:v>21.265585566810966</c:v>
                </c:pt>
                <c:pt idx="110">
                  <c:v>21.07309760166298</c:v>
                </c:pt>
                <c:pt idx="111">
                  <c:v>20.880715847342056</c:v>
                </c:pt>
                <c:pt idx="112">
                  <c:v>20.688434347617051</c:v>
                </c:pt>
                <c:pt idx="113">
                  <c:v>20.496246774855575</c:v>
                </c:pt>
                <c:pt idx="114">
                  <c:v>20.304146446723802</c:v>
                </c:pt>
                <c:pt idx="115">
                  <c:v>20.112126345622329</c:v>
                </c:pt>
                <c:pt idx="116">
                  <c:v>19.92017914077401</c:v>
                </c:pt>
                <c:pt idx="117">
                  <c:v>19.72829721285046</c:v>
                </c:pt>
                <c:pt idx="118">
                  <c:v>19.536472680985245</c:v>
                </c:pt>
                <c:pt idx="119">
                  <c:v>19.344697431991364</c:v>
                </c:pt>
                <c:pt idx="120">
                  <c:v>19.152963151569214</c:v>
                </c:pt>
                <c:pt idx="121">
                  <c:v>18.961261357261336</c:v>
                </c:pt>
                <c:pt idx="122">
                  <c:v>18.769583432886954</c:v>
                </c:pt>
                <c:pt idx="123">
                  <c:v>18.577920664164402</c:v>
                </c:pt>
                <c:pt idx="124">
                  <c:v>18.386264275214753</c:v>
                </c:pt>
                <c:pt idx="125">
                  <c:v>18.194605465623141</c:v>
                </c:pt>
                <c:pt idx="126">
                  <c:v>18.002935447729659</c:v>
                </c:pt>
                <c:pt idx="127">
                  <c:v>17.811245483814858</c:v>
                </c:pt>
                <c:pt idx="128">
                  <c:v>17.619526922848031</c:v>
                </c:pt>
                <c:pt idx="129">
                  <c:v>17.427771236474076</c:v>
                </c:pt>
                <c:pt idx="130">
                  <c:v>17.235970053924248</c:v>
                </c:pt>
                <c:pt idx="131">
                  <c:v>17.044115195553093</c:v>
                </c:pt>
                <c:pt idx="132">
                  <c:v>16.852198704726959</c:v>
                </c:pt>
                <c:pt idx="133">
                  <c:v>16.660212877809226</c:v>
                </c:pt>
                <c:pt idx="134">
                  <c:v>16.468150292019217</c:v>
                </c:pt>
                <c:pt idx="135">
                  <c:v>16.276003830969742</c:v>
                </c:pt>
                <c:pt idx="136">
                  <c:v>16.083766707720901</c:v>
                </c:pt>
                <c:pt idx="137">
                  <c:v>15.891432485222833</c:v>
                </c:pt>
                <c:pt idx="138">
                  <c:v>15.698995094052313</c:v>
                </c:pt>
                <c:pt idx="139">
                  <c:v>15.506448847384064</c:v>
                </c:pt>
                <c:pt idx="140">
                  <c:v>15.313788453171473</c:v>
                </c:pt>
                <c:pt idx="141">
                  <c:v>15.121009023541223</c:v>
                </c:pt>
                <c:pt idx="142">
                  <c:v>14.928106081443573</c:v>
                </c:pt>
                <c:pt idx="143">
                  <c:v>14.735075564619631</c:v>
                </c:pt>
                <c:pt idx="144">
                  <c:v>14.541913826982922</c:v>
                </c:pt>
                <c:pt idx="145">
                  <c:v>14.348617637526742</c:v>
                </c:pt>
                <c:pt idx="146">
                  <c:v>14.155184176897535</c:v>
                </c:pt>
                <c:pt idx="147">
                  <c:v>13.961611031783573</c:v>
                </c:pt>
                <c:pt idx="148">
                  <c:v>13.767896187289635</c:v>
                </c:pt>
                <c:pt idx="149">
                  <c:v>13.574038017472718</c:v>
                </c:pt>
                <c:pt idx="150">
                  <c:v>13.380035274224651</c:v>
                </c:pt>
                <c:pt idx="151">
                  <c:v>13.185887074691928</c:v>
                </c:pt>
                <c:pt idx="152">
                  <c:v>12.991592887423026</c:v>
                </c:pt>
                <c:pt idx="153">
                  <c:v>12.797152517433144</c:v>
                </c:pt>
                <c:pt idx="154">
                  <c:v>12.602566090374525</c:v>
                </c:pt>
                <c:pt idx="155">
                  <c:v>12.407834035990874</c:v>
                </c:pt>
                <c:pt idx="156">
                  <c:v>12.212957071033639</c:v>
                </c:pt>
                <c:pt idx="157">
                  <c:v>12.017936181800712</c:v>
                </c:pt>
                <c:pt idx="158">
                  <c:v>11.822772606457939</c:v>
                </c:pt>
                <c:pt idx="159">
                  <c:v>11.627467817282806</c:v>
                </c:pt>
                <c:pt idx="160">
                  <c:v>11.432023502965869</c:v>
                </c:pt>
                <c:pt idx="161">
                  <c:v>11.236441551089571</c:v>
                </c:pt>
                <c:pt idx="162">
                  <c:v>11.040724030892532</c:v>
                </c:pt>
                <c:pt idx="163">
                  <c:v>10.844873176415417</c:v>
                </c:pt>
                <c:pt idx="164">
                  <c:v>10.648891370111521</c:v>
                </c:pt>
                <c:pt idx="165">
                  <c:v>10.452781126995433</c:v>
                </c:pt>
                <c:pt idx="166">
                  <c:v>10.256545079388594</c:v>
                </c:pt>
                <c:pt idx="167">
                  <c:v>10.060185962312787</c:v>
                </c:pt>
                <c:pt idx="168">
                  <c:v>9.8637065995706514</c:v>
                </c:pt>
                <c:pt idx="169">
                  <c:v>9.6671098905433279</c:v>
                </c:pt>
                <c:pt idx="170">
                  <c:v>9.4703987977262454</c:v>
                </c:pt>
                <c:pt idx="171">
                  <c:v>9.2735763350173279</c:v>
                </c:pt>
                <c:pt idx="172">
                  <c:v>9.076645556762454</c:v>
                </c:pt>
                <c:pt idx="173">
                  <c:v>8.8796095475586352</c:v>
                </c:pt>
                <c:pt idx="174">
                  <c:v>8.6824714128088765</c:v>
                </c:pt>
                <c:pt idx="175">
                  <c:v>8.4852342700170027</c:v>
                </c:pt>
                <c:pt idx="176">
                  <c:v>8.2879012408075141</c:v>
                </c:pt>
                <c:pt idx="177">
                  <c:v>8.0904754436516555</c:v>
                </c:pt>
                <c:pt idx="178">
                  <c:v>7.8929599872773295</c:v>
                </c:pt>
                <c:pt idx="179">
                  <c:v>7.6953579647379611</c:v>
                </c:pt>
                <c:pt idx="180">
                  <c:v>7.4976724481155053</c:v>
                </c:pt>
                <c:pt idx="181">
                  <c:v>7.2999064838272112</c:v>
                </c:pt>
                <c:pt idx="182">
                  <c:v>7.1020630885096665</c:v>
                </c:pt>
                <c:pt idx="183">
                  <c:v>6.9041452454491523</c:v>
                </c:pt>
                <c:pt idx="184">
                  <c:v>6.7061559015281578</c:v>
                </c:pt>
                <c:pt idx="185">
                  <c:v>6.5080979646600099</c:v>
                </c:pt>
                <c:pt idx="186">
                  <c:v>6.3099743016795875</c:v>
                </c:pt>
                <c:pt idx="187">
                  <c:v>6.1117877366629418</c:v>
                </c:pt>
                <c:pt idx="188">
                  <c:v>5.9135410496456506</c:v>
                </c:pt>
                <c:pt idx="189">
                  <c:v>5.7152369757139363</c:v>
                </c:pt>
                <c:pt idx="190">
                  <c:v>5.5168782044397444</c:v>
                </c:pt>
                <c:pt idx="191">
                  <c:v>5.3184673796360693</c:v>
                </c:pt>
                <c:pt idx="192">
                  <c:v>5.120007099405429</c:v>
                </c:pt>
                <c:pt idx="193">
                  <c:v>4.9214999164608608</c:v>
                </c:pt>
                <c:pt idx="194">
                  <c:v>4.7229483386940538</c:v>
                </c:pt>
                <c:pt idx="195">
                  <c:v>4.5243548299718634</c:v>
                </c:pt>
                <c:pt idx="196">
                  <c:v>4.3257218111387328</c:v>
                </c:pt>
                <c:pt idx="197">
                  <c:v>4.1270516612096824</c:v>
                </c:pt>
                <c:pt idx="198">
                  <c:v>3.9283467187316856</c:v>
                </c:pt>
                <c:pt idx="199">
                  <c:v>3.7296092833011985</c:v>
                </c:pt>
                <c:pt idx="200">
                  <c:v>3.5308416172193198</c:v>
                </c:pt>
                <c:pt idx="201">
                  <c:v>3.3320459472715274</c:v>
                </c:pt>
                <c:pt idx="202">
                  <c:v>3.1332244666185272</c:v>
                </c:pt>
                <c:pt idx="203">
                  <c:v>2.9343793367849154</c:v>
                </c:pt>
                <c:pt idx="204">
                  <c:v>2.7355126897355109</c:v>
                </c:pt>
                <c:pt idx="205">
                  <c:v>2.536626630026062</c:v>
                </c:pt>
                <c:pt idx="206">
                  <c:v>2.3377232370215677</c:v>
                </c:pt>
                <c:pt idx="207">
                  <c:v>2.1388045671701597</c:v>
                </c:pt>
                <c:pt idx="208">
                  <c:v>1.9398726563244257</c:v>
                </c:pt>
                <c:pt idx="209">
                  <c:v>1.7409295221039287</c:v>
                </c:pt>
                <c:pt idx="210">
                  <c:v>1.5419771662881998</c:v>
                </c:pt>
                <c:pt idx="211">
                  <c:v>1.3430175772358008</c:v>
                </c:pt>
                <c:pt idx="212">
                  <c:v>1.1440527323206853</c:v>
                </c:pt>
                <c:pt idx="213">
                  <c:v>0.94508460038102193</c:v>
                </c:pt>
                <c:pt idx="214">
                  <c:v>0.7461151441734325</c:v>
                </c:pt>
                <c:pt idx="215">
                  <c:v>0.54714632282683717</c:v>
                </c:pt>
                <c:pt idx="216">
                  <c:v>0.34818009428967395</c:v>
                </c:pt>
                <c:pt idx="217">
                  <c:v>0.14921841776639391</c:v>
                </c:pt>
                <c:pt idx="218">
                  <c:v>-4.9736743863706266E-2</c:v>
                </c:pt>
                <c:pt idx="219">
                  <c:v>-0.24868342165094984</c:v>
                </c:pt>
                <c:pt idx="220">
                  <c:v>-0.44761963820701067</c:v>
                </c:pt>
                <c:pt idx="221">
                  <c:v>-0.64654340537195709</c:v>
                </c:pt>
                <c:pt idx="222">
                  <c:v>-0.84545272191928689</c:v>
                </c:pt>
                <c:pt idx="223">
                  <c:v>-1.0443455713078325</c:v>
                </c:pt>
                <c:pt idx="224">
                  <c:v>-1.2432199194841014</c:v>
                </c:pt>
                <c:pt idx="225">
                  <c:v>-1.4420737127420122</c:v>
                </c:pt>
                <c:pt idx="226">
                  <c:v>-1.640904875647005</c:v>
                </c:pt>
                <c:pt idx="227">
                  <c:v>-1.8397113090297321</c:v>
                </c:pt>
                <c:pt idx="228">
                  <c:v>-2.0384908880569399</c:v>
                </c:pt>
                <c:pt idx="229">
                  <c:v>-2.2372414603854063</c:v>
                </c:pt>
                <c:pt idx="230">
                  <c:v>-2.4359608444075604</c:v>
                </c:pt>
                <c:pt idx="231">
                  <c:v>-2.6346468275940098</c:v>
                </c:pt>
                <c:pt idx="232">
                  <c:v>-2.8332971649421266</c:v>
                </c:pt>
                <c:pt idx="233">
                  <c:v>-3.0319095775356142</c:v>
                </c:pt>
                <c:pt idx="234">
                  <c:v>-3.2304817512258839</c:v>
                </c:pt>
                <c:pt idx="235">
                  <c:v>-3.4290113354387675</c:v>
                </c:pt>
                <c:pt idx="236">
                  <c:v>-3.6274959421163895</c:v>
                </c:pt>
                <c:pt idx="237">
                  <c:v>-3.8259331448002332</c:v>
                </c:pt>
                <c:pt idx="238">
                  <c:v>-4.0243204778616173</c:v>
                </c:pt>
                <c:pt idx="239">
                  <c:v>-4.2226554358863773</c:v>
                </c:pt>
                <c:pt idx="240">
                  <c:v>-4.4209354732180826</c:v>
                </c:pt>
                <c:pt idx="241">
                  <c:v>-4.6191580036666986</c:v>
                </c:pt>
                <c:pt idx="242">
                  <c:v>-4.8173204003833874</c:v>
                </c:pt>
                <c:pt idx="243">
                  <c:v>-5.0154199959065195</c:v>
                </c:pt>
                <c:pt idx="244">
                  <c:v>-5.2134540823785187</c:v>
                </c:pt>
                <c:pt idx="245">
                  <c:v>-5.4114199119348703</c:v>
                </c:pt>
                <c:pt idx="246">
                  <c:v>-5.6093146972603662</c:v>
                </c:pt>
                <c:pt idx="247">
                  <c:v>-5.8071356123111508</c:v>
                </c:pt>
                <c:pt idx="248">
                  <c:v>-6.0048797931937727</c:v>
                </c:pt>
                <c:pt idx="249">
                  <c:v>-6.2025443391935609</c:v>
                </c:pt>
                <c:pt idx="250">
                  <c:v>-6.4001263139389186</c:v>
                </c:pt>
                <c:pt idx="251">
                  <c:v>-6.5976227466871364</c:v>
                </c:pt>
                <c:pt idx="252">
                  <c:v>-6.7950306337127353</c:v>
                </c:pt>
                <c:pt idx="253">
                  <c:v>-6.9923469397769002</c:v>
                </c:pt>
                <c:pt idx="254">
                  <c:v>-7.1895685996498511</c:v>
                </c:pt>
                <c:pt idx="255">
                  <c:v>-7.3866925196599738</c:v>
                </c:pt>
                <c:pt idx="256">
                  <c:v>-7.5837155792308577</c:v>
                </c:pt>
                <c:pt idx="257">
                  <c:v>-7.7806346323722515</c:v>
                </c:pt>
                <c:pt idx="258">
                  <c:v>-7.9774465090787716</c:v>
                </c:pt>
                <c:pt idx="259">
                  <c:v>-8.1741480165919072</c:v>
                </c:pt>
                <c:pt idx="260">
                  <c:v>-8.3707359404732031</c:v>
                </c:pt>
                <c:pt idx="261">
                  <c:v>-8.5672070454334435</c:v>
                </c:pt>
                <c:pt idx="262">
                  <c:v>-8.7635580758597413</c:v>
                </c:pt>
                <c:pt idx="263">
                  <c:v>-8.9597857559778049</c:v>
                </c:pt>
                <c:pt idx="264">
                  <c:v>-9.1558867895854057</c:v>
                </c:pt>
                <c:pt idx="265">
                  <c:v>-9.3518578592889607</c:v>
                </c:pt>
                <c:pt idx="266">
                  <c:v>-9.5476956251747165</c:v>
                </c:pt>
                <c:pt idx="267">
                  <c:v>-9.7433967228458584</c:v>
                </c:pt>
                <c:pt idx="268">
                  <c:v>-9.9389577607544926</c:v>
                </c:pt>
                <c:pt idx="269">
                  <c:v>-10.134375316761648</c:v>
                </c:pt>
                <c:pt idx="270">
                  <c:v>-10.32964593385852</c:v>
                </c:pt>
                <c:pt idx="271">
                  <c:v>-10.524766114986164</c:v>
                </c:pt>
                <c:pt idx="272">
                  <c:v>-10.719732316895414</c:v>
                </c:pt>
                <c:pt idx="273">
                  <c:v>-10.91454094299473</c:v>
                </c:pt>
                <c:pt idx="274">
                  <c:v>-11.109188335140843</c:v>
                </c:pt>
                <c:pt idx="275">
                  <c:v>-11.303670764334175</c:v>
                </c:pt>
                <c:pt idx="276">
                  <c:v>-11.497984420293381</c:v>
                </c:pt>
                <c:pt idx="277">
                  <c:v>-11.692125399890649</c:v>
                </c:pt>
                <c:pt idx="278">
                  <c:v>-11.886089694443749</c:v>
                </c:pt>
                <c:pt idx="279">
                  <c:v>-12.079873175872372</c:v>
                </c:pt>
                <c:pt idx="280">
                  <c:v>-12.273471581740189</c:v>
                </c:pt>
                <c:pt idx="281">
                  <c:v>-12.466880499218323</c:v>
                </c:pt>
                <c:pt idx="282">
                  <c:v>-12.660095348019681</c:v>
                </c:pt>
                <c:pt idx="283">
                  <c:v>-12.853111362369756</c:v>
                </c:pt>
                <c:pt idx="284">
                  <c:v>-13.045923572093617</c:v>
                </c:pt>
                <c:pt idx="285">
                  <c:v>-13.238526782911977</c:v>
                </c:pt>
                <c:pt idx="286">
                  <c:v>-13.430915556056833</c:v>
                </c:pt>
                <c:pt idx="287">
                  <c:v>-13.623084187326118</c:v>
                </c:pt>
                <c:pt idx="288">
                  <c:v>-13.815026685713738</c:v>
                </c:pt>
                <c:pt idx="289">
                  <c:v>-14.006736751758469</c:v>
                </c:pt>
                <c:pt idx="290">
                  <c:v>-14.198207755770225</c:v>
                </c:pt>
                <c:pt idx="291">
                  <c:v>-14.389432716095776</c:v>
                </c:pt>
                <c:pt idx="292">
                  <c:v>-14.580404277598447</c:v>
                </c:pt>
                <c:pt idx="293">
                  <c:v>-14.771114690528243</c:v>
                </c:pt>
                <c:pt idx="294">
                  <c:v>-14.961555789966079</c:v>
                </c:pt>
                <c:pt idx="295">
                  <c:v>-15.151718976026585</c:v>
                </c:pt>
                <c:pt idx="296">
                  <c:v>-15.341595195007125</c:v>
                </c:pt>
                <c:pt idx="297">
                  <c:v>-15.531174921669384</c:v>
                </c:pt>
                <c:pt idx="298">
                  <c:v>-15.720448142839645</c:v>
                </c:pt>
                <c:pt idx="299">
                  <c:v>-15.909404342512097</c:v>
                </c:pt>
                <c:pt idx="300">
                  <c:v>-16.098032488634885</c:v>
                </c:pt>
                <c:pt idx="301">
                  <c:v>-16.286321021756571</c:v>
                </c:pt>
                <c:pt idx="302">
                  <c:v>-16.474257845706322</c:v>
                </c:pt>
                <c:pt idx="303">
                  <c:v>-16.661830320475868</c:v>
                </c:pt>
                <c:pt idx="304">
                  <c:v>-16.849025257466533</c:v>
                </c:pt>
                <c:pt idx="305">
                  <c:v>-17.035828917262059</c:v>
                </c:pt>
                <c:pt idx="306">
                  <c:v>-17.22222701007993</c:v>
                </c:pt>
                <c:pt idx="307">
                  <c:v>-17.408204699055243</c:v>
                </c:pt>
                <c:pt idx="308">
                  <c:v>-17.593746606500421</c:v>
                </c:pt>
                <c:pt idx="309">
                  <c:v>-17.778836823287676</c:v>
                </c:pt>
                <c:pt idx="310">
                  <c:v>-17.963458921493437</c:v>
                </c:pt>
                <c:pt idx="311">
                  <c:v>-18.147595970442907</c:v>
                </c:pt>
                <c:pt idx="312">
                  <c:v>-18.331230556292034</c:v>
                </c:pt>
                <c:pt idx="313">
                  <c:v>-18.514344805278977</c:v>
                </c:pt>
                <c:pt idx="314">
                  <c:v>-18.696920410777565</c:v>
                </c:pt>
                <c:pt idx="315">
                  <c:v>-18.878938664281595</c:v>
                </c:pt>
                <c:pt idx="316">
                  <c:v>-19.060380490445713</c:v>
                </c:pt>
                <c:pt idx="317">
                  <c:v>-19.241226486305788</c:v>
                </c:pt>
                <c:pt idx="318">
                  <c:v>-19.421456964795048</c:v>
                </c:pt>
                <c:pt idx="319">
                  <c:v>-19.601052002669274</c:v>
                </c:pt>
                <c:pt idx="320">
                  <c:v>-19.779991492943115</c:v>
                </c:pt>
                <c:pt idx="321">
                  <c:v>-19.958255201931088</c:v>
                </c:pt>
                <c:pt idx="322">
                  <c:v>-20.135822830976377</c:v>
                </c:pt>
                <c:pt idx="323">
                  <c:v>-20.312674082933036</c:v>
                </c:pt>
                <c:pt idx="324">
                  <c:v>-20.488788733450608</c:v>
                </c:pt>
                <c:pt idx="325">
                  <c:v>-20.66414670709003</c:v>
                </c:pt>
                <c:pt idx="326">
                  <c:v>-20.838728158275295</c:v>
                </c:pt>
                <c:pt idx="327">
                  <c:v>-21.012513557055268</c:v>
                </c:pt>
                <c:pt idx="328">
                  <c:v>-21.185483779622221</c:v>
                </c:pt>
                <c:pt idx="329">
                  <c:v>-21.357620203494776</c:v>
                </c:pt>
                <c:pt idx="330">
                  <c:v>-21.528904807237346</c:v>
                </c:pt>
                <c:pt idx="331">
                  <c:v>-21.699320274541456</c:v>
                </c:pt>
                <c:pt idx="332">
                  <c:v>-21.868850102451383</c:v>
                </c:pt>
                <c:pt idx="333">
                  <c:v>-22.037478713465887</c:v>
                </c:pt>
                <c:pt idx="334">
                  <c:v>-22.205191571194739</c:v>
                </c:pt>
                <c:pt idx="335">
                  <c:v>-22.371975299193565</c:v>
                </c:pt>
                <c:pt idx="336">
                  <c:v>-22.53781780254652</c:v>
                </c:pt>
                <c:pt idx="337">
                  <c:v>-22.702708391703133</c:v>
                </c:pt>
                <c:pt idx="338">
                  <c:v>-22.866637908021843</c:v>
                </c:pt>
                <c:pt idx="339">
                  <c:v>-23.029598850411077</c:v>
                </c:pt>
                <c:pt idx="340">
                  <c:v>-23.191585502402134</c:v>
                </c:pt>
                <c:pt idx="341">
                  <c:v>-23.352594058932997</c:v>
                </c:pt>
                <c:pt idx="342">
                  <c:v>-23.512622752070399</c:v>
                </c:pt>
                <c:pt idx="343">
                  <c:v>-23.671671974848394</c:v>
                </c:pt>
                <c:pt idx="344">
                  <c:v>-23.829744402359623</c:v>
                </c:pt>
                <c:pt idx="345">
                  <c:v>-23.986845109199265</c:v>
                </c:pt>
                <c:pt idx="346">
                  <c:v>-24.142981682332625</c:v>
                </c:pt>
                <c:pt idx="347">
                  <c:v>-24.298164328434972</c:v>
                </c:pt>
                <c:pt idx="348">
                  <c:v>-24.452405974745037</c:v>
                </c:pt>
                <c:pt idx="349">
                  <c:v>-24.605722362468498</c:v>
                </c:pt>
                <c:pt idx="350">
                  <c:v>-24.758132131779945</c:v>
                </c:pt>
                <c:pt idx="351">
                  <c:v>-24.909656897492653</c:v>
                </c:pt>
                <c:pt idx="352">
                  <c:v>-25.060321314499706</c:v>
                </c:pt>
                <c:pt idx="353">
                  <c:v>-25.210153132133954</c:v>
                </c:pt>
                <c:pt idx="354">
                  <c:v>-25.359183236653561</c:v>
                </c:pt>
                <c:pt idx="355">
                  <c:v>-25.50744568112977</c:v>
                </c:pt>
                <c:pt idx="356">
                  <c:v>-25.654977702091305</c:v>
                </c:pt>
                <c:pt idx="357">
                  <c:v>-25.801819722379339</c:v>
                </c:pt>
                <c:pt idx="358">
                  <c:v>-25.948015339759856</c:v>
                </c:pt>
                <c:pt idx="359">
                  <c:v>-26.093611300960859</c:v>
                </c:pt>
                <c:pt idx="360">
                  <c:v>-26.238657460914784</c:v>
                </c:pt>
                <c:pt idx="361">
                  <c:v>-26.38320672711469</c:v>
                </c:pt>
                <c:pt idx="362">
                  <c:v>-26.527314989124715</c:v>
                </c:pt>
                <c:pt idx="363">
                  <c:v>-26.671041033417232</c:v>
                </c:pt>
                <c:pt idx="364">
                  <c:v>-26.81444644384414</c:v>
                </c:pt>
                <c:pt idx="365">
                  <c:v>-26.957595488188268</c:v>
                </c:pt>
                <c:pt idx="366">
                  <c:v>-27.100554991370906</c:v>
                </c:pt>
                <c:pt idx="367">
                  <c:v>-27.243394196019494</c:v>
                </c:pt>
                <c:pt idx="368">
                  <c:v>-27.386184611225971</c:v>
                </c:pt>
                <c:pt idx="369">
                  <c:v>-27.528999850439003</c:v>
                </c:pt>
                <c:pt idx="370">
                  <c:v>-27.671915459539992</c:v>
                </c:pt>
                <c:pt idx="371">
                  <c:v>-27.815008736248693</c:v>
                </c:pt>
                <c:pt idx="372">
                  <c:v>-27.958358542085463</c:v>
                </c:pt>
                <c:pt idx="373">
                  <c:v>-28.102045108190225</c:v>
                </c:pt>
                <c:pt idx="374">
                  <c:v>-28.246149836348135</c:v>
                </c:pt>
                <c:pt idx="375">
                  <c:v>-28.390755096616502</c:v>
                </c:pt>
                <c:pt idx="376">
                  <c:v>-28.535944022968145</c:v>
                </c:pt>
                <c:pt idx="377">
                  <c:v>-28.681800308373326</c:v>
                </c:pt>
                <c:pt idx="378">
                  <c:v>-28.828408000735976</c:v>
                </c:pt>
                <c:pt idx="379">
                  <c:v>-28.975851301067841</c:v>
                </c:pt>
                <c:pt idx="380">
                  <c:v>-29.124214365249379</c:v>
                </c:pt>
                <c:pt idx="381">
                  <c:v>-29.273581110659723</c:v>
                </c:pt>
                <c:pt idx="382">
                  <c:v>-29.424035028890671</c:v>
                </c:pt>
                <c:pt idx="383">
                  <c:v>-29.575659005668761</c:v>
                </c:pt>
                <c:pt idx="384">
                  <c:v>-29.728535149008959</c:v>
                </c:pt>
                <c:pt idx="385">
                  <c:v>-29.882744626512139</c:v>
                </c:pt>
                <c:pt idx="386">
                  <c:v>-30.038367512594007</c:v>
                </c:pt>
                <c:pt idx="387">
                  <c:v>-30.195482646304246</c:v>
                </c:pt>
                <c:pt idx="388">
                  <c:v>-30.354167500254196</c:v>
                </c:pt>
                <c:pt idx="389">
                  <c:v>-30.514498061032185</c:v>
                </c:pt>
                <c:pt idx="390">
                  <c:v>-30.676548721336715</c:v>
                </c:pt>
                <c:pt idx="391">
                  <c:v>-30.840392183915192</c:v>
                </c:pt>
                <c:pt idx="392">
                  <c:v>-31.006099377251424</c:v>
                </c:pt>
                <c:pt idx="393">
                  <c:v>-31.173739382801209</c:v>
                </c:pt>
                <c:pt idx="394">
                  <c:v>-31.343379373446687</c:v>
                </c:pt>
                <c:pt idx="395">
                  <c:v>-31.51508456270658</c:v>
                </c:pt>
                <c:pt idx="396">
                  <c:v>-31.688918164126534</c:v>
                </c:pt>
                <c:pt idx="397">
                  <c:v>-31.864941360165805</c:v>
                </c:pt>
                <c:pt idx="398">
                  <c:v>-32.043213279801364</c:v>
                </c:pt>
                <c:pt idx="399">
                  <c:v>-32.223790983995968</c:v>
                </c:pt>
                <c:pt idx="400">
                  <c:v>-32.406729458104422</c:v>
                </c:pt>
                <c:pt idx="401">
                  <c:v>-32.592081610253359</c:v>
                </c:pt>
                <c:pt idx="402">
                  <c:v>-32.779898274690055</c:v>
                </c:pt>
                <c:pt idx="403">
                  <c:v>-32.970228219087218</c:v>
                </c:pt>
                <c:pt idx="404">
                  <c:v>-33.163118154789721</c:v>
                </c:pt>
                <c:pt idx="405">
                  <c:v>-33.358612749008657</c:v>
                </c:pt>
                <c:pt idx="406">
                  <c:v>-33.556754638005664</c:v>
                </c:pt>
                <c:pt idx="407">
                  <c:v>-33.757584440359537</c:v>
                </c:pt>
                <c:pt idx="408">
                  <c:v>-33.961140769473928</c:v>
                </c:pt>
                <c:pt idx="409">
                  <c:v>-34.167460244562335</c:v>
                </c:pt>
                <c:pt idx="410">
                  <c:v>-34.376577499439314</c:v>
                </c:pt>
                <c:pt idx="411">
                  <c:v>-34.588525188545908</c:v>
                </c:pt>
                <c:pt idx="412">
                  <c:v>-34.803333989748644</c:v>
                </c:pt>
                <c:pt idx="413">
                  <c:v>-35.021032603563249</c:v>
                </c:pt>
                <c:pt idx="414">
                  <c:v>-35.241647748578494</c:v>
                </c:pt>
                <c:pt idx="415">
                  <c:v>-35.465204152977115</c:v>
                </c:pt>
                <c:pt idx="416">
                  <c:v>-35.69172454216789</c:v>
                </c:pt>
                <c:pt idx="417">
                  <c:v>-35.921229622670893</c:v>
                </c:pt>
                <c:pt idx="418">
                  <c:v>-36.153738062508133</c:v>
                </c:pt>
                <c:pt idx="419">
                  <c:v>-36.389266468463376</c:v>
                </c:pt>
                <c:pt idx="420">
                  <c:v>-36.627829360676877</c:v>
                </c:pt>
                <c:pt idx="421">
                  <c:v>-36.869439145130045</c:v>
                </c:pt>
                <c:pt idx="422">
                  <c:v>-37.114106084658523</c:v>
                </c:pt>
                <c:pt idx="423">
                  <c:v>-37.361838269195701</c:v>
                </c:pt>
                <c:pt idx="424">
                  <c:v>-37.612641586002155</c:v>
                </c:pt>
                <c:pt idx="425">
                  <c:v>-37.866519690676789</c:v>
                </c:pt>
                <c:pt idx="426">
                  <c:v>-38.12347397976508</c:v>
                </c:pt>
                <c:pt idx="427">
                  <c:v>-38.383503565787855</c:v>
                </c:pt>
                <c:pt idx="428">
                  <c:v>-38.646605255504937</c:v>
                </c:pt>
                <c:pt idx="429">
                  <c:v>-38.912773532203452</c:v>
                </c:pt>
                <c:pt idx="430">
                  <c:v>-39.182000542762609</c:v>
                </c:pt>
                <c:pt idx="431">
                  <c:v>-39.454276090193645</c:v>
                </c:pt>
                <c:pt idx="432">
                  <c:v>-39.729587632285082</c:v>
                </c:pt>
                <c:pt idx="433">
                  <c:v>-40.007920286917013</c:v>
                </c:pt>
                <c:pt idx="434">
                  <c:v>-40.289256844510064</c:v>
                </c:pt>
                <c:pt idx="435">
                  <c:v>-40.5735777879908</c:v>
                </c:pt>
                <c:pt idx="436">
                  <c:v>-40.860861320555522</c:v>
                </c:pt>
                <c:pt idx="437">
                  <c:v>-41.151083401405558</c:v>
                </c:pt>
                <c:pt idx="438">
                  <c:v>-41.444217789532715</c:v>
                </c:pt>
                <c:pt idx="439">
                  <c:v>-41.740236095522867</c:v>
                </c:pt>
                <c:pt idx="440">
                  <c:v>-42.039107841245695</c:v>
                </c:pt>
                <c:pt idx="441">
                  <c:v>-42.340800527204379</c:v>
                </c:pt>
                <c:pt idx="442">
                  <c:v>-42.645279707221448</c:v>
                </c:pt>
                <c:pt idx="443">
                  <c:v>-42.952509070058142</c:v>
                </c:pt>
                <c:pt idx="444">
                  <c:v>-43.262450527481811</c:v>
                </c:pt>
                <c:pt idx="445">
                  <c:v>-43.575064308237479</c:v>
                </c:pt>
                <c:pt idx="446">
                  <c:v>-43.890309057308905</c:v>
                </c:pt>
                <c:pt idx="447">
                  <c:v>-44.208141939823697</c:v>
                </c:pt>
                <c:pt idx="448">
                  <c:v>-44.52851874890812</c:v>
                </c:pt>
                <c:pt idx="449">
                  <c:v>-44.85139401677948</c:v>
                </c:pt>
                <c:pt idx="450">
                  <c:v>-45.176721128346529</c:v>
                </c:pt>
                <c:pt idx="451">
                  <c:v>-45.504452436585879</c:v>
                </c:pt>
                <c:pt idx="452">
                  <c:v>-45.834539378967222</c:v>
                </c:pt>
                <c:pt idx="453">
                  <c:v>-46.166932594215865</c:v>
                </c:pt>
                <c:pt idx="454">
                  <c:v>-46.501582038721907</c:v>
                </c:pt>
                <c:pt idx="455">
                  <c:v>-46.838437101940897</c:v>
                </c:pt>
                <c:pt idx="456">
                  <c:v>-47.177446720158578</c:v>
                </c:pt>
                <c:pt idx="457">
                  <c:v>-47.518559488046918</c:v>
                </c:pt>
                <c:pt idx="458">
                  <c:v>-47.861723767470501</c:v>
                </c:pt>
                <c:pt idx="459">
                  <c:v>-48.206887793065746</c:v>
                </c:pt>
                <c:pt idx="460">
                  <c:v>-48.553999774157234</c:v>
                </c:pt>
                <c:pt idx="461">
                  <c:v>-48.903007992633135</c:v>
                </c:pt>
                <c:pt idx="462">
                  <c:v>-49.253860896456118</c:v>
                </c:pt>
                <c:pt idx="463">
                  <c:v>-49.606507188536639</c:v>
                </c:pt>
                <c:pt idx="464">
                  <c:v>-49.960895910751034</c:v>
                </c:pt>
                <c:pt idx="465">
                  <c:v>-50.316976522933707</c:v>
                </c:pt>
                <c:pt idx="466">
                  <c:v>-50.674698976727399</c:v>
                </c:pt>
                <c:pt idx="467">
                  <c:v>-51.034013784213059</c:v>
                </c:pt>
                <c:pt idx="468">
                  <c:v>-51.39487208129303</c:v>
                </c:pt>
                <c:pt idx="469">
                  <c:v>-51.75722568583231</c:v>
                </c:pt>
                <c:pt idx="470">
                  <c:v>-52.121027150605876</c:v>
                </c:pt>
                <c:pt idx="471">
                  <c:v>-52.486229811128347</c:v>
                </c:pt>
                <c:pt idx="472">
                  <c:v>-52.85278782847292</c:v>
                </c:pt>
                <c:pt idx="473">
                  <c:v>-53.220656227212977</c:v>
                </c:pt>
                <c:pt idx="474">
                  <c:v>-53.589790928638841</c:v>
                </c:pt>
                <c:pt idx="475">
                  <c:v>-53.96014877942558</c:v>
                </c:pt>
                <c:pt idx="476">
                  <c:v>-54.331687575937352</c:v>
                </c:pt>
                <c:pt idx="477">
                  <c:v>-54.704366084371287</c:v>
                </c:pt>
                <c:pt idx="478">
                  <c:v>-55.078144056949213</c:v>
                </c:pt>
                <c:pt idx="479">
                  <c:v>-55.452982244375669</c:v>
                </c:pt>
                <c:pt idx="480">
                  <c:v>-55.828842404782257</c:v>
                </c:pt>
                <c:pt idx="481">
                  <c:v>-56.205687309381076</c:v>
                </c:pt>
                <c:pt idx="482">
                  <c:v>-56.583480745052782</c:v>
                </c:pt>
                <c:pt idx="483">
                  <c:v>-56.962187514087105</c:v>
                </c:pt>
                <c:pt idx="484">
                  <c:v>-57.341773431297554</c:v>
                </c:pt>
                <c:pt idx="485">
                  <c:v>-57.722205318721642</c:v>
                </c:pt>
                <c:pt idx="486">
                  <c:v>-58.103450998115136</c:v>
                </c:pt>
                <c:pt idx="487">
                  <c:v>-58.485479281442672</c:v>
                </c:pt>
                <c:pt idx="488">
                  <c:v>-58.868259959555694</c:v>
                </c:pt>
                <c:pt idx="489">
                  <c:v>-59.251763789246404</c:v>
                </c:pt>
                <c:pt idx="490">
                  <c:v>-59.635962478852484</c:v>
                </c:pt>
                <c:pt idx="491">
                  <c:v>-60.02082867258251</c:v>
                </c:pt>
                <c:pt idx="492">
                  <c:v>-60.406335933718864</c:v>
                </c:pt>
                <c:pt idx="493">
                  <c:v>-60.792458726850612</c:v>
                </c:pt>
                <c:pt idx="494">
                  <c:v>-61.179172399275103</c:v>
                </c:pt>
                <c:pt idx="495">
                  <c:v>-61.566453161700437</c:v>
                </c:pt>
                <c:pt idx="496">
                  <c:v>-61.95427806837084</c:v>
                </c:pt>
                <c:pt idx="497">
                  <c:v>-62.342624996728688</c:v>
                </c:pt>
                <c:pt idx="498">
                  <c:v>-62.731472626718826</c:v>
                </c:pt>
                <c:pt idx="499">
                  <c:v>-63.120800419830623</c:v>
                </c:pt>
                <c:pt idx="500">
                  <c:v>-63.510588597966731</c:v>
                </c:pt>
                <c:pt idx="501">
                  <c:v>-63.900818122220436</c:v>
                </c:pt>
                <c:pt idx="502">
                  <c:v>-64.291470671633874</c:v>
                </c:pt>
                <c:pt idx="503">
                  <c:v>-64.682528622005179</c:v>
                </c:pt>
                <c:pt idx="504">
                  <c:v>-65.073975024803147</c:v>
                </c:pt>
                <c:pt idx="505">
                  <c:v>-65.465793586245354</c:v>
                </c:pt>
                <c:pt idx="506">
                  <c:v>-65.857968646584595</c:v>
                </c:pt>
                <c:pt idx="507">
                  <c:v>-66.250485159651049</c:v>
                </c:pt>
                <c:pt idx="508">
                  <c:v>-66.643328672682372</c:v>
                </c:pt>
                <c:pt idx="509">
                  <c:v>-67.036485306479094</c:v>
                </c:pt>
                <c:pt idx="510">
                  <c:v>-67.429941735910063</c:v>
                </c:pt>
                <c:pt idx="511">
                  <c:v>-67.82368517079523</c:v>
                </c:pt>
                <c:pt idx="512">
                  <c:v>-68.217703337184233</c:v>
                </c:pt>
                <c:pt idx="513">
                  <c:v>-68.611984459049339</c:v>
                </c:pt>
                <c:pt idx="514">
                  <c:v>-69.006517240405373</c:v>
                </c:pt>
                <c:pt idx="515">
                  <c:v>-69.401290847869063</c:v>
                </c:pt>
                <c:pt idx="516">
                  <c:v>-69.796294893665333</c:v>
                </c:pt>
                <c:pt idx="517">
                  <c:v>-70.1915194190872</c:v>
                </c:pt>
                <c:pt idx="518">
                  <c:v>-70.586954878412143</c:v>
                </c:pt>
                <c:pt idx="519">
                  <c:v>-70.982592123278778</c:v>
                </c:pt>
                <c:pt idx="520">
                  <c:v>-71.378422387522775</c:v>
                </c:pt>
                <c:pt idx="521">
                  <c:v>-71.774437272469399</c:v>
                </c:pt>
                <c:pt idx="522">
                  <c:v>-72.17062873268398</c:v>
                </c:pt>
                <c:pt idx="523">
                  <c:v>-72.566989062171132</c:v>
                </c:pt>
                <c:pt idx="524">
                  <c:v>-72.963510881023197</c:v>
                </c:pt>
                <c:pt idx="525">
                  <c:v>-73.360187122506275</c:v>
                </c:pt>
                <c:pt idx="526">
                  <c:v>-73.757011020582368</c:v>
                </c:pt>
                <c:pt idx="527">
                  <c:v>-74.153976097855903</c:v>
                </c:pt>
                <c:pt idx="528">
                  <c:v>-74.551076153939405</c:v>
                </c:pt>
                <c:pt idx="529">
                  <c:v>-74.948305254228359</c:v>
                </c:pt>
                <c:pt idx="530">
                  <c:v>-75.345657719075518</c:v>
                </c:pt>
                <c:pt idx="531">
                  <c:v>-75.743128113359091</c:v>
                </c:pt>
                <c:pt idx="532">
                  <c:v>-76.140711236428032</c:v>
                </c:pt>
                <c:pt idx="533">
                  <c:v>-76.538402112422958</c:v>
                </c:pt>
                <c:pt idx="534">
                  <c:v>-76.936195980956285</c:v>
                </c:pt>
                <c:pt idx="535">
                  <c:v>-77.334088288144983</c:v>
                </c:pt>
                <c:pt idx="536">
                  <c:v>-77.73207467798386</c:v>
                </c:pt>
                <c:pt idx="537">
                  <c:v>-78.130150984050772</c:v>
                </c:pt>
                <c:pt idx="538">
                  <c:v>-78.528313221532642</c:v>
                </c:pt>
                <c:pt idx="539">
                  <c:v>-78.926557579562854</c:v>
                </c:pt>
                <c:pt idx="540">
                  <c:v>-79.324880413858892</c:v>
                </c:pt>
                <c:pt idx="541">
                  <c:v>-79.723278239652274</c:v>
                </c:pt>
              </c:numCache>
            </c:numRef>
          </c:yVal>
          <c:smooth val="1"/>
          <c:extLst>
            <c:ext xmlns:c16="http://schemas.microsoft.com/office/drawing/2014/chart" uri="{C3380CC4-5D6E-409C-BE32-E72D297353CC}">
              <c16:uniqueId val="{00000000-5C1C-4343-BD13-B77BBFD8A6AA}"/>
            </c:ext>
          </c:extLst>
        </c:ser>
        <c:dLbls>
          <c:showLegendKey val="0"/>
          <c:showVal val="0"/>
          <c:showCatName val="0"/>
          <c:showSerName val="0"/>
          <c:showPercent val="0"/>
          <c:showBubbleSize val="0"/>
        </c:dLbls>
        <c:axId val="365455232"/>
        <c:axId val="365465600"/>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Loop_Modeling!$BK$19:$BK$560</c:f>
              <c:numCache>
                <c:formatCode>General</c:formatCode>
                <c:ptCount val="542"/>
                <c:pt idx="0">
                  <c:v>90.134537970610864</c:v>
                </c:pt>
                <c:pt idx="1">
                  <c:v>90.137627064660009</c:v>
                </c:pt>
                <c:pt idx="2">
                  <c:v>90.140784931736206</c:v>
                </c:pt>
                <c:pt idx="3">
                  <c:v>90.144012948138453</c:v>
                </c:pt>
                <c:pt idx="4">
                  <c:v>90.14731250631587</c:v>
                </c:pt>
                <c:pt idx="5">
                  <c:v>90.150685014133515</c:v>
                </c:pt>
                <c:pt idx="6">
                  <c:v>90.154131894045705</c:v>
                </c:pt>
                <c:pt idx="7">
                  <c:v>90.157654582168291</c:v>
                </c:pt>
                <c:pt idx="8">
                  <c:v>90.161254527243329</c:v>
                </c:pt>
                <c:pt idx="9">
                  <c:v>90.1649331894873</c:v>
                </c:pt>
                <c:pt idx="10">
                  <c:v>90.168692039314266</c:v>
                </c:pt>
                <c:pt idx="11">
                  <c:v>90.172532555924988</c:v>
                </c:pt>
                <c:pt idx="12">
                  <c:v>90.176456225751494</c:v>
                </c:pt>
                <c:pt idx="13">
                  <c:v>90.180464540746954</c:v>
                </c:pt>
                <c:pt idx="14">
                  <c:v>90.184558996509892</c:v>
                </c:pt>
                <c:pt idx="15">
                  <c:v>90.188741090229783</c:v>
                </c:pt>
                <c:pt idx="16">
                  <c:v>90.193012318443024</c:v>
                </c:pt>
                <c:pt idx="17">
                  <c:v>90.197374174584183</c:v>
                </c:pt>
                <c:pt idx="18">
                  <c:v>90.201828146319158</c:v>
                </c:pt>
                <c:pt idx="19">
                  <c:v>90.206375712645297</c:v>
                </c:pt>
                <c:pt idx="20">
                  <c:v>90.211018340741816</c:v>
                </c:pt>
                <c:pt idx="21">
                  <c:v>90.215757482554324</c:v>
                </c:pt>
                <c:pt idx="22">
                  <c:v>90.220594571094523</c:v>
                </c:pt>
                <c:pt idx="23">
                  <c:v>90.225531016437913</c:v>
                </c:pt>
                <c:pt idx="24">
                  <c:v>90.230568201397247</c:v>
                </c:pt>
                <c:pt idx="25">
                  <c:v>90.235707476853023</c:v>
                </c:pt>
                <c:pt idx="26">
                  <c:v>90.240950156716664</c:v>
                </c:pt>
                <c:pt idx="27">
                  <c:v>90.24629751250481</c:v>
                </c:pt>
                <c:pt idx="28">
                  <c:v>90.251750767499487</c:v>
                </c:pt>
                <c:pt idx="29">
                  <c:v>90.257311090467894</c:v>
                </c:pt>
                <c:pt idx="30">
                  <c:v>90.262979588915726</c:v>
                </c:pt>
                <c:pt idx="31">
                  <c:v>90.268757301845099</c:v>
                </c:pt>
                <c:pt idx="32">
                  <c:v>90.27464519198783</c:v>
                </c:pt>
                <c:pt idx="33">
                  <c:v>90.280644137483378</c:v>
                </c:pt>
                <c:pt idx="34">
                  <c:v>90.286754922968129</c:v>
                </c:pt>
                <c:pt idx="35">
                  <c:v>90.292978230045208</c:v>
                </c:pt>
                <c:pt idx="36">
                  <c:v>90.299314627096521</c:v>
                </c:pt>
                <c:pt idx="37">
                  <c:v>90.305764558403808</c:v>
                </c:pt>
                <c:pt idx="38">
                  <c:v>90.312328332541327</c:v>
                </c:pt>
                <c:pt idx="39">
                  <c:v>90.319006109999791</c:v>
                </c:pt>
                <c:pt idx="40">
                  <c:v>90.325797890004765</c:v>
                </c:pt>
                <c:pt idx="41">
                  <c:v>90.332703496487994</c:v>
                </c:pt>
                <c:pt idx="42">
                  <c:v>90.339722563169872</c:v>
                </c:pt>
                <c:pt idx="43">
                  <c:v>90.346854517712558</c:v>
                </c:pt>
                <c:pt idx="44">
                  <c:v>90.354098564900923</c:v>
                </c:pt>
                <c:pt idx="45">
                  <c:v>90.361453668806988</c:v>
                </c:pt>
                <c:pt idx="46">
                  <c:v>90.36891853389875</c:v>
                </c:pt>
                <c:pt idx="47">
                  <c:v>90.376491585046026</c:v>
                </c:pt>
                <c:pt idx="48">
                  <c:v>90.384170946385296</c:v>
                </c:pt>
                <c:pt idx="49">
                  <c:v>90.391954418999887</c:v>
                </c:pt>
                <c:pt idx="50">
                  <c:v>90.399839457377112</c:v>
                </c:pt>
                <c:pt idx="51">
                  <c:v>90.407823144601196</c:v>
                </c:pt>
                <c:pt idx="52">
                  <c:v>90.415902166251172</c:v>
                </c:pt>
                <c:pt idx="53">
                  <c:v>90.42407278296406</c:v>
                </c:pt>
                <c:pt idx="54">
                  <c:v>90.432330801639864</c:v>
                </c:pt>
                <c:pt idx="55">
                  <c:v>90.440671545257956</c:v>
                </c:pt>
                <c:pt idx="56">
                  <c:v>90.44908982128679</c:v>
                </c:pt>
                <c:pt idx="57">
                  <c:v>90.457579888671773</c:v>
                </c:pt>
                <c:pt idx="58">
                  <c:v>90.466135423393169</c:v>
                </c:pt>
                <c:pt idx="59">
                  <c:v>90.47474948259223</c:v>
                </c:pt>
                <c:pt idx="60">
                  <c:v>90.483414467276788</c:v>
                </c:pt>
                <c:pt idx="61">
                  <c:v>90.492122083621595</c:v>
                </c:pt>
                <c:pt idx="62">
                  <c:v>90.500863302895468</c:v>
                </c:pt>
                <c:pt idx="63">
                  <c:v>90.509628320056265</c:v>
                </c:pt>
                <c:pt idx="64">
                  <c:v>90.518406511068932</c:v>
                </c:pt>
                <c:pt idx="65">
                  <c:v>90.527186389019334</c:v>
                </c:pt>
                <c:pt idx="66">
                  <c:v>90.535955559111684</c:v>
                </c:pt>
                <c:pt idx="67">
                  <c:v>90.544700672653846</c:v>
                </c:pt>
                <c:pt idx="68">
                  <c:v>90.553407380161147</c:v>
                </c:pt>
                <c:pt idx="69">
                  <c:v>90.56206028372101</c:v>
                </c:pt>
                <c:pt idx="70">
                  <c:v>90.570642888793884</c:v>
                </c:pt>
                <c:pt idx="71">
                  <c:v>90.579137555643371</c:v>
                </c:pt>
                <c:pt idx="72">
                  <c:v>90.587525450617036</c:v>
                </c:pt>
                <c:pt idx="73">
                  <c:v>90.595786497526518</c:v>
                </c:pt>
                <c:pt idx="74">
                  <c:v>90.603899329404172</c:v>
                </c:pt>
                <c:pt idx="75">
                  <c:v>90.611841240943761</c:v>
                </c:pt>
                <c:pt idx="76">
                  <c:v>90.619588141958388</c:v>
                </c:pt>
                <c:pt idx="77">
                  <c:v>90.627114512229525</c:v>
                </c:pt>
                <c:pt idx="78">
                  <c:v>90.634393358140173</c:v>
                </c:pt>
                <c:pt idx="79">
                  <c:v>90.641396171523283</c:v>
                </c:pt>
                <c:pt idx="80">
                  <c:v>90.648092891189407</c:v>
                </c:pt>
                <c:pt idx="81">
                  <c:v>90.654451867612977</c:v>
                </c:pt>
                <c:pt idx="82">
                  <c:v>90.660439831304373</c:v>
                </c:pt>
                <c:pt idx="83">
                  <c:v>90.666021865398008</c:v>
                </c:pt>
                <c:pt idx="84">
                  <c:v>90.671161383025222</c:v>
                </c:pt>
                <c:pt idx="85">
                  <c:v>90.675820110049884</c:v>
                </c:pt>
                <c:pt idx="86">
                  <c:v>90.67995807375911</c:v>
                </c:pt>
                <c:pt idx="87">
                  <c:v>90.683533598110415</c:v>
                </c:pt>
                <c:pt idx="88">
                  <c:v>90.686503306138832</c:v>
                </c:pt>
                <c:pt idx="89">
                  <c:v>90.688822130114744</c:v>
                </c:pt>
                <c:pt idx="90">
                  <c:v>90.69044333004193</c:v>
                </c:pt>
                <c:pt idx="91">
                  <c:v>90.691318521045716</c:v>
                </c:pt>
                <c:pt idx="92">
                  <c:v>90.69139771018358</c:v>
                </c:pt>
                <c:pt idx="93">
                  <c:v>90.69062934315555</c:v>
                </c:pt>
                <c:pt idx="94">
                  <c:v>90.688960361343902</c:v>
                </c:pt>
                <c:pt idx="95">
                  <c:v>90.686336269542082</c:v>
                </c:pt>
                <c:pt idx="96">
                  <c:v>90.682701214657754</c:v>
                </c:pt>
                <c:pt idx="97">
                  <c:v>90.677998075580931</c:v>
                </c:pt>
                <c:pt idx="98">
                  <c:v>90.672168564308151</c:v>
                </c:pt>
                <c:pt idx="99">
                  <c:v>90.665153338305174</c:v>
                </c:pt>
                <c:pt idx="100">
                  <c:v>90.656892123955757</c:v>
                </c:pt>
                <c:pt idx="101">
                  <c:v>90.64732385082263</c:v>
                </c:pt>
                <c:pt idx="102">
                  <c:v>90.636386796296421</c:v>
                </c:pt>
                <c:pt idx="103">
                  <c:v>90.624018740063832</c:v>
                </c:pt>
                <c:pt idx="104">
                  <c:v>90.610157127669027</c:v>
                </c:pt>
                <c:pt idx="105">
                  <c:v>90.594739242295105</c:v>
                </c:pt>
                <c:pt idx="106">
                  <c:v>90.577702383723533</c:v>
                </c:pt>
                <c:pt idx="107">
                  <c:v>90.558984053289919</c:v>
                </c:pt>
                <c:pt idx="108">
                  <c:v>90.538522143500145</c:v>
                </c:pt>
                <c:pt idx="109">
                  <c:v>90.51625513083728</c:v>
                </c:pt>
                <c:pt idx="110">
                  <c:v>90.492122270161843</c:v>
                </c:pt>
                <c:pt idx="111">
                  <c:v>90.466063789005403</c:v>
                </c:pt>
                <c:pt idx="112">
                  <c:v>90.438021079957821</c:v>
                </c:pt>
                <c:pt idx="113">
                  <c:v>90.40793688929007</c:v>
                </c:pt>
                <c:pt idx="114">
                  <c:v>90.375755499904869</c:v>
                </c:pt>
                <c:pt idx="115">
                  <c:v>90.34142290669007</c:v>
                </c:pt>
                <c:pt idx="116">
                  <c:v>90.30488698236681</c:v>
                </c:pt>
                <c:pt idx="117">
                  <c:v>90.266097631956427</c:v>
                </c:pt>
                <c:pt idx="118">
                  <c:v>90.225006934068332</c:v>
                </c:pt>
                <c:pt idx="119">
                  <c:v>90.181569267311502</c:v>
                </c:pt>
                <c:pt idx="120">
                  <c:v>90.135741420254021</c:v>
                </c:pt>
                <c:pt idx="121">
                  <c:v>90.087482683528336</c:v>
                </c:pt>
                <c:pt idx="122">
                  <c:v>90.036754922846114</c:v>
                </c:pt>
                <c:pt idx="123">
                  <c:v>89.983522631906055</c:v>
                </c:pt>
                <c:pt idx="124">
                  <c:v>89.927752964392752</c:v>
                </c:pt>
                <c:pt idx="125">
                  <c:v>89.869415744515464</c:v>
                </c:pt>
                <c:pt idx="126">
                  <c:v>89.808483455767856</c:v>
                </c:pt>
                <c:pt idx="127">
                  <c:v>89.744931207871929</c:v>
                </c:pt>
                <c:pt idx="128">
                  <c:v>89.678736682092932</c:v>
                </c:pt>
                <c:pt idx="129">
                  <c:v>89.609880055405853</c:v>
                </c:pt>
                <c:pt idx="130">
                  <c:v>89.538343904190967</c:v>
                </c:pt>
                <c:pt idx="131">
                  <c:v>89.464113088409107</c:v>
                </c:pt>
                <c:pt idx="132">
                  <c:v>89.387174617397733</c:v>
                </c:pt>
                <c:pt idx="133">
                  <c:v>89.307517498618807</c:v>
                </c:pt>
                <c:pt idx="134">
                  <c:v>89.225132570871949</c:v>
                </c:pt>
                <c:pt idx="135">
                  <c:v>89.140012323616006</c:v>
                </c:pt>
                <c:pt idx="136">
                  <c:v>89.052150704151089</c:v>
                </c:pt>
                <c:pt idx="137">
                  <c:v>88.961542914509039</c:v>
                </c:pt>
                <c:pt idx="138">
                  <c:v>88.868185199937216</c:v>
                </c:pt>
                <c:pt idx="139">
                  <c:v>88.772074630892106</c:v>
                </c:pt>
                <c:pt idx="140">
                  <c:v>88.67320888044982</c:v>
                </c:pt>
                <c:pt idx="141">
                  <c:v>88.571585999000447</c:v>
                </c:pt>
                <c:pt idx="142">
                  <c:v>88.467204188050431</c:v>
                </c:pt>
                <c:pt idx="143">
                  <c:v>88.360061574851102</c:v>
                </c:pt>
                <c:pt idx="144">
                  <c:v>88.250155989494232</c:v>
                </c:pt>
                <c:pt idx="145">
                  <c:v>88.137484745973822</c:v>
                </c:pt>
                <c:pt idx="146">
                  <c:v>88.022044428602854</c:v>
                </c:pt>
                <c:pt idx="147">
                  <c:v>87.903830685010405</c:v>
                </c:pt>
                <c:pt idx="148">
                  <c:v>87.782838026808776</c:v>
                </c:pt>
                <c:pt idx="149">
                  <c:v>87.659059638863042</c:v>
                </c:pt>
                <c:pt idx="150">
                  <c:v>87.532487197929143</c:v>
                </c:pt>
                <c:pt idx="151">
                  <c:v>87.403110701294821</c:v>
                </c:pt>
                <c:pt idx="152">
                  <c:v>87.270918305883981</c:v>
                </c:pt>
                <c:pt idx="153">
                  <c:v>87.135896178159868</c:v>
                </c:pt>
                <c:pt idx="154">
                  <c:v>86.998028355015819</c:v>
                </c:pt>
                <c:pt idx="155">
                  <c:v>86.857296615718823</c:v>
                </c:pt>
                <c:pt idx="156">
                  <c:v>86.713680364859059</c:v>
                </c:pt>
                <c:pt idx="157">
                  <c:v>86.567156526145197</c:v>
                </c:pt>
                <c:pt idx="158">
                  <c:v>86.417699446803297</c:v>
                </c:pt>
                <c:pt idx="159">
                  <c:v>86.265280812244924</c:v>
                </c:pt>
                <c:pt idx="160">
                  <c:v>86.109869570608254</c:v>
                </c:pt>
                <c:pt idx="161">
                  <c:v>85.951431866719432</c:v>
                </c:pt>
                <c:pt idx="162">
                  <c:v>85.789930984969047</c:v>
                </c:pt>
                <c:pt idx="163">
                  <c:v>85.625327300571456</c:v>
                </c:pt>
                <c:pt idx="164">
                  <c:v>85.457578238644388</c:v>
                </c:pt>
                <c:pt idx="165">
                  <c:v>85.286638240535126</c:v>
                </c:pt>
                <c:pt idx="166">
                  <c:v>85.112458736808762</c:v>
                </c:pt>
                <c:pt idx="167">
                  <c:v>84.934988126318586</c:v>
                </c:pt>
                <c:pt idx="168">
                  <c:v>84.754171760786889</c:v>
                </c:pt>
                <c:pt idx="169">
                  <c:v>84.569951934334071</c:v>
                </c:pt>
                <c:pt idx="170">
                  <c:v>84.38226787741857</c:v>
                </c:pt>
                <c:pt idx="171">
                  <c:v>84.191055754671197</c:v>
                </c:pt>
                <c:pt idx="172">
                  <c:v>83.996248666132686</c:v>
                </c:pt>
                <c:pt idx="173">
                  <c:v>83.797776651439648</c:v>
                </c:pt>
                <c:pt idx="174">
                  <c:v>83.595566696526291</c:v>
                </c:pt>
                <c:pt idx="175">
                  <c:v>83.389542742456172</c:v>
                </c:pt>
                <c:pt idx="176">
                  <c:v>83.179625696020182</c:v>
                </c:pt>
                <c:pt idx="177">
                  <c:v>82.965733441783456</c:v>
                </c:pt>
                <c:pt idx="178">
                  <c:v>82.747780855293485</c:v>
                </c:pt>
                <c:pt idx="179">
                  <c:v>82.525679817199702</c:v>
                </c:pt>
                <c:pt idx="180">
                  <c:v>82.299339228071588</c:v>
                </c:pt>
                <c:pt idx="181">
                  <c:v>82.068665023736244</c:v>
                </c:pt>
                <c:pt idx="182">
                  <c:v>81.833560190989232</c:v>
                </c:pt>
                <c:pt idx="183">
                  <c:v>81.593924783571026</c:v>
                </c:pt>
                <c:pt idx="184">
                  <c:v>81.349655938326038</c:v>
                </c:pt>
                <c:pt idx="185">
                  <c:v>81.100647891501808</c:v>
                </c:pt>
                <c:pt idx="186">
                  <c:v>80.846791995167578</c:v>
                </c:pt>
                <c:pt idx="187">
                  <c:v>80.587976733768116</c:v>
                </c:pt>
                <c:pt idx="188">
                  <c:v>80.324087740850615</c:v>
                </c:pt>
                <c:pt idx="189">
                  <c:v>80.055007816036223</c:v>
                </c:pt>
                <c:pt idx="190">
                  <c:v>79.780616942327597</c:v>
                </c:pt>
                <c:pt idx="191">
                  <c:v>79.500792303873965</c:v>
                </c:pt>
                <c:pt idx="192">
                  <c:v>79.215408304339519</c:v>
                </c:pt>
                <c:pt idx="193">
                  <c:v>78.924336586041193</c:v>
                </c:pt>
                <c:pt idx="194">
                  <c:v>78.627446050049102</c:v>
                </c:pt>
                <c:pt idx="195">
                  <c:v>78.324602877466589</c:v>
                </c:pt>
                <c:pt idx="196">
                  <c:v>78.015670552121392</c:v>
                </c:pt>
                <c:pt idx="197">
                  <c:v>77.700509884935158</c:v>
                </c:pt>
                <c:pt idx="198">
                  <c:v>77.378979040244133</c:v>
                </c:pt>
                <c:pt idx="199">
                  <c:v>77.050933564380273</c:v>
                </c:pt>
                <c:pt idx="200">
                  <c:v>76.716226416832072</c:v>
                </c:pt>
                <c:pt idx="201">
                  <c:v>76.374708004334636</c:v>
                </c:pt>
                <c:pt idx="202">
                  <c:v>76.026226218252077</c:v>
                </c:pt>
                <c:pt idx="203">
                  <c:v>75.670626475644852</c:v>
                </c:pt>
                <c:pt idx="204">
                  <c:v>75.307751764429042</c:v>
                </c:pt>
                <c:pt idx="205">
                  <c:v>74.937442693060646</c:v>
                </c:pt>
                <c:pt idx="206">
                  <c:v>74.559537545200598</c:v>
                </c:pt>
                <c:pt idx="207">
                  <c:v>74.17387233983392</c:v>
                </c:pt>
                <c:pt idx="208">
                  <c:v>73.780280897341939</c:v>
                </c:pt>
                <c:pt idx="209">
                  <c:v>73.378594912050744</c:v>
                </c:pt>
                <c:pt idx="210">
                  <c:v>72.968644031794639</c:v>
                </c:pt>
                <c:pt idx="211">
                  <c:v>72.550255945062759</c:v>
                </c:pt>
                <c:pt idx="212">
                  <c:v>72.123256476315049</c:v>
                </c:pt>
                <c:pt idx="213">
                  <c:v>71.687469690077791</c:v>
                </c:pt>
                <c:pt idx="214">
                  <c:v>71.242718004448591</c:v>
                </c:pt>
                <c:pt idx="215">
                  <c:v>70.788822314662454</c:v>
                </c:pt>
                <c:pt idx="216">
                  <c:v>70.325602127390809</c:v>
                </c:pt>
                <c:pt idx="217">
                  <c:v>69.852875706466776</c:v>
                </c:pt>
                <c:pt idx="218">
                  <c:v>69.370460230741486</c:v>
                </c:pt>
                <c:pt idx="219">
                  <c:v>68.878171964800757</c:v>
                </c:pt>
                <c:pt idx="220">
                  <c:v>68.37582644327901</c:v>
                </c:pt>
                <c:pt idx="221">
                  <c:v>67.863238669523085</c:v>
                </c:pt>
                <c:pt idx="222">
                  <c:v>67.340223329369465</c:v>
                </c:pt>
                <c:pt idx="223">
                  <c:v>66.806595020796848</c:v>
                </c:pt>
                <c:pt idx="224">
                  <c:v>66.262168500232249</c:v>
                </c:pt>
                <c:pt idx="225">
                  <c:v>65.706758946271577</c:v>
                </c:pt>
                <c:pt idx="226">
                  <c:v>65.140182241582323</c:v>
                </c:pt>
                <c:pt idx="227">
                  <c:v>64.562255273736881</c:v>
                </c:pt>
                <c:pt idx="228">
                  <c:v>63.972796255711167</c:v>
                </c:pt>
                <c:pt idx="229">
                  <c:v>63.371625066752941</c:v>
                </c:pt>
                <c:pt idx="230">
                  <c:v>62.758563614302084</c:v>
                </c:pt>
                <c:pt idx="231">
                  <c:v>62.133436217592049</c:v>
                </c:pt>
                <c:pt idx="232">
                  <c:v>61.496070013525525</c:v>
                </c:pt>
                <c:pt idx="233">
                  <c:v>60.84629538534265</c:v>
                </c:pt>
                <c:pt idx="234">
                  <c:v>60.183946414546526</c:v>
                </c:pt>
                <c:pt idx="235">
                  <c:v>59.508861356451874</c:v>
                </c:pt>
                <c:pt idx="236">
                  <c:v>58.820883139640294</c:v>
                </c:pt>
                <c:pt idx="237">
                  <c:v>58.119859889492155</c:v>
                </c:pt>
                <c:pt idx="238">
                  <c:v>57.405645475838817</c:v>
                </c:pt>
                <c:pt idx="239">
                  <c:v>56.678100084651525</c:v>
                </c:pt>
                <c:pt idx="240">
                  <c:v>55.937090813518687</c:v>
                </c:pt>
                <c:pt idx="241">
                  <c:v>55.182492290499376</c:v>
                </c:pt>
                <c:pt idx="242">
                  <c:v>54.414187315754617</c:v>
                </c:pt>
                <c:pt idx="243">
                  <c:v>53.632067525152813</c:v>
                </c:pt>
                <c:pt idx="244">
                  <c:v>52.836034074822436</c:v>
                </c:pt>
                <c:pt idx="245">
                  <c:v>52.025998345391947</c:v>
                </c:pt>
                <c:pt idx="246">
                  <c:v>51.201882664397154</c:v>
                </c:pt>
                <c:pt idx="247">
                  <c:v>50.363621045068655</c:v>
                </c:pt>
                <c:pt idx="248">
                  <c:v>49.511159939418349</c:v>
                </c:pt>
                <c:pt idx="249">
                  <c:v>48.644459003253317</c:v>
                </c:pt>
                <c:pt idx="250">
                  <c:v>47.763491870419507</c:v>
                </c:pt>
                <c:pt idx="251">
                  <c:v>46.868246933263741</c:v>
                </c:pt>
                <c:pt idx="252">
                  <c:v>45.958728125964953</c:v>
                </c:pt>
                <c:pt idx="253">
                  <c:v>45.034955707044041</c:v>
                </c:pt>
                <c:pt idx="254">
                  <c:v>44.09696703703743</c:v>
                </c:pt>
                <c:pt idx="255">
                  <c:v>43.144817346960501</c:v>
                </c:pt>
                <c:pt idx="256">
                  <c:v>42.178580492882418</c:v>
                </c:pt>
                <c:pt idx="257">
                  <c:v>41.198349691586323</c:v>
                </c:pt>
                <c:pt idx="258">
                  <c:v>40.204238232016849</c:v>
                </c:pt>
                <c:pt idx="259">
                  <c:v>39.196380156915247</c:v>
                </c:pt>
                <c:pt idx="260">
                  <c:v>38.174930908800803</c:v>
                </c:pt>
                <c:pt idx="261">
                  <c:v>37.140067934243767</c:v>
                </c:pt>
                <c:pt idx="262">
                  <c:v>36.091991240197537</c:v>
                </c:pt>
                <c:pt idx="263">
                  <c:v>35.030923896031517</c:v>
                </c:pt>
                <c:pt idx="264">
                  <c:v>33.957112474839974</c:v>
                </c:pt>
                <c:pt idx="265">
                  <c:v>32.870827427589589</c:v>
                </c:pt>
                <c:pt idx="266">
                  <c:v>31.772363383726766</c:v>
                </c:pt>
                <c:pt idx="267">
                  <c:v>30.662039371994812</c:v>
                </c:pt>
                <c:pt idx="268">
                  <c:v>29.540198955426053</c:v>
                </c:pt>
                <c:pt idx="269">
                  <c:v>28.407210274753265</c:v>
                </c:pt>
                <c:pt idx="270">
                  <c:v>27.263465994868803</c:v>
                </c:pt>
                <c:pt idx="271">
                  <c:v>26.109383149415418</c:v>
                </c:pt>
                <c:pt idx="272">
                  <c:v>24.945402879136871</c:v>
                </c:pt>
                <c:pt idx="273">
                  <c:v>23.771990060255721</c:v>
                </c:pt>
                <c:pt idx="274">
                  <c:v>22.589632819849324</c:v>
                </c:pt>
                <c:pt idx="275">
                  <c:v>21.398841935992696</c:v>
                </c:pt>
                <c:pt idx="276">
                  <c:v>20.200150121295344</c:v>
                </c:pt>
                <c:pt idx="277">
                  <c:v>18.99411118938043</c:v>
                </c:pt>
                <c:pt idx="278">
                  <c:v>17.781299104830211</c:v>
                </c:pt>
                <c:pt idx="279">
                  <c:v>16.56230691814282</c:v>
                </c:pt>
                <c:pt idx="280">
                  <c:v>15.337745588278608</c:v>
                </c:pt>
                <c:pt idx="281">
                  <c:v>14.108242696436939</c:v>
                </c:pt>
                <c:pt idx="282">
                  <c:v>12.874441055752797</c:v>
                </c:pt>
                <c:pt idx="283">
                  <c:v>11.636997222633129</c:v>
                </c:pt>
                <c:pt idx="284">
                  <c:v>10.396579916458714</c:v>
                </c:pt>
                <c:pt idx="285">
                  <c:v>9.1538683553089939</c:v>
                </c:pt>
                <c:pt idx="286">
                  <c:v>7.9095505162552042</c:v>
                </c:pt>
                <c:pt idx="287">
                  <c:v>6.6643213295460759</c:v>
                </c:pt>
                <c:pt idx="288">
                  <c:v>5.4188808167180413</c:v>
                </c:pt>
                <c:pt idx="289">
                  <c:v>4.1739321832309955</c:v>
                </c:pt>
                <c:pt idx="290">
                  <c:v>2.9301798766952887</c:v>
                </c:pt>
                <c:pt idx="291">
                  <c:v>1.688327622091363</c:v>
                </c:pt>
                <c:pt idx="292">
                  <c:v>0.4490764455669195</c:v>
                </c:pt>
                <c:pt idx="293">
                  <c:v>-0.78687730154141822</c:v>
                </c:pt>
                <c:pt idx="294">
                  <c:v>-2.0188439069052033</c:v>
                </c:pt>
                <c:pt idx="295">
                  <c:v>-3.2461422382889649</c:v>
                </c:pt>
                <c:pt idx="296">
                  <c:v>-4.4681016505467905</c:v>
                </c:pt>
                <c:pt idx="297">
                  <c:v>-5.6840638480442216</c:v>
                </c:pt>
                <c:pt idx="298">
                  <c:v>-6.8933846926197413</c:v>
                </c:pt>
                <c:pt idx="299">
                  <c:v>-8.095435947898908</c:v>
                </c:pt>
                <c:pt idx="300">
                  <c:v>-9.2896069515891497</c:v>
                </c:pt>
                <c:pt idx="301">
                  <c:v>-10.475306208231116</c:v>
                </c:pt>
                <c:pt idx="302">
                  <c:v>-11.651962895844244</c:v>
                </c:pt>
                <c:pt idx="303">
                  <c:v>-12.81902828085285</c:v>
                </c:pt>
                <c:pt idx="304">
                  <c:v>-13.975977036698165</c:v>
                </c:pt>
                <c:pt idx="305">
                  <c:v>-15.122308462543149</c:v>
                </c:pt>
                <c:pt idx="306">
                  <c:v>-16.257547599482528</c:v>
                </c:pt>
                <c:pt idx="307">
                  <c:v>-17.381246242640497</c:v>
                </c:pt>
                <c:pt idx="308">
                  <c:v>-18.492983848486428</c:v>
                </c:pt>
                <c:pt idx="309">
                  <c:v>-19.592368337581082</c:v>
                </c:pt>
                <c:pt idx="310">
                  <c:v>-20.679036793786313</c:v>
                </c:pt>
                <c:pt idx="311">
                  <c:v>-21.752656061730857</c:v>
                </c:pt>
                <c:pt idx="312">
                  <c:v>-22.8129232449838</c:v>
                </c:pt>
                <c:pt idx="313">
                  <c:v>-23.859566107976494</c:v>
                </c:pt>
                <c:pt idx="314">
                  <c:v>-24.892343385197375</c:v>
                </c:pt>
                <c:pt idx="315">
                  <c:v>-25.91104500158453</c:v>
                </c:pt>
                <c:pt idx="316">
                  <c:v>-26.91549220834456</c:v>
                </c:pt>
                <c:pt idx="317">
                  <c:v>-27.905537638620267</c:v>
                </c:pt>
                <c:pt idx="318">
                  <c:v>-28.881065287569804</c:v>
                </c:pt>
                <c:pt idx="319">
                  <c:v>-29.841990421422651</c:v>
                </c:pt>
                <c:pt idx="320">
                  <c:v>-30.788259420051141</c:v>
                </c:pt>
                <c:pt idx="321">
                  <c:v>-31.719849557451056</c:v>
                </c:pt>
                <c:pt idx="322">
                  <c:v>-32.636768724339404</c:v>
                </c:pt>
                <c:pt idx="323">
                  <c:v>-33.539055096819176</c:v>
                </c:pt>
                <c:pt idx="324">
                  <c:v>-34.426776754756929</c:v>
                </c:pt>
                <c:pt idx="325">
                  <c:v>-35.300031253162999</c:v>
                </c:pt>
                <c:pt idx="326">
                  <c:v>-36.158945149488744</c:v>
                </c:pt>
                <c:pt idx="327">
                  <c:v>-37.003673489346568</c:v>
                </c:pt>
                <c:pt idx="328">
                  <c:v>-37.834399252734585</c:v>
                </c:pt>
                <c:pt idx="329">
                  <c:v>-38.651332762422477</c:v>
                </c:pt>
                <c:pt idx="330">
                  <c:v>-39.454711055730911</c:v>
                </c:pt>
                <c:pt idx="331">
                  <c:v>-40.244797220532249</c:v>
                </c:pt>
                <c:pt idx="332">
                  <c:v>-41.021879695897539</c:v>
                </c:pt>
                <c:pt idx="333">
                  <c:v>-41.786271537477745</c:v>
                </c:pt>
                <c:pt idx="334">
                  <c:v>-42.538309647350246</c:v>
                </c:pt>
                <c:pt idx="335">
                  <c:v>-43.278353967820472</c:v>
                </c:pt>
                <c:pt idx="336">
                  <c:v>-44.006786638401628</c:v>
                </c:pt>
                <c:pt idx="337">
                  <c:v>-44.724011115048313</c:v>
                </c:pt>
                <c:pt idx="338">
                  <c:v>-45.430451250585882</c:v>
                </c:pt>
                <c:pt idx="339">
                  <c:v>-46.126550335235812</c:v>
                </c:pt>
                <c:pt idx="340">
                  <c:v>-46.812770096141804</c:v>
                </c:pt>
                <c:pt idx="341">
                  <c:v>-47.489589654897046</c:v>
                </c:pt>
                <c:pt idx="342">
                  <c:v>-48.157504442203567</c:v>
                </c:pt>
                <c:pt idx="343">
                  <c:v>-48.817025069027835</c:v>
                </c:pt>
                <c:pt idx="344">
                  <c:v>-49.468676153892524</c:v>
                </c:pt>
                <c:pt idx="345">
                  <c:v>-50.112995106293567</c:v>
                </c:pt>
                <c:pt idx="346">
                  <c:v>-50.750530866628466</c:v>
                </c:pt>
                <c:pt idx="347">
                  <c:v>-51.381842603489552</c:v>
                </c:pt>
                <c:pt idx="348">
                  <c:v>-52.007498369677215</c:v>
                </c:pt>
                <c:pt idx="349">
                  <c:v>-52.628073718822918</c:v>
                </c:pt>
                <c:pt idx="350">
                  <c:v>-53.244150285099501</c:v>
                </c:pt>
                <c:pt idx="351">
                  <c:v>-53.856314329080803</c:v>
                </c:pt>
                <c:pt idx="352">
                  <c:v>-54.465155253421123</c:v>
                </c:pt>
                <c:pt idx="353">
                  <c:v>-55.071264092633228</c:v>
                </c:pt>
                <c:pt idx="354">
                  <c:v>-55.675231981837591</c:v>
                </c:pt>
                <c:pt idx="355">
                  <c:v>-56.277648609923958</c:v>
                </c:pt>
                <c:pt idx="356">
                  <c:v>-56.879100663115928</c:v>
                </c:pt>
                <c:pt idx="357">
                  <c:v>-57.480170265412781</c:v>
                </c:pt>
                <c:pt idx="358">
                  <c:v>-58.081433422833925</c:v>
                </c:pt>
                <c:pt idx="359">
                  <c:v>-58.683458478761843</c:v>
                </c:pt>
                <c:pt idx="360">
                  <c:v>-59.286804587988492</c:v>
                </c:pt>
                <c:pt idx="361">
                  <c:v>-59.892020217282607</c:v>
                </c:pt>
                <c:pt idx="362">
                  <c:v>-60.499641680445777</c:v>
                </c:pt>
                <c:pt idx="363">
                  <c:v>-61.110191715855947</c:v>
                </c:pt>
                <c:pt idx="364">
                  <c:v>-61.724178114447831</c:v>
                </c:pt>
                <c:pt idx="365">
                  <c:v>-62.342092405931425</c:v>
                </c:pt>
                <c:pt idx="366">
                  <c:v>-62.964408610795388</c:v>
                </c:pt>
                <c:pt idx="367">
                  <c:v>-63.591582065297203</c:v>
                </c:pt>
                <c:pt idx="368">
                  <c:v>-64.224048326201967</c:v>
                </c:pt>
                <c:pt idx="369">
                  <c:v>-64.862222161490081</c:v>
                </c:pt>
                <c:pt idx="370">
                  <c:v>-65.506496632650908</c:v>
                </c:pt>
                <c:pt idx="371">
                  <c:v>-66.157242273466224</c:v>
                </c:pt>
                <c:pt idx="372">
                  <c:v>-66.814806369441783</c:v>
                </c:pt>
                <c:pt idx="373">
                  <c:v>-67.479512341200476</c:v>
                </c:pt>
                <c:pt idx="374">
                  <c:v>-68.151659234293902</c:v>
                </c:pt>
                <c:pt idx="375">
                  <c:v>-68.831521316962082</c:v>
                </c:pt>
                <c:pt idx="376">
                  <c:v>-69.519347786442623</c:v>
                </c:pt>
                <c:pt idx="377">
                  <c:v>-70.215362583467467</c:v>
                </c:pt>
                <c:pt idx="378">
                  <c:v>-70.919764313642375</c:v>
                </c:pt>
                <c:pt idx="379">
                  <c:v>-71.63272627344648</c:v>
                </c:pt>
                <c:pt idx="380">
                  <c:v>-72.354396577684412</c:v>
                </c:pt>
                <c:pt idx="381">
                  <c:v>-73.084898384333272</c:v>
                </c:pt>
                <c:pt idx="382">
                  <c:v>-73.824330211892928</c:v>
                </c:pt>
                <c:pt idx="383">
                  <c:v>-74.572766343583439</c:v>
                </c:pt>
                <c:pt idx="384">
                  <c:v>-75.330257312024088</c:v>
                </c:pt>
                <c:pt idx="385">
                  <c:v>-76.096830457410888</c:v>
                </c:pt>
                <c:pt idx="386">
                  <c:v>-76.872490551684464</c:v>
                </c:pt>
                <c:pt idx="387">
                  <c:v>-77.657220480744357</c:v>
                </c:pt>
                <c:pt idx="388">
                  <c:v>-78.450981976436083</c:v>
                </c:pt>
                <c:pt idx="389">
                  <c:v>-79.253716389824518</c:v>
                </c:pt>
                <c:pt idx="390">
                  <c:v>-80.06534549715289</c:v>
                </c:pt>
                <c:pt idx="391">
                  <c:v>-80.885772329900973</c:v>
                </c:pt>
                <c:pt idx="392">
                  <c:v>-81.714882020463236</c:v>
                </c:pt>
                <c:pt idx="393">
                  <c:v>-82.552542655212108</c:v>
                </c:pt>
                <c:pt idx="394">
                  <c:v>-83.398606127033062</c:v>
                </c:pt>
                <c:pt idx="395">
                  <c:v>-84.252908979872473</c:v>
                </c:pt>
                <c:pt idx="396">
                  <c:v>-85.11527323835854</c:v>
                </c:pt>
                <c:pt idx="397">
                  <c:v>-85.985507216187386</c:v>
                </c:pt>
                <c:pt idx="398">
                  <c:v>-86.863406297651181</c:v>
                </c:pt>
                <c:pt idx="399">
                  <c:v>-87.748753687453586</c:v>
                </c:pt>
                <c:pt idx="400">
                  <c:v>-88.641321124769988</c:v>
                </c:pt>
                <c:pt idx="401">
                  <c:v>-89.540869558354501</c:v>
                </c:pt>
                <c:pt idx="402">
                  <c:v>-90.447149780389537</c:v>
                </c:pt>
                <c:pt idx="403">
                  <c:v>-91.359903017648492</c:v>
                </c:pt>
                <c:pt idx="404">
                  <c:v>-92.278861479442583</c:v>
                </c:pt>
                <c:pt idx="405">
                  <c:v>-93.203748862684421</c:v>
                </c:pt>
                <c:pt idx="406">
                  <c:v>-94.134280815252609</c:v>
                </c:pt>
                <c:pt idx="407">
                  <c:v>-95.070165359627993</c:v>
                </c:pt>
                <c:pt idx="408">
                  <c:v>-96.011103279524534</c:v>
                </c:pt>
                <c:pt idx="409">
                  <c:v>-96.956788472901067</c:v>
                </c:pt>
                <c:pt idx="410">
                  <c:v>-97.906908275342616</c:v>
                </c:pt>
                <c:pt idx="411">
                  <c:v>-98.861143758304863</c:v>
                </c:pt>
                <c:pt idx="412">
                  <c:v>-99.819170007128662</c:v>
                </c:pt>
                <c:pt idx="413">
                  <c:v>-100.78065638404244</c:v>
                </c:pt>
                <c:pt idx="414">
                  <c:v>-101.74526678157595</c:v>
                </c:pt>
                <c:pt idx="415">
                  <c:v>-102.71265987191141</c:v>
                </c:pt>
                <c:pt idx="416">
                  <c:v>-103.68248935768369</c:v>
                </c:pt>
                <c:pt idx="417">
                  <c:v>-104.6544042296203</c:v>
                </c:pt>
                <c:pt idx="418">
                  <c:v>-105.62804903620153</c:v>
                </c:pt>
                <c:pt idx="419">
                  <c:v>-106.60306417018749</c:v>
                </c:pt>
                <c:pt idx="420">
                  <c:v>-107.57908617645046</c:v>
                </c:pt>
                <c:pt idx="421">
                  <c:v>-108.55574808505258</c:v>
                </c:pt>
                <c:pt idx="422">
                  <c:v>-109.5326797729351</c:v>
                </c:pt>
                <c:pt idx="423">
                  <c:v>-110.50950835695083</c:v>
                </c:pt>
                <c:pt idx="424">
                  <c:v>-111.48585862028121</c:v>
                </c:pt>
                <c:pt idx="425">
                  <c:v>-112.46135347356038</c:v>
                </c:pt>
                <c:pt idx="426">
                  <c:v>-113.43561445128068</c:v>
                </c:pt>
                <c:pt idx="427">
                  <c:v>-114.40826224328958</c:v>
                </c:pt>
                <c:pt idx="428">
                  <c:v>-115.37891726044775</c:v>
                </c:pt>
                <c:pt idx="429">
                  <c:v>-116.34720023278389</c:v>
                </c:pt>
                <c:pt idx="430">
                  <c:v>-117.3127328377726</c:v>
                </c:pt>
                <c:pt idx="431">
                  <c:v>-118.27513835572569</c:v>
                </c:pt>
                <c:pt idx="432">
                  <c:v>-119.23404234867532</c:v>
                </c:pt>
                <c:pt idx="433">
                  <c:v>-120.18907335861617</c:v>
                </c:pt>
                <c:pt idx="434">
                  <c:v>-121.13986362050534</c:v>
                </c:pt>
                <c:pt idx="435">
                  <c:v>-122.08604978506368</c:v>
                </c:pt>
                <c:pt idx="436">
                  <c:v>-123.02727364614036</c:v>
                </c:pt>
                <c:pt idx="437">
                  <c:v>-123.96318286720319</c:v>
                </c:pt>
                <c:pt idx="438">
                  <c:v>-124.8934317014419</c:v>
                </c:pt>
                <c:pt idx="439">
                  <c:v>-125.8176816999449</c:v>
                </c:pt>
                <c:pt idx="440">
                  <c:v>-126.73560240251228</c:v>
                </c:pt>
                <c:pt idx="441">
                  <c:v>-127.64687200582611</c:v>
                </c:pt>
                <c:pt idx="442">
                  <c:v>-128.55117800395087</c:v>
                </c:pt>
                <c:pt idx="443">
                  <c:v>-129.44821779645721</c:v>
                </c:pt>
                <c:pt idx="444">
                  <c:v>-130.33769925983145</c:v>
                </c:pt>
                <c:pt idx="445">
                  <c:v>-131.21934127829059</c:v>
                </c:pt>
                <c:pt idx="446">
                  <c:v>-132.09287423056554</c:v>
                </c:pt>
                <c:pt idx="447">
                  <c:v>-132.95804042976079</c:v>
                </c:pt>
                <c:pt idx="448">
                  <c:v>-133.81459451390444</c:v>
                </c:pt>
                <c:pt idx="449">
                  <c:v>-134.66230378535832</c:v>
                </c:pt>
                <c:pt idx="450">
                  <c:v>-135.5009484978039</c:v>
                </c:pt>
                <c:pt idx="451">
                  <c:v>-136.3303220900568</c:v>
                </c:pt>
                <c:pt idx="452">
                  <c:v>-137.15023136649393</c:v>
                </c:pt>
                <c:pt idx="453">
                  <c:v>-137.96049662436954</c:v>
                </c:pt>
                <c:pt idx="454">
                  <c:v>-138.76095172877748</c:v>
                </c:pt>
                <c:pt idx="455">
                  <c:v>-139.55144413645652</c:v>
                </c:pt>
                <c:pt idx="456">
                  <c:v>-140.33183487002444</c:v>
                </c:pt>
                <c:pt idx="457">
                  <c:v>-141.10199844459524</c:v>
                </c:pt>
                <c:pt idx="458">
                  <c:v>-141.86182274904024</c:v>
                </c:pt>
                <c:pt idx="459">
                  <c:v>-142.6112088844167</c:v>
                </c:pt>
                <c:pt idx="460">
                  <c:v>-143.35007096231692</c:v>
                </c:pt>
                <c:pt idx="461">
                  <c:v>-144.07833586605281</c:v>
                </c:pt>
                <c:pt idx="462">
                  <c:v>-144.79594297773247</c:v>
                </c:pt>
                <c:pt idx="463">
                  <c:v>-145.50284387436457</c:v>
                </c:pt>
                <c:pt idx="464">
                  <c:v>-146.19900199617538</c:v>
                </c:pt>
                <c:pt idx="465">
                  <c:v>-146.88439229033443</c:v>
                </c:pt>
                <c:pt idx="466">
                  <c:v>-147.55900083326279</c:v>
                </c:pt>
                <c:pt idx="467">
                  <c:v>-148.22282443463956</c:v>
                </c:pt>
                <c:pt idx="468">
                  <c:v>-148.87587022614062</c:v>
                </c:pt>
                <c:pt idx="469">
                  <c:v>-149.51815523784794</c:v>
                </c:pt>
                <c:pt idx="470">
                  <c:v>-150.14970596513248</c:v>
                </c:pt>
                <c:pt idx="471">
                  <c:v>-150.77055792868015</c:v>
                </c:pt>
                <c:pt idx="472">
                  <c:v>-151.38075523017329</c:v>
                </c:pt>
                <c:pt idx="473">
                  <c:v>-151.9803501059871</c:v>
                </c:pt>
                <c:pt idx="474">
                  <c:v>-152.56940248107205</c:v>
                </c:pt>
                <c:pt idx="475">
                  <c:v>-153.14797952504247</c:v>
                </c:pt>
                <c:pt idx="476">
                  <c:v>-153.71615521229702</c:v>
                </c:pt>
                <c:pt idx="477">
                  <c:v>-154.27400988783447</c:v>
                </c:pt>
                <c:pt idx="478">
                  <c:v>-154.82162984025169</c:v>
                </c:pt>
                <c:pt idx="479">
                  <c:v>-155.35910688323872</c:v>
                </c:pt>
                <c:pt idx="480">
                  <c:v>-155.88653794673317</c:v>
                </c:pt>
                <c:pt idx="481">
                  <c:v>-156.40402467872906</c:v>
                </c:pt>
                <c:pt idx="482">
                  <c:v>-156.91167305859258</c:v>
                </c:pt>
                <c:pt idx="483">
                  <c:v>-157.40959302259554</c:v>
                </c:pt>
                <c:pt idx="484">
                  <c:v>-157.89789810224761</c:v>
                </c:pt>
                <c:pt idx="485">
                  <c:v>-158.37670507587802</c:v>
                </c:pt>
                <c:pt idx="486">
                  <c:v>-158.84613363381172</c:v>
                </c:pt>
                <c:pt idx="487">
                  <c:v>-159.30630605737829</c:v>
                </c:pt>
                <c:pt idx="488">
                  <c:v>-159.75734691189214</c:v>
                </c:pt>
                <c:pt idx="489">
                  <c:v>-160.1993827536615</c:v>
                </c:pt>
                <c:pt idx="490">
                  <c:v>-160.63254185100052</c:v>
                </c:pt>
                <c:pt idx="491">
                  <c:v>-161.05695391915626</c:v>
                </c:pt>
                <c:pt idx="492">
                  <c:v>-161.47274986899029</c:v>
                </c:pt>
                <c:pt idx="493">
                  <c:v>-161.88006156921247</c:v>
                </c:pt>
                <c:pt idx="494">
                  <c:v>-162.27902162190679</c:v>
                </c:pt>
                <c:pt idx="495">
                  <c:v>-162.66976315105788</c:v>
                </c:pt>
                <c:pt idx="496">
                  <c:v>-163.05241960374417</c:v>
                </c:pt>
                <c:pt idx="497">
                  <c:v>-163.42712456364373</c:v>
                </c:pt>
                <c:pt idx="498">
                  <c:v>-163.7940115764699</c:v>
                </c:pt>
                <c:pt idx="499">
                  <c:v>-164.15321398693686</c:v>
                </c:pt>
                <c:pt idx="500">
                  <c:v>-164.50486478684226</c:v>
                </c:pt>
                <c:pt idx="501">
                  <c:v>-164.84909647384703</c:v>
                </c:pt>
                <c:pt idx="502">
                  <c:v>-165.18604092051709</c:v>
                </c:pt>
                <c:pt idx="503">
                  <c:v>-165.51582925319923</c:v>
                </c:pt>
                <c:pt idx="504">
                  <c:v>-165.83859174029729</c:v>
                </c:pt>
                <c:pt idx="505">
                  <c:v>-166.1544576895156</c:v>
                </c:pt>
                <c:pt idx="506">
                  <c:v>-166.46355535364481</c:v>
                </c:pt>
                <c:pt idx="507">
                  <c:v>-166.76601184447054</c:v>
                </c:pt>
                <c:pt idx="508">
                  <c:v>-167.06195305438882</c:v>
                </c:pt>
                <c:pt idx="509">
                  <c:v>-167.35150358532664</c:v>
                </c:pt>
                <c:pt idx="510">
                  <c:v>-167.63478668457563</c:v>
                </c:pt>
                <c:pt idx="511">
                  <c:v>-167.91192418714996</c:v>
                </c:pt>
                <c:pt idx="512">
                  <c:v>-168.18303646430496</c:v>
                </c:pt>
                <c:pt idx="513">
                  <c:v>-168.44824237785278</c:v>
                </c:pt>
                <c:pt idx="514">
                  <c:v>-168.70765923993156</c:v>
                </c:pt>
                <c:pt idx="515">
                  <c:v>-168.96140277789374</c:v>
                </c:pt>
                <c:pt idx="516">
                  <c:v>-169.20958710399685</c:v>
                </c:pt>
                <c:pt idx="517">
                  <c:v>-169.45232468958625</c:v>
                </c:pt>
                <c:pt idx="518">
                  <c:v>-169.68972634348137</c:v>
                </c:pt>
                <c:pt idx="519">
                  <c:v>-169.92190119428193</c:v>
                </c:pt>
                <c:pt idx="520">
                  <c:v>-170.1489566763301</c:v>
                </c:pt>
                <c:pt idx="521">
                  <c:v>-170.37099851907419</c:v>
                </c:pt>
                <c:pt idx="522">
                  <c:v>-170.58813073959033</c:v>
                </c:pt>
                <c:pt idx="523">
                  <c:v>-170.80045563803614</c:v>
                </c:pt>
                <c:pt idx="524">
                  <c:v>-171.00807379581784</c:v>
                </c:pt>
                <c:pt idx="525">
                  <c:v>-171.21108407626531</c:v>
                </c:pt>
                <c:pt idx="526">
                  <c:v>-171.40958362762024</c:v>
                </c:pt>
                <c:pt idx="527">
                  <c:v>-171.60366788815503</c:v>
                </c:pt>
                <c:pt idx="528">
                  <c:v>-171.79343059324864</c:v>
                </c:pt>
                <c:pt idx="529">
                  <c:v>-171.97896378425639</c:v>
                </c:pt>
                <c:pt idx="530">
                  <c:v>-172.16035781901968</c:v>
                </c:pt>
                <c:pt idx="531">
                  <c:v>-172.33770138387209</c:v>
                </c:pt>
                <c:pt idx="532">
                  <c:v>-172.51108150700634</c:v>
                </c:pt>
                <c:pt idx="533">
                  <c:v>-172.68058357307419</c:v>
                </c:pt>
                <c:pt idx="534">
                  <c:v>-172.84629133890053</c:v>
                </c:pt>
                <c:pt idx="535">
                  <c:v>-173.00828695020039</c:v>
                </c:pt>
                <c:pt idx="536">
                  <c:v>-173.16665095919399</c:v>
                </c:pt>
                <c:pt idx="537">
                  <c:v>-173.32146234302249</c:v>
                </c:pt>
                <c:pt idx="538">
                  <c:v>-173.47279852287377</c:v>
                </c:pt>
                <c:pt idx="539">
                  <c:v>-173.62073538373261</c:v>
                </c:pt>
                <c:pt idx="540">
                  <c:v>-173.76534729467755</c:v>
                </c:pt>
                <c:pt idx="541">
                  <c:v>-173.90670712964911</c:v>
                </c:pt>
              </c:numCache>
            </c:numRef>
          </c:yVal>
          <c:smooth val="1"/>
          <c:extLst>
            <c:ext xmlns:c16="http://schemas.microsoft.com/office/drawing/2014/chart" uri="{C3380CC4-5D6E-409C-BE32-E72D297353CC}">
              <c16:uniqueId val="{00000001-5C1C-4343-BD13-B77BBFD8A6AA}"/>
            </c:ext>
          </c:extLst>
        </c:ser>
        <c:dLbls>
          <c:showLegendKey val="0"/>
          <c:showVal val="0"/>
          <c:showCatName val="0"/>
          <c:showSerName val="0"/>
          <c:showPercent val="0"/>
          <c:showBubbleSize val="0"/>
        </c:dLbls>
        <c:axId val="365469056"/>
        <c:axId val="365467520"/>
      </c:scatterChart>
      <c:valAx>
        <c:axId val="36545523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65465600"/>
        <c:crosses val="autoZero"/>
        <c:crossBetween val="midCat"/>
      </c:valAx>
      <c:valAx>
        <c:axId val="36546560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365455232"/>
        <c:crosses val="autoZero"/>
        <c:crossBetween val="midCat"/>
        <c:majorUnit val="20"/>
        <c:minorUnit val="10"/>
      </c:valAx>
      <c:valAx>
        <c:axId val="365467520"/>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365469056"/>
        <c:crosses val="max"/>
        <c:crossBetween val="midCat"/>
        <c:majorUnit val="90"/>
        <c:minorUnit val="45"/>
      </c:valAx>
      <c:valAx>
        <c:axId val="365469056"/>
        <c:scaling>
          <c:logBase val="10"/>
          <c:orientation val="minMax"/>
        </c:scaling>
        <c:delete val="1"/>
        <c:axPos val="b"/>
        <c:numFmt formatCode="0.00" sourceLinked="1"/>
        <c:majorTickMark val="out"/>
        <c:minorTickMark val="none"/>
        <c:tickLblPos val="nextTo"/>
        <c:crossAx val="365467520"/>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DCM Plant Transfer</a:t>
            </a:r>
            <a:r>
              <a:rPr lang="en-US" baseline="0"/>
              <a:t> Function</a:t>
            </a:r>
            <a:endParaRPr lang="en-US"/>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General</c:formatCode>
                <c:ptCount val="542"/>
                <c:pt idx="0">
                  <c:v>40.725850607270353</c:v>
                </c:pt>
                <c:pt idx="1">
                  <c:v>40.725285818963719</c:v>
                </c:pt>
                <c:pt idx="2">
                  <c:v>40.724694491721671</c:v>
                </c:pt>
                <c:pt idx="3">
                  <c:v>40.724075382373819</c:v>
                </c:pt>
                <c:pt idx="4">
                  <c:v>40.723427189887822</c:v>
                </c:pt>
                <c:pt idx="5">
                  <c:v>40.722748552712119</c:v>
                </c:pt>
                <c:pt idx="6">
                  <c:v>40.722038046000023</c:v>
                </c:pt>
                <c:pt idx="7">
                  <c:v>40.721294178710473</c:v>
                </c:pt>
                <c:pt idx="8">
                  <c:v>40.720515390579557</c:v>
                </c:pt>
                <c:pt idx="9">
                  <c:v>40.71970004895838</c:v>
                </c:pt>
                <c:pt idx="10">
                  <c:v>40.718846445511893</c:v>
                </c:pt>
                <c:pt idx="11">
                  <c:v>40.717952792771243</c:v>
                </c:pt>
                <c:pt idx="12">
                  <c:v>40.717017220536817</c:v>
                </c:pt>
                <c:pt idx="13">
                  <c:v>40.716037772122746</c:v>
                </c:pt>
                <c:pt idx="14">
                  <c:v>40.715012400439136</c:v>
                </c:pt>
                <c:pt idx="15">
                  <c:v>40.713938963903651</c:v>
                </c:pt>
                <c:pt idx="16">
                  <c:v>40.712815222178278</c:v>
                </c:pt>
                <c:pt idx="17">
                  <c:v>40.711638831721004</c:v>
                </c:pt>
                <c:pt idx="18">
                  <c:v>40.71040734114959</c:v>
                </c:pt>
                <c:pt idx="19">
                  <c:v>40.709118186406521</c:v>
                </c:pt>
                <c:pt idx="20">
                  <c:v>40.707768685721021</c:v>
                </c:pt>
                <c:pt idx="21">
                  <c:v>40.70635603435727</c:v>
                </c:pt>
                <c:pt idx="22">
                  <c:v>40.70487729914565</c:v>
                </c:pt>
                <c:pt idx="23">
                  <c:v>40.703329412784498</c:v>
                </c:pt>
                <c:pt idx="24">
                  <c:v>40.701709167908163</c:v>
                </c:pt>
                <c:pt idx="25">
                  <c:v>40.700013210911322</c:v>
                </c:pt>
                <c:pt idx="26">
                  <c:v>40.698238035522756</c:v>
                </c:pt>
                <c:pt idx="27">
                  <c:v>40.696379976119125</c:v>
                </c:pt>
                <c:pt idx="28">
                  <c:v>40.694435200772247</c:v>
                </c:pt>
                <c:pt idx="29">
                  <c:v>40.692399704019138</c:v>
                </c:pt>
                <c:pt idx="30">
                  <c:v>40.690269299349701</c:v>
                </c:pt>
                <c:pt idx="31">
                  <c:v>40.688039611401329</c:v>
                </c:pt>
                <c:pt idx="32">
                  <c:v>40.68570606785353</c:v>
                </c:pt>
                <c:pt idx="33">
                  <c:v>40.683263891013802</c:v>
                </c:pt>
                <c:pt idx="34">
                  <c:v>40.680708089088569</c:v>
                </c:pt>
                <c:pt idx="35">
                  <c:v>40.678033447128605</c:v>
                </c:pt>
                <c:pt idx="36">
                  <c:v>40.675234517645166</c:v>
                </c:pt>
                <c:pt idx="37">
                  <c:v>40.67230561088644</c:v>
                </c:pt>
                <c:pt idx="38">
                  <c:v>40.669240784770288</c:v>
                </c:pt>
                <c:pt idx="39">
                  <c:v>40.666033834465843</c:v>
                </c:pt>
                <c:pt idx="40">
                  <c:v>40.662678281618049</c:v>
                </c:pt>
                <c:pt idx="41">
                  <c:v>40.659167363211644</c:v>
                </c:pt>
                <c:pt idx="42">
                  <c:v>40.655494020069639</c:v>
                </c:pt>
                <c:pt idx="43">
                  <c:v>40.651650884982182</c:v>
                </c:pt>
                <c:pt idx="44">
                  <c:v>40.647630270465399</c:v>
                </c:pt>
                <c:pt idx="45">
                  <c:v>40.643424156148093</c:v>
                </c:pt>
                <c:pt idx="46">
                  <c:v>40.639024175785096</c:v>
                </c:pt>
                <c:pt idx="47">
                  <c:v>40.634421603902247</c:v>
                </c:pt>
                <c:pt idx="48">
                  <c:v>40.62960734207288</c:v>
                </c:pt>
                <c:pt idx="49">
                  <c:v>40.624571904831953</c:v>
                </c:pt>
                <c:pt idx="50">
                  <c:v>40.619305405235373</c:v>
                </c:pt>
                <c:pt idx="51">
                  <c:v>40.613797540072483</c:v>
                </c:pt>
                <c:pt idx="52">
                  <c:v>40.608037574744039</c:v>
                </c:pt>
                <c:pt idx="53">
                  <c:v>40.602014327818736</c:v>
                </c:pt>
                <c:pt idx="54">
                  <c:v>40.595716155286432</c:v>
                </c:pt>
                <c:pt idx="55">
                  <c:v>40.589130934526871</c:v>
                </c:pt>
                <c:pt idx="56">
                  <c:v>40.582246048018085</c:v>
                </c:pt>
                <c:pt idx="57">
                  <c:v>40.575048366811693</c:v>
                </c:pt>
                <c:pt idx="58">
                  <c:v>40.567524233804946</c:v>
                </c:pt>
                <c:pt idx="59">
                  <c:v>40.559659446846517</c:v>
                </c:pt>
                <c:pt idx="60">
                  <c:v>40.551439241714398</c:v>
                </c:pt>
                <c:pt idx="61">
                  <c:v>40.542848275011885</c:v>
                </c:pt>
                <c:pt idx="62">
                  <c:v>40.533870607031368</c:v>
                </c:pt>
                <c:pt idx="63">
                  <c:v>40.524489684640905</c:v>
                </c:pt>
                <c:pt idx="64">
                  <c:v>40.514688324256262</c:v>
                </c:pt>
                <c:pt idx="65">
                  <c:v>40.504448694966214</c:v>
                </c:pt>
                <c:pt idx="66">
                  <c:v>40.493752301884349</c:v>
                </c:pt>
                <c:pt idx="67">
                  <c:v>40.482579969810494</c:v>
                </c:pt>
                <c:pt idx="68">
                  <c:v>40.470911827289427</c:v>
                </c:pt>
                <c:pt idx="69">
                  <c:v>40.458727291162802</c:v>
                </c:pt>
                <c:pt idx="70">
                  <c:v>40.44600505172</c:v>
                </c:pt>
                <c:pt idx="71">
                  <c:v>40.432723058557308</c:v>
                </c:pt>
                <c:pt idx="72">
                  <c:v>40.418858507268283</c:v>
                </c:pt>
                <c:pt idx="73">
                  <c:v>40.404387827092421</c:v>
                </c:pt>
                <c:pt idx="74">
                  <c:v>40.389286669659015</c:v>
                </c:pt>
                <c:pt idx="75">
                  <c:v>40.373529898973004</c:v>
                </c:pt>
                <c:pt idx="76">
                  <c:v>40.357091582795313</c:v>
                </c:pt>
                <c:pt idx="77">
                  <c:v>40.339944985580303</c:v>
                </c:pt>
                <c:pt idx="78">
                  <c:v>40.322062563140634</c:v>
                </c:pt>
                <c:pt idx="79">
                  <c:v>40.303415959216231</c:v>
                </c:pt>
                <c:pt idx="80">
                  <c:v>40.283976004132846</c:v>
                </c:pt>
                <c:pt idx="81">
                  <c:v>40.263712715740319</c:v>
                </c:pt>
                <c:pt idx="82">
                  <c:v>40.242595302827638</c:v>
                </c:pt>
                <c:pt idx="83">
                  <c:v>40.220592171215223</c:v>
                </c:pt>
                <c:pt idx="84">
                  <c:v>40.197670932729174</c:v>
                </c:pt>
                <c:pt idx="85">
                  <c:v>40.17379841726428</c:v>
                </c:pt>
                <c:pt idx="86">
                  <c:v>40.148940688141209</c:v>
                </c:pt>
                <c:pt idx="87">
                  <c:v>40.12306306096572</c:v>
                </c:pt>
                <c:pt idx="88">
                  <c:v>40.096130126189621</c:v>
                </c:pt>
                <c:pt idx="89">
                  <c:v>40.068105775572633</c:v>
                </c:pt>
                <c:pt idx="90">
                  <c:v>40.038953232732133</c:v>
                </c:pt>
                <c:pt idx="91">
                  <c:v>40.008635087960968</c:v>
                </c:pt>
                <c:pt idx="92">
                  <c:v>39.977113337476027</c:v>
                </c:pt>
                <c:pt idx="93">
                  <c:v>39.944349427249477</c:v>
                </c:pt>
                <c:pt idx="94">
                  <c:v>39.910304301549246</c:v>
                </c:pt>
                <c:pt idx="95">
                  <c:v>39.87493845629637</c:v>
                </c:pt>
                <c:pt idx="96">
                  <c:v>39.838211997320798</c:v>
                </c:pt>
                <c:pt idx="97">
                  <c:v>39.800084703564082</c:v>
                </c:pt>
                <c:pt idx="98">
                  <c:v>39.760516095250267</c:v>
                </c:pt>
                <c:pt idx="99">
                  <c:v>39.719465507003655</c:v>
                </c:pt>
                <c:pt idx="100">
                  <c:v>39.676892165857375</c:v>
                </c:pt>
                <c:pt idx="101">
                  <c:v>39.632755274052485</c:v>
                </c:pt>
                <c:pt idx="102">
                  <c:v>39.587014096479678</c:v>
                </c:pt>
                <c:pt idx="103">
                  <c:v>39.539628052572183</c:v>
                </c:pt>
                <c:pt idx="104">
                  <c:v>39.490556812403504</c:v>
                </c:pt>
                <c:pt idx="105">
                  <c:v>39.439760396696059</c:v>
                </c:pt>
                <c:pt idx="106">
                  <c:v>39.387199280390803</c:v>
                </c:pt>
                <c:pt idx="107">
                  <c:v>39.33283449937737</c:v>
                </c:pt>
                <c:pt idx="108">
                  <c:v>39.276627759930335</c:v>
                </c:pt>
                <c:pt idx="109">
                  <c:v>39.218541550345329</c:v>
                </c:pt>
                <c:pt idx="110">
                  <c:v>39.158539254220202</c:v>
                </c:pt>
                <c:pt idx="111">
                  <c:v>39.096585264778092</c:v>
                </c:pt>
                <c:pt idx="112">
                  <c:v>39.032645099588763</c:v>
                </c:pt>
                <c:pt idx="113">
                  <c:v>38.966685515002595</c:v>
                </c:pt>
                <c:pt idx="114">
                  <c:v>38.898674619582479</c:v>
                </c:pt>
                <c:pt idx="115">
                  <c:v>38.82858198578942</c:v>
                </c:pt>
                <c:pt idx="116">
                  <c:v>38.756378759161066</c:v>
                </c:pt>
                <c:pt idx="117">
                  <c:v>38.682037764208388</c:v>
                </c:pt>
                <c:pt idx="118">
                  <c:v>38.605533606255193</c:v>
                </c:pt>
                <c:pt idx="119">
                  <c:v>38.526842768450997</c:v>
                </c:pt>
                <c:pt idx="120">
                  <c:v>38.445943703201536</c:v>
                </c:pt>
                <c:pt idx="121">
                  <c:v>38.362816917289955</c:v>
                </c:pt>
                <c:pt idx="122">
                  <c:v>38.277445049992956</c:v>
                </c:pt>
                <c:pt idx="123">
                  <c:v>38.189812943543224</c:v>
                </c:pt>
                <c:pt idx="124">
                  <c:v>38.09990770534047</c:v>
                </c:pt>
                <c:pt idx="125">
                  <c:v>38.00771876137744</c:v>
                </c:pt>
                <c:pt idx="126">
                  <c:v>37.913237900414948</c:v>
                </c:pt>
                <c:pt idx="127">
                  <c:v>37.816459308517935</c:v>
                </c:pt>
                <c:pt idx="128">
                  <c:v>37.717379593645262</c:v>
                </c:pt>
                <c:pt idx="129">
                  <c:v>37.615997800074801</c:v>
                </c:pt>
                <c:pt idx="130">
                  <c:v>37.512315412534122</c:v>
                </c:pt>
                <c:pt idx="131">
                  <c:v>37.406336350000025</c:v>
                </c:pt>
                <c:pt idx="132">
                  <c:v>37.298066949223454</c:v>
                </c:pt>
                <c:pt idx="133">
                  <c:v>37.187515938126879</c:v>
                </c:pt>
                <c:pt idx="134">
                  <c:v>37.074694399312492</c:v>
                </c:pt>
                <c:pt idx="135">
                  <c:v>36.959615724006042</c:v>
                </c:pt>
                <c:pt idx="136">
                  <c:v>36.842295556838593</c:v>
                </c:pt>
                <c:pt idx="137">
                  <c:v>36.722751731949607</c:v>
                </c:pt>
                <c:pt idx="138">
                  <c:v>36.601004200957888</c:v>
                </c:pt>
                <c:pt idx="139">
                  <c:v>36.477074953408334</c:v>
                </c:pt>
                <c:pt idx="140">
                  <c:v>36.350987930356048</c:v>
                </c:pt>
                <c:pt idx="141">
                  <c:v>36.222768931788025</c:v>
                </c:pt>
                <c:pt idx="142">
                  <c:v>36.092445518619336</c:v>
                </c:pt>
                <c:pt idx="143">
                  <c:v>35.960046910020566</c:v>
                </c:pt>
                <c:pt idx="144">
                  <c:v>35.825603876849421</c:v>
                </c:pt>
                <c:pt idx="145">
                  <c:v>35.689148631962759</c:v>
                </c:pt>
                <c:pt idx="146">
                  <c:v>35.550714718181041</c:v>
                </c:pt>
                <c:pt idx="147">
                  <c:v>35.410336894663679</c:v>
                </c:pt>
                <c:pt idx="148">
                  <c:v>35.268051022434108</c:v>
                </c:pt>
                <c:pt idx="149">
                  <c:v>35.123893949764252</c:v>
                </c:pt>
                <c:pt idx="150">
                  <c:v>34.977903398095414</c:v>
                </c:pt>
                <c:pt idx="151">
                  <c:v>34.830117849131888</c:v>
                </c:pt>
                <c:pt idx="152">
                  <c:v>34.680576433700281</c:v>
                </c:pt>
                <c:pt idx="153">
                  <c:v>34.529318822921219</c:v>
                </c:pt>
                <c:pt idx="154">
                  <c:v>34.37638512218723</c:v>
                </c:pt>
                <c:pt idx="155">
                  <c:v>34.221815768391835</c:v>
                </c:pt>
                <c:pt idx="156">
                  <c:v>34.065651430800052</c:v>
                </c:pt>
                <c:pt idx="157">
                  <c:v>33.907932915897973</c:v>
                </c:pt>
                <c:pt idx="158">
                  <c:v>33.748701076507146</c:v>
                </c:pt>
                <c:pt idx="159">
                  <c:v>33.587996725396252</c:v>
                </c:pt>
                <c:pt idx="160">
                  <c:v>33.425860553576669</c:v>
                </c:pt>
                <c:pt idx="161">
                  <c:v>33.262333053415468</c:v>
                </c:pt>
                <c:pt idx="162">
                  <c:v>33.097454446660521</c:v>
                </c:pt>
                <c:pt idx="163">
                  <c:v>32.93126461742547</c:v>
                </c:pt>
                <c:pt idx="164">
                  <c:v>32.763803050145931</c:v>
                </c:pt>
                <c:pt idx="165">
                  <c:v>32.595108772482348</c:v>
                </c:pt>
                <c:pt idx="166">
                  <c:v>32.425220303112582</c:v>
                </c:pt>
                <c:pt idx="167">
                  <c:v>32.254175604327266</c:v>
                </c:pt>
                <c:pt idx="168">
                  <c:v>32.082012039318094</c:v>
                </c:pt>
                <c:pt idx="169">
                  <c:v>31.908766334025209</c:v>
                </c:pt>
                <c:pt idx="170">
                  <c:v>31.734474543391194</c:v>
                </c:pt>
                <c:pt idx="171">
                  <c:v>31.55917202185471</c:v>
                </c:pt>
                <c:pt idx="172">
                  <c:v>31.382893397903445</c:v>
                </c:pt>
                <c:pt idx="173">
                  <c:v>31.205672552494718</c:v>
                </c:pt>
                <c:pt idx="174">
                  <c:v>31.027542601148191</c:v>
                </c:pt>
                <c:pt idx="175">
                  <c:v>30.848535879505967</c:v>
                </c:pt>
                <c:pt idx="176">
                  <c:v>30.668683932156</c:v>
                </c:pt>
                <c:pt idx="177">
                  <c:v>30.488017504511301</c:v>
                </c:pt>
                <c:pt idx="178">
                  <c:v>30.306566537540714</c:v>
                </c:pt>
                <c:pt idx="179">
                  <c:v>30.124360165145973</c:v>
                </c:pt>
                <c:pt idx="180">
                  <c:v>29.941426713987664</c:v>
                </c:pt>
                <c:pt idx="181">
                  <c:v>29.75779370556339</c:v>
                </c:pt>
                <c:pt idx="182">
                  <c:v>29.573487860351044</c:v>
                </c:pt>
                <c:pt idx="183">
                  <c:v>29.388535103832002</c:v>
                </c:pt>
                <c:pt idx="184">
                  <c:v>29.202960574222129</c:v>
                </c:pt>
                <c:pt idx="185">
                  <c:v>29.016788631739821</c:v>
                </c:pt>
                <c:pt idx="186">
                  <c:v>28.830042869253731</c:v>
                </c:pt>
                <c:pt idx="187">
                  <c:v>28.642746124157874</c:v>
                </c:pt>
                <c:pt idx="188">
                  <c:v>28.45492049133027</c:v>
                </c:pt>
                <c:pt idx="189">
                  <c:v>28.266587337043102</c:v>
                </c:pt>
                <c:pt idx="190">
                  <c:v>28.0777673136954</c:v>
                </c:pt>
                <c:pt idx="191">
                  <c:v>27.888480375252875</c:v>
                </c:pt>
                <c:pt idx="192">
                  <c:v>27.698745793284715</c:v>
                </c:pt>
                <c:pt idx="193">
                  <c:v>27.508582173495366</c:v>
                </c:pt>
                <c:pt idx="194">
                  <c:v>27.318007472658387</c:v>
                </c:pt>
                <c:pt idx="195">
                  <c:v>27.127039015866931</c:v>
                </c:pt>
                <c:pt idx="196">
                  <c:v>26.935693514019803</c:v>
                </c:pt>
                <c:pt idx="197">
                  <c:v>26.743987081473975</c:v>
                </c:pt>
                <c:pt idx="198">
                  <c:v>26.551935253795975</c:v>
                </c:pt>
                <c:pt idx="199">
                  <c:v>26.359553005554076</c:v>
                </c:pt>
                <c:pt idx="200">
                  <c:v>26.166854768098233</c:v>
                </c:pt>
                <c:pt idx="201">
                  <c:v>25.973854447280196</c:v>
                </c:pt>
                <c:pt idx="202">
                  <c:v>25.780565441070131</c:v>
                </c:pt>
                <c:pt idx="203">
                  <c:v>25.587000657034913</c:v>
                </c:pt>
                <c:pt idx="204">
                  <c:v>25.393172529642989</c:v>
                </c:pt>
                <c:pt idx="205">
                  <c:v>25.199093037367923</c:v>
                </c:pt>
                <c:pt idx="206">
                  <c:v>25.004773719567531</c:v>
                </c:pt>
                <c:pt idx="207">
                  <c:v>24.810225693114639</c:v>
                </c:pt>
                <c:pt idx="208">
                  <c:v>24.615459668766043</c:v>
                </c:pt>
                <c:pt idx="209">
                  <c:v>24.420485967251253</c:v>
                </c:pt>
                <c:pt idx="210">
                  <c:v>24.225314535073075</c:v>
                </c:pt>
                <c:pt idx="211">
                  <c:v>24.029954960008695</c:v>
                </c:pt>
                <c:pt idx="212">
                  <c:v>23.834416486306949</c:v>
                </c:pt>
                <c:pt idx="213">
                  <c:v>23.638708029576122</c:v>
                </c:pt>
                <c:pt idx="214">
                  <c:v>23.442838191361005</c:v>
                </c:pt>
                <c:pt idx="215">
                  <c:v>23.246815273408728</c:v>
                </c:pt>
                <c:pt idx="216">
                  <c:v>23.050647291624948</c:v>
                </c:pt>
                <c:pt idx="217">
                  <c:v>22.854341989723221</c:v>
                </c:pt>
                <c:pt idx="218">
                  <c:v>22.657906852571355</c:v>
                </c:pt>
                <c:pt idx="219">
                  <c:v>22.461349119241547</c:v>
                </c:pt>
                <c:pt idx="220">
                  <c:v>22.264675795769364</c:v>
                </c:pt>
                <c:pt idx="221">
                  <c:v>22.06789366762959</c:v>
                </c:pt>
                <c:pt idx="222">
                  <c:v>21.871009311939016</c:v>
                </c:pt>
                <c:pt idx="223">
                  <c:v>21.674029109392734</c:v>
                </c:pt>
                <c:pt idx="224">
                  <c:v>21.47695925594563</c:v>
                </c:pt>
                <c:pt idx="225">
                  <c:v>21.279805774249727</c:v>
                </c:pt>
                <c:pt idx="226">
                  <c:v>21.082574524856895</c:v>
                </c:pt>
                <c:pt idx="227">
                  <c:v>20.885271217200604</c:v>
                </c:pt>
                <c:pt idx="228">
                  <c:v>20.687901420368206</c:v>
                </c:pt>
                <c:pt idx="229">
                  <c:v>20.490470573673175</c:v>
                </c:pt>
                <c:pt idx="230">
                  <c:v>20.292983997045518</c:v>
                </c:pt>
                <c:pt idx="231">
                  <c:v>20.095446901248057</c:v>
                </c:pt>
                <c:pt idx="232">
                  <c:v>19.897864397935471</c:v>
                </c:pt>
                <c:pt idx="233">
                  <c:v>19.700241509567135</c:v>
                </c:pt>
                <c:pt idx="234">
                  <c:v>19.502583179188221</c:v>
                </c:pt>
                <c:pt idx="235">
                  <c:v>19.304894280094594</c:v>
                </c:pt>
                <c:pt idx="236">
                  <c:v>19.107179625390991</c:v>
                </c:pt>
                <c:pt idx="237">
                  <c:v>18.909443977462008</c:v>
                </c:pt>
                <c:pt idx="238">
                  <c:v>18.71169205736539</c:v>
                </c:pt>
                <c:pt idx="239">
                  <c:v>18.513928554164334</c:v>
                </c:pt>
                <c:pt idx="240">
                  <c:v>18.316158134213111</c:v>
                </c:pt>
                <c:pt idx="241">
                  <c:v>18.11838545040774</c:v>
                </c:pt>
                <c:pt idx="242">
                  <c:v>17.920615151420481</c:v>
                </c:pt>
                <c:pt idx="243">
                  <c:v>17.722851890927924</c:v>
                </c:pt>
                <c:pt idx="244">
                  <c:v>17.525100336850766</c:v>
                </c:pt>
                <c:pt idx="245">
                  <c:v>17.327365180617097</c:v>
                </c:pt>
                <c:pt idx="246">
                  <c:v>17.129651146465534</c:v>
                </c:pt>
                <c:pt idx="247">
                  <c:v>16.93196300080152</c:v>
                </c:pt>
                <c:pt idx="248">
                  <c:v>16.734305561621991</c:v>
                </c:pt>
                <c:pt idx="249">
                  <c:v>16.536683708021847</c:v>
                </c:pt>
                <c:pt idx="250">
                  <c:v>16.33910238979783</c:v>
                </c:pt>
                <c:pt idx="251">
                  <c:v>16.141566637163596</c:v>
                </c:pt>
                <c:pt idx="252">
                  <c:v>15.944081570589914</c:v>
                </c:pt>
                <c:pt idx="253">
                  <c:v>15.746652410784364</c:v>
                </c:pt>
                <c:pt idx="254">
                  <c:v>15.549284488825982</c:v>
                </c:pt>
                <c:pt idx="255">
                  <c:v>15.351983256466067</c:v>
                </c:pt>
                <c:pt idx="256">
                  <c:v>15.154754296612307</c:v>
                </c:pt>
                <c:pt idx="257">
                  <c:v>14.957603334006995</c:v>
                </c:pt>
                <c:pt idx="258">
                  <c:v>14.760536246114818</c:v>
                </c:pt>
                <c:pt idx="259">
                  <c:v>14.563559074232304</c:v>
                </c:pt>
                <c:pt idx="260">
                  <c:v>14.366678034832756</c:v>
                </c:pt>
                <c:pt idx="261">
                  <c:v>14.169899531158109</c:v>
                </c:pt>
                <c:pt idx="262">
                  <c:v>13.97323016507162</c:v>
                </c:pt>
                <c:pt idx="263">
                  <c:v>13.776676749181625</c:v>
                </c:pt>
                <c:pt idx="264">
                  <c:v>13.580246319248044</c:v>
                </c:pt>
                <c:pt idx="265">
                  <c:v>13.3839461468836</c:v>
                </c:pt>
                <c:pt idx="266">
                  <c:v>13.187783752558062</c:v>
                </c:pt>
                <c:pt idx="267">
                  <c:v>12.991766918915742</c:v>
                </c:pt>
                <c:pt idx="268">
                  <c:v>12.795903704414751</c:v>
                </c:pt>
                <c:pt idx="269">
                  <c:v>12.600202457295413</c:v>
                </c:pt>
                <c:pt idx="270">
                  <c:v>12.404671829884609</c:v>
                </c:pt>
                <c:pt idx="271">
                  <c:v>12.209320793240611</c:v>
                </c:pt>
                <c:pt idx="272">
                  <c:v>12.014158652143321</c:v>
                </c:pt>
                <c:pt idx="273">
                  <c:v>11.819195060432117</c:v>
                </c:pt>
                <c:pt idx="274">
                  <c:v>11.624440036692006</c:v>
                </c:pt>
                <c:pt idx="275">
                  <c:v>11.429903980287563</c:v>
                </c:pt>
                <c:pt idx="276">
                  <c:v>11.235597687741343</c:v>
                </c:pt>
                <c:pt idx="277">
                  <c:v>11.041532369452817</c:v>
                </c:pt>
                <c:pt idx="278">
                  <c:v>10.847719666748588</c:v>
                </c:pt>
                <c:pt idx="279">
                  <c:v>10.654171669256398</c:v>
                </c:pt>
                <c:pt idx="280">
                  <c:v>10.460900932587068</c:v>
                </c:pt>
                <c:pt idx="281">
                  <c:v>10.267920496311756</c:v>
                </c:pt>
                <c:pt idx="282">
                  <c:v>10.075243902212215</c:v>
                </c:pt>
                <c:pt idx="283">
                  <c:v>9.8828852127831439</c:v>
                </c:pt>
                <c:pt idx="284">
                  <c:v>9.6908590299593342</c:v>
                </c:pt>
                <c:pt idx="285">
                  <c:v>9.4991805140353609</c:v>
                </c:pt>
                <c:pt idx="286">
                  <c:v>9.307865402744433</c:v>
                </c:pt>
                <c:pt idx="287">
                  <c:v>9.1169300304538385</c:v>
                </c:pt>
                <c:pt idx="288">
                  <c:v>8.9263913474323644</c:v>
                </c:pt>
                <c:pt idx="289">
                  <c:v>8.736266939138531</c:v>
                </c:pt>
                <c:pt idx="290">
                  <c:v>8.5465750454724034</c:v>
                </c:pt>
                <c:pt idx="291">
                  <c:v>8.3573345799278052</c:v>
                </c:pt>
                <c:pt idx="292">
                  <c:v>8.1685651485749595</c:v>
                </c:pt>
                <c:pt idx="293">
                  <c:v>7.9802870687981944</c:v>
                </c:pt>
                <c:pt idx="294">
                  <c:v>7.7925213877026778</c:v>
                </c:pt>
                <c:pt idx="295">
                  <c:v>7.6052899001022833</c:v>
                </c:pt>
                <c:pt idx="296">
                  <c:v>7.4186151659866084</c:v>
                </c:pt>
                <c:pt idx="297">
                  <c:v>7.2325205273623991</c:v>
                </c:pt>
                <c:pt idx="298">
                  <c:v>7.0470301243545732</c:v>
                </c:pt>
                <c:pt idx="299">
                  <c:v>6.8621689104426924</c:v>
                </c:pt>
                <c:pt idx="300">
                  <c:v>6.677962666702145</c:v>
                </c:pt>
                <c:pt idx="301">
                  <c:v>6.494438014911327</c:v>
                </c:pt>
                <c:pt idx="302">
                  <c:v>6.311622429374947</c:v>
                </c:pt>
                <c:pt idx="303">
                  <c:v>6.1295442473095445</c:v>
                </c:pt>
                <c:pt idx="304">
                  <c:v>5.9482326776263257</c:v>
                </c:pt>
                <c:pt idx="305">
                  <c:v>5.7677178079400395</c:v>
                </c:pt>
                <c:pt idx="306">
                  <c:v>5.5880306096266441</c:v>
                </c:pt>
                <c:pt idx="307">
                  <c:v>5.4092029407449846</c:v>
                </c:pt>
                <c:pt idx="308">
                  <c:v>5.2312675466324956</c:v>
                </c:pt>
                <c:pt idx="309">
                  <c:v>5.0542580579810723</c:v>
                </c:pt>
                <c:pt idx="310">
                  <c:v>4.8782089861959541</c:v>
                </c:pt>
                <c:pt idx="311">
                  <c:v>4.7031557158370418</c:v>
                </c:pt>
                <c:pt idx="312">
                  <c:v>4.5291344939444294</c:v>
                </c:pt>
                <c:pt idx="313">
                  <c:v>4.3561824160484512</c:v>
                </c:pt>
                <c:pt idx="314">
                  <c:v>4.1843374086694265</c:v>
                </c:pt>
                <c:pt idx="315">
                  <c:v>4.0136382081181017</c:v>
                </c:pt>
                <c:pt idx="316">
                  <c:v>3.8441243354142212</c:v>
                </c:pt>
                <c:pt idx="317">
                  <c:v>3.6758360671529298</c:v>
                </c:pt>
                <c:pt idx="318">
                  <c:v>3.5088144021602834</c:v>
                </c:pt>
                <c:pt idx="319">
                  <c:v>3.3431010237969976</c:v>
                </c:pt>
                <c:pt idx="320">
                  <c:v>3.1787382577871597</c:v>
                </c:pt>
                <c:pt idx="321">
                  <c:v>3.0157690254739444</c:v>
                </c:pt>
                <c:pt idx="322">
                  <c:v>2.8542367924273933</c:v>
                </c:pt>
                <c:pt idx="323">
                  <c:v>2.6941855123599998</c:v>
                </c:pt>
                <c:pt idx="324">
                  <c:v>2.5356595663397052</c:v>
                </c:pt>
                <c:pt idx="325">
                  <c:v>2.3787036973242213</c:v>
                </c:pt>
                <c:pt idx="326">
                  <c:v>2.2233629400815209</c:v>
                </c:pt>
                <c:pt idx="327">
                  <c:v>2.0696825466018893</c:v>
                </c:pt>
                <c:pt idx="328">
                  <c:v>1.9177079071548786</c:v>
                </c:pt>
                <c:pt idx="329">
                  <c:v>1.7674844671894718</c:v>
                </c:pt>
                <c:pt idx="330">
                  <c:v>1.619057640328085</c:v>
                </c:pt>
                <c:pt idx="331">
                  <c:v>1.4724727177535526</c:v>
                </c:pt>
                <c:pt idx="332">
                  <c:v>1.3277747743444035</c:v>
                </c:pt>
                <c:pt idx="333">
                  <c:v>1.1850085719614865</c:v>
                </c:pt>
                <c:pt idx="334">
                  <c:v>1.0442184603471147</c:v>
                </c:pt>
                <c:pt idx="335">
                  <c:v>0.90544827614341294</c:v>
                </c:pt>
                <c:pt idx="336">
                  <c:v>0.76874124059029658</c:v>
                </c:pt>
                <c:pt idx="337">
                  <c:v>0.6341398565072196</c:v>
                </c:pt>
                <c:pt idx="338">
                  <c:v>0.50168580520470551</c:v>
                </c:pt>
                <c:pt idx="339">
                  <c:v>0.37141984401329575</c:v>
                </c:pt>
                <c:pt idx="340">
                  <c:v>0.24338170514457466</c:v>
                </c:pt>
                <c:pt idx="341">
                  <c:v>0.11760999662796406</c:v>
                </c:pt>
                <c:pt idx="342">
                  <c:v>-5.8578939151091988E-3</c:v>
                </c:pt>
                <c:pt idx="343">
                  <c:v>-0.12698589188890191</c:v>
                </c:pt>
                <c:pt idx="344">
                  <c:v>-0.24573932396027814</c:v>
                </c:pt>
                <c:pt idx="345">
                  <c:v>-0.36208500114882697</c:v>
                </c:pt>
                <c:pt idx="346">
                  <c:v>-0.47599129602191947</c:v>
                </c:pt>
                <c:pt idx="347">
                  <c:v>-0.58742821327407113</c:v>
                </c:pt>
                <c:pt idx="348">
                  <c:v>-0.69636745300565606</c:v>
                </c:pt>
                <c:pt idx="349">
                  <c:v>-0.80278246606286041</c:v>
                </c:pt>
                <c:pt idx="350">
                  <c:v>-0.9066485008564531</c:v>
                </c:pt>
                <c:pt idx="351">
                  <c:v>-1.0079426411417389</c:v>
                </c:pt>
                <c:pt idx="352">
                  <c:v>-1.106643834313936</c:v>
                </c:pt>
                <c:pt idx="353">
                  <c:v>-1.2027329098541599</c:v>
                </c:pt>
                <c:pt idx="354">
                  <c:v>-1.2961925876460201</c:v>
                </c:pt>
                <c:pt idx="355">
                  <c:v>-1.3870074759752198</c:v>
                </c:pt>
                <c:pt idx="356">
                  <c:v>-1.4751640591179505</c:v>
                </c:pt>
                <c:pt idx="357">
                  <c:v>-1.5606506745218782</c:v>
                </c:pt>
                <c:pt idx="358">
                  <c:v>-1.6434574796821613</c:v>
                </c:pt>
                <c:pt idx="359">
                  <c:v>-1.7235764089112333</c:v>
                </c:pt>
                <c:pt idx="360">
                  <c:v>-1.8010011202981382</c:v>
                </c:pt>
                <c:pt idx="361">
                  <c:v>-1.8757269332453079</c:v>
                </c:pt>
                <c:pt idx="362">
                  <c:v>-1.9477507570595276</c:v>
                </c:pt>
                <c:pt idx="363">
                  <c:v>-2.0170710111550241</c:v>
                </c:pt>
                <c:pt idx="364">
                  <c:v>-2.0836875375034247</c:v>
                </c:pt>
                <c:pt idx="365">
                  <c:v>-2.1476015060328306</c:v>
                </c:pt>
                <c:pt idx="366">
                  <c:v>-2.2088153137392701</c:v>
                </c:pt>
                <c:pt idx="367">
                  <c:v>-2.2673324783223943</c:v>
                </c:pt>
                <c:pt idx="368">
                  <c:v>-2.3231575272009768</c:v>
                </c:pt>
                <c:pt idx="369">
                  <c:v>-2.3762958827956333</c:v>
                </c:pt>
                <c:pt idx="370">
                  <c:v>-2.4267537449868914</c:v>
                </c:pt>
                <c:pt idx="371">
                  <c:v>-2.4745379716734845</c:v>
                </c:pt>
                <c:pt idx="372">
                  <c:v>-2.519655958356493</c:v>
                </c:pt>
                <c:pt idx="373">
                  <c:v>-2.562115517672976</c:v>
                </c:pt>
                <c:pt idx="374">
                  <c:v>-2.601924759789342</c:v>
                </c:pt>
                <c:pt idx="375">
                  <c:v>-2.6390919745444248</c:v>
                </c:pt>
                <c:pt idx="376">
                  <c:v>-2.6736255162067888</c:v>
                </c:pt>
                <c:pt idx="377">
                  <c:v>-2.7055336916755546</c:v>
                </c:pt>
                <c:pt idx="378">
                  <c:v>-2.7348246529184679</c:v>
                </c:pt>
                <c:pt idx="379">
                  <c:v>-2.7615062943963902</c:v>
                </c:pt>
                <c:pt idx="380">
                  <c:v>-2.7855861561759188</c:v>
                </c:pt>
                <c:pt idx="381">
                  <c:v>-2.8070713333851622</c:v>
                </c:pt>
                <c:pt idx="382">
                  <c:v>-2.8259683926107408</c:v>
                </c:pt>
                <c:pt idx="383">
                  <c:v>-2.8422832957822881</c:v>
                </c:pt>
                <c:pt idx="384">
                  <c:v>-2.8560213320348833</c:v>
                </c:pt>
                <c:pt idx="385">
                  <c:v>-2.8671870579793168</c:v>
                </c:pt>
                <c:pt idx="386">
                  <c:v>-2.8757842467570249</c:v>
                </c:pt>
                <c:pt idx="387">
                  <c:v>-2.8818158461926178</c:v>
                </c:pt>
                <c:pt idx="388">
                  <c:v>-2.8852839463030371</c:v>
                </c:pt>
                <c:pt idx="389">
                  <c:v>-2.8861897563596934</c:v>
                </c:pt>
                <c:pt idx="390">
                  <c:v>-2.8845335916429722</c:v>
                </c:pt>
                <c:pt idx="391">
                  <c:v>-2.8803148699691339</c:v>
                </c:pt>
                <c:pt idx="392">
                  <c:v>-2.873532118010242</c:v>
                </c:pt>
                <c:pt idx="393">
                  <c:v>-2.8641829873689733</c:v>
                </c:pt>
                <c:pt idx="394">
                  <c:v>-2.852264280311374</c:v>
                </c:pt>
                <c:pt idx="395">
                  <c:v>-2.8377719850013712</c:v>
                </c:pt>
                <c:pt idx="396">
                  <c:v>-2.820701320022005</c:v>
                </c:pt>
                <c:pt idx="397">
                  <c:v>-2.8010467879091188</c:v>
                </c:pt>
                <c:pt idx="398">
                  <c:v>-2.7788022373652685</c:v>
                </c:pt>
                <c:pt idx="399">
                  <c:v>-2.7539609337623521</c:v>
                </c:pt>
                <c:pt idx="400">
                  <c:v>-2.7265156374839132</c:v>
                </c:pt>
                <c:pt idx="401">
                  <c:v>-2.6964586896014637</c:v>
                </c:pt>
                <c:pt idx="402">
                  <c:v>-2.6637821043230541</c:v>
                </c:pt>
                <c:pt idx="403">
                  <c:v>-2.6284776675980233</c:v>
                </c:pt>
                <c:pt idx="404">
                  <c:v>-2.5905370412103994</c:v>
                </c:pt>
                <c:pt idx="405">
                  <c:v>-2.5499518716442675</c:v>
                </c:pt>
                <c:pt idx="406">
                  <c:v>-2.5067139029583796</c:v>
                </c:pt>
                <c:pt idx="407">
                  <c:v>-2.4608150928656189</c:v>
                </c:pt>
                <c:pt idx="408">
                  <c:v>-2.4122477311771258</c:v>
                </c:pt>
                <c:pt idx="409">
                  <c:v>-2.361004559738336</c:v>
                </c:pt>
                <c:pt idx="410">
                  <c:v>-2.3070788929602166</c:v>
                </c:pt>
                <c:pt idx="411">
                  <c:v>-2.2504647380307796</c:v>
                </c:pt>
                <c:pt idx="412">
                  <c:v>-2.191156913882045</c:v>
                </c:pt>
                <c:pt idx="413">
                  <c:v>-2.1291511679853787</c:v>
                </c:pt>
                <c:pt idx="414">
                  <c:v>-2.0644442900551461</c:v>
                </c:pt>
                <c:pt idx="415">
                  <c:v>-1.9970342217567159</c:v>
                </c:pt>
                <c:pt idx="416">
                  <c:v>-1.9269201615402987</c:v>
                </c:pt>
                <c:pt idx="417">
                  <c:v>-1.8541026637565632</c:v>
                </c:pt>
                <c:pt idx="418">
                  <c:v>-1.7785837312554542</c:v>
                </c:pt>
                <c:pt idx="419">
                  <c:v>-1.7003669007214206</c:v>
                </c:pt>
                <c:pt idx="420">
                  <c:v>-1.6194573200624056</c:v>
                </c:pt>
                <c:pt idx="421">
                  <c:v>-1.5358618172387664</c:v>
                </c:pt>
                <c:pt idx="422">
                  <c:v>-1.4495889599978329</c:v>
                </c:pt>
                <c:pt idx="423">
                  <c:v>-1.3606491060615442</c:v>
                </c:pt>
                <c:pt idx="424">
                  <c:v>-1.2690544434074607</c:v>
                </c:pt>
                <c:pt idx="425">
                  <c:v>-1.1748190203738578</c:v>
                </c:pt>
                <c:pt idx="426">
                  <c:v>-1.0779587654187386</c:v>
                </c:pt>
                <c:pt idx="427">
                  <c:v>-0.97849149645889966</c:v>
                </c:pt>
                <c:pt idx="428">
                  <c:v>-0.87643691981461769</c:v>
                </c:pt>
                <c:pt idx="429">
                  <c:v>-0.77181661888004149</c:v>
                </c:pt>
                <c:pt idx="430">
                  <c:v>-0.66465403273653334</c:v>
                </c:pt>
                <c:pt idx="431">
                  <c:v>-0.55497442501200944</c:v>
                </c:pt>
                <c:pt idx="432">
                  <c:v>-0.44280484337695258</c:v>
                </c:pt>
                <c:pt idx="433">
                  <c:v>-0.3281740701436856</c:v>
                </c:pt>
                <c:pt idx="434">
                  <c:v>-0.21111256450660518</c:v>
                </c:pt>
                <c:pt idx="435">
                  <c:v>-9.1652397022546933E-2</c:v>
                </c:pt>
                <c:pt idx="436">
                  <c:v>3.0172823015221617E-2</c:v>
                </c:pt>
                <c:pt idx="437">
                  <c:v>0.15432802661454925</c:v>
                </c:pt>
                <c:pt idx="438">
                  <c:v>0.2807767698020317</c:v>
                </c:pt>
                <c:pt idx="439">
                  <c:v>0.40948132326799958</c:v>
                </c:pt>
                <c:pt idx="440">
                  <c:v>0.54040276616875504</c:v>
                </c:pt>
                <c:pt idx="441">
                  <c:v>0.67350108331459146</c:v>
                </c:pt>
                <c:pt idx="442">
                  <c:v>0.80873526497314496</c:v>
                </c:pt>
                <c:pt idx="443">
                  <c:v>0.94606340853181103</c:v>
                </c:pt>
                <c:pt idx="444">
                  <c:v>1.0854428212844305</c:v>
                </c:pt>
                <c:pt idx="445">
                  <c:v>1.2268301236320125</c:v>
                </c:pt>
                <c:pt idx="446">
                  <c:v>1.3701813520256567</c:v>
                </c:pt>
                <c:pt idx="447">
                  <c:v>1.5154520610138043</c:v>
                </c:pt>
                <c:pt idx="448">
                  <c:v>1.6625974238046359</c:v>
                </c:pt>
                <c:pt idx="449">
                  <c:v>1.8115723307981204</c:v>
                </c:pt>
                <c:pt idx="450">
                  <c:v>1.96233148559361</c:v>
                </c:pt>
                <c:pt idx="451">
                  <c:v>2.1148294980302391</c:v>
                </c:pt>
                <c:pt idx="452">
                  <c:v>2.2690209738695333</c:v>
                </c:pt>
                <c:pt idx="453">
                  <c:v>2.4248606007832314</c:v>
                </c:pt>
                <c:pt idx="454">
                  <c:v>2.5823032303605133</c:v>
                </c:pt>
                <c:pt idx="455">
                  <c:v>2.7413039559001278</c:v>
                </c:pt>
                <c:pt idx="456">
                  <c:v>2.9018181858020977</c:v>
                </c:pt>
                <c:pt idx="457">
                  <c:v>3.0638017124219736</c:v>
                </c:pt>
                <c:pt idx="458">
                  <c:v>3.2272107762916571</c:v>
                </c:pt>
                <c:pt idx="459">
                  <c:v>3.3920021256571915</c:v>
                </c:pt>
                <c:pt idx="460">
                  <c:v>3.5581330713189057</c:v>
                </c:pt>
                <c:pt idx="461">
                  <c:v>3.7255615367946247</c:v>
                </c:pt>
                <c:pt idx="462">
                  <c:v>3.894246103861283</c:v>
                </c:pt>
                <c:pt idx="463">
                  <c:v>4.0641460535548593</c:v>
                </c:pt>
                <c:pt idx="464">
                  <c:v>4.2352214027368085</c:v>
                </c:pt>
                <c:pt idx="465">
                  <c:v>4.4074329363548852</c:v>
                </c:pt>
                <c:pt idx="466">
                  <c:v>4.5807422355458973</c:v>
                </c:pt>
                <c:pt idx="467">
                  <c:v>4.7551117017417628</c:v>
                </c:pt>
                <c:pt idx="468">
                  <c:v>4.9305045769553644</c:v>
                </c:pt>
                <c:pt idx="469">
                  <c:v>5.1068849604293014</c:v>
                </c:pt>
                <c:pt idx="470">
                  <c:v>5.2842178218403237</c:v>
                </c:pt>
                <c:pt idx="471">
                  <c:v>5.4624690112562124</c:v>
                </c:pt>
                <c:pt idx="472">
                  <c:v>5.6416052660434</c:v>
                </c:pt>
                <c:pt idx="473">
                  <c:v>5.821594214927349</c:v>
                </c:pt>
                <c:pt idx="474">
                  <c:v>6.0024043794040596</c:v>
                </c:pt>
                <c:pt idx="475">
                  <c:v>6.1840051727001955</c:v>
                </c:pt>
                <c:pt idx="476">
                  <c:v>6.3663668964752986</c:v>
                </c:pt>
                <c:pt idx="477">
                  <c:v>6.5494607354549439</c:v>
                </c:pt>
                <c:pt idx="478">
                  <c:v>6.7332587501781642</c:v>
                </c:pt>
                <c:pt idx="479">
                  <c:v>6.917733868035123</c:v>
                </c:pt>
                <c:pt idx="480">
                  <c:v>7.1028598727663939</c:v>
                </c:pt>
                <c:pt idx="481">
                  <c:v>7.2886113925833911</c:v>
                </c:pt>
                <c:pt idx="482">
                  <c:v>7.4749638870671644</c:v>
                </c:pt>
                <c:pt idx="483">
                  <c:v>7.6618936329895639</c:v>
                </c:pt>
                <c:pt idx="484">
                  <c:v>7.8493777091958838</c:v>
                </c:pt>
                <c:pt idx="485">
                  <c:v>8.037393980678246</c:v>
                </c:pt>
                <c:pt idx="486">
                  <c:v>8.225921081961161</c:v>
                </c:pt>
                <c:pt idx="487">
                  <c:v>8.4149383999132539</c:v>
                </c:pt>
                <c:pt idx="488">
                  <c:v>8.604426056088899</c:v>
                </c:pt>
                <c:pt idx="489">
                  <c:v>8.7943648886990431</c:v>
                </c:pt>
                <c:pt idx="490">
                  <c:v>8.9847364342998013</c:v>
                </c:pt>
                <c:pt idx="491">
                  <c:v>9.1755229092822148</c:v>
                </c:pt>
                <c:pt idx="492">
                  <c:v>9.3667071912379498</c:v>
                </c:pt>
                <c:pt idx="493">
                  <c:v>9.558272800271201</c:v>
                </c:pt>
                <c:pt idx="494">
                  <c:v>9.7502038803176774</c:v>
                </c:pt>
                <c:pt idx="495">
                  <c:v>9.9424851805286067</c:v>
                </c:pt>
                <c:pt idx="496">
                  <c:v>10.135102036769531</c:v>
                </c:pt>
                <c:pt idx="497">
                  <c:v>10.328040353280629</c:v>
                </c:pt>
                <c:pt idx="498">
                  <c:v>10.521286584537087</c:v>
                </c:pt>
                <c:pt idx="499">
                  <c:v>10.714827717347449</c:v>
                </c:pt>
                <c:pt idx="500">
                  <c:v>10.908651253219281</c:v>
                </c:pt>
                <c:pt idx="501">
                  <c:v>11.102745191020935</c:v>
                </c:pt>
                <c:pt idx="502">
                  <c:v>11.297098009962482</c:v>
                </c:pt>
                <c:pt idx="503">
                  <c:v>11.491698652914907</c:v>
                </c:pt>
                <c:pt idx="504">
                  <c:v>11.686536510086212</c:v>
                </c:pt>
                <c:pt idx="505">
                  <c:v>11.881601403066711</c:v>
                </c:pt>
                <c:pt idx="506">
                  <c:v>12.07688356925555</c:v>
                </c:pt>
                <c:pt idx="507">
                  <c:v>12.272373646677277</c:v>
                </c:pt>
                <c:pt idx="508">
                  <c:v>12.46806265919431</c:v>
                </c:pt>
                <c:pt idx="509">
                  <c:v>12.663942002120541</c:v>
                </c:pt>
                <c:pt idx="510">
                  <c:v>12.860003428238869</c:v>
                </c:pt>
                <c:pt idx="511">
                  <c:v>13.056239034222179</c:v>
                </c:pt>
                <c:pt idx="512">
                  <c:v>13.252641247460208</c:v>
                </c:pt>
                <c:pt idx="513">
                  <c:v>13.449202813287428</c:v>
                </c:pt>
                <c:pt idx="514">
                  <c:v>13.645916782611549</c:v>
                </c:pt>
                <c:pt idx="515">
                  <c:v>13.842776499937049</c:v>
                </c:pt>
                <c:pt idx="516">
                  <c:v>14.039775591780113</c:v>
                </c:pt>
                <c:pt idx="517">
                  <c:v>14.236907955468642</c:v>
                </c:pt>
                <c:pt idx="518">
                  <c:v>14.43416774832146</c:v>
                </c:pt>
                <c:pt idx="519">
                  <c:v>14.631549377199553</c:v>
                </c:pt>
                <c:pt idx="520">
                  <c:v>14.829047488422225</c:v>
                </c:pt>
                <c:pt idx="521">
                  <c:v>15.026656958040777</c:v>
                </c:pt>
                <c:pt idx="522">
                  <c:v>15.224372882460353</c:v>
                </c:pt>
                <c:pt idx="523">
                  <c:v>15.422190569403067</c:v>
                </c:pt>
                <c:pt idx="524">
                  <c:v>15.620105529203512</c:v>
                </c:pt>
                <c:pt idx="525">
                  <c:v>15.818113466426666</c:v>
                </c:pt>
                <c:pt idx="526">
                  <c:v>16.016210271801036</c:v>
                </c:pt>
                <c:pt idx="527">
                  <c:v>16.214392014457324</c:v>
                </c:pt>
                <c:pt idx="528">
                  <c:v>16.412654934463021</c:v>
                </c:pt>
                <c:pt idx="529">
                  <c:v>16.610995435646313</c:v>
                </c:pt>
                <c:pt idx="530">
                  <c:v>16.809410078697098</c:v>
                </c:pt>
                <c:pt idx="531">
                  <c:v>17.007895574538871</c:v>
                </c:pt>
                <c:pt idx="532">
                  <c:v>17.206448777962038</c:v>
                </c:pt>
                <c:pt idx="533">
                  <c:v>17.405066681509581</c:v>
                </c:pt>
                <c:pt idx="534">
                  <c:v>17.603746409606803</c:v>
                </c:pt>
                <c:pt idx="535">
                  <c:v>17.802485212927618</c:v>
                </c:pt>
                <c:pt idx="536">
                  <c:v>18.001280462986969</c:v>
                </c:pt>
                <c:pt idx="537">
                  <c:v>18.200129646954583</c:v>
                </c:pt>
                <c:pt idx="538">
                  <c:v>18.399030362679497</c:v>
                </c:pt>
                <c:pt idx="539">
                  <c:v>18.597980313918459</c:v>
                </c:pt>
                <c:pt idx="540">
                  <c:v>18.796977305761583</c:v>
                </c:pt>
                <c:pt idx="541">
                  <c:v>18.99601924024681</c:v>
                </c:pt>
              </c:numCache>
            </c:numRef>
          </c:yVal>
          <c:smooth val="1"/>
          <c:extLst>
            <c:ext xmlns:c16="http://schemas.microsoft.com/office/drawing/2014/chart" uri="{C3380CC4-5D6E-409C-BE32-E72D297353CC}">
              <c16:uniqueId val="{00000000-AD4D-45E6-8C83-628FF672E0A1}"/>
            </c:ext>
          </c:extLst>
        </c:ser>
        <c:dLbls>
          <c:showLegendKey val="0"/>
          <c:showVal val="0"/>
          <c:showCatName val="0"/>
          <c:showSerName val="0"/>
          <c:showPercent val="0"/>
          <c:showBubbleSize val="0"/>
        </c:dLbls>
        <c:axId val="555304064"/>
        <c:axId val="555305984"/>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-3.0245150422160969</c:v>
                </c:pt>
                <c:pt idx="1">
                  <c:v>-3.0948314188537402</c:v>
                </c:pt>
                <c:pt idx="2">
                  <c:v>-3.1667761401367742</c:v>
                </c:pt>
                <c:pt idx="3">
                  <c:v>-3.2403864559904592</c:v>
                </c:pt>
                <c:pt idx="4">
                  <c:v>-3.3157004357722504</c:v>
                </c:pt>
                <c:pt idx="5">
                  <c:v>-3.3927569839505343</c:v>
                </c:pt>
                <c:pt idx="6">
                  <c:v>-3.4715958559097193</c:v>
                </c:pt>
                <c:pt idx="7">
                  <c:v>-3.5522576738682523</c:v>
                </c:pt>
                <c:pt idx="8">
                  <c:v>-3.6347839428944977</c:v>
                </c:pt>
                <c:pt idx="9">
                  <c:v>-3.7192170670042097</c:v>
                </c:pt>
                <c:pt idx="10">
                  <c:v>-3.8056003653210064</c:v>
                </c:pt>
                <c:pt idx="11">
                  <c:v>-3.8939780882807757</c:v>
                </c:pt>
                <c:pt idx="12">
                  <c:v>-3.9843954338572773</c:v>
                </c:pt>
                <c:pt idx="13">
                  <c:v>-4.0768985637861332</c:v>
                </c:pt>
                <c:pt idx="14">
                  <c:v>-4.1715346197604921</c:v>
                </c:pt>
                <c:pt idx="15">
                  <c:v>-4.2683517395710018</c:v>
                </c:pt>
                <c:pt idx="16">
                  <c:v>-4.3673990731583689</c:v>
                </c:pt>
                <c:pt idx="17">
                  <c:v>-4.4687267985465908</c:v>
                </c:pt>
                <c:pt idx="18">
                  <c:v>-4.5723861376194339</c:v>
                </c:pt>
                <c:pt idx="19">
                  <c:v>-4.6784293717023013</c:v>
                </c:pt>
                <c:pt idx="20">
                  <c:v>-4.7869098569062416</c:v>
                </c:pt>
                <c:pt idx="21">
                  <c:v>-4.8978820391899074</c:v>
                </c:pt>
                <c:pt idx="22">
                  <c:v>-5.0114014690884945</c:v>
                </c:pt>
                <c:pt idx="23">
                  <c:v>-5.1275248160586457</c:v>
                </c:pt>
                <c:pt idx="24">
                  <c:v>-5.2463098823807721</c:v>
                </c:pt>
                <c:pt idx="25">
                  <c:v>-5.3678156165589677</c:v>
                </c:pt>
                <c:pt idx="26">
                  <c:v>-5.4921021261509262</c:v>
                </c:pt>
                <c:pt idx="27">
                  <c:v>-5.6192306899592621</c:v>
                </c:pt>
                <c:pt idx="28">
                  <c:v>-5.7492637695068529</c:v>
                </c:pt>
                <c:pt idx="29">
                  <c:v>-5.8822650197164323</c:v>
                </c:pt>
                <c:pt idx="30">
                  <c:v>-6.018299298706677</c:v>
                </c:pt>
                <c:pt idx="31">
                  <c:v>-6.1574326766129328</c:v>
                </c:pt>
                <c:pt idx="32">
                  <c:v>-6.2997324433323048</c:v>
                </c:pt>
                <c:pt idx="33">
                  <c:v>-6.4452671150900223</c:v>
                </c:pt>
                <c:pt idx="34">
                  <c:v>-6.5941064397107869</c:v>
                </c:pt>
                <c:pt idx="35">
                  <c:v>-6.7463214004785659</c:v>
                </c:pt>
                <c:pt idx="36">
                  <c:v>-6.9019842184557065</c:v>
                </c:pt>
                <c:pt idx="37">
                  <c:v>-7.0611683531256793</c:v>
                </c:pt>
                <c:pt idx="38">
                  <c:v>-7.2239485012164097</c:v>
                </c:pt>
                <c:pt idx="39">
                  <c:v>-7.3904005935505817</c:v>
                </c:pt>
                <c:pt idx="40">
                  <c:v>-7.5606017897624511</c:v>
                </c:pt>
                <c:pt idx="41">
                  <c:v>-7.7346304707089386</c:v>
                </c:pt>
                <c:pt idx="42">
                  <c:v>-7.9125662283951632</c:v>
                </c:pt>
                <c:pt idx="43">
                  <c:v>-8.0944898532222549</c:v>
                </c:pt>
                <c:pt idx="44">
                  <c:v>-8.2804833183586659</c:v>
                </c:pt>
                <c:pt idx="45">
                  <c:v>-8.4706297610196426</c:v>
                </c:pt>
                <c:pt idx="46">
                  <c:v>-8.6650134604359099</c:v>
                </c:pt>
                <c:pt idx="47">
                  <c:v>-8.863719812274395</c:v>
                </c:pt>
                <c:pt idx="48">
                  <c:v>-9.0668352992678969</c:v>
                </c:pt>
                <c:pt idx="49">
                  <c:v>-9.2744474577962226</c:v>
                </c:pt>
                <c:pt idx="50">
                  <c:v>-9.4866448401515537</c:v>
                </c:pt>
                <c:pt idx="51">
                  <c:v>-9.7035169722066357</c:v>
                </c:pt>
                <c:pt idx="52">
                  <c:v>-9.925154306197209</c:v>
                </c:pt>
                <c:pt idx="53">
                  <c:v>-10.151648168315388</c:v>
                </c:pt>
                <c:pt idx="54">
                  <c:v>-10.383090700799132</c:v>
                </c:pt>
                <c:pt idx="55">
                  <c:v>-10.61957479819762</c:v>
                </c:pt>
                <c:pt idx="56">
                  <c:v>-10.861194037475119</c:v>
                </c:pt>
                <c:pt idx="57">
                  <c:v>-11.108042601612063</c:v>
                </c:pt>
                <c:pt idx="58">
                  <c:v>-11.360215196351069</c:v>
                </c:pt>
                <c:pt idx="59">
                  <c:v>-11.617806959728455</c:v>
                </c:pt>
                <c:pt idx="60">
                  <c:v>-11.880913364024808</c:v>
                </c:pt>
                <c:pt idx="61">
                  <c:v>-12.149630109765058</c:v>
                </c:pt>
                <c:pt idx="62">
                  <c:v>-12.424053011393028</c:v>
                </c:pt>
                <c:pt idx="63">
                  <c:v>-12.704277874245976</c:v>
                </c:pt>
                <c:pt idx="64">
                  <c:v>-12.990400362453819</c:v>
                </c:pt>
                <c:pt idx="65">
                  <c:v>-13.282515857392326</c:v>
                </c:pt>
                <c:pt idx="66">
                  <c:v>-13.580719306326177</c:v>
                </c:pt>
                <c:pt idx="67">
                  <c:v>-13.885105060885193</c:v>
                </c:pt>
                <c:pt idx="68">
                  <c:v>-14.195766705032595</c:v>
                </c:pt>
                <c:pt idx="69">
                  <c:v>-14.512796872199146</c:v>
                </c:pt>
                <c:pt idx="70">
                  <c:v>-14.836287051278534</c:v>
                </c:pt>
                <c:pt idx="71">
                  <c:v>-15.166327381208038</c:v>
                </c:pt>
                <c:pt idx="72">
                  <c:v>-15.503006433884492</c:v>
                </c:pt>
                <c:pt idx="73">
                  <c:v>-15.846410985208065</c:v>
                </c:pt>
                <c:pt idx="74">
                  <c:v>-16.196625774085931</c:v>
                </c:pt>
                <c:pt idx="75">
                  <c:v>-16.553733249277972</c:v>
                </c:pt>
                <c:pt idx="76">
                  <c:v>-16.917813304023021</c:v>
                </c:pt>
                <c:pt idx="77">
                  <c:v>-17.288942998449116</c:v>
                </c:pt>
                <c:pt idx="78">
                  <c:v>-17.667196269839746</c:v>
                </c:pt>
                <c:pt idx="79">
                  <c:v>-18.05264363091068</c:v>
                </c:pt>
                <c:pt idx="80">
                  <c:v>-18.445351856335982</c:v>
                </c:pt>
                <c:pt idx="81">
                  <c:v>-18.845383657861866</c:v>
                </c:pt>
                <c:pt idx="82">
                  <c:v>-19.252797348447572</c:v>
                </c:pt>
                <c:pt idx="83">
                  <c:v>-19.667646495988794</c:v>
                </c:pt>
                <c:pt idx="84">
                  <c:v>-20.089979567300055</c:v>
                </c:pt>
                <c:pt idx="85">
                  <c:v>-20.519839563161597</c:v>
                </c:pt>
                <c:pt idx="86">
                  <c:v>-20.957263645376209</c:v>
                </c:pt>
                <c:pt idx="87">
                  <c:v>-21.402282756924603</c:v>
                </c:pt>
                <c:pt idx="88">
                  <c:v>-21.854921236464463</c:v>
                </c:pt>
                <c:pt idx="89">
                  <c:v>-22.315196428570207</c:v>
                </c:pt>
                <c:pt idx="90">
                  <c:v>-22.783118291279305</c:v>
                </c:pt>
                <c:pt idx="91">
                  <c:v>-23.258689002673599</c:v>
                </c:pt>
                <c:pt idx="92">
                  <c:v>-23.741902568393126</c:v>
                </c:pt>
                <c:pt idx="93">
                  <c:v>-24.23274443214704</c:v>
                </c:pt>
                <c:pt idx="94">
                  <c:v>-24.73119109145453</c:v>
                </c:pt>
                <c:pt idx="95">
                  <c:v>-25.237209721004838</c:v>
                </c:pt>
                <c:pt idx="96">
                  <c:v>-25.750757806185597</c:v>
                </c:pt>
                <c:pt idx="97">
                  <c:v>-26.271782789468293</c:v>
                </c:pt>
                <c:pt idx="98">
                  <c:v>-26.800221732474593</c:v>
                </c:pt>
                <c:pt idx="99">
                  <c:v>-27.336000996660545</c:v>
                </c:pt>
                <c:pt idx="100">
                  <c:v>-27.879035945654355</c:v>
                </c:pt>
                <c:pt idx="101">
                  <c:v>-28.429230672356134</c:v>
                </c:pt>
                <c:pt idx="102">
                  <c:v>-28.986477753957438</c:v>
                </c:pt>
                <c:pt idx="103">
                  <c:v>-29.550658038056788</c:v>
                </c:pt>
                <c:pt idx="104">
                  <c:v>-30.121640463035366</c:v>
                </c:pt>
                <c:pt idx="105">
                  <c:v>-30.699281915808424</c:v>
                </c:pt>
                <c:pt idx="106">
                  <c:v>-31.283427129982528</c:v>
                </c:pt>
                <c:pt idx="107">
                  <c:v>-31.873908627323498</c:v>
                </c:pt>
                <c:pt idx="108">
                  <c:v>-32.47054670527006</c:v>
                </c:pt>
                <c:pt idx="109">
                  <c:v>-33.073149473022674</c:v>
                </c:pt>
                <c:pt idx="110">
                  <c:v>-33.681512938477205</c:v>
                </c:pt>
                <c:pt idx="111">
                  <c:v>-34.295421147980505</c:v>
                </c:pt>
                <c:pt idx="112">
                  <c:v>-34.914646380544738</c:v>
                </c:pt>
                <c:pt idx="113">
                  <c:v>-35.538949397776989</c:v>
                </c:pt>
                <c:pt idx="114">
                  <c:v>-36.168079750365145</c:v>
                </c:pt>
                <c:pt idx="115">
                  <c:v>-36.801776141509905</c:v>
                </c:pt>
                <c:pt idx="116">
                  <c:v>-37.439766847213306</c:v>
                </c:pt>
                <c:pt idx="117">
                  <c:v>-38.081770192831975</c:v>
                </c:pt>
                <c:pt idx="118">
                  <c:v>-38.727495084781246</c:v>
                </c:pt>
                <c:pt idx="119">
                  <c:v>-39.376641595746825</c:v>
                </c:pt>
                <c:pt idx="120">
                  <c:v>-40.02890160122567</c:v>
                </c:pt>
                <c:pt idx="121">
                  <c:v>-40.683959464692677</c:v>
                </c:pt>
                <c:pt idx="122">
                  <c:v>-41.341492768168948</c:v>
                </c:pt>
                <c:pt idx="123">
                  <c:v>-42.001173084483121</c:v>
                </c:pt>
                <c:pt idx="124">
                  <c:v>-42.662666787045396</c:v>
                </c:pt>
                <c:pt idx="125">
                  <c:v>-43.32563589253877</c:v>
                </c:pt>
                <c:pt idx="126">
                  <c:v>-43.989738931549326</c:v>
                </c:pt>
                <c:pt idx="127">
                  <c:v>-44.65463184182957</c:v>
                </c:pt>
                <c:pt idx="128">
                  <c:v>-45.319968878631052</c:v>
                </c:pt>
                <c:pt idx="129">
                  <c:v>-45.985403536334132</c:v>
                </c:pt>
                <c:pt idx="130">
                  <c:v>-46.650589475466624</c:v>
                </c:pt>
                <c:pt idx="131">
                  <c:v>-47.315181449145889</c:v>
                </c:pt>
                <c:pt idx="132">
                  <c:v>-47.978836222978238</c:v>
                </c:pt>
                <c:pt idx="133">
                  <c:v>-48.641213482538291</c:v>
                </c:pt>
                <c:pt idx="134">
                  <c:v>-49.301976722686106</c:v>
                </c:pt>
                <c:pt idx="135">
                  <c:v>-49.960794113208884</c:v>
                </c:pt>
                <c:pt idx="136">
                  <c:v>-50.617339335546895</c:v>
                </c:pt>
                <c:pt idx="137">
                  <c:v>-51.271292385697407</c:v>
                </c:pt>
                <c:pt idx="138">
                  <c:v>-51.922340338782426</c:v>
                </c:pt>
                <c:pt idx="139">
                  <c:v>-52.570178071199301</c:v>
                </c:pt>
                <c:pt idx="140">
                  <c:v>-53.214508936737779</c:v>
                </c:pt>
                <c:pt idx="141">
                  <c:v>-53.855045393550135</c:v>
                </c:pt>
                <c:pt idx="142">
                  <c:v>-54.491509579374508</c:v>
                </c:pt>
                <c:pt idx="143">
                  <c:v>-55.12363383294683</c:v>
                </c:pt>
                <c:pt idx="144">
                  <c:v>-55.751161160066125</c:v>
                </c:pt>
                <c:pt idx="145">
                  <c:v>-56.373845643310233</c:v>
                </c:pt>
                <c:pt idx="146">
                  <c:v>-56.991452794912881</c:v>
                </c:pt>
                <c:pt idx="147">
                  <c:v>-57.603759852816687</c:v>
                </c:pt>
                <c:pt idx="148">
                  <c:v>-58.210556020386953</c:v>
                </c:pt>
                <c:pt idx="149">
                  <c:v>-58.811642650715299</c:v>
                </c:pt>
                <c:pt idx="150">
                  <c:v>-59.406833376854649</c:v>
                </c:pt>
                <c:pt idx="151">
                  <c:v>-59.995954189692966</c:v>
                </c:pt>
                <c:pt idx="152">
                  <c:v>-60.578843465509941</c:v>
                </c:pt>
                <c:pt idx="153">
                  <c:v>-61.155351945544126</c:v>
                </c:pt>
                <c:pt idx="154">
                  <c:v>-61.725342670144038</c:v>
                </c:pt>
                <c:pt idx="155">
                  <c:v>-62.28869087028162</c:v>
                </c:pt>
                <c:pt idx="156">
                  <c:v>-62.845283819358499</c:v>
                </c:pt>
                <c:pt idx="157">
                  <c:v>-63.395020648360919</c:v>
                </c:pt>
                <c:pt idx="158">
                  <c:v>-63.937812127491036</c:v>
                </c:pt>
                <c:pt idx="159">
                  <c:v>-64.47358041744404</c:v>
                </c:pt>
                <c:pt idx="160">
                  <c:v>-65.002258793509341</c:v>
                </c:pt>
                <c:pt idx="161">
                  <c:v>-65.523791345644909</c:v>
                </c:pt>
                <c:pt idx="162">
                  <c:v>-66.03813265762318</c:v>
                </c:pt>
                <c:pt idx="163">
                  <c:v>-66.54524746826452</c:v>
                </c:pt>
                <c:pt idx="164">
                  <c:v>-67.045110317676816</c:v>
                </c:pt>
                <c:pt idx="165">
                  <c:v>-67.537705181297582</c:v>
                </c:pt>
                <c:pt idx="166">
                  <c:v>-68.023025094403025</c:v>
                </c:pt>
                <c:pt idx="167">
                  <c:v>-68.501071769599804</c:v>
                </c:pt>
                <c:pt idx="168">
                  <c:v>-68.971855209660788</c:v>
                </c:pt>
                <c:pt idx="169">
                  <c:v>-69.435393317903007</c:v>
                </c:pt>
                <c:pt idx="170">
                  <c:v>-69.891711508139508</c:v>
                </c:pt>
                <c:pt idx="171">
                  <c:v>-70.340842316070592</c:v>
                </c:pt>
                <c:pt idx="172">
                  <c:v>-70.782825013809415</c:v>
                </c:pt>
                <c:pt idx="173">
                  <c:v>-71.217705229073502</c:v>
                </c:pt>
                <c:pt idx="174">
                  <c:v>-71.645534570412039</c:v>
                </c:pt>
                <c:pt idx="175">
                  <c:v>-72.066370259679417</c:v>
                </c:pt>
                <c:pt idx="176">
                  <c:v>-72.480274772817509</c:v>
                </c:pt>
                <c:pt idx="177">
                  <c:v>-72.887315489862445</c:v>
                </c:pt>
                <c:pt idx="178">
                  <c:v>-73.287564354958008</c:v>
                </c:pt>
                <c:pt idx="179">
                  <c:v>-73.681097547026468</c:v>
                </c:pt>
                <c:pt idx="180">
                  <c:v>-74.067995161629838</c:v>
                </c:pt>
                <c:pt idx="181">
                  <c:v>-74.448340904441238</c:v>
                </c:pt>
                <c:pt idx="182">
                  <c:v>-74.822221796645337</c:v>
                </c:pt>
                <c:pt idx="183">
                  <c:v>-75.189727892490055</c:v>
                </c:pt>
                <c:pt idx="184">
                  <c:v>-75.550952009128366</c:v>
                </c:pt>
                <c:pt idx="185">
                  <c:v>-75.905989468809622</c:v>
                </c:pt>
                <c:pt idx="186">
                  <c:v>-76.254937853410837</c:v>
                </c:pt>
                <c:pt idx="187">
                  <c:v>-76.597896771236009</c:v>
                </c:pt>
                <c:pt idx="188">
                  <c:v>-76.934967635957619</c:v>
                </c:pt>
                <c:pt idx="189">
                  <c:v>-77.266253457524883</c:v>
                </c:pt>
                <c:pt idx="190">
                  <c:v>-77.591858644822594</c:v>
                </c:pt>
                <c:pt idx="191">
                  <c:v>-77.911888819829031</c:v>
                </c:pt>
                <c:pt idx="192">
                  <c:v>-78.226450642990457</c:v>
                </c:pt>
                <c:pt idx="193">
                  <c:v>-78.535651649504757</c:v>
                </c:pt>
                <c:pt idx="194">
                  <c:v>-78.839600096186942</c:v>
                </c:pt>
                <c:pt idx="195">
                  <c:v>-79.138404818573377</c:v>
                </c:pt>
                <c:pt idx="196">
                  <c:v>-79.432175097907077</c:v>
                </c:pt>
                <c:pt idx="197">
                  <c:v>-79.721020537641223</c:v>
                </c:pt>
                <c:pt idx="198">
                  <c:v>-80.005050949089366</c:v>
                </c:pt>
                <c:pt idx="199">
                  <c:v>-80.284376245848549</c:v>
                </c:pt>
                <c:pt idx="200">
                  <c:v>-80.559106346623039</c:v>
                </c:pt>
                <c:pt idx="201">
                  <c:v>-80.829351086074425</c:v>
                </c:pt>
                <c:pt idx="202">
                  <c:v>-81.095220133331452</c:v>
                </c:pt>
                <c:pt idx="203">
                  <c:v>-81.356822917793977</c:v>
                </c:pt>
                <c:pt idx="204">
                  <c:v>-81.614268561876472</c:v>
                </c:pt>
                <c:pt idx="205">
                  <c:v>-81.867665820339084</c:v>
                </c:pt>
                <c:pt idx="206">
                  <c:v>-82.117123025867713</c:v>
                </c:pt>
                <c:pt idx="207">
                  <c:v>-82.362748040570295</c:v>
                </c:pt>
                <c:pt idx="208">
                  <c:v>-82.604648213068998</c:v>
                </c:pt>
                <c:pt idx="209">
                  <c:v>-82.842930340876478</c:v>
                </c:pt>
                <c:pt idx="210">
                  <c:v>-83.077700637757104</c:v>
                </c:pt>
                <c:pt idx="211">
                  <c:v>-83.309064705783499</c:v>
                </c:pt>
                <c:pt idx="212">
                  <c:v>-83.537127511810567</c:v>
                </c:pt>
                <c:pt idx="213">
                  <c:v>-83.761993368101329</c:v>
                </c:pt>
                <c:pt idx="214">
                  <c:v>-83.983765916847616</c:v>
                </c:pt>
                <c:pt idx="215">
                  <c:v>-84.20254811834242</c:v>
                </c:pt>
                <c:pt idx="216">
                  <c:v>-84.418442242570194</c:v>
                </c:pt>
                <c:pt idx="217">
                  <c:v>-84.631549863991523</c:v>
                </c:pt>
                <c:pt idx="218">
                  <c:v>-84.841971859310974</c:v>
                </c:pt>
                <c:pt idx="219">
                  <c:v>-85.049808408024504</c:v>
                </c:pt>
                <c:pt idx="220">
                  <c:v>-85.255158995554893</c:v>
                </c:pt>
                <c:pt idx="221">
                  <c:v>-85.458122418791703</c:v>
                </c:pt>
                <c:pt idx="222">
                  <c:v>-85.65879679386147</c:v>
                </c:pt>
                <c:pt idx="223">
                  <c:v>-85.857279565963552</c:v>
                </c:pt>
                <c:pt idx="224">
                  <c:v>-86.053667521113269</c:v>
                </c:pt>
                <c:pt idx="225">
                  <c:v>-86.248056799644672</c:v>
                </c:pt>
                <c:pt idx="226">
                  <c:v>-86.440542911330184</c:v>
                </c:pt>
                <c:pt idx="227">
                  <c:v>-86.631220751982241</c:v>
                </c:pt>
                <c:pt idx="228">
                  <c:v>-86.820184621409609</c:v>
                </c:pt>
                <c:pt idx="229">
                  <c:v>-87.007528242606469</c:v>
                </c:pt>
                <c:pt idx="230">
                  <c:v>-87.193344782057025</c:v>
                </c:pt>
                <c:pt idx="231">
                  <c:v>-87.377726871046875</c:v>
                </c:pt>
                <c:pt idx="232">
                  <c:v>-87.560766627873164</c:v>
                </c:pt>
                <c:pt idx="233">
                  <c:v>-87.742555680854792</c:v>
                </c:pt>
                <c:pt idx="234">
                  <c:v>-87.923185192043604</c:v>
                </c:pt>
                <c:pt idx="235">
                  <c:v>-88.102745881544024</c:v>
                </c:pt>
                <c:pt idx="236">
                  <c:v>-88.281328052352279</c:v>
                </c:pt>
                <c:pt idx="237">
                  <c:v>-88.459021615626142</c:v>
                </c:pt>
                <c:pt idx="238">
                  <c:v>-88.635916116303079</c:v>
                </c:pt>
                <c:pt idx="239">
                  <c:v>-88.812100758983064</c:v>
                </c:pt>
                <c:pt idx="240">
                  <c:v>-88.98766443399613</c:v>
                </c:pt>
                <c:pt idx="241">
                  <c:v>-89.162695743576805</c:v>
                </c:pt>
                <c:pt idx="242">
                  <c:v>-89.337283028065528</c:v>
                </c:pt>
                <c:pt idx="243">
                  <c:v>-89.511514392061841</c:v>
                </c:pt>
                <c:pt idx="244">
                  <c:v>-89.685477730451268</c:v>
                </c:pt>
                <c:pt idx="245">
                  <c:v>-89.85926075422978</c:v>
                </c:pt>
                <c:pt idx="246">
                  <c:v>-90.032951016047591</c:v>
                </c:pt>
                <c:pt idx="247">
                  <c:v>-90.206635935395184</c:v>
                </c:pt>
                <c:pt idx="248">
                  <c:v>-90.380402823351062</c:v>
                </c:pt>
                <c:pt idx="249">
                  <c:v>-90.554338906811552</c:v>
                </c:pt>
                <c:pt idx="250">
                  <c:v>-90.728531352118623</c:v>
                </c:pt>
                <c:pt idx="251">
                  <c:v>-90.903067288001353</c:v>
                </c:pt>
                <c:pt idx="252">
                  <c:v>-91.0780338277429</c:v>
                </c:pt>
                <c:pt idx="253">
                  <c:v>-91.253518090482203</c:v>
                </c:pt>
                <c:pt idx="254">
                  <c:v>-91.429607221555401</c:v>
                </c:pt>
                <c:pt idx="255">
                  <c:v>-91.606388411779761</c:v>
                </c:pt>
                <c:pt idx="256">
                  <c:v>-91.783948915575806</c:v>
                </c:pt>
                <c:pt idx="257">
                  <c:v>-91.962376067822831</c:v>
                </c:pt>
                <c:pt idx="258">
                  <c:v>-92.141757299332625</c:v>
                </c:pt>
                <c:pt idx="259">
                  <c:v>-92.322180150826213</c:v>
                </c:pt>
                <c:pt idx="260">
                  <c:v>-92.503732285287811</c:v>
                </c:pt>
                <c:pt idx="261">
                  <c:v>-92.686501498567608</c:v>
                </c:pt>
                <c:pt idx="262">
                  <c:v>-92.870575728095375</c:v>
                </c:pt>
                <c:pt idx="263">
                  <c:v>-93.056043059561347</c:v>
                </c:pt>
                <c:pt idx="264">
                  <c:v>-93.242991731413994</c:v>
                </c:pt>
                <c:pt idx="265">
                  <c:v>-93.431510137013461</c:v>
                </c:pt>
                <c:pt idx="266">
                  <c:v>-93.621686824274349</c:v>
                </c:pt>
                <c:pt idx="267">
                  <c:v>-93.813610492620739</c:v>
                </c:pt>
                <c:pt idx="268">
                  <c:v>-94.007369987068444</c:v>
                </c:pt>
                <c:pt idx="269">
                  <c:v>-94.203054289238537</c:v>
                </c:pt>
                <c:pt idx="270">
                  <c:v>-94.400752505097969</c:v>
                </c:pt>
                <c:pt idx="271">
                  <c:v>-94.600553849212645</c:v>
                </c:pt>
                <c:pt idx="272">
                  <c:v>-94.802547625286451</c:v>
                </c:pt>
                <c:pt idx="273">
                  <c:v>-95.006823202750994</c:v>
                </c:pt>
                <c:pt idx="274">
                  <c:v>-95.213469989159378</c:v>
                </c:pt>
                <c:pt idx="275">
                  <c:v>-95.422577398125611</c:v>
                </c:pt>
                <c:pt idx="276">
                  <c:v>-95.634234812540868</c:v>
                </c:pt>
                <c:pt idx="277">
                  <c:v>-95.848531542786631</c:v>
                </c:pt>
                <c:pt idx="278">
                  <c:v>-96.065556779654358</c:v>
                </c:pt>
                <c:pt idx="279">
                  <c:v>-96.285399541667473</c:v>
                </c:pt>
                <c:pt idx="280">
                  <c:v>-96.508148616497451</c:v>
                </c:pt>
                <c:pt idx="281">
                  <c:v>-96.733892496145756</c:v>
                </c:pt>
                <c:pt idx="282">
                  <c:v>-96.962719305564036</c:v>
                </c:pt>
                <c:pt idx="283">
                  <c:v>-97.194716724368561</c:v>
                </c:pt>
                <c:pt idx="284">
                  <c:v>-97.429971901299226</c:v>
                </c:pt>
                <c:pt idx="285">
                  <c:v>-97.668571361068146</c:v>
                </c:pt>
                <c:pt idx="286">
                  <c:v>-97.910600903231867</c:v>
                </c:pt>
                <c:pt idx="287">
                  <c:v>-98.1561454927228</c:v>
                </c:pt>
                <c:pt idx="288">
                  <c:v>-98.405289141668035</c:v>
                </c:pt>
                <c:pt idx="289">
                  <c:v>-98.658114782124201</c:v>
                </c:pt>
                <c:pt idx="290">
                  <c:v>-98.914704129358952</c:v>
                </c:pt>
                <c:pt idx="291">
                  <c:v>-99.175137535313169</c:v>
                </c:pt>
                <c:pt idx="292">
                  <c:v>-99.439493831883908</c:v>
                </c:pt>
                <c:pt idx="293">
                  <c:v>-99.707850163678856</c:v>
                </c:pt>
                <c:pt idx="294">
                  <c:v>-99.980281809906927</c:v>
                </c:pt>
                <c:pt idx="295">
                  <c:v>-100.25686199508473</c:v>
                </c:pt>
                <c:pt idx="296">
                  <c:v>-100.53766168826488</c:v>
                </c:pt>
                <c:pt idx="297">
                  <c:v>-100.82274939051446</c:v>
                </c:pt>
                <c:pt idx="298">
                  <c:v>-101.11219091040456</c:v>
                </c:pt>
                <c:pt idx="299">
                  <c:v>-101.40604912731351</c:v>
                </c:pt>
                <c:pt idx="300">
                  <c:v>-101.70438374238357</c:v>
                </c:pt>
                <c:pt idx="301">
                  <c:v>-102.00725101702629</c:v>
                </c:pt>
                <c:pt idx="302">
                  <c:v>-102.31470349892685</c:v>
                </c:pt>
                <c:pt idx="303">
                  <c:v>-102.6267897355614</c:v>
                </c:pt>
                <c:pt idx="304">
                  <c:v>-102.94355397531562</c:v>
                </c:pt>
                <c:pt idx="305">
                  <c:v>-103.26503585637271</c:v>
                </c:pt>
                <c:pt idx="306">
                  <c:v>-103.59127008362577</c:v>
                </c:pt>
                <c:pt idx="307">
                  <c:v>-103.92228609396905</c:v>
                </c:pt>
                <c:pt idx="308">
                  <c:v>-104.25810771042836</c:v>
                </c:pt>
                <c:pt idx="309">
                  <c:v>-104.59875278570512</c:v>
                </c:pt>
                <c:pt idx="310">
                  <c:v>-104.94423283583087</c:v>
                </c:pt>
                <c:pt idx="311">
                  <c:v>-105.29455266476481</c:v>
                </c:pt>
                <c:pt idx="312">
                  <c:v>-105.64970998090178</c:v>
                </c:pt>
                <c:pt idx="313">
                  <c:v>-106.00969500661142</c:v>
                </c:pt>
                <c:pt idx="314">
                  <c:v>-106.37449008207892</c:v>
                </c:pt>
                <c:pt idx="315">
                  <c:v>-106.744069264883</c:v>
                </c:pt>
                <c:pt idx="316">
                  <c:v>-107.11839792690832</c:v>
                </c:pt>
                <c:pt idx="317">
                  <c:v>-107.49743235036264</c:v>
                </c:pt>
                <c:pt idx="318">
                  <c:v>-107.88111932483838</c:v>
                </c:pt>
                <c:pt idx="319">
                  <c:v>-108.26939574752896</c:v>
                </c:pt>
                <c:pt idx="320">
                  <c:v>-108.66218822888534</c:v>
                </c:pt>
                <c:pt idx="321">
                  <c:v>-109.05941270615499</c:v>
                </c:pt>
                <c:pt idx="322">
                  <c:v>-109.46097406741319</c:v>
                </c:pt>
                <c:pt idx="323">
                  <c:v>-109.86676578884486</c:v>
                </c:pt>
                <c:pt idx="324">
                  <c:v>-110.2766695881664</c:v>
                </c:pt>
                <c:pt idx="325">
                  <c:v>-110.69055509720675</c:v>
                </c:pt>
                <c:pt idx="326">
                  <c:v>-111.10827955676521</c:v>
                </c:pt>
                <c:pt idx="327">
                  <c:v>-111.52968753694952</c:v>
                </c:pt>
                <c:pt idx="328">
                  <c:v>-111.95461068624816</c:v>
                </c:pt>
                <c:pt idx="329">
                  <c:v>-112.38286751262321</c:v>
                </c:pt>
                <c:pt idx="330">
                  <c:v>-112.81426319990349</c:v>
                </c:pt>
                <c:pt idx="331">
                  <c:v>-113.24858946272096</c:v>
                </c:pt>
                <c:pt idx="332">
                  <c:v>-113.68562444315262</c:v>
                </c:pt>
                <c:pt idx="333">
                  <c:v>-114.12513265212442</c:v>
                </c:pt>
                <c:pt idx="334">
                  <c:v>-114.56686495846174</c:v>
                </c:pt>
                <c:pt idx="335">
                  <c:v>-115.01055862828962</c:v>
                </c:pt>
                <c:pt idx="336">
                  <c:v>-115.45593741722656</c:v>
                </c:pt>
                <c:pt idx="337">
                  <c:v>-115.90271171754029</c:v>
                </c:pt>
                <c:pt idx="338">
                  <c:v>-116.35057876210995</c:v>
                </c:pt>
                <c:pt idx="339">
                  <c:v>-116.79922288665719</c:v>
                </c:pt>
                <c:pt idx="340">
                  <c:v>-117.2483158513197</c:v>
                </c:pt>
                <c:pt idx="341">
                  <c:v>-117.69751722219634</c:v>
                </c:pt>
                <c:pt idx="342">
                  <c:v>-118.14647481302347</c:v>
                </c:pt>
                <c:pt idx="343">
                  <c:v>-118.59482518665385</c:v>
                </c:pt>
                <c:pt idx="344">
                  <c:v>-119.04219421550383</c:v>
                </c:pt>
                <c:pt idx="345">
                  <c:v>-119.48819769960892</c:v>
                </c:pt>
                <c:pt idx="346">
                  <c:v>-119.93244204041022</c:v>
                </c:pt>
                <c:pt idx="347">
                  <c:v>-120.37452496787736</c:v>
                </c:pt>
                <c:pt idx="348">
                  <c:v>-120.81403631806594</c:v>
                </c:pt>
                <c:pt idx="349">
                  <c:v>-121.2505588577276</c:v>
                </c:pt>
                <c:pt idx="350">
                  <c:v>-121.6836691521345</c:v>
                </c:pt>
                <c:pt idx="351">
                  <c:v>-122.11293847186936</c:v>
                </c:pt>
                <c:pt idx="352">
                  <c:v>-122.53793373395391</c:v>
                </c:pt>
                <c:pt idx="353">
                  <c:v>-122.95821847237943</c:v>
                </c:pt>
                <c:pt idx="354">
                  <c:v>-123.37335383283212</c:v>
                </c:pt>
                <c:pt idx="355">
                  <c:v>-123.78289958621573</c:v>
                </c:pt>
                <c:pt idx="356">
                  <c:v>-124.18641515543605</c:v>
                </c:pt>
                <c:pt idx="357">
                  <c:v>-124.58346064985508</c:v>
                </c:pt>
                <c:pt idx="358">
                  <c:v>-124.97359790181854</c:v>
                </c:pt>
                <c:pt idx="359">
                  <c:v>-125.3563914997507</c:v>
                </c:pt>
                <c:pt idx="360">
                  <c:v>-125.73140981244202</c:v>
                </c:pt>
                <c:pt idx="361">
                  <c:v>-126.09822599936811</c:v>
                </c:pt>
                <c:pt idx="362">
                  <c:v>-126.45641900215261</c:v>
                </c:pt>
                <c:pt idx="363">
                  <c:v>-126.80557451259739</c:v>
                </c:pt>
                <c:pt idx="364">
                  <c:v>-127.14528591309062</c:v>
                </c:pt>
                <c:pt idx="365">
                  <c:v>-127.4751551856065</c:v>
                </c:pt>
                <c:pt idx="366">
                  <c:v>-127.79479378595146</c:v>
                </c:pt>
                <c:pt idx="367">
                  <c:v>-128.10382348040073</c:v>
                </c:pt>
                <c:pt idx="368">
                  <c:v>-128.40187714233144</c:v>
                </c:pt>
                <c:pt idx="369">
                  <c:v>-128.6885995069656</c:v>
                </c:pt>
                <c:pt idx="370">
                  <c:v>-128.96364788282071</c:v>
                </c:pt>
                <c:pt idx="371">
                  <c:v>-129.22669281894497</c:v>
                </c:pt>
                <c:pt idx="372">
                  <c:v>-129.47741872747991</c:v>
                </c:pt>
                <c:pt idx="373">
                  <c:v>-129.71552446151503</c:v>
                </c:pt>
                <c:pt idx="374">
                  <c:v>-129.94072384862611</c:v>
                </c:pt>
                <c:pt idx="375">
                  <c:v>-130.15274618082415</c:v>
                </c:pt>
                <c:pt idx="376">
                  <c:v>-130.35133666199087</c:v>
                </c:pt>
                <c:pt idx="377">
                  <c:v>-130.53625681413521</c:v>
                </c:pt>
                <c:pt idx="378">
                  <c:v>-130.70728484404248</c:v>
                </c:pt>
                <c:pt idx="379">
                  <c:v>-130.86421597205674</c:v>
                </c:pt>
                <c:pt idx="380">
                  <c:v>-131.00686272486797</c:v>
                </c:pt>
                <c:pt idx="381">
                  <c:v>-131.13505519423902</c:v>
                </c:pt>
                <c:pt idx="382">
                  <c:v>-131.24864126364093</c:v>
                </c:pt>
                <c:pt idx="383">
                  <c:v>-131.34748680472694</c:v>
                </c:pt>
                <c:pt idx="384">
                  <c:v>-131.43147584550897</c:v>
                </c:pt>
                <c:pt idx="385">
                  <c:v>-131.50051071198317</c:v>
                </c:pt>
                <c:pt idx="386">
                  <c:v>-131.55451214479172</c:v>
                </c:pt>
                <c:pt idx="387">
                  <c:v>-131.59341939232237</c:v>
                </c:pt>
                <c:pt idx="388">
                  <c:v>-131.6171902814252</c:v>
                </c:pt>
                <c:pt idx="389">
                  <c:v>-131.62580126667703</c:v>
                </c:pt>
                <c:pt idx="390">
                  <c:v>-131.619247458865</c:v>
                </c:pt>
                <c:pt idx="391">
                  <c:v>-131.59754263307804</c:v>
                </c:pt>
                <c:pt idx="392">
                  <c:v>-131.56071921650727</c:v>
                </c:pt>
                <c:pt idx="393">
                  <c:v>-131.50882825577293</c:v>
                </c:pt>
                <c:pt idx="394">
                  <c:v>-131.44193936330223</c:v>
                </c:pt>
                <c:pt idx="395">
                  <c:v>-131.36014064201558</c:v>
                </c:pt>
                <c:pt idx="396">
                  <c:v>-131.26353858731207</c:v>
                </c:pt>
                <c:pt idx="397">
                  <c:v>-131.15225796511109</c:v>
                </c:pt>
                <c:pt idx="398">
                  <c:v>-131.02644166449139</c:v>
                </c:pt>
                <c:pt idx="399">
                  <c:v>-130.88625052328896</c:v>
                </c:pt>
                <c:pt idx="400">
                  <c:v>-130.73186312487314</c:v>
                </c:pt>
                <c:pt idx="401">
                  <c:v>-130.5634755642117</c:v>
                </c:pt>
                <c:pt idx="402">
                  <c:v>-130.38130118127927</c:v>
                </c:pt>
                <c:pt idx="403">
                  <c:v>-130.1855702598483</c:v>
                </c:pt>
                <c:pt idx="404">
                  <c:v>-129.97652968973998</c:v>
                </c:pt>
                <c:pt idx="405">
                  <c:v>-129.75444259069809</c:v>
                </c:pt>
                <c:pt idx="406">
                  <c:v>-129.51958789618931</c:v>
                </c:pt>
                <c:pt idx="407">
                  <c:v>-129.27225989562518</c:v>
                </c:pt>
                <c:pt idx="408">
                  <c:v>-129.01276773374076</c:v>
                </c:pt>
                <c:pt idx="409">
                  <c:v>-128.74143486615506</c:v>
                </c:pt>
                <c:pt idx="410">
                  <c:v>-128.45859847047643</c:v>
                </c:pt>
                <c:pt idx="411">
                  <c:v>-128.16460881268884</c:v>
                </c:pt>
                <c:pt idx="412">
                  <c:v>-127.85982856897097</c:v>
                </c:pt>
                <c:pt idx="413">
                  <c:v>-127.54463210354314</c:v>
                </c:pt>
                <c:pt idx="414">
                  <c:v>-127.21940470360188</c:v>
                </c:pt>
                <c:pt idx="415">
                  <c:v>-126.88454177288921</c:v>
                </c:pt>
                <c:pt idx="416">
                  <c:v>-126.54044798593063</c:v>
                </c:pt>
                <c:pt idx="417">
                  <c:v>-126.18753640547071</c:v>
                </c:pt>
                <c:pt idx="418">
                  <c:v>-125.82622756611403</c:v>
                </c:pt>
                <c:pt idx="419">
                  <c:v>-125.4569485276451</c:v>
                </c:pt>
                <c:pt idx="420">
                  <c:v>-125.08013190193547</c:v>
                </c:pt>
                <c:pt idx="421">
                  <c:v>-124.6962148577506</c:v>
                </c:pt>
                <c:pt idx="422">
                  <c:v>-124.30563810812485</c:v>
                </c:pt>
                <c:pt idx="423">
                  <c:v>-123.90884488528371</c:v>
                </c:pt>
                <c:pt idx="424">
                  <c:v>-123.50627990834323</c:v>
                </c:pt>
                <c:pt idx="425">
                  <c:v>-123.09838834920393</c:v>
                </c:pt>
                <c:pt idx="426">
                  <c:v>-122.68561480218796</c:v>
                </c:pt>
                <c:pt idx="427">
                  <c:v>-122.2684022630138</c:v>
                </c:pt>
                <c:pt idx="428">
                  <c:v>-121.84719112270155</c:v>
                </c:pt>
                <c:pt idx="429">
                  <c:v>-121.4224181819021</c:v>
                </c:pt>
                <c:pt idx="430">
                  <c:v>-120.99451569101359</c:v>
                </c:pt>
                <c:pt idx="431">
                  <c:v>-120.56391042120561</c:v>
                </c:pt>
                <c:pt idx="432">
                  <c:v>-120.13102277121823</c:v>
                </c:pt>
                <c:pt idx="433">
                  <c:v>-119.69626591444892</c:v>
                </c:pt>
                <c:pt idx="434">
                  <c:v>-119.26004499046776</c:v>
                </c:pt>
                <c:pt idx="435">
                  <c:v>-118.82275634466917</c:v>
                </c:pt>
                <c:pt idx="436">
                  <c:v>-118.38478681930619</c:v>
                </c:pt>
                <c:pt idx="437">
                  <c:v>-117.94651309866235</c:v>
                </c:pt>
                <c:pt idx="438">
                  <c:v>-117.50830111061211</c:v>
                </c:pt>
                <c:pt idx="439">
                  <c:v>-117.0705054862929</c:v>
                </c:pt>
                <c:pt idx="440">
                  <c:v>-116.63346907909924</c:v>
                </c:pt>
                <c:pt idx="441">
                  <c:v>-116.1975225436826</c:v>
                </c:pt>
                <c:pt idx="442">
                  <c:v>-115.76298397514793</c:v>
                </c:pt>
                <c:pt idx="443">
                  <c:v>-115.33015860814355</c:v>
                </c:pt>
                <c:pt idx="444">
                  <c:v>-114.89933857508483</c:v>
                </c:pt>
                <c:pt idx="445">
                  <c:v>-114.47080272232932</c:v>
                </c:pt>
                <c:pt idx="446">
                  <c:v>-114.04481648271474</c:v>
                </c:pt>
                <c:pt idx="447">
                  <c:v>-113.62163180253114</c:v>
                </c:pt>
                <c:pt idx="448">
                  <c:v>-113.20148712066708</c:v>
                </c:pt>
                <c:pt idx="449">
                  <c:v>-112.78460739741102</c:v>
                </c:pt>
                <c:pt idx="450">
                  <c:v>-112.37120419014862</c:v>
                </c:pt>
                <c:pt idx="451">
                  <c:v>-111.96147577301988</c:v>
                </c:pt>
                <c:pt idx="452">
                  <c:v>-111.55560729744417</c:v>
                </c:pt>
                <c:pt idx="453">
                  <c:v>-111.15377099032671</c:v>
                </c:pt>
                <c:pt idx="454">
                  <c:v>-110.75612638669129</c:v>
                </c:pt>
                <c:pt idx="455">
                  <c:v>-110.36282059345477</c:v>
                </c:pt>
                <c:pt idx="456">
                  <c:v>-109.97398858106807</c:v>
                </c:pt>
                <c:pt idx="457">
                  <c:v>-109.58975349977909</c:v>
                </c:pt>
                <c:pt idx="458">
                  <c:v>-109.21022701734363</c:v>
                </c:pt>
                <c:pt idx="459">
                  <c:v>-108.83550967509235</c:v>
                </c:pt>
                <c:pt idx="460">
                  <c:v>-108.46569125937492</c:v>
                </c:pt>
                <c:pt idx="461">
                  <c:v>-108.10085118552925</c:v>
                </c:pt>
                <c:pt idx="462">
                  <c:v>-107.74105889166127</c:v>
                </c:pt>
                <c:pt idx="463">
                  <c:v>-107.38637423967938</c:v>
                </c:pt>
                <c:pt idx="464">
                  <c:v>-107.0368479211853</c:v>
                </c:pt>
                <c:pt idx="465">
                  <c:v>-106.69252186599191</c:v>
                </c:pt>
                <c:pt idx="466">
                  <c:v>-106.35342965120422</c:v>
                </c:pt>
                <c:pt idx="467">
                  <c:v>-106.01959690898474</c:v>
                </c:pt>
                <c:pt idx="468">
                  <c:v>-105.69104173127822</c:v>
                </c:pt>
                <c:pt idx="469">
                  <c:v>-105.36777506995227</c:v>
                </c:pt>
                <c:pt idx="470">
                  <c:v>-105.04980113096947</c:v>
                </c:pt>
                <c:pt idx="471">
                  <c:v>-104.73711776136597</c:v>
                </c:pt>
                <c:pt idx="472">
                  <c:v>-104.42971682796649</c:v>
                </c:pt>
                <c:pt idx="473">
                  <c:v>-104.1275845869073</c:v>
                </c:pt>
                <c:pt idx="474">
                  <c:v>-103.83070204318251</c:v>
                </c:pt>
                <c:pt idx="475">
                  <c:v>-103.53904529955142</c:v>
                </c:pt>
                <c:pt idx="476">
                  <c:v>-103.25258589427268</c:v>
                </c:pt>
                <c:pt idx="477">
                  <c:v>-102.97129112723781</c:v>
                </c:pt>
                <c:pt idx="478">
                  <c:v>-102.69512437418399</c:v>
                </c:pt>
                <c:pt idx="479">
                  <c:v>-102.42404538875715</c:v>
                </c:pt>
                <c:pt idx="480">
                  <c:v>-102.15801059228789</c:v>
                </c:pt>
                <c:pt idx="481">
                  <c:v>-101.89697335121438</c:v>
                </c:pt>
                <c:pt idx="482">
                  <c:v>-101.64088424216135</c:v>
                </c:pt>
                <c:pt idx="483">
                  <c:v>-101.38969130474543</c:v>
                </c:pt>
                <c:pt idx="484">
                  <c:v>-101.1433402822304</c:v>
                </c:pt>
                <c:pt idx="485">
                  <c:v>-100.90177485020672</c:v>
                </c:pt>
                <c:pt idx="486">
                  <c:v>-100.66493683350949</c:v>
                </c:pt>
                <c:pt idx="487">
                  <c:v>-100.43276641162569</c:v>
                </c:pt>
                <c:pt idx="488">
                  <c:v>-100.20520231287335</c:v>
                </c:pt>
                <c:pt idx="489">
                  <c:v>-99.98218199765671</c:v>
                </c:pt>
                <c:pt idx="490">
                  <c:v>-99.763641831125923</c:v>
                </c:pt>
                <c:pt idx="491">
                  <c:v>-99.549517245583829</c:v>
                </c:pt>
                <c:pt idx="492">
                  <c:v>-99.339742892995346</c:v>
                </c:pt>
                <c:pt idx="493">
                  <c:v>-99.134252787964058</c:v>
                </c:pt>
                <c:pt idx="494">
                  <c:v>-98.932980441545723</c:v>
                </c:pt>
                <c:pt idx="495">
                  <c:v>-98.735858986272575</c:v>
                </c:pt>
                <c:pt idx="496">
                  <c:v>-98.542821292761786</c:v>
                </c:pt>
                <c:pt idx="497">
                  <c:v>-98.353800078280045</c:v>
                </c:pt>
                <c:pt idx="498">
                  <c:v>-98.168728007633575</c:v>
                </c:pt>
                <c:pt idx="499">
                  <c:v>-97.987537786747026</c:v>
                </c:pt>
                <c:pt idx="500">
                  <c:v>-97.810162249287686</c:v>
                </c:pt>
                <c:pt idx="501">
                  <c:v>-97.636534436685906</c:v>
                </c:pt>
                <c:pt idx="502">
                  <c:v>-97.466587671891034</c:v>
                </c:pt>
                <c:pt idx="503">
                  <c:v>-97.300255627196194</c:v>
                </c:pt>
                <c:pt idx="504">
                  <c:v>-97.137472386451535</c:v>
                </c:pt>
                <c:pt idx="505">
                  <c:v>-96.978172501978662</c:v>
                </c:pt>
                <c:pt idx="506">
                  <c:v>-96.822291046484736</c:v>
                </c:pt>
                <c:pt idx="507">
                  <c:v>-96.669763660266483</c:v>
                </c:pt>
                <c:pt idx="508">
                  <c:v>-96.520526593980946</c:v>
                </c:pt>
                <c:pt idx="509">
                  <c:v>-96.374516747249629</c:v>
                </c:pt>
                <c:pt idx="510">
                  <c:v>-96.231671703350401</c:v>
                </c:pt>
                <c:pt idx="511">
                  <c:v>-96.091929760242323</c:v>
                </c:pt>
                <c:pt idx="512">
                  <c:v>-95.955229958153211</c:v>
                </c:pt>
                <c:pt idx="513">
                  <c:v>-95.821512103954646</c:v>
                </c:pt>
                <c:pt idx="514">
                  <c:v>-95.690716792532498</c:v>
                </c:pt>
                <c:pt idx="515">
                  <c:v>-95.562785425355372</c:v>
                </c:pt>
                <c:pt idx="516">
                  <c:v>-95.437660226429472</c:v>
                </c:pt>
                <c:pt idx="517">
                  <c:v>-95.315284255821183</c:v>
                </c:pt>
                <c:pt idx="518">
                  <c:v>-95.195601420917569</c:v>
                </c:pt>
                <c:pt idx="519">
                  <c:v>-95.07855648558612</c:v>
                </c:pt>
                <c:pt idx="520">
                  <c:v>-94.964095077386332</c:v>
                </c:pt>
                <c:pt idx="521">
                  <c:v>-94.852163692976958</c:v>
                </c:pt>
                <c:pt idx="522">
                  <c:v>-94.742709701854551</c:v>
                </c:pt>
                <c:pt idx="523">
                  <c:v>-94.6356813485515</c:v>
                </c:pt>
                <c:pt idx="524">
                  <c:v>-94.531027753412801</c:v>
                </c:pt>
                <c:pt idx="525">
                  <c:v>-94.428698912065883</c:v>
                </c:pt>
                <c:pt idx="526">
                  <c:v>-94.328645693689111</c:v>
                </c:pt>
                <c:pt idx="527">
                  <c:v>-94.230819838178363</c:v>
                </c:pt>
                <c:pt idx="528">
                  <c:v>-94.135173952306175</c:v>
                </c:pt>
                <c:pt idx="529">
                  <c:v>-94.04166150495935</c:v>
                </c:pt>
                <c:pt idx="530">
                  <c:v>-93.950236821539406</c:v>
                </c:pt>
                <c:pt idx="531">
                  <c:v>-93.86085507760059</c:v>
                </c:pt>
                <c:pt idx="532">
                  <c:v>-93.773472291797887</c:v>
                </c:pt>
                <c:pt idx="533">
                  <c:v>-93.688045318212303</c:v>
                </c:pt>
                <c:pt idx="534">
                  <c:v>-93.604531838115534</c:v>
                </c:pt>
                <c:pt idx="535">
                  <c:v>-93.522890351232192</c:v>
                </c:pt>
                <c:pt idx="536">
                  <c:v>-93.443080166554779</c:v>
                </c:pt>
                <c:pt idx="537">
                  <c:v>-93.365061392760097</c:v>
                </c:pt>
                <c:pt idx="538">
                  <c:v>-93.288794928276204</c:v>
                </c:pt>
                <c:pt idx="539">
                  <c:v>-93.21424245104221</c:v>
                </c:pt>
                <c:pt idx="540">
                  <c:v>-93.141366408001659</c:v>
                </c:pt>
                <c:pt idx="541">
                  <c:v>-93.070130004367286</c:v>
                </c:pt>
              </c:numCache>
            </c:numRef>
          </c:yVal>
          <c:smooth val="1"/>
          <c:extLst>
            <c:ext xmlns:c16="http://schemas.microsoft.com/office/drawing/2014/chart" uri="{C3380CC4-5D6E-409C-BE32-E72D297353CC}">
              <c16:uniqueId val="{00000001-AD4D-45E6-8C83-628FF672E0A1}"/>
            </c:ext>
          </c:extLst>
        </c:ser>
        <c:dLbls>
          <c:showLegendKey val="0"/>
          <c:showVal val="0"/>
          <c:showCatName val="0"/>
          <c:showSerName val="0"/>
          <c:showPercent val="0"/>
          <c:showBubbleSize val="0"/>
        </c:dLbls>
        <c:axId val="555313792"/>
        <c:axId val="555312256"/>
      </c:scatterChart>
      <c:valAx>
        <c:axId val="55530406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305984"/>
        <c:crosses val="autoZero"/>
        <c:crossBetween val="midCat"/>
      </c:valAx>
      <c:valAx>
        <c:axId val="555305984"/>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304064"/>
        <c:crosses val="autoZero"/>
        <c:crossBetween val="midCat"/>
        <c:majorUnit val="20"/>
        <c:minorUnit val="10"/>
      </c:valAx>
      <c:valAx>
        <c:axId val="555312256"/>
        <c:scaling>
          <c:orientation val="minMax"/>
          <c:max val="180"/>
          <c:min val="-180"/>
        </c:scaling>
        <c:delete val="0"/>
        <c:axPos val="r"/>
        <c:numFmt formatCode="General" sourceLinked="1"/>
        <c:majorTickMark val="out"/>
        <c:minorTickMark val="none"/>
        <c:tickLblPos val="nextTo"/>
        <c:crossAx val="555313792"/>
        <c:crosses val="max"/>
        <c:crossBetween val="midCat"/>
        <c:majorUnit val="90"/>
        <c:minorUnit val="45"/>
      </c:valAx>
      <c:valAx>
        <c:axId val="555313792"/>
        <c:scaling>
          <c:logBase val="10"/>
          <c:orientation val="minMax"/>
        </c:scaling>
        <c:delete val="1"/>
        <c:axPos val="b"/>
        <c:numFmt formatCode="0.00" sourceLinked="1"/>
        <c:majorTickMark val="out"/>
        <c:minorTickMark val="none"/>
        <c:tickLblPos val="nextTo"/>
        <c:crossAx val="555312256"/>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DCM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Loop_Modeling!$BM$19:$BM$560</c:f>
              <c:numCache>
                <c:formatCode>0.000</c:formatCode>
                <c:ptCount val="542"/>
                <c:pt idx="0">
                  <c:v>61.410831138021209</c:v>
                </c:pt>
                <c:pt idx="1">
                  <c:v>61.211010865428896</c:v>
                </c:pt>
                <c:pt idx="2">
                  <c:v>61.011199004953184</c:v>
                </c:pt>
                <c:pt idx="3">
                  <c:v>60.811395947462678</c:v>
                </c:pt>
                <c:pt idx="4">
                  <c:v>60.611602101713046</c:v>
                </c:pt>
                <c:pt idx="5">
                  <c:v>60.411817895138959</c:v>
                </c:pt>
                <c:pt idx="6">
                  <c:v>60.212043774678897</c:v>
                </c:pt>
                <c:pt idx="7">
                  <c:v>60.01228020763341</c:v>
                </c:pt>
                <c:pt idx="8">
                  <c:v>59.812527682557864</c:v>
                </c:pt>
                <c:pt idx="9">
                  <c:v>59.612786710191187</c:v>
                </c:pt>
                <c:pt idx="10">
                  <c:v>59.413057824422033</c:v>
                </c:pt>
                <c:pt idx="11">
                  <c:v>59.213341583291466</c:v>
                </c:pt>
                <c:pt idx="12">
                  <c:v>59.013638570036576</c:v>
                </c:pt>
                <c:pt idx="13">
                  <c:v>58.813949394172795</c:v>
                </c:pt>
                <c:pt idx="14">
                  <c:v>58.614274692618366</c:v>
                </c:pt>
                <c:pt idx="15">
                  <c:v>58.414615130860341</c:v>
                </c:pt>
                <c:pt idx="16">
                  <c:v>58.214971404164864</c:v>
                </c:pt>
                <c:pt idx="17">
                  <c:v>58.015344238830281</c:v>
                </c:pt>
                <c:pt idx="18">
                  <c:v>57.815734393487233</c:v>
                </c:pt>
                <c:pt idx="19">
                  <c:v>57.616142660442776</c:v>
                </c:pt>
                <c:pt idx="20">
                  <c:v>57.416569867073513</c:v>
                </c:pt>
                <c:pt idx="21">
                  <c:v>57.217016877263362</c:v>
                </c:pt>
                <c:pt idx="22">
                  <c:v>57.017484592892984</c:v>
                </c:pt>
                <c:pt idx="23">
                  <c:v>56.817973955374541</c:v>
                </c:pt>
                <c:pt idx="24">
                  <c:v>56.618485947237588</c:v>
                </c:pt>
                <c:pt idx="25">
                  <c:v>56.419021593762714</c:v>
                </c:pt>
                <c:pt idx="26">
                  <c:v>56.219581964665636</c:v>
                </c:pt>
                <c:pt idx="27">
                  <c:v>56.020168175829063</c:v>
                </c:pt>
                <c:pt idx="28">
                  <c:v>55.820781391084616</c:v>
                </c:pt>
                <c:pt idx="29">
                  <c:v>55.621422824041097</c:v>
                </c:pt>
                <c:pt idx="30">
                  <c:v>55.422093739961362</c:v>
                </c:pt>
                <c:pt idx="31">
                  <c:v>55.222795457684512</c:v>
                </c:pt>
                <c:pt idx="32">
                  <c:v>55.023529351592799</c:v>
                </c:pt>
                <c:pt idx="33">
                  <c:v>54.824296853620055</c:v>
                </c:pt>
                <c:pt idx="34">
                  <c:v>54.625099455302539</c:v>
                </c:pt>
                <c:pt idx="35">
                  <c:v>54.425938709864283</c:v>
                </c:pt>
                <c:pt idx="36">
                  <c:v>54.226816234339324</c:v>
                </c:pt>
                <c:pt idx="37">
                  <c:v>54.027733711722661</c:v>
                </c:pt>
                <c:pt idx="38">
                  <c:v>53.828692893147625</c:v>
                </c:pt>
                <c:pt idx="39">
                  <c:v>53.629695600084879</c:v>
                </c:pt>
                <c:pt idx="40">
                  <c:v>53.430743726554859</c:v>
                </c:pt>
                <c:pt idx="41">
                  <c:v>53.231839241350862</c:v>
                </c:pt>
                <c:pt idx="42">
                  <c:v>53.032984190262447</c:v>
                </c:pt>
                <c:pt idx="43">
                  <c:v>52.834180698291171</c:v>
                </c:pt>
                <c:pt idx="44">
                  <c:v>52.635430971851456</c:v>
                </c:pt>
                <c:pt idx="45">
                  <c:v>52.436737300944912</c:v>
                </c:pt>
                <c:pt idx="46">
                  <c:v>52.238102061294569</c:v>
                </c:pt>
                <c:pt idx="47">
                  <c:v>52.039527716432232</c:v>
                </c:pt>
                <c:pt idx="48">
                  <c:v>51.841016819718988</c:v>
                </c:pt>
                <c:pt idx="49">
                  <c:v>51.642572016286891</c:v>
                </c:pt>
                <c:pt idx="50">
                  <c:v>51.444196044884634</c:v>
                </c:pt>
                <c:pt idx="51">
                  <c:v>51.245891739609412</c:v>
                </c:pt>
                <c:pt idx="52">
                  <c:v>51.047662031504075</c:v>
                </c:pt>
                <c:pt idx="53">
                  <c:v>50.849509949998861</c:v>
                </c:pt>
                <c:pt idx="54">
                  <c:v>50.651438624175604</c:v>
                </c:pt>
                <c:pt idx="55">
                  <c:v>50.453451283826624</c:v>
                </c:pt>
                <c:pt idx="56">
                  <c:v>50.255551260284825</c:v>
                </c:pt>
                <c:pt idx="57">
                  <c:v>50.057741986993769</c:v>
                </c:pt>
                <c:pt idx="58">
                  <c:v>49.860026999787706</c:v>
                </c:pt>
                <c:pt idx="59">
                  <c:v>49.662409936849123</c:v>
                </c:pt>
                <c:pt idx="60">
                  <c:v>49.464894538308357</c:v>
                </c:pt>
                <c:pt idx="61">
                  <c:v>49.267484645448832</c:v>
                </c:pt>
                <c:pt idx="62">
                  <c:v>49.070184199479677</c:v>
                </c:pt>
                <c:pt idx="63">
                  <c:v>48.872997239832756</c:v>
                </c:pt>
                <c:pt idx="64">
                  <c:v>48.675927901944547</c:v>
                </c:pt>
                <c:pt idx="65">
                  <c:v>48.478980414476013</c:v>
                </c:pt>
                <c:pt idx="66">
                  <c:v>48.282159095925309</c:v>
                </c:pt>
                <c:pt idx="67">
                  <c:v>48.085468350586247</c:v>
                </c:pt>
                <c:pt idx="68">
                  <c:v>47.888912663802913</c:v>
                </c:pt>
                <c:pt idx="69">
                  <c:v>47.692496596471614</c:v>
                </c:pt>
                <c:pt idx="70">
                  <c:v>47.496224778740171</c:v>
                </c:pt>
                <c:pt idx="71">
                  <c:v>47.300101902853157</c:v>
                </c:pt>
                <c:pt idx="72">
                  <c:v>47.104132715094387</c:v>
                </c:pt>
                <c:pt idx="73">
                  <c:v>46.908322006777119</c:v>
                </c:pt>
                <c:pt idx="74">
                  <c:v>46.712674604232717</c:v>
                </c:pt>
                <c:pt idx="75">
                  <c:v>46.51719535775505</c:v>
                </c:pt>
                <c:pt idx="76">
                  <c:v>46.321889129455073</c:v>
                </c:pt>
                <c:pt idx="77">
                  <c:v>46.126760779987485</c:v>
                </c:pt>
                <c:pt idx="78">
                  <c:v>45.931815154115576</c:v>
                </c:pt>
                <c:pt idx="79">
                  <c:v>45.737057065083881</c:v>
                </c:pt>
                <c:pt idx="80">
                  <c:v>45.54249127777738</c:v>
                </c:pt>
                <c:pt idx="81">
                  <c:v>45.348122490652116</c:v>
                </c:pt>
                <c:pt idx="82">
                  <c:v>45.153955316430995</c:v>
                </c:pt>
                <c:pt idx="83">
                  <c:v>44.959994261570046</c:v>
                </c:pt>
                <c:pt idx="84">
                  <c:v>44.766243704509698</c:v>
                </c:pt>
                <c:pt idx="85">
                  <c:v>44.572707872740416</c:v>
                </c:pt>
                <c:pt idx="86">
                  <c:v>44.379390818723138</c:v>
                </c:pt>
                <c:pt idx="87">
                  <c:v>44.186296394724238</c:v>
                </c:pt>
                <c:pt idx="88">
                  <c:v>43.993428226634947</c:v>
                </c:pt>
                <c:pt idx="89">
                  <c:v>43.800789686869599</c:v>
                </c:pt>
                <c:pt idx="90">
                  <c:v>43.60838386644896</c:v>
                </c:pt>
                <c:pt idx="91">
                  <c:v>43.416213546398581</c:v>
                </c:pt>
                <c:pt idx="92">
                  <c:v>43.224281168607689</c:v>
                </c:pt>
                <c:pt idx="93">
                  <c:v>43.032588806320206</c:v>
                </c:pt>
                <c:pt idx="94">
                  <c:v>42.841138134442275</c:v>
                </c:pt>
                <c:pt idx="95">
                  <c:v>42.649930399876368</c:v>
                </c:pt>
                <c:pt idx="96">
                  <c:v>42.458966392110113</c:v>
                </c:pt>
                <c:pt idx="97">
                  <c:v>42.268246414303576</c:v>
                </c:pt>
                <c:pt idx="98">
                  <c:v>42.077770255141971</c:v>
                </c:pt>
                <c:pt idx="99">
                  <c:v>41.887537161728396</c:v>
                </c:pt>
                <c:pt idx="100">
                  <c:v>41.697545813811594</c:v>
                </c:pt>
                <c:pt idx="101">
                  <c:v>41.50779429964998</c:v>
                </c:pt>
                <c:pt idx="102">
                  <c:v>41.318280093819837</c:v>
                </c:pt>
                <c:pt idx="103">
                  <c:v>41.129000037283575</c:v>
                </c:pt>
                <c:pt idx="104">
                  <c:v>40.939950320028004</c:v>
                </c:pt>
                <c:pt idx="105">
                  <c:v>40.751126466580786</c:v>
                </c:pt>
                <c:pt idx="106">
                  <c:v>40.562523324703534</c:v>
                </c:pt>
                <c:pt idx="107">
                  <c:v>40.374135057542652</c:v>
                </c:pt>
                <c:pt idx="108">
                  <c:v>40.185955139503065</c:v>
                </c:pt>
                <c:pt idx="109">
                  <c:v>39.99797635607942</c:v>
                </c:pt>
                <c:pt idx="110">
                  <c:v>39.810190807853573</c:v>
                </c:pt>
                <c:pt idx="111">
                  <c:v>39.622589918828311</c:v>
                </c:pt>
                <c:pt idx="112">
                  <c:v>39.435164449228694</c:v>
                </c:pt>
                <c:pt idx="113">
                  <c:v>39.24790451285488</c:v>
                </c:pt>
                <c:pt idx="114">
                  <c:v>39.060799599024925</c:v>
                </c:pt>
                <c:pt idx="115">
                  <c:v>38.873838599090988</c:v>
                </c:pt>
                <c:pt idx="116">
                  <c:v>38.687009837460486</c:v>
                </c:pt>
                <c:pt idx="117">
                  <c:v>38.500301106995337</c:v>
                </c:pt>
                <c:pt idx="118">
                  <c:v>38.313699708608837</c:v>
                </c:pt>
                <c:pt idx="119">
                  <c:v>38.127192494822594</c:v>
                </c:pt>
                <c:pt idx="120">
                  <c:v>37.94076591699033</c:v>
                </c:pt>
                <c:pt idx="121">
                  <c:v>37.754406075847967</c:v>
                </c:pt>
                <c:pt idx="122">
                  <c:v>37.56809877499655</c:v>
                </c:pt>
                <c:pt idx="123">
                  <c:v>37.381829576887398</c:v>
                </c:pt>
                <c:pt idx="124">
                  <c:v>37.195583860835214</c:v>
                </c:pt>
                <c:pt idx="125">
                  <c:v>37.00934688256168</c:v>
                </c:pt>
                <c:pt idx="126">
                  <c:v>36.823103834741985</c:v>
                </c:pt>
                <c:pt idx="127">
                  <c:v>36.636839908016441</c:v>
                </c:pt>
                <c:pt idx="128">
                  <c:v>36.450540351917567</c:v>
                </c:pt>
                <c:pt idx="129">
                  <c:v>36.264190535168886</c:v>
                </c:pt>
                <c:pt idx="130">
                  <c:v>36.077776004815398</c:v>
                </c:pt>
                <c:pt idx="131">
                  <c:v>35.891282543667792</c:v>
                </c:pt>
                <c:pt idx="132">
                  <c:v>35.704696225564291</c:v>
                </c:pt>
                <c:pt idx="133">
                  <c:v>35.518003467988009</c:v>
                </c:pt>
                <c:pt idx="134">
                  <c:v>35.331191081614001</c:v>
                </c:pt>
                <c:pt idx="135">
                  <c:v>35.14424631640788</c:v>
                </c:pt>
                <c:pt idx="136">
                  <c:v>34.957156903940586</c:v>
                </c:pt>
                <c:pt idx="137">
                  <c:v>34.769911095643053</c:v>
                </c:pt>
                <c:pt idx="138">
                  <c:v>34.582497696773046</c:v>
                </c:pt>
                <c:pt idx="139">
                  <c:v>34.394906095925428</c:v>
                </c:pt>
                <c:pt idx="140">
                  <c:v>34.207126289972976</c:v>
                </c:pt>
                <c:pt idx="141">
                  <c:v>34.019148904378952</c:v>
                </c:pt>
                <c:pt idx="142">
                  <c:v>33.830965208879661</c:v>
                </c:pt>
                <c:pt idx="143">
                  <c:v>33.642567128581049</c:v>
                </c:pt>
                <c:pt idx="144">
                  <c:v>33.453947250567175</c:v>
                </c:pt>
                <c:pt idx="145">
                  <c:v>33.265098826158251</c:v>
                </c:pt>
                <c:pt idx="146">
                  <c:v>33.076015768996385</c:v>
                </c:pt>
                <c:pt idx="147">
                  <c:v>32.886692649172545</c:v>
                </c:pt>
                <c:pt idx="148">
                  <c:v>32.697124683636389</c:v>
                </c:pt>
                <c:pt idx="149">
                  <c:v>32.507307723154796</c:v>
                </c:pt>
                <c:pt idx="150">
                  <c:v>32.317238236104579</c:v>
                </c:pt>
                <c:pt idx="151">
                  <c:v>32.126913289397415</c:v>
                </c:pt>
                <c:pt idx="152">
                  <c:v>31.936330526843403</c:v>
                </c:pt>
                <c:pt idx="153">
                  <c:v>31.745488145265629</c:v>
                </c:pt>
                <c:pt idx="154">
                  <c:v>31.554384868673601</c:v>
                </c:pt>
                <c:pt idx="155">
                  <c:v>31.363019920802472</c:v>
                </c:pt>
                <c:pt idx="156">
                  <c:v>31.171392996316282</c:v>
                </c:pt>
                <c:pt idx="157">
                  <c:v>30.979504230958938</c:v>
                </c:pt>
                <c:pt idx="158">
                  <c:v>30.787354170928868</c:v>
                </c:pt>
                <c:pt idx="159">
                  <c:v>30.594943741729953</c:v>
                </c:pt>
                <c:pt idx="160">
                  <c:v>30.402274216741375</c:v>
                </c:pt>
                <c:pt idx="161">
                  <c:v>30.209347185722748</c:v>
                </c:pt>
                <c:pt idx="162">
                  <c:v>30.016164523457878</c:v>
                </c:pt>
                <c:pt idx="163">
                  <c:v>29.822728358714524</c:v>
                </c:pt>
                <c:pt idx="164">
                  <c:v>29.629041043680786</c:v>
                </c:pt>
                <c:pt idx="165">
                  <c:v>29.435105124017454</c:v>
                </c:pt>
                <c:pt idx="166">
                  <c:v>29.240923309646327</c:v>
                </c:pt>
                <c:pt idx="167">
                  <c:v>29.046498446373356</c:v>
                </c:pt>
                <c:pt idx="168">
                  <c:v>28.851833488430785</c:v>
                </c:pt>
                <c:pt idx="169">
                  <c:v>28.65693147200281</c:v>
                </c:pt>
                <c:pt idx="170">
                  <c:v>28.461795489782293</c:v>
                </c:pt>
                <c:pt idx="171">
                  <c:v>28.266428666594795</c:v>
                </c:pt>
                <c:pt idx="172">
                  <c:v>28.070834136108065</c:v>
                </c:pt>
                <c:pt idx="173">
                  <c:v>27.87501501863575</c:v>
                </c:pt>
                <c:pt idx="174">
                  <c:v>27.678974400031606</c:v>
                </c:pt>
                <c:pt idx="175">
                  <c:v>27.482715311660936</c:v>
                </c:pt>
                <c:pt idx="176">
                  <c:v>27.286240711426331</c:v>
                </c:pt>
                <c:pt idx="177">
                  <c:v>27.089553465818781</c:v>
                </c:pt>
                <c:pt idx="178">
                  <c:v>26.892656332957372</c:v>
                </c:pt>
                <c:pt idx="179">
                  <c:v>26.695551946575002</c:v>
                </c:pt>
                <c:pt idx="180">
                  <c:v>26.498242800905135</c:v>
                </c:pt>
                <c:pt idx="181">
                  <c:v>26.300731236418446</c:v>
                </c:pt>
                <c:pt idx="182">
                  <c:v>26.103019426357271</c:v>
                </c:pt>
                <c:pt idx="183">
                  <c:v>25.905109364012141</c:v>
                </c:pt>
                <c:pt idx="184">
                  <c:v>25.707002850685047</c:v>
                </c:pt>
                <c:pt idx="185">
                  <c:v>25.508701484281801</c:v>
                </c:pt>
                <c:pt idx="186">
                  <c:v>25.310206648475919</c:v>
                </c:pt>
                <c:pt idx="187">
                  <c:v>25.111519502388205</c:v>
                </c:pt>
                <c:pt idx="188">
                  <c:v>24.912640970722538</c:v>
                </c:pt>
                <c:pt idx="189">
                  <c:v>24.713571734306036</c:v>
                </c:pt>
                <c:pt idx="190">
                  <c:v>24.514312220975771</c:v>
                </c:pt>
                <c:pt idx="191">
                  <c:v>24.31486259676106</c:v>
                </c:pt>
                <c:pt idx="192">
                  <c:v>24.115222757309539</c:v>
                </c:pt>
                <c:pt idx="193">
                  <c:v>23.915392319507198</c:v>
                </c:pt>
                <c:pt idx="194">
                  <c:v>23.715370613245618</c:v>
                </c:pt>
                <c:pt idx="195">
                  <c:v>23.515156673291049</c:v>
                </c:pt>
                <c:pt idx="196">
                  <c:v>23.314749231211511</c:v>
                </c:pt>
                <c:pt idx="197">
                  <c:v>23.11414670732232</c:v>
                </c:pt>
                <c:pt idx="198">
                  <c:v>22.913347202610808</c:v>
                </c:pt>
                <c:pt idx="199">
                  <c:v>22.712348490604136</c:v>
                </c:pt>
                <c:pt idx="200">
                  <c:v>22.511148009147171</c:v>
                </c:pt>
                <c:pt idx="201">
                  <c:v>22.309742852059046</c:v>
                </c:pt>
                <c:pt idx="202">
                  <c:v>22.108129760638896</c:v>
                </c:pt>
                <c:pt idx="203">
                  <c:v>21.906305114996208</c:v>
                </c:pt>
                <c:pt idx="204">
                  <c:v>21.704264925180912</c:v>
                </c:pt>
                <c:pt idx="205">
                  <c:v>21.502004822091898</c:v>
                </c:pt>
                <c:pt idx="206">
                  <c:v>21.299520048148498</c:v>
                </c:pt>
                <c:pt idx="207">
                  <c:v>21.096805447703627</c:v>
                </c:pt>
                <c:pt idx="208">
                  <c:v>20.893855457192597</c:v>
                </c:pt>
                <c:pt idx="209">
                  <c:v>20.690664095001701</c:v>
                </c:pt>
                <c:pt idx="210">
                  <c:v>20.48722495105212</c:v>
                </c:pt>
                <c:pt idx="211">
                  <c:v>20.283531176095178</c:v>
                </c:pt>
                <c:pt idx="212">
                  <c:v>20.079575470716328</c:v>
                </c:pt>
                <c:pt idx="213">
                  <c:v>19.875350074051926</c:v>
                </c:pt>
                <c:pt idx="214">
                  <c:v>19.670846752222786</c:v>
                </c:pt>
                <c:pt idx="215">
                  <c:v>19.466056786494732</c:v>
                </c:pt>
                <c:pt idx="216">
                  <c:v>19.260970961178792</c:v>
                </c:pt>
                <c:pt idx="217">
                  <c:v>19.055579551288407</c:v>
                </c:pt>
                <c:pt idx="218">
                  <c:v>18.849872309973399</c:v>
                </c:pt>
                <c:pt idx="219">
                  <c:v>18.643838455758406</c:v>
                </c:pt>
                <c:pt idx="220">
                  <c:v>18.437466659613708</c:v>
                </c:pt>
                <c:pt idx="221">
                  <c:v>18.230745031894404</c:v>
                </c:pt>
                <c:pt idx="222">
                  <c:v>18.023661109189149</c:v>
                </c:pt>
                <c:pt idx="223">
                  <c:v>17.816201841122478</c:v>
                </c:pt>
                <c:pt idx="224">
                  <c:v>17.608353577162625</c:v>
                </c:pt>
                <c:pt idx="225">
                  <c:v>17.400102053493896</c:v>
                </c:pt>
                <c:pt idx="226">
                  <c:v>17.191432380014692</c:v>
                </c:pt>
                <c:pt idx="227">
                  <c:v>16.982329027534792</c:v>
                </c:pt>
                <c:pt idx="228">
                  <c:v>16.772775815247641</c:v>
                </c:pt>
                <c:pt idx="229">
                  <c:v>16.562755898562685</c:v>
                </c:pt>
                <c:pt idx="230">
                  <c:v>16.352251757391247</c:v>
                </c:pt>
                <c:pt idx="231">
                  <c:v>16.141245184985262</c:v>
                </c:pt>
                <c:pt idx="232">
                  <c:v>15.929717277438158</c:v>
                </c:pt>
                <c:pt idx="233">
                  <c:v>15.717648423964869</c:v>
                </c:pt>
                <c:pt idx="234">
                  <c:v>15.505018298084138</c:v>
                </c:pt>
                <c:pt idx="235">
                  <c:v>15.291805849841749</c:v>
                </c:pt>
                <c:pt idx="236">
                  <c:v>15.077989299211366</c:v>
                </c:pt>
                <c:pt idx="237">
                  <c:v>14.863546130830233</c:v>
                </c:pt>
                <c:pt idx="238">
                  <c:v>14.648453090225448</c:v>
                </c:pt>
                <c:pt idx="239">
                  <c:v>14.432686181701854</c:v>
                </c:pt>
                <c:pt idx="240">
                  <c:v>14.216220668067674</c:v>
                </c:pt>
                <c:pt idx="241">
                  <c:v>13.999031072381062</c:v>
                </c:pt>
                <c:pt idx="242">
                  <c:v>13.781091181913212</c:v>
                </c:pt>
                <c:pt idx="243">
                  <c:v>13.562374054521397</c:v>
                </c:pt>
                <c:pt idx="244">
                  <c:v>13.342852027641101</c:v>
                </c:pt>
                <c:pt idx="245">
                  <c:v>13.122496730103189</c:v>
                </c:pt>
                <c:pt idx="246">
                  <c:v>12.90127909699101</c:v>
                </c:pt>
                <c:pt idx="247">
                  <c:v>12.679169387751582</c:v>
                </c:pt>
                <c:pt idx="248">
                  <c:v>12.456137207778031</c:v>
                </c:pt>
                <c:pt idx="249">
                  <c:v>12.232151533676648</c:v>
                </c:pt>
                <c:pt idx="250">
                  <c:v>12.007180742432704</c:v>
                </c:pt>
                <c:pt idx="251">
                  <c:v>11.781192644681171</c:v>
                </c:pt>
                <c:pt idx="252">
                  <c:v>11.554154522281266</c:v>
                </c:pt>
                <c:pt idx="253">
                  <c:v>11.326033170384488</c:v>
                </c:pt>
                <c:pt idx="254">
                  <c:v>11.096794944174137</c:v>
                </c:pt>
                <c:pt idx="255">
                  <c:v>10.86640581043306</c:v>
                </c:pt>
                <c:pt idx="256">
                  <c:v>10.634831404085235</c:v>
                </c:pt>
                <c:pt idx="257">
                  <c:v>10.40203708982583</c:v>
                </c:pt>
                <c:pt idx="258">
                  <c:v>10.167988028936396</c:v>
                </c:pt>
                <c:pt idx="259">
                  <c:v>9.9326492513459037</c:v>
                </c:pt>
                <c:pt idx="260">
                  <c:v>9.6959857329710228</c:v>
                </c:pt>
                <c:pt idx="261">
                  <c:v>9.4579624783275857</c:v>
                </c:pt>
                <c:pt idx="262">
                  <c:v>9.2185446083720475</c:v>
                </c:pt>
                <c:pt idx="263">
                  <c:v>8.9776974534824454</c:v>
                </c:pt>
                <c:pt idx="264">
                  <c:v>8.7353866514461398</c:v>
                </c:pt>
                <c:pt idx="265">
                  <c:v>8.4915782502752197</c:v>
                </c:pt>
                <c:pt idx="266">
                  <c:v>8.2462388156155502</c:v>
                </c:pt>
                <c:pt idx="267">
                  <c:v>7.9993355424659454</c:v>
                </c:pt>
                <c:pt idx="268">
                  <c:v>7.7508363708708448</c:v>
                </c:pt>
                <c:pt idx="269">
                  <c:v>7.5007101051952958</c:v>
                </c:pt>
                <c:pt idx="270">
                  <c:v>7.2489265365364286</c:v>
                </c:pt>
                <c:pt idx="271">
                  <c:v>6.9954565677743554</c:v>
                </c:pt>
                <c:pt idx="272">
                  <c:v>6.7402723407137817</c:v>
                </c:pt>
                <c:pt idx="273">
                  <c:v>6.4833473647183251</c:v>
                </c:pt>
                <c:pt idx="274">
                  <c:v>6.2246566461960118</c:v>
                </c:pt>
                <c:pt idx="275">
                  <c:v>5.9641768182527475</c:v>
                </c:pt>
                <c:pt idx="276">
                  <c:v>5.7018862697951711</c:v>
                </c:pt>
                <c:pt idx="277">
                  <c:v>5.4377652733367903</c:v>
                </c:pt>
                <c:pt idx="278">
                  <c:v>5.1717961107358157</c:v>
                </c:pt>
                <c:pt idx="279">
                  <c:v>4.9039631960832217</c:v>
                </c:pt>
                <c:pt idx="280">
                  <c:v>4.6342531949470471</c:v>
                </c:pt>
                <c:pt idx="281">
                  <c:v>4.3626551391881971</c:v>
                </c:pt>
                <c:pt idx="282">
                  <c:v>4.0891605365681469</c:v>
                </c:pt>
                <c:pt idx="283">
                  <c:v>3.8137634743941899</c:v>
                </c:pt>
                <c:pt idx="284">
                  <c:v>3.5364607164758839</c:v>
                </c:pt>
                <c:pt idx="285">
                  <c:v>3.2572517927051807</c:v>
                </c:pt>
                <c:pt idx="286">
                  <c:v>2.9761390806225387</c:v>
                </c:pt>
                <c:pt idx="287">
                  <c:v>2.6931278783859809</c:v>
                </c:pt>
                <c:pt idx="288">
                  <c:v>2.4082264686230896</c:v>
                </c:pt>
                <c:pt idx="289">
                  <c:v>2.1214461727196907</c:v>
                </c:pt>
                <c:pt idx="290">
                  <c:v>1.8328013951703748</c:v>
                </c:pt>
                <c:pt idx="291">
                  <c:v>1.5423096577005866</c:v>
                </c:pt>
                <c:pt idx="292">
                  <c:v>1.2499916229502326</c:v>
                </c:pt>
                <c:pt idx="293">
                  <c:v>0.95587110759723193</c:v>
                </c:pt>
                <c:pt idx="294">
                  <c:v>0.65997508488134371</c:v>
                </c:pt>
                <c:pt idx="295">
                  <c:v>0.36233367657880722</c:v>
                </c:pt>
                <c:pt idx="296">
                  <c:v>6.2980134553811157E-2</c:v>
                </c:pt>
                <c:pt idx="297">
                  <c:v>-0.23804918790210378</c:v>
                </c:pt>
                <c:pt idx="298">
                  <c:v>-0.54071487466178736</c:v>
                </c:pt>
                <c:pt idx="299">
                  <c:v>-0.84497449493592491</c:v>
                </c:pt>
                <c:pt idx="300">
                  <c:v>-1.1507826606185527</c:v>
                </c:pt>
                <c:pt idx="301">
                  <c:v>-1.458091092340084</c:v>
                </c:pt>
                <c:pt idx="302">
                  <c:v>-1.7668486937240859</c:v>
                </c:pt>
                <c:pt idx="303">
                  <c:v>-2.0770016333029888</c:v>
                </c:pt>
                <c:pt idx="304">
                  <c:v>-2.3884934335265435</c:v>
                </c:pt>
                <c:pt idx="305">
                  <c:v>-2.7012650662777555</c:v>
                </c:pt>
                <c:pt idx="306">
                  <c:v>-3.0152550543035517</c:v>
                </c:pt>
                <c:pt idx="307">
                  <c:v>-3.3303995779690245</c:v>
                </c:pt>
                <c:pt idx="308">
                  <c:v>-3.6466325867524101</c:v>
                </c:pt>
                <c:pt idx="309">
                  <c:v>-3.9638859149156671</c:v>
                </c:pt>
                <c:pt idx="310">
                  <c:v>-4.2820894008071173</c:v>
                </c:pt>
                <c:pt idx="311">
                  <c:v>-4.6011710092839424</c:v>
                </c:pt>
                <c:pt idx="312">
                  <c:v>-4.9210569567738922</c:v>
                </c:pt>
                <c:pt idx="313">
                  <c:v>-5.2416718385350283</c:v>
                </c:pt>
                <c:pt idx="314">
                  <c:v>-5.5629387577115139</c:v>
                </c:pt>
                <c:pt idx="315">
                  <c:v>-5.8847794558246003</c:v>
                </c:pt>
                <c:pt idx="316">
                  <c:v>-6.2071144443812445</c:v>
                </c:pt>
                <c:pt idx="317">
                  <c:v>-6.5298631373232743</c:v>
                </c:pt>
                <c:pt idx="318">
                  <c:v>-6.8529439840786619</c:v>
                </c:pt>
                <c:pt idx="319">
                  <c:v>-7.1762746030153979</c:v>
                </c:pt>
                <c:pt idx="320">
                  <c:v>-7.4997719151304416</c:v>
                </c:pt>
                <c:pt idx="321">
                  <c:v>-7.8233522778326057</c:v>
                </c:pt>
                <c:pt idx="322">
                  <c:v>-8.1469316187079759</c:v>
                </c:pt>
                <c:pt idx="323">
                  <c:v>-8.4704255691698371</c:v>
                </c:pt>
                <c:pt idx="324">
                  <c:v>-8.793749597908004</c:v>
                </c:pt>
                <c:pt idx="325">
                  <c:v>-9.1168191440614077</c:v>
                </c:pt>
                <c:pt idx="326">
                  <c:v>-9.4395497500350292</c:v>
                </c:pt>
                <c:pt idx="327">
                  <c:v>-9.7618571938761214</c:v>
                </c:pt>
                <c:pt idx="328">
                  <c:v>-10.083657621113884</c:v>
                </c:pt>
                <c:pt idx="329">
                  <c:v>-10.404867675944496</c:v>
                </c:pt>
                <c:pt idx="330">
                  <c:v>-10.725404631623942</c:v>
                </c:pt>
                <c:pt idx="331">
                  <c:v>-11.045186519897809</c:v>
                </c:pt>
                <c:pt idx="332">
                  <c:v>-11.364132259266459</c:v>
                </c:pt>
                <c:pt idx="333">
                  <c:v>-11.682161781846643</c:v>
                </c:pt>
                <c:pt idx="334">
                  <c:v>-11.999196158551415</c:v>
                </c:pt>
                <c:pt idx="335">
                  <c:v>-12.315157722267978</c:v>
                </c:pt>
                <c:pt idx="336">
                  <c:v>-12.629970188673884</c:v>
                </c:pt>
                <c:pt idx="337">
                  <c:v>-12.943558774288189</c:v>
                </c:pt>
                <c:pt idx="338">
                  <c:v>-13.255850311318509</c:v>
                </c:pt>
                <c:pt idx="339">
                  <c:v>-13.566773358822973</c:v>
                </c:pt>
                <c:pt idx="340">
                  <c:v>-13.876258309678756</c:v>
                </c:pt>
                <c:pt idx="341">
                  <c:v>-14.18423749281806</c:v>
                </c:pt>
                <c:pt idx="342">
                  <c:v>-14.49064527016934</c:v>
                </c:pt>
                <c:pt idx="343">
                  <c:v>-14.795418127731191</c:v>
                </c:pt>
                <c:pt idx="344">
                  <c:v>-15.09849476019413</c:v>
                </c:pt>
                <c:pt idx="345">
                  <c:v>-15.399816148530006</c:v>
                </c:pt>
                <c:pt idx="346">
                  <c:v>-15.699325629976663</c:v>
                </c:pt>
                <c:pt idx="347">
                  <c:v>-15.996968959866383</c:v>
                </c:pt>
                <c:pt idx="348">
                  <c:v>-16.292694364774441</c:v>
                </c:pt>
                <c:pt idx="349">
                  <c:v>-16.586452586503867</c:v>
                </c:pt>
                <c:pt idx="350">
                  <c:v>-16.878196916466198</c:v>
                </c:pt>
                <c:pt idx="351">
                  <c:v>-17.167883220079041</c:v>
                </c:pt>
                <c:pt idx="352">
                  <c:v>-17.455469950860955</c:v>
                </c:pt>
                <c:pt idx="353">
                  <c:v>-17.740918153979493</c:v>
                </c:pt>
                <c:pt idx="354">
                  <c:v>-18.024191459081717</c:v>
                </c:pt>
                <c:pt idx="355">
                  <c:v>-18.30525606232586</c:v>
                </c:pt>
                <c:pt idx="356">
                  <c:v>-18.584080697610684</c:v>
                </c:pt>
                <c:pt idx="357">
                  <c:v>-18.860636597100026</c:v>
                </c:pt>
                <c:pt idx="358">
                  <c:v>-19.134897441220417</c:v>
                </c:pt>
                <c:pt idx="359">
                  <c:v>-19.406839298407185</c:v>
                </c:pt>
                <c:pt idx="360">
                  <c:v>-19.676440554962195</c:v>
                </c:pt>
                <c:pt idx="361">
                  <c:v>-19.943681835469587</c:v>
                </c:pt>
                <c:pt idx="362">
                  <c:v>-20.208545914304644</c:v>
                </c:pt>
                <c:pt idx="363">
                  <c:v>-20.471017618841216</c:v>
                </c:pt>
                <c:pt idx="364">
                  <c:v>-20.731083725036363</c:v>
                </c:pt>
                <c:pt idx="365">
                  <c:v>-20.988732846135605</c:v>
                </c:pt>
                <c:pt idx="366">
                  <c:v>-21.243955315296009</c:v>
                </c:pt>
                <c:pt idx="367">
                  <c:v>-21.496743062969163</c:v>
                </c:pt>
                <c:pt idx="368">
                  <c:v>-21.747089489926598</c:v>
                </c:pt>
                <c:pt idx="369">
                  <c:v>-21.994989336838881</c:v>
                </c:pt>
                <c:pt idx="370">
                  <c:v>-22.240438551334897</c:v>
                </c:pt>
                <c:pt idx="371">
                  <c:v>-22.483434153483998</c:v>
                </c:pt>
                <c:pt idx="372">
                  <c:v>-22.723974100639104</c:v>
                </c:pt>
                <c:pt idx="373">
                  <c:v>-22.962057152577387</c:v>
                </c:pt>
                <c:pt idx="374">
                  <c:v>-23.197682737855523</c:v>
                </c:pt>
                <c:pt idx="375">
                  <c:v>-23.430850822277808</c:v>
                </c:pt>
                <c:pt idx="376">
                  <c:v>-23.661561780345906</c:v>
                </c:pt>
                <c:pt idx="377">
                  <c:v>-23.889816270521614</c:v>
                </c:pt>
                <c:pt idx="378">
                  <c:v>-24.115615115099871</c:v>
                </c:pt>
                <c:pt idx="379">
                  <c:v>-24.338959185438554</c:v>
                </c:pt>
                <c:pt idx="380">
                  <c:v>-24.559849293248206</c:v>
                </c:pt>
                <c:pt idx="381">
                  <c:v>-24.778286088591678</c:v>
                </c:pt>
                <c:pt idx="382">
                  <c:v>-24.994269965191162</c:v>
                </c:pt>
                <c:pt idx="383">
                  <c:v>-25.207800973582234</c:v>
                </c:pt>
                <c:pt idx="384">
                  <c:v>-25.41887874260215</c:v>
                </c:pt>
                <c:pt idx="385">
                  <c:v>-25.627502409635508</c:v>
                </c:pt>
                <c:pt idx="386">
                  <c:v>-25.833670559988636</c:v>
                </c:pt>
                <c:pt idx="387">
                  <c:v>-26.037381175698798</c:v>
                </c:pt>
                <c:pt idx="388">
                  <c:v>-26.238631594029826</c:v>
                </c:pt>
                <c:pt idx="389">
                  <c:v>-26.43741847584398</c:v>
                </c:pt>
                <c:pt idx="390">
                  <c:v>-26.633737783980745</c:v>
                </c:pt>
                <c:pt idx="391">
                  <c:v>-26.827584771715483</c:v>
                </c:pt>
                <c:pt idx="392">
                  <c:v>-27.018953981310435</c:v>
                </c:pt>
                <c:pt idx="393">
                  <c:v>-27.207839252611453</c:v>
                </c:pt>
                <c:pt idx="394">
                  <c:v>-27.394233741585865</c:v>
                </c:pt>
                <c:pt idx="395">
                  <c:v>-27.578129948636384</c:v>
                </c:pt>
                <c:pt idx="396">
                  <c:v>-27.759519756468535</c:v>
                </c:pt>
                <c:pt idx="397">
                  <c:v>-27.938394477228744</c:v>
                </c:pt>
                <c:pt idx="398">
                  <c:v>-28.114744908572327</c:v>
                </c:pt>
                <c:pt idx="399">
                  <c:v>-28.288561398263056</c:v>
                </c:pt>
                <c:pt idx="400">
                  <c:v>-28.45983391684581</c:v>
                </c:pt>
                <c:pt idx="401">
                  <c:v>-28.628552137879563</c:v>
                </c:pt>
                <c:pt idx="402">
                  <c:v>-28.794705525161454</c:v>
                </c:pt>
                <c:pt idx="403">
                  <c:v>-28.958283426317571</c:v>
                </c:pt>
                <c:pt idx="404">
                  <c:v>-29.119275172086429</c:v>
                </c:pt>
                <c:pt idx="405">
                  <c:v>-29.277670180570215</c:v>
                </c:pt>
                <c:pt idx="406">
                  <c:v>-29.43345806568432</c:v>
                </c:pt>
                <c:pt idx="407">
                  <c:v>-29.586628748994293</c:v>
                </c:pt>
                <c:pt idx="408">
                  <c:v>-29.737172574093105</c:v>
                </c:pt>
                <c:pt idx="409">
                  <c:v>-29.885080422638516</c:v>
                </c:pt>
                <c:pt idx="410">
                  <c:v>-30.030343831148461</c:v>
                </c:pt>
                <c:pt idx="411">
                  <c:v>-30.172955107633662</c:v>
                </c:pt>
                <c:pt idx="412">
                  <c:v>-30.312907447135085</c:v>
                </c:pt>
                <c:pt idx="413">
                  <c:v>-30.450195045234828</c:v>
                </c:pt>
                <c:pt idx="414">
                  <c:v>-30.584813208613252</c:v>
                </c:pt>
                <c:pt idx="415">
                  <c:v>-30.716758461745609</c:v>
                </c:pt>
                <c:pt idx="416">
                  <c:v>-30.846028648850329</c:v>
                </c:pt>
                <c:pt idx="417">
                  <c:v>-30.972623030243934</c:v>
                </c:pt>
                <c:pt idx="418">
                  <c:v>-31.096542372295922</c:v>
                </c:pt>
                <c:pt idx="419">
                  <c:v>-31.217789030233757</c:v>
                </c:pt>
                <c:pt idx="420">
                  <c:v>-31.33636702311053</c:v>
                </c:pt>
                <c:pt idx="421">
                  <c:v>-31.452282100316161</c:v>
                </c:pt>
                <c:pt idx="422">
                  <c:v>-31.565541799094664</c:v>
                </c:pt>
                <c:pt idx="423">
                  <c:v>-31.676155492610082</c:v>
                </c:pt>
                <c:pt idx="424">
                  <c:v>-31.784134428197703</c:v>
                </c:pt>
                <c:pt idx="425">
                  <c:v>-31.889491755527185</c:v>
                </c:pt>
                <c:pt idx="426">
                  <c:v>-31.99224254450456</c:v>
                </c:pt>
                <c:pt idx="427">
                  <c:v>-32.092403792834084</c:v>
                </c:pt>
                <c:pt idx="428">
                  <c:v>-32.189994423264679</c:v>
                </c:pt>
                <c:pt idx="429">
                  <c:v>-32.285035270634275</c:v>
                </c:pt>
                <c:pt idx="430">
                  <c:v>-32.377549058929688</c:v>
                </c:pt>
                <c:pt idx="431">
                  <c:v>-32.467560368660536</c:v>
                </c:pt>
                <c:pt idx="432">
                  <c:v>-32.555095594933249</c:v>
                </c:pt>
                <c:pt idx="433">
                  <c:v>-32.640182896692764</c:v>
                </c:pt>
                <c:pt idx="434">
                  <c:v>-32.722852137663843</c:v>
                </c:pt>
                <c:pt idx="435">
                  <c:v>-32.803134819589182</c:v>
                </c:pt>
                <c:pt idx="436">
                  <c:v>-32.881064008417013</c:v>
                </c:pt>
                <c:pt idx="437">
                  <c:v>-32.956674254128707</c:v>
                </c:pt>
                <c:pt idx="438">
                  <c:v>-33.030001504936166</c:v>
                </c:pt>
                <c:pt idx="439">
                  <c:v>-33.101083016600583</c:v>
                </c:pt>
                <c:pt idx="440">
                  <c:v>-33.169957257638544</c:v>
                </c:pt>
                <c:pt idx="441">
                  <c:v>-33.236663811187974</c:v>
                </c:pt>
                <c:pt idx="442">
                  <c:v>-33.301243274298344</c:v>
                </c:pt>
                <c:pt idx="443">
                  <c:v>-33.363737155404166</c:v>
                </c:pt>
                <c:pt idx="444">
                  <c:v>-33.42418777071088</c:v>
                </c:pt>
                <c:pt idx="445">
                  <c:v>-33.482638140204607</c:v>
                </c:pt>
                <c:pt idx="446">
                  <c:v>-33.539131883953857</c:v>
                </c:pt>
                <c:pt idx="447">
                  <c:v>-33.593713119340961</c:v>
                </c:pt>
                <c:pt idx="448">
                  <c:v>-33.646426359810178</c:v>
                </c:pt>
                <c:pt idx="449">
                  <c:v>-33.697316415676951</c:v>
                </c:pt>
                <c:pt idx="450">
                  <c:v>-33.746428297491171</c:v>
                </c:pt>
                <c:pt idx="451">
                  <c:v>-33.793807122394867</c:v>
                </c:pt>
                <c:pt idx="452">
                  <c:v>-33.839498023865204</c:v>
                </c:pt>
                <c:pt idx="453">
                  <c:v>-33.883546065177853</c:v>
                </c:pt>
                <c:pt idx="454">
                  <c:v>-33.925996156874703</c:v>
                </c:pt>
                <c:pt idx="455">
                  <c:v>-33.966892978471442</c:v>
                </c:pt>
                <c:pt idx="456">
                  <c:v>-34.006280904585893</c:v>
                </c:pt>
                <c:pt idx="457">
                  <c:v>-34.044203935627614</c:v>
                </c:pt>
                <c:pt idx="458">
                  <c:v>-34.080705633138997</c:v>
                </c:pt>
                <c:pt idx="459">
                  <c:v>-34.115829059840728</c:v>
                </c:pt>
                <c:pt idx="460">
                  <c:v>-34.149616724392587</c:v>
                </c:pt>
                <c:pt idx="461">
                  <c:v>-34.18211053084913</c:v>
                </c:pt>
                <c:pt idx="462">
                  <c:v>-34.213351732754248</c:v>
                </c:pt>
                <c:pt idx="463">
                  <c:v>-34.243380891793556</c:v>
                </c:pt>
                <c:pt idx="464">
                  <c:v>-34.272237840896032</c:v>
                </c:pt>
                <c:pt idx="465">
                  <c:v>-34.299961651655252</c:v>
                </c:pt>
                <c:pt idx="466">
                  <c:v>-34.326590605924764</c:v>
                </c:pt>
                <c:pt idx="467">
                  <c:v>-34.352162171421099</c:v>
                </c:pt>
                <c:pt idx="468">
                  <c:v>-34.376712981162768</c:v>
                </c:pt>
                <c:pt idx="469">
                  <c:v>-34.400278816556316</c:v>
                </c:pt>
                <c:pt idx="470">
                  <c:v>-34.422894593940207</c:v>
                </c:pt>
                <c:pt idx="471">
                  <c:v>-34.444594354386744</c:v>
                </c:pt>
                <c:pt idx="472">
                  <c:v>-34.465411256564174</c:v>
                </c:pt>
                <c:pt idx="473">
                  <c:v>-34.485377572456684</c:v>
                </c:pt>
                <c:pt idx="474">
                  <c:v>-34.504524685742687</c:v>
                </c:pt>
                <c:pt idx="475">
                  <c:v>-34.522883092633933</c:v>
                </c:pt>
                <c:pt idx="476">
                  <c:v>-34.540482404982221</c:v>
                </c:pt>
                <c:pt idx="477">
                  <c:v>-34.557351355462657</c:v>
                </c:pt>
                <c:pt idx="478">
                  <c:v>-34.573517804651772</c:v>
                </c:pt>
                <c:pt idx="479">
                  <c:v>-34.589008749822874</c:v>
                </c:pt>
                <c:pt idx="480">
                  <c:v>-34.603850335287277</c:v>
                </c:pt>
                <c:pt idx="481">
                  <c:v>-34.618067864121443</c:v>
                </c:pt>
                <c:pt idx="482">
                  <c:v>-34.631685811122892</c:v>
                </c:pt>
                <c:pt idx="483">
                  <c:v>-34.64472783685008</c:v>
                </c:pt>
                <c:pt idx="484">
                  <c:v>-34.657216802606982</c:v>
                </c:pt>
                <c:pt idx="485">
                  <c:v>-34.669174786242991</c:v>
                </c:pt>
                <c:pt idx="486">
                  <c:v>-34.680623098646414</c:v>
                </c:pt>
                <c:pt idx="487">
                  <c:v>-34.691582300817018</c:v>
                </c:pt>
                <c:pt idx="488">
                  <c:v>-34.702072221413999</c:v>
                </c:pt>
                <c:pt idx="489">
                  <c:v>-34.712111974679836</c:v>
                </c:pt>
                <c:pt idx="490">
                  <c:v>-34.721719978650682</c:v>
                </c:pt>
                <c:pt idx="491">
                  <c:v>-34.730913973570836</c:v>
                </c:pt>
                <c:pt idx="492">
                  <c:v>-34.739711040434784</c:v>
                </c:pt>
                <c:pt idx="493">
                  <c:v>-34.748127619587748</c:v>
                </c:pt>
                <c:pt idx="494">
                  <c:v>-34.756179529322957</c:v>
                </c:pt>
                <c:pt idx="495">
                  <c:v>-34.763881984417395</c:v>
                </c:pt>
                <c:pt idx="496">
                  <c:v>-34.77124961455678</c:v>
                </c:pt>
                <c:pt idx="497">
                  <c:v>-34.77829648260208</c:v>
                </c:pt>
                <c:pt idx="498">
                  <c:v>-34.785036102659596</c:v>
                </c:pt>
                <c:pt idx="499">
                  <c:v>-34.791481457915879</c:v>
                </c:pt>
                <c:pt idx="500">
                  <c:v>-34.797645018208705</c:v>
                </c:pt>
                <c:pt idx="501">
                  <c:v>-34.803538757304089</c:v>
                </c:pt>
                <c:pt idx="502">
                  <c:v>-34.80917416985794</c:v>
                </c:pt>
                <c:pt idx="503">
                  <c:v>-34.814562288040968</c:v>
                </c:pt>
                <c:pt idx="504">
                  <c:v>-34.819713697810229</c:v>
                </c:pt>
                <c:pt idx="505">
                  <c:v>-34.824638554812786</c:v>
                </c:pt>
                <c:pt idx="506">
                  <c:v>-34.829346599911148</c:v>
                </c:pt>
                <c:pt idx="507">
                  <c:v>-34.833847174320681</c:v>
                </c:pt>
                <c:pt idx="508">
                  <c:v>-34.838149234352905</c:v>
                </c:pt>
                <c:pt idx="509">
                  <c:v>-34.842261365760351</c:v>
                </c:pt>
                <c:pt idx="510">
                  <c:v>-34.846191797678223</c:v>
                </c:pt>
                <c:pt idx="511">
                  <c:v>-34.849948416165638</c:v>
                </c:pt>
                <c:pt idx="512">
                  <c:v>-34.853538777341726</c:v>
                </c:pt>
                <c:pt idx="513">
                  <c:v>-34.856970120123243</c:v>
                </c:pt>
                <c:pt idx="514">
                  <c:v>-34.86024937856218</c:v>
                </c:pt>
                <c:pt idx="515">
                  <c:v>-34.863383193790696</c:v>
                </c:pt>
                <c:pt idx="516">
                  <c:v>-34.866377925575762</c:v>
                </c:pt>
                <c:pt idx="517">
                  <c:v>-34.869239663489658</c:v>
                </c:pt>
                <c:pt idx="518">
                  <c:v>-34.871974237703441</c:v>
                </c:pt>
                <c:pt idx="519">
                  <c:v>-34.874587229408718</c:v>
                </c:pt>
                <c:pt idx="520">
                  <c:v>-34.877083980876989</c:v>
                </c:pt>
                <c:pt idx="521">
                  <c:v>-34.879469605160651</c:v>
                </c:pt>
                <c:pt idx="522">
                  <c:v>-34.881748995448881</c:v>
                </c:pt>
                <c:pt idx="523">
                  <c:v>-34.883926834082054</c:v>
                </c:pt>
                <c:pt idx="524">
                  <c:v>-34.886007601235619</c:v>
                </c:pt>
                <c:pt idx="525">
                  <c:v>-34.887995583281139</c:v>
                </c:pt>
                <c:pt idx="526">
                  <c:v>-34.889894880835158</c:v>
                </c:pt>
                <c:pt idx="527">
                  <c:v>-34.891709416500973</c:v>
                </c:pt>
                <c:pt idx="528">
                  <c:v>-34.89344294231762</c:v>
                </c:pt>
                <c:pt idx="529">
                  <c:v>-34.895099046918247</c:v>
                </c:pt>
                <c:pt idx="530">
                  <c:v>-34.896681162413707</c:v>
                </c:pt>
                <c:pt idx="531">
                  <c:v>-34.898192571005481</c:v>
                </c:pt>
                <c:pt idx="532">
                  <c:v>-34.899636411337191</c:v>
                </c:pt>
                <c:pt idx="533">
                  <c:v>-34.901015684595656</c:v>
                </c:pt>
                <c:pt idx="534">
                  <c:v>-34.902333260367264</c:v>
                </c:pt>
                <c:pt idx="535">
                  <c:v>-34.903591882259732</c:v>
                </c:pt>
                <c:pt idx="536">
                  <c:v>-34.904794173296672</c:v>
                </c:pt>
                <c:pt idx="537">
                  <c:v>-34.90594264109297</c:v>
                </c:pt>
                <c:pt idx="538">
                  <c:v>-34.907039682818834</c:v>
                </c:pt>
                <c:pt idx="539">
                  <c:v>-34.908087589960857</c:v>
                </c:pt>
                <c:pt idx="540">
                  <c:v>-34.909088552886409</c:v>
                </c:pt>
                <c:pt idx="541">
                  <c:v>-34.910044665219701</c:v>
                </c:pt>
              </c:numCache>
            </c:numRef>
          </c:yVal>
          <c:smooth val="1"/>
          <c:extLst>
            <c:ext xmlns:c16="http://schemas.microsoft.com/office/drawing/2014/chart" uri="{C3380CC4-5D6E-409C-BE32-E72D297353CC}">
              <c16:uniqueId val="{00000000-AD11-40FF-AAF8-E4D177FF3352}"/>
            </c:ext>
          </c:extLst>
        </c:ser>
        <c:dLbls>
          <c:showLegendKey val="0"/>
          <c:showVal val="0"/>
          <c:showCatName val="0"/>
          <c:showSerName val="0"/>
          <c:showPercent val="0"/>
          <c:showBubbleSize val="0"/>
        </c:dLbls>
        <c:axId val="555344640"/>
        <c:axId val="555346560"/>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Loop_Modeling!$BN$19:$BN$560</c:f>
              <c:numCache>
                <c:formatCode>General</c:formatCode>
                <c:ptCount val="542"/>
                <c:pt idx="0">
                  <c:v>90.361959309777674</c:v>
                </c:pt>
                <c:pt idx="1">
                  <c:v>90.370321631197143</c:v>
                </c:pt>
                <c:pt idx="2">
                  <c:v>90.378873838826706</c:v>
                </c:pt>
                <c:pt idx="3">
                  <c:v>90.387620008206667</c:v>
                </c:pt>
                <c:pt idx="4">
                  <c:v>90.396564285293707</c:v>
                </c:pt>
                <c:pt idx="5">
                  <c:v>90.405710886388164</c:v>
                </c:pt>
                <c:pt idx="6">
                  <c:v>90.415064097942704</c:v>
                </c:pt>
                <c:pt idx="7">
                  <c:v>90.424628276240199</c:v>
                </c:pt>
                <c:pt idx="8">
                  <c:v>90.434407846931393</c:v>
                </c:pt>
                <c:pt idx="9">
                  <c:v>90.444407304418178</c:v>
                </c:pt>
                <c:pt idx="10">
                  <c:v>90.4546312110716</c:v>
                </c:pt>
                <c:pt idx="11">
                  <c:v>90.465084196268847</c:v>
                </c:pt>
                <c:pt idx="12">
                  <c:v>90.475770955236044</c:v>
                </c:pt>
                <c:pt idx="13">
                  <c:v>90.486696247680086</c:v>
                </c:pt>
                <c:pt idx="14">
                  <c:v>90.497864896193335</c:v>
                </c:pt>
                <c:pt idx="15">
                  <c:v>90.509281784412735</c:v>
                </c:pt>
                <c:pt idx="16">
                  <c:v>90.520951854915623</c:v>
                </c:pt>
                <c:pt idx="17">
                  <c:v>90.532880106829964</c:v>
                </c:pt>
                <c:pt idx="18">
                  <c:v>90.545071593139781</c:v>
                </c:pt>
                <c:pt idx="19">
                  <c:v>90.557531417661451</c:v>
                </c:pt>
                <c:pt idx="20">
                  <c:v>90.570264731667365</c:v>
                </c:pt>
                <c:pt idx="21">
                  <c:v>90.583276730131033</c:v>
                </c:pt>
                <c:pt idx="22">
                  <c:v>90.596572647566632</c:v>
                </c:pt>
                <c:pt idx="23">
                  <c:v>90.610157753434535</c:v>
                </c:pt>
                <c:pt idx="24">
                  <c:v>90.624037347081455</c:v>
                </c:pt>
                <c:pt idx="25">
                  <c:v>90.638216752184476</c:v>
                </c:pt>
                <c:pt idx="26">
                  <c:v>90.652701310663588</c:v>
                </c:pt>
                <c:pt idx="27">
                  <c:v>90.667496376028481</c:v>
                </c:pt>
                <c:pt idx="28">
                  <c:v>90.682607306120886</c:v>
                </c:pt>
                <c:pt idx="29">
                  <c:v>90.698039455212992</c:v>
                </c:pt>
                <c:pt idx="30">
                  <c:v>90.713798165421139</c:v>
                </c:pt>
                <c:pt idx="31">
                  <c:v>90.729888757390228</c:v>
                </c:pt>
                <c:pt idx="32">
                  <c:v>90.746316520203749</c:v>
                </c:pt>
                <c:pt idx="33">
                  <c:v>90.763086700471248</c:v>
                </c:pt>
                <c:pt idx="34">
                  <c:v>90.780204490543539</c:v>
                </c:pt>
                <c:pt idx="35">
                  <c:v>90.797675015804089</c:v>
                </c:pt>
                <c:pt idx="36">
                  <c:v>90.815503320980795</c:v>
                </c:pt>
                <c:pt idx="37">
                  <c:v>90.833694355423731</c:v>
                </c:pt>
                <c:pt idx="38">
                  <c:v>90.852252957289991</c:v>
                </c:pt>
                <c:pt idx="39">
                  <c:v>90.871183836575128</c:v>
                </c:pt>
                <c:pt idx="40">
                  <c:v>90.890491556928794</c:v>
                </c:pt>
                <c:pt idx="41">
                  <c:v>90.910180516191787</c:v>
                </c:pt>
                <c:pt idx="42">
                  <c:v>90.930254925588343</c:v>
                </c:pt>
                <c:pt idx="43">
                  <c:v>90.950718787507157</c:v>
                </c:pt>
                <c:pt idx="44">
                  <c:v>90.971575871802386</c:v>
                </c:pt>
                <c:pt idx="45">
                  <c:v>90.992829690547993</c:v>
                </c:pt>
                <c:pt idx="46">
                  <c:v>91.014483471172881</c:v>
                </c:pt>
                <c:pt idx="47">
                  <c:v>91.036540127910342</c:v>
                </c:pt>
                <c:pt idx="48">
                  <c:v>91.05900223149105</c:v>
                </c:pt>
                <c:pt idx="49">
                  <c:v>91.08187197701136</c:v>
                </c:pt>
                <c:pt idx="50">
                  <c:v>91.105151149910824</c:v>
                </c:pt>
                <c:pt idx="51">
                  <c:v>91.128841089992505</c:v>
                </c:pt>
                <c:pt idx="52">
                  <c:v>91.152942653426251</c:v>
                </c:pt>
                <c:pt idx="53">
                  <c:v>91.177456172674042</c:v>
                </c:pt>
                <c:pt idx="54">
                  <c:v>91.202381414286762</c:v>
                </c:pt>
                <c:pt idx="55">
                  <c:v>91.227717534520735</c:v>
                </c:pt>
                <c:pt idx="56">
                  <c:v>91.253463032736363</c:v>
                </c:pt>
                <c:pt idx="57">
                  <c:v>91.279615702543509</c:v>
                </c:pt>
                <c:pt idx="58">
                  <c:v>91.30617258067106</c:v>
                </c:pt>
                <c:pt idx="59">
                  <c:v>91.333129893547081</c:v>
                </c:pt>
                <c:pt idx="60">
                  <c:v>91.360483001591803</c:v>
                </c:pt>
                <c:pt idx="61">
                  <c:v>91.38822634123531</c:v>
                </c:pt>
                <c:pt idx="62">
                  <c:v>91.416353364692711</c:v>
                </c:pt>
                <c:pt idx="63">
                  <c:v>91.444856477545386</c:v>
                </c:pt>
                <c:pt idx="64">
                  <c:v>91.473726974198328</c:v>
                </c:pt>
                <c:pt idx="65">
                  <c:v>91.502954971305641</c:v>
                </c:pt>
                <c:pt idx="66">
                  <c:v>91.532529339282547</c:v>
                </c:pt>
                <c:pt idx="67">
                  <c:v>91.562437632048201</c:v>
                </c:pt>
                <c:pt idx="68">
                  <c:v>91.592666015175681</c:v>
                </c:pt>
                <c:pt idx="69">
                  <c:v>91.623199192655875</c:v>
                </c:pt>
                <c:pt idx="70">
                  <c:v>91.65402033252002</c:v>
                </c:pt>
                <c:pt idx="71">
                  <c:v>91.685110991600126</c:v>
                </c:pt>
                <c:pt idx="72">
                  <c:v>91.716451039749117</c:v>
                </c:pt>
                <c:pt idx="73">
                  <c:v>91.748018583885425</c:v>
                </c:pt>
                <c:pt idx="74">
                  <c:v>91.779789892268539</c:v>
                </c:pt>
                <c:pt idx="75">
                  <c:v>91.811739319463001</c:v>
                </c:pt>
                <c:pt idx="76">
                  <c:v>91.843839232493437</c:v>
                </c:pt>
                <c:pt idx="77">
                  <c:v>91.87605993874574</c:v>
                </c:pt>
                <c:pt idx="78">
                  <c:v>91.908369616217655</c:v>
                </c:pt>
                <c:pt idx="79">
                  <c:v>91.940734246773673</c:v>
                </c:pt>
                <c:pt idx="80">
                  <c:v>91.973117553115017</c:v>
                </c:pt>
                <c:pt idx="81">
                  <c:v>92.00548094021336</c:v>
                </c:pt>
                <c:pt idx="82">
                  <c:v>92.037783442019162</c:v>
                </c:pt>
                <c:pt idx="83">
                  <c:v>92.069981674288826</c:v>
                </c:pt>
                <c:pt idx="84">
                  <c:v>92.102029794421924</c:v>
                </c:pt>
                <c:pt idx="85">
                  <c:v>92.133879469234557</c:v>
                </c:pt>
                <c:pt idx="86">
                  <c:v>92.16547985162434</c:v>
                </c:pt>
                <c:pt idx="87">
                  <c:v>92.19677756710422</c:v>
                </c:pt>
                <c:pt idx="88">
                  <c:v>92.227716711196848</c:v>
                </c:pt>
                <c:pt idx="89">
                  <c:v>92.258238858683029</c:v>
                </c:pt>
                <c:pt idx="90">
                  <c:v>92.288283085690566</c:v>
                </c:pt>
                <c:pt idx="91">
                  <c:v>92.317786005584765</c:v>
                </c:pt>
                <c:pt idx="92">
                  <c:v>92.346681819587914</c:v>
                </c:pt>
                <c:pt idx="93">
                  <c:v>92.37490238300245</c:v>
                </c:pt>
                <c:pt idx="94">
                  <c:v>92.402377287839485</c:v>
                </c:pt>
                <c:pt idx="95">
                  <c:v>92.429033962569974</c:v>
                </c:pt>
                <c:pt idx="96">
                  <c:v>92.454797789610097</c:v>
                </c:pt>
                <c:pt idx="97">
                  <c:v>92.479592241021393</c:v>
                </c:pt>
                <c:pt idx="98">
                  <c:v>92.503339032763535</c:v>
                </c:pt>
                <c:pt idx="99">
                  <c:v>92.525958297679168</c:v>
                </c:pt>
                <c:pt idx="100">
                  <c:v>92.547368777190329</c:v>
                </c:pt>
                <c:pt idx="101">
                  <c:v>92.567488031504993</c:v>
                </c:pt>
                <c:pt idx="102">
                  <c:v>92.586232667898898</c:v>
                </c:pt>
                <c:pt idx="103">
                  <c:v>92.603518586416982</c:v>
                </c:pt>
                <c:pt idx="104">
                  <c:v>92.619261242088371</c:v>
                </c:pt>
                <c:pt idx="105">
                  <c:v>92.633375922510623</c:v>
                </c:pt>
                <c:pt idx="106">
                  <c:v>92.645778039388219</c:v>
                </c:pt>
                <c:pt idx="107">
                  <c:v>92.656383432370632</c:v>
                </c:pt>
                <c:pt idx="108">
                  <c:v>92.665108683275903</c:v>
                </c:pt>
                <c:pt idx="109">
                  <c:v>92.671871438548223</c:v>
                </c:pt>
                <c:pt idx="110">
                  <c:v>92.676590737569413</c:v>
                </c:pt>
                <c:pt idx="111">
                  <c:v>92.67918734424218</c:v>
                </c:pt>
                <c:pt idx="112">
                  <c:v>92.679584079072839</c:v>
                </c:pt>
                <c:pt idx="113">
                  <c:v>92.677706148838482</c:v>
                </c:pt>
                <c:pt idx="114">
                  <c:v>92.673481470800738</c:v>
                </c:pt>
                <c:pt idx="115">
                  <c:v>92.666840988352348</c:v>
                </c:pt>
                <c:pt idx="116">
                  <c:v>92.657718974950342</c:v>
                </c:pt>
                <c:pt idx="117">
                  <c:v>92.646053323195147</c:v>
                </c:pt>
                <c:pt idx="118">
                  <c:v>92.631785815979796</c:v>
                </c:pt>
                <c:pt idx="119">
                  <c:v>92.614862376740007</c:v>
                </c:pt>
                <c:pt idx="120">
                  <c:v>92.595233295987256</c:v>
                </c:pt>
                <c:pt idx="121">
                  <c:v>92.572853431523015</c:v>
                </c:pt>
                <c:pt idx="122">
                  <c:v>92.547682379969416</c:v>
                </c:pt>
                <c:pt idx="123">
                  <c:v>92.519684617555839</c:v>
                </c:pt>
                <c:pt idx="124">
                  <c:v>92.488829608420033</c:v>
                </c:pt>
                <c:pt idx="125">
                  <c:v>92.455091879056525</c:v>
                </c:pt>
                <c:pt idx="126">
                  <c:v>92.418451057914481</c:v>
                </c:pt>
                <c:pt idx="127">
                  <c:v>92.378891879577012</c:v>
                </c:pt>
                <c:pt idx="128">
                  <c:v>92.336404153343096</c:v>
                </c:pt>
                <c:pt idx="129">
                  <c:v>92.290982696482885</c:v>
                </c:pt>
                <c:pt idx="130">
                  <c:v>92.242627232819871</c:v>
                </c:pt>
                <c:pt idx="131">
                  <c:v>92.191342257727456</c:v>
                </c:pt>
                <c:pt idx="132">
                  <c:v>92.137136870984975</c:v>
                </c:pt>
                <c:pt idx="133">
                  <c:v>92.080024579305956</c:v>
                </c:pt>
                <c:pt idx="134">
                  <c:v>92.020023070667875</c:v>
                </c:pt>
                <c:pt idx="135">
                  <c:v>91.95715396286009</c:v>
                </c:pt>
                <c:pt idx="136">
                  <c:v>91.891442528898125</c:v>
                </c:pt>
                <c:pt idx="137">
                  <c:v>91.822917402157614</c:v>
                </c:pt>
                <c:pt idx="138">
                  <c:v>91.751610264216467</c:v>
                </c:pt>
                <c:pt idx="139">
                  <c:v>91.677555518499688</c:v>
                </c:pt>
                <c:pt idx="140">
                  <c:v>91.600789952857966</c:v>
                </c:pt>
                <c:pt idx="141">
                  <c:v>91.521352394222333</c:v>
                </c:pt>
                <c:pt idx="142">
                  <c:v>91.439283358432348</c:v>
                </c:pt>
                <c:pt idx="143">
                  <c:v>91.354624698230111</c:v>
                </c:pt>
                <c:pt idx="144">
                  <c:v>91.267419252315733</c:v>
                </c:pt>
                <c:pt idx="145">
                  <c:v>91.177710498176424</c:v>
                </c:pt>
                <c:pt idx="146">
                  <c:v>91.085542211226752</c:v>
                </c:pt>
                <c:pt idx="147">
                  <c:v>90.990958132581895</c:v>
                </c:pt>
                <c:pt idx="148">
                  <c:v>90.894001647555257</c:v>
                </c:pt>
                <c:pt idx="149">
                  <c:v>90.794715476731639</c:v>
                </c:pt>
                <c:pt idx="150">
                  <c:v>90.693141381206772</c:v>
                </c:pt>
                <c:pt idx="151">
                  <c:v>90.58931988334669</c:v>
                </c:pt>
                <c:pt idx="152">
                  <c:v>90.483290004143953</c:v>
                </c:pt>
                <c:pt idx="153">
                  <c:v>90.375089018022209</c:v>
                </c:pt>
                <c:pt idx="154">
                  <c:v>90.264752225682756</c:v>
                </c:pt>
                <c:pt idx="155">
                  <c:v>90.152312745370992</c:v>
                </c:pt>
                <c:pt idx="156">
                  <c:v>90.037801322724334</c:v>
                </c:pt>
                <c:pt idx="157">
                  <c:v>89.921246159162749</c:v>
                </c:pt>
                <c:pt idx="158">
                  <c:v>89.802672758610456</c:v>
                </c:pt>
                <c:pt idx="159">
                  <c:v>89.682103792174502</c:v>
                </c:pt>
                <c:pt idx="160">
                  <c:v>89.559558980264157</c:v>
                </c:pt>
                <c:pt idx="161">
                  <c:v>89.435054991519834</c:v>
                </c:pt>
                <c:pt idx="162">
                  <c:v>89.308605357810535</c:v>
                </c:pt>
                <c:pt idx="163">
                  <c:v>89.180220404485581</c:v>
                </c:pt>
                <c:pt idx="164">
                  <c:v>89.049907194994276</c:v>
                </c:pt>
                <c:pt idx="165">
                  <c:v>88.917669488943233</c:v>
                </c:pt>
                <c:pt idx="166">
                  <c:v>88.783507712627596</c:v>
                </c:pt>
                <c:pt idx="167">
                  <c:v>88.647418941055236</c:v>
                </c:pt>
                <c:pt idx="168">
                  <c:v>88.509396890477788</c:v>
                </c:pt>
                <c:pt idx="169">
                  <c:v>88.369431920449898</c:v>
                </c:pt>
                <c:pt idx="170">
                  <c:v>88.227511044453706</c:v>
                </c:pt>
                <c:pt idx="171">
                  <c:v>88.083617948152977</c:v>
                </c:pt>
                <c:pt idx="172">
                  <c:v>87.937733014372228</c:v>
                </c:pt>
                <c:pt idx="173">
                  <c:v>87.78983335393842</c:v>
                </c:pt>
                <c:pt idx="174">
                  <c:v>87.63989284156068</c:v>
                </c:pt>
                <c:pt idx="175">
                  <c:v>87.487882155981353</c:v>
                </c:pt>
                <c:pt idx="176">
                  <c:v>87.33376882366889</c:v>
                </c:pt>
                <c:pt idx="177">
                  <c:v>87.177517265390009</c:v>
                </c:pt>
                <c:pt idx="178">
                  <c:v>87.019088845037572</c:v>
                </c:pt>
                <c:pt idx="179">
                  <c:v>86.858441920155784</c:v>
                </c:pt>
                <c:pt idx="180">
                  <c:v>86.695531893650539</c:v>
                </c:pt>
                <c:pt idx="181">
                  <c:v>86.530311266229816</c:v>
                </c:pt>
                <c:pt idx="182">
                  <c:v>86.362729689164695</c:v>
                </c:pt>
                <c:pt idx="183">
                  <c:v>86.192734017020058</c:v>
                </c:pt>
                <c:pt idx="184">
                  <c:v>86.020268360041342</c:v>
                </c:pt>
                <c:pt idx="185">
                  <c:v>85.84527413593888</c:v>
                </c:pt>
                <c:pt idx="186">
                  <c:v>85.667690120849869</c:v>
                </c:pt>
                <c:pt idx="187">
                  <c:v>85.487452499301369</c:v>
                </c:pt>
                <c:pt idx="188">
                  <c:v>85.304494913034588</c:v>
                </c:pt>
                <c:pt idx="189">
                  <c:v>85.118748508592603</c:v>
                </c:pt>
                <c:pt idx="190">
                  <c:v>84.930141983601587</c:v>
                </c:pt>
                <c:pt idx="191">
                  <c:v>84.738601631714005</c:v>
                </c:pt>
                <c:pt idx="192">
                  <c:v>84.544051386208309</c:v>
                </c:pt>
                <c:pt idx="193">
                  <c:v>84.346412862270114</c:v>
                </c:pt>
                <c:pt idx="194">
                  <c:v>84.145605398006182</c:v>
                </c:pt>
                <c:pt idx="195">
                  <c:v>83.941546094264268</c:v>
                </c:pt>
                <c:pt idx="196">
                  <c:v>83.734149853359483</c:v>
                </c:pt>
                <c:pt idx="197">
                  <c:v>83.523329416825774</c:v>
                </c:pt>
                <c:pt idx="198">
                  <c:v>83.308995402330268</c:v>
                </c:pt>
                <c:pt idx="199">
                  <c:v>83.09105633991183</c:v>
                </c:pt>
                <c:pt idx="200">
                  <c:v>82.86941870771615</c:v>
                </c:pt>
                <c:pt idx="201">
                  <c:v>82.643986967422961</c:v>
                </c:pt>
                <c:pt idx="202">
                  <c:v>82.414663599570147</c:v>
                </c:pt>
                <c:pt idx="203">
                  <c:v>82.181349139001071</c:v>
                </c:pt>
                <c:pt idx="204">
                  <c:v>81.943942210668851</c:v>
                </c:pt>
                <c:pt idx="205">
                  <c:v>81.702339566051577</c:v>
                </c:pt>
                <c:pt idx="206">
                  <c:v>81.456436120441055</c:v>
                </c:pt>
                <c:pt idx="207">
                  <c:v>81.206124991380833</c:v>
                </c:pt>
                <c:pt idx="208">
                  <c:v>80.951297538544679</c:v>
                </c:pt>
                <c:pt idx="209">
                  <c:v>80.691843405356266</c:v>
                </c:pt>
                <c:pt idx="210">
                  <c:v>80.427650562660318</c:v>
                </c:pt>
                <c:pt idx="211">
                  <c:v>80.158605354774181</c:v>
                </c:pt>
                <c:pt idx="212">
                  <c:v>79.884592548250211</c:v>
                </c:pt>
                <c:pt idx="213">
                  <c:v>79.605495383699406</c:v>
                </c:pt>
                <c:pt idx="214">
                  <c:v>79.321195631031131</c:v>
                </c:pt>
                <c:pt idx="215">
                  <c:v>79.031573648476083</c:v>
                </c:pt>
                <c:pt idx="216">
                  <c:v>78.736508445769232</c:v>
                </c:pt>
                <c:pt idx="217">
                  <c:v>78.435877751881293</c:v>
                </c:pt>
                <c:pt idx="218">
                  <c:v>78.129558087689105</c:v>
                </c:pt>
                <c:pt idx="219">
                  <c:v>77.817424843992555</c:v>
                </c:pt>
                <c:pt idx="220">
                  <c:v>77.499352365284324</c:v>
                </c:pt>
                <c:pt idx="221">
                  <c:v>77.175214039690957</c:v>
                </c:pt>
                <c:pt idx="222">
                  <c:v>76.844882395506019</c:v>
                </c:pt>
                <c:pt idx="223">
                  <c:v>76.508229204738129</c:v>
                </c:pt>
                <c:pt idx="224">
                  <c:v>76.165125594105376</c:v>
                </c:pt>
                <c:pt idx="225">
                  <c:v>75.815442163897359</c:v>
                </c:pt>
                <c:pt idx="226">
                  <c:v>75.459049115134434</c:v>
                </c:pt>
                <c:pt idx="227">
                  <c:v>75.095816385443669</c:v>
                </c:pt>
                <c:pt idx="228">
                  <c:v>74.725613794065055</c:v>
                </c:pt>
                <c:pt idx="229">
                  <c:v>74.34831119639243</c:v>
                </c:pt>
                <c:pt idx="230">
                  <c:v>73.963778648439671</c:v>
                </c:pt>
                <c:pt idx="231">
                  <c:v>73.571886581604033</c:v>
                </c:pt>
                <c:pt idx="232">
                  <c:v>73.172505988083202</c:v>
                </c:pt>
                <c:pt idx="233">
                  <c:v>72.765508617264416</c:v>
                </c:pt>
                <c:pt idx="234">
                  <c:v>72.35076718338992</c:v>
                </c:pt>
                <c:pt idx="235">
                  <c:v>71.928155584750044</c:v>
                </c:pt>
                <c:pt idx="236">
                  <c:v>71.497549134624876</c:v>
                </c:pt>
                <c:pt idx="237">
                  <c:v>71.058824804142944</c:v>
                </c:pt>
                <c:pt idx="238">
                  <c:v>70.611861477167082</c:v>
                </c:pt>
                <c:pt idx="239">
                  <c:v>70.156540217262219</c:v>
                </c:pt>
                <c:pt idx="240">
                  <c:v>69.692744546723944</c:v>
                </c:pt>
                <c:pt idx="241">
                  <c:v>69.220360737574026</c:v>
                </c:pt>
                <c:pt idx="242">
                  <c:v>68.739278114339555</c:v>
                </c:pt>
                <c:pt idx="243">
                  <c:v>68.249389368342392</c:v>
                </c:pt>
                <c:pt idx="244">
                  <c:v>67.750590883121504</c:v>
                </c:pt>
                <c:pt idx="245">
                  <c:v>67.242783070500593</c:v>
                </c:pt>
                <c:pt idx="246">
                  <c:v>66.725870716695184</c:v>
                </c:pt>
                <c:pt idx="247">
                  <c:v>66.199763337727404</c:v>
                </c:pt>
                <c:pt idx="248">
                  <c:v>65.664375543278055</c:v>
                </c:pt>
                <c:pt idx="249">
                  <c:v>65.119627407971123</c:v>
                </c:pt>
                <c:pt idx="250">
                  <c:v>64.565444848929474</c:v>
                </c:pt>
                <c:pt idx="251">
                  <c:v>64.001760008291583</c:v>
                </c:pt>
                <c:pt idx="252">
                  <c:v>63.428511639221128</c:v>
                </c:pt>
                <c:pt idx="253">
                  <c:v>62.845645493772771</c:v>
                </c:pt>
                <c:pt idx="254">
                  <c:v>62.253114710826367</c:v>
                </c:pt>
                <c:pt idx="255">
                  <c:v>61.650880202123631</c:v>
                </c:pt>
                <c:pt idx="256">
                  <c:v>61.038911034297222</c:v>
                </c:pt>
                <c:pt idx="257">
                  <c:v>60.417184804606755</c:v>
                </c:pt>
                <c:pt idx="258">
                  <c:v>59.785688007967551</c:v>
                </c:pt>
                <c:pt idx="259">
                  <c:v>59.144416392702823</c:v>
                </c:pt>
                <c:pt idx="260">
                  <c:v>58.493375302329369</c:v>
                </c:pt>
                <c:pt idx="261">
                  <c:v>57.832580000579114</c:v>
                </c:pt>
                <c:pt idx="262">
                  <c:v>57.16205597676268</c:v>
                </c:pt>
                <c:pt idx="263">
                  <c:v>56.48183922851598</c:v>
                </c:pt>
                <c:pt idx="264">
                  <c:v>55.791976518922993</c:v>
                </c:pt>
                <c:pt idx="265">
                  <c:v>55.09252560500191</c:v>
                </c:pt>
                <c:pt idx="266">
                  <c:v>54.383555434552392</c:v>
                </c:pt>
                <c:pt idx="267">
                  <c:v>53.665146308419125</c:v>
                </c:pt>
                <c:pt idx="268">
                  <c:v>52.937390005318676</c:v>
                </c:pt>
                <c:pt idx="269">
                  <c:v>52.200389866507301</c:v>
                </c:pt>
                <c:pt idx="270">
                  <c:v>51.4542608377376</c:v>
                </c:pt>
                <c:pt idx="271">
                  <c:v>50.699129466179137</c:v>
                </c:pt>
                <c:pt idx="272">
                  <c:v>49.935133850221753</c:v>
                </c:pt>
                <c:pt idx="273">
                  <c:v>49.162423540401583</c:v>
                </c:pt>
                <c:pt idx="274">
                  <c:v>48.381159390021878</c:v>
                </c:pt>
                <c:pt idx="275">
                  <c:v>47.591513354437339</c:v>
                </c:pt>
                <c:pt idx="276">
                  <c:v>46.793668238387959</c:v>
                </c:pt>
                <c:pt idx="277">
                  <c:v>45.987817391233413</c:v>
                </c:pt>
                <c:pt idx="278">
                  <c:v>45.174164350419325</c:v>
                </c:pt>
                <c:pt idx="279">
                  <c:v>44.352922434029381</c:v>
                </c:pt>
                <c:pt idx="280">
                  <c:v>43.524314283794993</c:v>
                </c:pt>
                <c:pt idx="281">
                  <c:v>42.688571360485696</c:v>
                </c:pt>
                <c:pt idx="282">
                  <c:v>41.845933394140665</c:v>
                </c:pt>
                <c:pt idx="283">
                  <c:v>40.996647792135455</c:v>
                </c:pt>
                <c:pt idx="284">
                  <c:v>40.14096900862252</c:v>
                </c:pt>
                <c:pt idx="285">
                  <c:v>39.27915787935499</c:v>
                </c:pt>
                <c:pt idx="286">
                  <c:v>38.411480926409865</c:v>
                </c:pt>
                <c:pt idx="287">
                  <c:v>37.538209637726396</c:v>
                </c:pt>
                <c:pt idx="288">
                  <c:v>36.6596197267882</c:v>
                </c:pt>
                <c:pt idx="289">
                  <c:v>35.775990378094157</c:v>
                </c:pt>
                <c:pt idx="290">
                  <c:v>34.887603484332033</c:v>
                </c:pt>
                <c:pt idx="291">
                  <c:v>33.99474288138704</c:v>
                </c:pt>
                <c:pt idx="292">
                  <c:v>33.097693587438457</c:v>
                </c:pt>
                <c:pt idx="293">
                  <c:v>32.196741052465057</c:v>
                </c:pt>
                <c:pt idx="294">
                  <c:v>31.292170424464587</c:v>
                </c:pt>
                <c:pt idx="295">
                  <c:v>30.384265838605785</c:v>
                </c:pt>
                <c:pt idx="296">
                  <c:v>29.473309735360981</c:v>
                </c:pt>
                <c:pt idx="297">
                  <c:v>28.559582213438187</c:v>
                </c:pt>
                <c:pt idx="298">
                  <c:v>27.643360423023431</c:v>
                </c:pt>
                <c:pt idx="299">
                  <c:v>26.724918004476102</c:v>
                </c:pt>
                <c:pt idx="300">
                  <c:v>25.804524577189543</c:v>
                </c:pt>
                <c:pt idx="301">
                  <c:v>24.88244528285993</c:v>
                </c:pt>
                <c:pt idx="302">
                  <c:v>23.958940386869763</c:v>
                </c:pt>
                <c:pt idx="303">
                  <c:v>23.034264940943832</c:v>
                </c:pt>
                <c:pt idx="304">
                  <c:v>22.108668509640765</c:v>
                </c:pt>
                <c:pt idx="305">
                  <c:v>21.182394962632394</c:v>
                </c:pt>
                <c:pt idx="306">
                  <c:v>20.255682334108666</c:v>
                </c:pt>
                <c:pt idx="307">
                  <c:v>19.328762750004852</c:v>
                </c:pt>
                <c:pt idx="308">
                  <c:v>18.401862423139079</c:v>
                </c:pt>
                <c:pt idx="309">
                  <c:v>17.475201715716342</c:v>
                </c:pt>
                <c:pt idx="310">
                  <c:v>16.548995268070065</c:v>
                </c:pt>
                <c:pt idx="311">
                  <c:v>15.623452191921144</c:v>
                </c:pt>
                <c:pt idx="312">
                  <c:v>14.698776325887298</c:v>
                </c:pt>
                <c:pt idx="313">
                  <c:v>13.775166550453202</c:v>
                </c:pt>
                <c:pt idx="314">
                  <c:v>12.852817159120701</c:v>
                </c:pt>
                <c:pt idx="315">
                  <c:v>11.931918282004855</c:v>
                </c:pt>
                <c:pt idx="316">
                  <c:v>11.012656357727593</c:v>
                </c:pt>
                <c:pt idx="317">
                  <c:v>10.095214649087049</c:v>
                </c:pt>
                <c:pt idx="318">
                  <c:v>9.1797737976434401</c:v>
                </c:pt>
                <c:pt idx="319">
                  <c:v>8.2665124120724212</c:v>
                </c:pt>
                <c:pt idx="320">
                  <c:v>7.3556076848808116</c:v>
                </c:pt>
                <c:pt idx="321">
                  <c:v>6.4472360318774768</c:v>
                </c:pt>
                <c:pt idx="322">
                  <c:v>5.5415737486159538</c:v>
                </c:pt>
                <c:pt idx="323">
                  <c:v>4.6387976778997535</c:v>
                </c:pt>
                <c:pt idx="324">
                  <c:v>3.7390858823602198</c:v>
                </c:pt>
                <c:pt idx="325">
                  <c:v>2.8426183160664364</c:v>
                </c:pt>
                <c:pt idx="326">
                  <c:v>1.9495774891237609</c:v>
                </c:pt>
                <c:pt idx="327">
                  <c:v>1.0601491192523598</c:v>
                </c:pt>
                <c:pt idx="328">
                  <c:v>0.17452276441690476</c:v>
                </c:pt>
                <c:pt idx="329">
                  <c:v>-0.70710756930555108</c:v>
                </c:pt>
                <c:pt idx="330">
                  <c:v>-1.5845428502717982</c:v>
                </c:pt>
                <c:pt idx="331">
                  <c:v>-2.457578479687585</c:v>
                </c:pt>
                <c:pt idx="332">
                  <c:v>-3.3260037910983042</c:v>
                </c:pt>
                <c:pt idx="333">
                  <c:v>-4.1896015958892328</c:v>
                </c:pt>
                <c:pt idx="334">
                  <c:v>-5.0481477793876808</c:v>
                </c:pt>
                <c:pt idx="335">
                  <c:v>-5.9014109518166826</c:v>
                </c:pt>
                <c:pt idx="336">
                  <c:v>-6.7491521579203422</c:v>
                </c:pt>
                <c:pt idx="337">
                  <c:v>-7.5911246486585213</c:v>
                </c:pt>
                <c:pt idx="338">
                  <c:v>-8.4270737178827169</c:v>
                </c:pt>
                <c:pt idx="339">
                  <c:v>-9.2567366063853793</c:v>
                </c:pt>
                <c:pt idx="340">
                  <c:v>-10.079842475185211</c:v>
                </c:pt>
                <c:pt idx="341">
                  <c:v>-10.896112449340539</c:v>
                </c:pt>
                <c:pt idx="342">
                  <c:v>-11.705259732985853</c:v>
                </c:pt>
                <c:pt idx="343">
                  <c:v>-12.506989795696271</c:v>
                </c:pt>
                <c:pt idx="344">
                  <c:v>-13.301000629665348</c:v>
                </c:pt>
                <c:pt idx="345">
                  <c:v>-14.08698307656825</c:v>
                </c:pt>
                <c:pt idx="346">
                  <c:v>-14.864621222372584</c:v>
                </c:pt>
                <c:pt idx="347">
                  <c:v>-15.633592857767661</c:v>
                </c:pt>
                <c:pt idx="348">
                  <c:v>-16.393570001305751</c:v>
                </c:pt>
                <c:pt idx="349">
                  <c:v>-17.144219481799791</c:v>
                </c:pt>
                <c:pt idx="350">
                  <c:v>-17.885203576019691</c:v>
                </c:pt>
                <c:pt idx="351">
                  <c:v>-18.616180697260678</c:v>
                </c:pt>
                <c:pt idx="352">
                  <c:v>-19.336806129943614</c:v>
                </c:pt>
                <c:pt idx="353">
                  <c:v>-20.046732805058419</c:v>
                </c:pt>
                <c:pt idx="354">
                  <c:v>-20.745612110960032</c:v>
                </c:pt>
                <c:pt idx="355">
                  <c:v>-21.433094733814027</c:v>
                </c:pt>
                <c:pt idx="356">
                  <c:v>-22.108831521823959</c:v>
                </c:pt>
                <c:pt idx="357">
                  <c:v>-22.772474367306419</c:v>
                </c:pt>
                <c:pt idx="358">
                  <c:v>-23.423677100658935</c:v>
                </c:pt>
                <c:pt idx="359">
                  <c:v>-24.062096390346252</c:v>
                </c:pt>
                <c:pt idx="360">
                  <c:v>-24.687392643160646</c:v>
                </c:pt>
                <c:pt idx="361">
                  <c:v>-25.299230899217122</c:v>
                </c:pt>
                <c:pt idx="362">
                  <c:v>-25.897281716420096</c:v>
                </c:pt>
                <c:pt idx="363">
                  <c:v>-26.481222039450984</c:v>
                </c:pt>
                <c:pt idx="364">
                  <c:v>-27.050736048715081</c:v>
                </c:pt>
                <c:pt idx="365">
                  <c:v>-27.605515985096407</c:v>
                </c:pt>
                <c:pt idx="366">
                  <c:v>-28.14526294681492</c:v>
                </c:pt>
                <c:pt idx="367">
                  <c:v>-28.669687655177629</c:v>
                </c:pt>
                <c:pt idx="368">
                  <c:v>-29.178511186489139</c:v>
                </c:pt>
                <c:pt idx="369">
                  <c:v>-29.671465667898008</c:v>
                </c:pt>
                <c:pt idx="370">
                  <c:v>-30.14829493545529</c:v>
                </c:pt>
                <c:pt idx="371">
                  <c:v>-30.608755153148579</c:v>
                </c:pt>
                <c:pt idx="372">
                  <c:v>-31.05261539215358</c:v>
                </c:pt>
                <c:pt idx="373">
                  <c:v>-31.479658169975117</c:v>
                </c:pt>
                <c:pt idx="374">
                  <c:v>-31.889679949592658</c:v>
                </c:pt>
                <c:pt idx="375">
                  <c:v>-32.282491599068386</c:v>
                </c:pt>
                <c:pt idx="376">
                  <c:v>-32.657918812437408</c:v>
                </c:pt>
                <c:pt idx="377">
                  <c:v>-33.015802492970352</c:v>
                </c:pt>
                <c:pt idx="378">
                  <c:v>-33.355999100148303</c:v>
                </c:pt>
                <c:pt idx="379">
                  <c:v>-33.678380961864235</c:v>
                </c:pt>
                <c:pt idx="380">
                  <c:v>-33.982836553515888</c:v>
                </c:pt>
                <c:pt idx="381">
                  <c:v>-34.269270745720824</c:v>
                </c:pt>
                <c:pt idx="382">
                  <c:v>-34.537605022434377</c:v>
                </c:pt>
                <c:pt idx="383">
                  <c:v>-34.787777671218166</c:v>
                </c:pt>
                <c:pt idx="384">
                  <c:v>-35.019743947354577</c:v>
                </c:pt>
                <c:pt idx="385">
                  <c:v>-35.233476213391008</c:v>
                </c:pt>
                <c:pt idx="386">
                  <c:v>-35.428964055548825</c:v>
                </c:pt>
                <c:pt idx="387">
                  <c:v>-35.606214378256581</c:v>
                </c:pt>
                <c:pt idx="388">
                  <c:v>-35.765251477849723</c:v>
                </c:pt>
                <c:pt idx="389">
                  <c:v>-35.906117096241964</c:v>
                </c:pt>
                <c:pt idx="390">
                  <c:v>-36.028870455117278</c:v>
                </c:pt>
                <c:pt idx="391">
                  <c:v>-36.13358827092334</c:v>
                </c:pt>
                <c:pt idx="392">
                  <c:v>-36.220364750657374</c:v>
                </c:pt>
                <c:pt idx="393">
                  <c:v>-36.289311568166859</c:v>
                </c:pt>
                <c:pt idx="394">
                  <c:v>-36.340557820393968</c:v>
                </c:pt>
                <c:pt idx="395">
                  <c:v>-36.374249962737906</c:v>
                </c:pt>
                <c:pt idx="396">
                  <c:v>-36.390551722441408</c:v>
                </c:pt>
                <c:pt idx="397">
                  <c:v>-36.389643988686316</c:v>
                </c:pt>
                <c:pt idx="398">
                  <c:v>-36.371724677865728</c:v>
                </c:pt>
                <c:pt idx="399">
                  <c:v>-36.337008572331435</c:v>
                </c:pt>
                <c:pt idx="400">
                  <c:v>-36.285727130772052</c:v>
                </c:pt>
                <c:pt idx="401">
                  <c:v>-36.2181282682781</c:v>
                </c:pt>
                <c:pt idx="402">
                  <c:v>-36.134476104093203</c:v>
                </c:pt>
                <c:pt idx="403">
                  <c:v>-36.035050675043742</c:v>
                </c:pt>
                <c:pt idx="404">
                  <c:v>-35.920147612677155</c:v>
                </c:pt>
                <c:pt idx="405">
                  <c:v>-35.790077782230021</c:v>
                </c:pt>
                <c:pt idx="406">
                  <c:v>-35.645166881690749</c:v>
                </c:pt>
                <c:pt idx="407">
                  <c:v>-35.48575499941623</c:v>
                </c:pt>
                <c:pt idx="408">
                  <c:v>-35.312196129002608</c:v>
                </c:pt>
                <c:pt idx="409">
                  <c:v>-35.124857640407185</c:v>
                </c:pt>
                <c:pt idx="410">
                  <c:v>-34.924119706653457</c:v>
                </c:pt>
                <c:pt idx="411">
                  <c:v>-34.710374685831461</c:v>
                </c:pt>
                <c:pt idx="412">
                  <c:v>-34.484026458520269</c:v>
                </c:pt>
                <c:pt idx="413">
                  <c:v>-34.245489721205864</c:v>
                </c:pt>
                <c:pt idx="414">
                  <c:v>-33.995189236735712</c:v>
                </c:pt>
                <c:pt idx="415">
                  <c:v>-33.733559043336598</c:v>
                </c:pt>
                <c:pt idx="416">
                  <c:v>-33.461041624214431</c:v>
                </c:pt>
                <c:pt idx="417">
                  <c:v>-33.17808704024911</c:v>
                </c:pt>
                <c:pt idx="418">
                  <c:v>-32.885152028781491</c:v>
                </c:pt>
                <c:pt idx="419">
                  <c:v>-32.582699071947218</c:v>
                </c:pt>
                <c:pt idx="420">
                  <c:v>-32.271195438462527</c:v>
                </c:pt>
                <c:pt idx="421">
                  <c:v>-31.951112203157578</c:v>
                </c:pt>
                <c:pt idx="422">
                  <c:v>-31.622923248922522</c:v>
                </c:pt>
                <c:pt idx="423">
                  <c:v>-31.287104256032272</c:v>
                </c:pt>
                <c:pt idx="424">
                  <c:v>-30.944131684077906</c:v>
                </c:pt>
                <c:pt idx="425">
                  <c:v>-30.594481751910862</c:v>
                </c:pt>
                <c:pt idx="426">
                  <c:v>-30.238629421149007</c:v>
                </c:pt>
                <c:pt idx="427">
                  <c:v>-29.877047388827577</c:v>
                </c:pt>
                <c:pt idx="428">
                  <c:v>-29.51020509479044</c:v>
                </c:pt>
                <c:pt idx="429">
                  <c:v>-29.138567749307896</c:v>
                </c:pt>
                <c:pt idx="430">
                  <c:v>-28.762595386281227</c:v>
                </c:pt>
                <c:pt idx="431">
                  <c:v>-28.38274194715547</c:v>
                </c:pt>
                <c:pt idx="432">
                  <c:v>-27.999454400403515</c:v>
                </c:pt>
                <c:pt idx="433">
                  <c:v>-27.613171901091562</c:v>
                </c:pt>
                <c:pt idx="434">
                  <c:v>-27.224324994670408</c:v>
                </c:pt>
                <c:pt idx="435">
                  <c:v>-26.833334868695513</c:v>
                </c:pt>
                <c:pt idx="436">
                  <c:v>-26.440612655723964</c:v>
                </c:pt>
                <c:pt idx="437">
                  <c:v>-26.046558790143624</c:v>
                </c:pt>
                <c:pt idx="438">
                  <c:v>-25.651562421184323</c:v>
                </c:pt>
                <c:pt idx="439">
                  <c:v>-25.256000883837931</c:v>
                </c:pt>
                <c:pt idx="440">
                  <c:v>-24.860239228894425</c:v>
                </c:pt>
                <c:pt idx="441">
                  <c:v>-24.464629812783247</c:v>
                </c:pt>
                <c:pt idx="442">
                  <c:v>-24.069511947408802</c:v>
                </c:pt>
                <c:pt idx="443">
                  <c:v>-23.675211609680368</c:v>
                </c:pt>
                <c:pt idx="444">
                  <c:v>-23.282041209977951</c:v>
                </c:pt>
                <c:pt idx="445">
                  <c:v>-22.890299418373207</c:v>
                </c:pt>
                <c:pt idx="446">
                  <c:v>-22.500271047019872</c:v>
                </c:pt>
                <c:pt idx="447">
                  <c:v>-22.112226986785572</c:v>
                </c:pt>
                <c:pt idx="448">
                  <c:v>-21.726424195869384</c:v>
                </c:pt>
                <c:pt idx="449">
                  <c:v>-21.343105737885768</c:v>
                </c:pt>
                <c:pt idx="450">
                  <c:v>-20.962500866660701</c:v>
                </c:pt>
                <c:pt idx="451">
                  <c:v>-20.584825154804435</c:v>
                </c:pt>
                <c:pt idx="452">
                  <c:v>-20.210280662972337</c:v>
                </c:pt>
                <c:pt idx="453">
                  <c:v>-19.83905614663049</c:v>
                </c:pt>
                <c:pt idx="454">
                  <c:v>-19.471327297071458</c:v>
                </c:pt>
                <c:pt idx="455">
                  <c:v>-19.107257013401071</c:v>
                </c:pt>
                <c:pt idx="456">
                  <c:v>-18.746995702221088</c:v>
                </c:pt>
                <c:pt idx="457">
                  <c:v>-18.390681601768033</c:v>
                </c:pt>
                <c:pt idx="458">
                  <c:v>-18.038441127335268</c:v>
                </c:pt>
                <c:pt idx="459">
                  <c:v>-17.690389234890532</c:v>
                </c:pt>
                <c:pt idx="460">
                  <c:v>-17.346629799910879</c:v>
                </c:pt>
                <c:pt idx="461">
                  <c:v>-17.00725600858836</c:v>
                </c:pt>
                <c:pt idx="462">
                  <c:v>-16.672350758691934</c:v>
                </c:pt>
                <c:pt idx="463">
                  <c:v>-16.341987067534177</c:v>
                </c:pt>
                <c:pt idx="464">
                  <c:v>-16.016228484646565</c:v>
                </c:pt>
                <c:pt idx="465">
                  <c:v>-15.695129506936624</c:v>
                </c:pt>
                <c:pt idx="466">
                  <c:v>-15.378735994266378</c:v>
                </c:pt>
                <c:pt idx="467">
                  <c:v>-15.067085583574325</c:v>
                </c:pt>
                <c:pt idx="468">
                  <c:v>-14.760208099821483</c:v>
                </c:pt>
                <c:pt idx="469">
                  <c:v>-14.458125962216876</c:v>
                </c:pt>
                <c:pt idx="470">
                  <c:v>-14.160854584344559</c:v>
                </c:pt>
                <c:pt idx="471">
                  <c:v>-13.868402766966437</c:v>
                </c:pt>
                <c:pt idx="472">
                  <c:v>-13.580773082435217</c:v>
                </c:pt>
                <c:pt idx="473">
                  <c:v>-13.297962249791246</c:v>
                </c:pt>
                <c:pt idx="474">
                  <c:v>-13.019961499760633</c:v>
                </c:pt>
                <c:pt idx="475">
                  <c:v>-12.746756928995081</c:v>
                </c:pt>
                <c:pt idx="476">
                  <c:v>-12.47832984302136</c:v>
                </c:pt>
                <c:pt idx="477">
                  <c:v>-12.21465708747616</c:v>
                </c:pt>
                <c:pt idx="478">
                  <c:v>-11.955711367307167</c:v>
                </c:pt>
                <c:pt idx="479">
                  <c:v>-11.701461553715033</c:v>
                </c:pt>
                <c:pt idx="480">
                  <c:v>-11.451872978700246</c:v>
                </c:pt>
                <c:pt idx="481">
                  <c:v>-11.206907717151541</c:v>
                </c:pt>
                <c:pt idx="482">
                  <c:v>-10.966524856487084</c:v>
                </c:pt>
                <c:pt idx="483">
                  <c:v>-10.730680753921021</c:v>
                </c:pt>
                <c:pt idx="484">
                  <c:v>-10.499329281480602</c:v>
                </c:pt>
                <c:pt idx="485">
                  <c:v>-10.272422058951246</c:v>
                </c:pt>
                <c:pt idx="486">
                  <c:v>-10.049908674964476</c:v>
                </c:pt>
                <c:pt idx="487">
                  <c:v>-9.8317368964827292</c:v>
                </c:pt>
                <c:pt idx="488">
                  <c:v>-9.6178528669651069</c:v>
                </c:pt>
                <c:pt idx="489">
                  <c:v>-9.4082012935202215</c:v>
                </c:pt>
                <c:pt idx="490">
                  <c:v>-9.2027256233762014</c:v>
                </c:pt>
                <c:pt idx="491">
                  <c:v>-9.0013682100132701</c:v>
                </c:pt>
                <c:pt idx="492">
                  <c:v>-8.8040704693148371</c:v>
                </c:pt>
                <c:pt idx="493">
                  <c:v>-8.6107730261047752</c:v>
                </c:pt>
                <c:pt idx="494">
                  <c:v>-8.4214158514418624</c:v>
                </c:pt>
                <c:pt idx="495">
                  <c:v>-8.2359383910463393</c:v>
                </c:pt>
                <c:pt idx="496">
                  <c:v>-8.0542796852352101</c:v>
                </c:pt>
                <c:pt idx="497">
                  <c:v>-7.8763784807383006</c:v>
                </c:pt>
                <c:pt idx="498">
                  <c:v>-7.7021733347669512</c:v>
                </c:pt>
                <c:pt idx="499">
                  <c:v>-7.5316027117000157</c:v>
                </c:pt>
                <c:pt idx="500">
                  <c:v>-7.3646050727455306</c:v>
                </c:pt>
                <c:pt idx="501">
                  <c:v>-7.2011189589299178</c:v>
                </c:pt>
                <c:pt idx="502">
                  <c:v>-7.0410830677562624</c:v>
                </c:pt>
                <c:pt idx="503">
                  <c:v>-6.884436323865522</c:v>
                </c:pt>
                <c:pt idx="504">
                  <c:v>-6.7311179440228441</c:v>
                </c:pt>
                <c:pt idx="505">
                  <c:v>-6.5810674967421603</c:v>
                </c:pt>
                <c:pt idx="506">
                  <c:v>-6.4342249568493681</c:v>
                </c:pt>
                <c:pt idx="507">
                  <c:v>-6.2905307552757783</c:v>
                </c:pt>
                <c:pt idx="508">
                  <c:v>-6.1499258243597783</c:v>
                </c:pt>
                <c:pt idx="509">
                  <c:v>-6.0123516389247049</c:v>
                </c:pt>
                <c:pt idx="510">
                  <c:v>-5.8777502533885908</c:v>
                </c:pt>
                <c:pt idx="511">
                  <c:v>-5.7460643351521279</c:v>
                </c:pt>
                <c:pt idx="512">
                  <c:v>-5.6172371944963331</c:v>
                </c:pt>
                <c:pt idx="513">
                  <c:v>-5.4912128112147354</c:v>
                </c:pt>
                <c:pt idx="514">
                  <c:v>-5.3679358581905205</c:v>
                </c:pt>
                <c:pt idx="515">
                  <c:v>-5.2473517221216772</c:v>
                </c:pt>
                <c:pt idx="516">
                  <c:v>-5.1294065215834852</c:v>
                </c:pt>
                <c:pt idx="517">
                  <c:v>-5.014047122611057</c:v>
                </c:pt>
                <c:pt idx="518">
                  <c:v>-4.9012211519735125</c:v>
                </c:pt>
                <c:pt idx="519">
                  <c:v>-4.7908770083011127</c:v>
                </c:pt>
                <c:pt idx="520">
                  <c:v>-4.6829638712203607</c:v>
                </c:pt>
                <c:pt idx="521">
                  <c:v>-4.5774317086407699</c:v>
                </c:pt>
                <c:pt idx="522">
                  <c:v>-4.4742312823303321</c:v>
                </c:pt>
                <c:pt idx="523">
                  <c:v>-4.3733141519091889</c:v>
                </c:pt>
                <c:pt idx="524">
                  <c:v>-4.2746326773807048</c:v>
                </c:pt>
                <c:pt idx="525">
                  <c:v>-4.1781400203165555</c:v>
                </c:pt>
                <c:pt idx="526">
                  <c:v>-4.083790143800905</c:v>
                </c:pt>
                <c:pt idx="527">
                  <c:v>-3.9915378112351174</c:v>
                </c:pt>
                <c:pt idx="528">
                  <c:v>-3.9013385840977204</c:v>
                </c:pt>
                <c:pt idx="529">
                  <c:v>-3.8131488187463813</c:v>
                </c:pt>
                <c:pt idx="530">
                  <c:v>-3.7269256623474107</c:v>
                </c:pt>
                <c:pt idx="531">
                  <c:v>-3.6426270480080039</c:v>
                </c:pt>
                <c:pt idx="532">
                  <c:v>-3.5602116891846589</c:v>
                </c:pt>
                <c:pt idx="533">
                  <c:v>-3.4796390734354961</c:v>
                </c:pt>
                <c:pt idx="534">
                  <c:v>-3.4008694555798948</c:v>
                </c:pt>
                <c:pt idx="535">
                  <c:v>-3.3238638503237943</c:v>
                </c:pt>
                <c:pt idx="536">
                  <c:v>-3.2485840244066422</c:v>
                </c:pt>
                <c:pt idx="537">
                  <c:v>-3.1749924883200085</c:v>
                </c:pt>
                <c:pt idx="538">
                  <c:v>-3.1030524876465444</c:v>
                </c:pt>
                <c:pt idx="539">
                  <c:v>-3.0327279940634133</c:v>
                </c:pt>
                <c:pt idx="540">
                  <c:v>-2.9639836960507431</c:v>
                </c:pt>
                <c:pt idx="541">
                  <c:v>-2.8967849893440283</c:v>
                </c:pt>
              </c:numCache>
            </c:numRef>
          </c:yVal>
          <c:smooth val="1"/>
          <c:extLst>
            <c:ext xmlns:c16="http://schemas.microsoft.com/office/drawing/2014/chart" uri="{C3380CC4-5D6E-409C-BE32-E72D297353CC}">
              <c16:uniqueId val="{00000001-AD11-40FF-AAF8-E4D177FF3352}"/>
            </c:ext>
          </c:extLst>
        </c:ser>
        <c:dLbls>
          <c:showLegendKey val="0"/>
          <c:showVal val="0"/>
          <c:showCatName val="0"/>
          <c:showSerName val="0"/>
          <c:showPercent val="0"/>
          <c:showBubbleSize val="0"/>
        </c:dLbls>
        <c:axId val="555497728"/>
        <c:axId val="555496192"/>
      </c:scatterChart>
      <c:valAx>
        <c:axId val="55534464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346560"/>
        <c:crosses val="autoZero"/>
        <c:crossBetween val="midCat"/>
      </c:valAx>
      <c:valAx>
        <c:axId val="55534656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555344640"/>
        <c:crosses val="autoZero"/>
        <c:crossBetween val="midCat"/>
        <c:majorUnit val="20"/>
        <c:minorUnit val="10"/>
      </c:valAx>
      <c:valAx>
        <c:axId val="555496192"/>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555497728"/>
        <c:crosses val="max"/>
        <c:crossBetween val="midCat"/>
        <c:majorUnit val="90"/>
        <c:minorUnit val="45"/>
      </c:valAx>
      <c:valAx>
        <c:axId val="555497728"/>
        <c:scaling>
          <c:logBase val="10"/>
          <c:orientation val="minMax"/>
        </c:scaling>
        <c:delete val="1"/>
        <c:axPos val="b"/>
        <c:numFmt formatCode="0.00" sourceLinked="1"/>
        <c:majorTickMark val="out"/>
        <c:minorTickMark val="none"/>
        <c:tickLblPos val="nextTo"/>
        <c:crossAx val="555496192"/>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Total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Loop_Modeling!$BO$19:$BO$560</c:f>
              <c:numCache>
                <c:formatCode>General</c:formatCode>
                <c:ptCount val="542"/>
                <c:pt idx="0">
                  <c:v>42.823618506136313</c:v>
                </c:pt>
                <c:pt idx="1">
                  <c:v>42.623732611330198</c:v>
                </c:pt>
                <c:pt idx="2">
                  <c:v>42.423852055418358</c:v>
                </c:pt>
                <c:pt idx="3">
                  <c:v>42.223977086300806</c:v>
                </c:pt>
                <c:pt idx="4">
                  <c:v>42.02410796320563</c:v>
                </c:pt>
                <c:pt idx="5">
                  <c:v>41.824244957188711</c:v>
                </c:pt>
                <c:pt idx="6">
                  <c:v>41.624388351654822</c:v>
                </c:pt>
                <c:pt idx="7">
                  <c:v>41.424538442898054</c:v>
                </c:pt>
                <c:pt idx="8">
                  <c:v>41.224695540665977</c:v>
                </c:pt>
                <c:pt idx="9">
                  <c:v>41.02485996874443</c:v>
                </c:pt>
                <c:pt idx="10">
                  <c:v>40.825032065566717</c:v>
                </c:pt>
                <c:pt idx="11">
                  <c:v>40.625212184845367</c:v>
                </c:pt>
                <c:pt idx="12">
                  <c:v>40.425400696229133</c:v>
                </c:pt>
                <c:pt idx="13">
                  <c:v>40.225597985983804</c:v>
                </c:pt>
                <c:pt idx="14">
                  <c:v>40.025804457700744</c:v>
                </c:pt>
                <c:pt idx="15">
                  <c:v>39.826020533029251</c:v>
                </c:pt>
                <c:pt idx="16">
                  <c:v>39.626246652437203</c:v>
                </c:pt>
                <c:pt idx="17">
                  <c:v>39.426483275998706</c:v>
                </c:pt>
                <c:pt idx="18">
                  <c:v>39.226730884209651</c:v>
                </c:pt>
                <c:pt idx="19">
                  <c:v>39.026989978831502</c:v>
                </c:pt>
                <c:pt idx="20">
                  <c:v>38.827261083764391</c:v>
                </c:pt>
                <c:pt idx="21">
                  <c:v>38.627544745948171</c:v>
                </c:pt>
                <c:pt idx="22">
                  <c:v>38.427841536294395</c:v>
                </c:pt>
                <c:pt idx="23">
                  <c:v>38.228152050647054</c:v>
                </c:pt>
                <c:pt idx="24">
                  <c:v>38.028476910772902</c:v>
                </c:pt>
                <c:pt idx="25">
                  <c:v>37.828816765382641</c:v>
                </c:pt>
                <c:pt idx="26">
                  <c:v>37.629172291180339</c:v>
                </c:pt>
                <c:pt idx="27">
                  <c:v>37.429544193943457</c:v>
                </c:pt>
                <c:pt idx="28">
                  <c:v>37.229933209631653</c:v>
                </c:pt>
                <c:pt idx="29">
                  <c:v>37.030340105523855</c:v>
                </c:pt>
                <c:pt idx="30">
                  <c:v>36.830765681383099</c:v>
                </c:pt>
                <c:pt idx="31">
                  <c:v>36.631210770648714</c:v>
                </c:pt>
                <c:pt idx="32">
                  <c:v>36.431676241654003</c:v>
                </c:pt>
                <c:pt idx="33">
                  <c:v>36.232162998867679</c:v>
                </c:pt>
                <c:pt idx="34">
                  <c:v>36.032671984159073</c:v>
                </c:pt>
                <c:pt idx="35">
                  <c:v>35.833204178082447</c:v>
                </c:pt>
                <c:pt idx="36">
                  <c:v>35.633760601181407</c:v>
                </c:pt>
                <c:pt idx="37">
                  <c:v>35.434342315307141</c:v>
                </c:pt>
                <c:pt idx="38">
                  <c:v>35.23495042495037</c:v>
                </c:pt>
                <c:pt idx="39">
                  <c:v>35.035586078582504</c:v>
                </c:pt>
                <c:pt idx="40">
                  <c:v>34.836250470000095</c:v>
                </c:pt>
                <c:pt idx="41">
                  <c:v>34.636944839672729</c:v>
                </c:pt>
                <c:pt idx="42">
                  <c:v>34.437670476084122</c:v>
                </c:pt>
                <c:pt idx="43">
                  <c:v>34.238428717063769</c:v>
                </c:pt>
                <c:pt idx="44">
                  <c:v>34.03922095110336</c:v>
                </c:pt>
                <c:pt idx="45">
                  <c:v>33.840048618648296</c:v>
                </c:pt>
                <c:pt idx="46">
                  <c:v>33.640913213359973</c:v>
                </c:pt>
                <c:pt idx="47">
                  <c:v>33.441816283337523</c:v>
                </c:pt>
                <c:pt idx="48">
                  <c:v>33.242759432292218</c:v>
                </c:pt>
                <c:pt idx="49">
                  <c:v>33.043744320661965</c:v>
                </c:pt>
                <c:pt idx="50">
                  <c:v>32.844772666656937</c:v>
                </c:pt>
                <c:pt idx="51">
                  <c:v>32.645846247223986</c:v>
                </c:pt>
                <c:pt idx="52">
                  <c:v>32.446966898915456</c:v>
                </c:pt>
                <c:pt idx="53">
                  <c:v>32.248136518649126</c:v>
                </c:pt>
                <c:pt idx="54">
                  <c:v>32.049357064345742</c:v>
                </c:pt>
                <c:pt idx="55">
                  <c:v>31.850630555424388</c:v>
                </c:pt>
                <c:pt idx="56">
                  <c:v>31.651959073141342</c:v>
                </c:pt>
                <c:pt idx="57">
                  <c:v>31.453344760752127</c:v>
                </c:pt>
                <c:pt idx="58">
                  <c:v>31.254789823477338</c:v>
                </c:pt>
                <c:pt idx="59">
                  <c:v>31.056296528250158</c:v>
                </c:pt>
                <c:pt idx="60">
                  <c:v>30.85786720322595</c:v>
                </c:pt>
                <c:pt idx="61">
                  <c:v>30.659504237025487</c:v>
                </c:pt>
                <c:pt idx="62">
                  <c:v>30.46121007769294</c:v>
                </c:pt>
                <c:pt idx="63">
                  <c:v>30.262987231337924</c:v>
                </c:pt>
                <c:pt idx="64">
                  <c:v>30.064838260436954</c:v>
                </c:pt>
                <c:pt idx="65">
                  <c:v>29.8667657817658</c:v>
                </c:pt>
                <c:pt idx="66">
                  <c:v>29.668772463934623</c:v>
                </c:pt>
                <c:pt idx="67">
                  <c:v>29.470861024495303</c:v>
                </c:pt>
                <c:pt idx="68">
                  <c:v>29.273034226591488</c:v>
                </c:pt>
                <c:pt idx="69">
                  <c:v>29.07529487512139</c:v>
                </c:pt>
                <c:pt idx="70">
                  <c:v>28.877645812382063</c:v>
                </c:pt>
                <c:pt idx="71">
                  <c:v>28.680089913165588</c:v>
                </c:pt>
                <c:pt idx="72">
                  <c:v>28.482630079277431</c:v>
                </c:pt>
                <c:pt idx="73">
                  <c:v>28.285269233446986</c:v>
                </c:pt>
                <c:pt idx="74">
                  <c:v>28.088010312604744</c:v>
                </c:pt>
                <c:pt idx="75">
                  <c:v>27.890856260499103</c:v>
                </c:pt>
                <c:pt idx="76">
                  <c:v>27.693810019628835</c:v>
                </c:pt>
                <c:pt idx="77">
                  <c:v>27.496874522471902</c:v>
                </c:pt>
                <c:pt idx="78">
                  <c:v>27.300052681992376</c:v>
                </c:pt>
                <c:pt idx="79">
                  <c:v>27.103347381413101</c:v>
                </c:pt>
                <c:pt idx="80">
                  <c:v>26.906761463244443</c:v>
                </c:pt>
                <c:pt idx="81">
                  <c:v>26.710297717567695</c:v>
                </c:pt>
                <c:pt idx="82">
                  <c:v>26.513958869574765</c:v>
                </c:pt>
                <c:pt idx="83">
                  <c:v>26.317747566376291</c:v>
                </c:pt>
                <c:pt idx="84">
                  <c:v>26.121666363093937</c:v>
                </c:pt>
                <c:pt idx="85">
                  <c:v>25.92571770826504</c:v>
                </c:pt>
                <c:pt idx="86">
                  <c:v>25.729903928594254</c:v>
                </c:pt>
                <c:pt idx="87">
                  <c:v>25.534227213098418</c:v>
                </c:pt>
                <c:pt idx="88">
                  <c:v>25.338689596700643</c:v>
                </c:pt>
                <c:pt idx="89">
                  <c:v>25.143292943340821</c:v>
                </c:pt>
                <c:pt idx="90">
                  <c:v>24.948038928682227</c:v>
                </c:pt>
                <c:pt idx="91">
                  <c:v>24.752929022504979</c:v>
                </c:pt>
                <c:pt idx="92">
                  <c:v>24.557964470889608</c:v>
                </c:pt>
                <c:pt idx="93">
                  <c:v>24.363146278307212</c:v>
                </c:pt>
                <c:pt idx="94">
                  <c:v>24.16847518974339</c:v>
                </c:pt>
                <c:pt idx="95">
                  <c:v>23.973951672996662</c:v>
                </c:pt>
                <c:pt idx="96">
                  <c:v>23.779575901301033</c:v>
                </c:pt>
                <c:pt idx="97">
                  <c:v>23.585347736435498</c:v>
                </c:pt>
                <c:pt idx="98">
                  <c:v>23.39126671249111</c:v>
                </c:pt>
                <c:pt idx="99">
                  <c:v>23.197332020472579</c:v>
                </c:pt>
                <c:pt idx="100">
                  <c:v>23.003542493921607</c:v>
                </c:pt>
                <c:pt idx="101">
                  <c:v>22.809896595748668</c:v>
                </c:pt>
                <c:pt idx="102">
                  <c:v>22.616392406465909</c:v>
                </c:pt>
                <c:pt idx="103">
                  <c:v>22.423027614009104</c:v>
                </c:pt>
                <c:pt idx="104">
                  <c:v>22.229799505338931</c:v>
                </c:pt>
                <c:pt idx="105">
                  <c:v>22.03670495999809</c:v>
                </c:pt>
                <c:pt idx="106">
                  <c:v>21.843740445799046</c:v>
                </c:pt>
                <c:pt idx="107">
                  <c:v>21.650902016797701</c:v>
                </c:pt>
                <c:pt idx="108">
                  <c:v>21.458185313698472</c:v>
                </c:pt>
                <c:pt idx="109">
                  <c:v>21.265585566810966</c:v>
                </c:pt>
                <c:pt idx="110">
                  <c:v>21.07309760166298</c:v>
                </c:pt>
                <c:pt idx="111">
                  <c:v>20.880715847342056</c:v>
                </c:pt>
                <c:pt idx="112">
                  <c:v>20.688434347617051</c:v>
                </c:pt>
                <c:pt idx="113">
                  <c:v>20.496246774855575</c:v>
                </c:pt>
                <c:pt idx="114">
                  <c:v>20.304146446723802</c:v>
                </c:pt>
                <c:pt idx="115">
                  <c:v>20.112126345622329</c:v>
                </c:pt>
                <c:pt idx="116">
                  <c:v>19.92017914077401</c:v>
                </c:pt>
                <c:pt idx="117">
                  <c:v>19.72829721285046</c:v>
                </c:pt>
                <c:pt idx="118">
                  <c:v>19.536472680985245</c:v>
                </c:pt>
                <c:pt idx="119">
                  <c:v>19.344697431991364</c:v>
                </c:pt>
                <c:pt idx="120">
                  <c:v>19.152963151569214</c:v>
                </c:pt>
                <c:pt idx="121">
                  <c:v>18.961261357261336</c:v>
                </c:pt>
                <c:pt idx="122">
                  <c:v>18.769583432886954</c:v>
                </c:pt>
                <c:pt idx="123">
                  <c:v>18.577920664164402</c:v>
                </c:pt>
                <c:pt idx="124">
                  <c:v>18.386264275214753</c:v>
                </c:pt>
                <c:pt idx="125">
                  <c:v>18.194605465623141</c:v>
                </c:pt>
                <c:pt idx="126">
                  <c:v>18.002935447729659</c:v>
                </c:pt>
                <c:pt idx="127">
                  <c:v>17.811245483814858</c:v>
                </c:pt>
                <c:pt idx="128">
                  <c:v>17.619526922848031</c:v>
                </c:pt>
                <c:pt idx="129">
                  <c:v>17.427771236474076</c:v>
                </c:pt>
                <c:pt idx="130">
                  <c:v>17.235970053924248</c:v>
                </c:pt>
                <c:pt idx="131">
                  <c:v>17.044115195553093</c:v>
                </c:pt>
                <c:pt idx="132">
                  <c:v>16.852198704726959</c:v>
                </c:pt>
                <c:pt idx="133">
                  <c:v>16.660212877809226</c:v>
                </c:pt>
                <c:pt idx="134">
                  <c:v>16.468150292019217</c:v>
                </c:pt>
                <c:pt idx="135">
                  <c:v>16.276003830969742</c:v>
                </c:pt>
                <c:pt idx="136">
                  <c:v>16.083766707720901</c:v>
                </c:pt>
                <c:pt idx="137">
                  <c:v>15.891432485222833</c:v>
                </c:pt>
                <c:pt idx="138">
                  <c:v>15.698995094052313</c:v>
                </c:pt>
                <c:pt idx="139">
                  <c:v>15.506448847384064</c:v>
                </c:pt>
                <c:pt idx="140">
                  <c:v>15.313788453171473</c:v>
                </c:pt>
                <c:pt idx="141">
                  <c:v>15.121009023541223</c:v>
                </c:pt>
                <c:pt idx="142">
                  <c:v>14.928106081443573</c:v>
                </c:pt>
                <c:pt idx="143">
                  <c:v>14.735075564619631</c:v>
                </c:pt>
                <c:pt idx="144">
                  <c:v>14.541913826982922</c:v>
                </c:pt>
                <c:pt idx="145">
                  <c:v>14.348617637526742</c:v>
                </c:pt>
                <c:pt idx="146">
                  <c:v>14.155184176897535</c:v>
                </c:pt>
                <c:pt idx="147">
                  <c:v>13.961611031783573</c:v>
                </c:pt>
                <c:pt idx="148">
                  <c:v>13.767896187289635</c:v>
                </c:pt>
                <c:pt idx="149">
                  <c:v>13.574038017472718</c:v>
                </c:pt>
                <c:pt idx="150">
                  <c:v>13.380035274224651</c:v>
                </c:pt>
                <c:pt idx="151">
                  <c:v>13.185887074691928</c:v>
                </c:pt>
                <c:pt idx="152">
                  <c:v>12.991592887423026</c:v>
                </c:pt>
                <c:pt idx="153">
                  <c:v>12.797152517433144</c:v>
                </c:pt>
                <c:pt idx="154">
                  <c:v>12.602566090374525</c:v>
                </c:pt>
                <c:pt idx="155">
                  <c:v>12.407834035990874</c:v>
                </c:pt>
                <c:pt idx="156">
                  <c:v>12.212957071033639</c:v>
                </c:pt>
                <c:pt idx="157">
                  <c:v>12.017936181800712</c:v>
                </c:pt>
                <c:pt idx="158">
                  <c:v>11.822772606457939</c:v>
                </c:pt>
                <c:pt idx="159">
                  <c:v>11.627467817282806</c:v>
                </c:pt>
                <c:pt idx="160">
                  <c:v>11.432023502965869</c:v>
                </c:pt>
                <c:pt idx="161">
                  <c:v>11.236441551089571</c:v>
                </c:pt>
                <c:pt idx="162">
                  <c:v>11.040724030892532</c:v>
                </c:pt>
                <c:pt idx="163">
                  <c:v>10.844873176415417</c:v>
                </c:pt>
                <c:pt idx="164">
                  <c:v>10.648891370111521</c:v>
                </c:pt>
                <c:pt idx="165">
                  <c:v>10.452781126995433</c:v>
                </c:pt>
                <c:pt idx="166">
                  <c:v>10.256545079388594</c:v>
                </c:pt>
                <c:pt idx="167">
                  <c:v>10.060185962312787</c:v>
                </c:pt>
                <c:pt idx="168">
                  <c:v>9.8637065995706514</c:v>
                </c:pt>
                <c:pt idx="169">
                  <c:v>9.6671098905433279</c:v>
                </c:pt>
                <c:pt idx="170">
                  <c:v>9.4703987977262454</c:v>
                </c:pt>
                <c:pt idx="171">
                  <c:v>9.2735763350173279</c:v>
                </c:pt>
                <c:pt idx="172">
                  <c:v>9.076645556762454</c:v>
                </c:pt>
                <c:pt idx="173">
                  <c:v>8.8796095475586352</c:v>
                </c:pt>
                <c:pt idx="174">
                  <c:v>8.6824714128088765</c:v>
                </c:pt>
                <c:pt idx="175">
                  <c:v>8.4852342700170027</c:v>
                </c:pt>
                <c:pt idx="176">
                  <c:v>8.2879012408075141</c:v>
                </c:pt>
                <c:pt idx="177">
                  <c:v>8.0904754436516555</c:v>
                </c:pt>
                <c:pt idx="178">
                  <c:v>7.8929599872773295</c:v>
                </c:pt>
                <c:pt idx="179">
                  <c:v>7.6953579647379611</c:v>
                </c:pt>
                <c:pt idx="180">
                  <c:v>7.4976724481155053</c:v>
                </c:pt>
                <c:pt idx="181">
                  <c:v>7.2999064838272112</c:v>
                </c:pt>
                <c:pt idx="182">
                  <c:v>7.1020630885096665</c:v>
                </c:pt>
                <c:pt idx="183">
                  <c:v>6.9041452454491523</c:v>
                </c:pt>
                <c:pt idx="184">
                  <c:v>6.7061559015281578</c:v>
                </c:pt>
                <c:pt idx="185">
                  <c:v>6.5080979646600099</c:v>
                </c:pt>
                <c:pt idx="186">
                  <c:v>6.3099743016795875</c:v>
                </c:pt>
                <c:pt idx="187">
                  <c:v>6.1117877366629418</c:v>
                </c:pt>
                <c:pt idx="188">
                  <c:v>5.9135410496456506</c:v>
                </c:pt>
                <c:pt idx="189">
                  <c:v>5.7152369757139363</c:v>
                </c:pt>
                <c:pt idx="190">
                  <c:v>5.5168782044397444</c:v>
                </c:pt>
                <c:pt idx="191">
                  <c:v>5.3184673796360693</c:v>
                </c:pt>
                <c:pt idx="192">
                  <c:v>5.120007099405429</c:v>
                </c:pt>
                <c:pt idx="193">
                  <c:v>4.9214999164608608</c:v>
                </c:pt>
                <c:pt idx="194">
                  <c:v>4.7229483386940538</c:v>
                </c:pt>
                <c:pt idx="195">
                  <c:v>4.5243548299718634</c:v>
                </c:pt>
                <c:pt idx="196">
                  <c:v>4.3257218111387328</c:v>
                </c:pt>
                <c:pt idx="197">
                  <c:v>4.1270516612096824</c:v>
                </c:pt>
                <c:pt idx="198">
                  <c:v>3.9283467187316856</c:v>
                </c:pt>
                <c:pt idx="199">
                  <c:v>3.7296092833011985</c:v>
                </c:pt>
                <c:pt idx="200">
                  <c:v>3.5308416172193198</c:v>
                </c:pt>
                <c:pt idx="201">
                  <c:v>3.3320459472715274</c:v>
                </c:pt>
                <c:pt idx="202">
                  <c:v>3.1332244666185272</c:v>
                </c:pt>
                <c:pt idx="203">
                  <c:v>2.9343793367849154</c:v>
                </c:pt>
                <c:pt idx="204">
                  <c:v>2.7355126897355109</c:v>
                </c:pt>
                <c:pt idx="205">
                  <c:v>2.536626630026062</c:v>
                </c:pt>
                <c:pt idx="206">
                  <c:v>2.3377232370215677</c:v>
                </c:pt>
                <c:pt idx="207">
                  <c:v>2.1388045671701597</c:v>
                </c:pt>
                <c:pt idx="208">
                  <c:v>1.9398726563244257</c:v>
                </c:pt>
                <c:pt idx="209">
                  <c:v>1.7409295221039287</c:v>
                </c:pt>
                <c:pt idx="210">
                  <c:v>1.5419771662881998</c:v>
                </c:pt>
                <c:pt idx="211">
                  <c:v>1.3430175772358008</c:v>
                </c:pt>
                <c:pt idx="212">
                  <c:v>1.1440527323206853</c:v>
                </c:pt>
                <c:pt idx="213">
                  <c:v>0.94508460038102193</c:v>
                </c:pt>
                <c:pt idx="214">
                  <c:v>0.7461151441734325</c:v>
                </c:pt>
                <c:pt idx="215">
                  <c:v>0.54714632282683717</c:v>
                </c:pt>
                <c:pt idx="216">
                  <c:v>0.34818009428967395</c:v>
                </c:pt>
                <c:pt idx="217">
                  <c:v>0.14921841776639391</c:v>
                </c:pt>
                <c:pt idx="218">
                  <c:v>-4.9736743863706266E-2</c:v>
                </c:pt>
                <c:pt idx="219">
                  <c:v>-0.24868342165094984</c:v>
                </c:pt>
                <c:pt idx="220">
                  <c:v>-0.44761963820701067</c:v>
                </c:pt>
                <c:pt idx="221">
                  <c:v>-0.64654340537195709</c:v>
                </c:pt>
                <c:pt idx="222">
                  <c:v>-0.84545272191928689</c:v>
                </c:pt>
                <c:pt idx="223">
                  <c:v>-1.0443455713078325</c:v>
                </c:pt>
                <c:pt idx="224">
                  <c:v>-1.2432199194841014</c:v>
                </c:pt>
                <c:pt idx="225">
                  <c:v>-1.4420737127420122</c:v>
                </c:pt>
                <c:pt idx="226">
                  <c:v>-1.640904875647005</c:v>
                </c:pt>
                <c:pt idx="227">
                  <c:v>-1.8397113090297321</c:v>
                </c:pt>
                <c:pt idx="228">
                  <c:v>-2.0384908880569399</c:v>
                </c:pt>
                <c:pt idx="229">
                  <c:v>-2.2372414603854063</c:v>
                </c:pt>
                <c:pt idx="230">
                  <c:v>-2.4359608444075604</c:v>
                </c:pt>
                <c:pt idx="231">
                  <c:v>-2.6346468275940098</c:v>
                </c:pt>
                <c:pt idx="232">
                  <c:v>-2.8332971649421266</c:v>
                </c:pt>
                <c:pt idx="233">
                  <c:v>-3.0319095775356142</c:v>
                </c:pt>
                <c:pt idx="234">
                  <c:v>-3.2304817512258839</c:v>
                </c:pt>
                <c:pt idx="235">
                  <c:v>-3.4290113354387675</c:v>
                </c:pt>
                <c:pt idx="236">
                  <c:v>-3.6274959421163895</c:v>
                </c:pt>
                <c:pt idx="237">
                  <c:v>-3.8259331448002332</c:v>
                </c:pt>
                <c:pt idx="238">
                  <c:v>-4.0243204778616173</c:v>
                </c:pt>
                <c:pt idx="239">
                  <c:v>-4.2226554358863773</c:v>
                </c:pt>
                <c:pt idx="240">
                  <c:v>-4.4209354732180826</c:v>
                </c:pt>
                <c:pt idx="241">
                  <c:v>-4.6191580036666986</c:v>
                </c:pt>
                <c:pt idx="242">
                  <c:v>-4.8173204003833874</c:v>
                </c:pt>
                <c:pt idx="243">
                  <c:v>-5.0154199959065195</c:v>
                </c:pt>
                <c:pt idx="244">
                  <c:v>-5.2134540823785187</c:v>
                </c:pt>
                <c:pt idx="245">
                  <c:v>-5.4114199119348703</c:v>
                </c:pt>
                <c:pt idx="246">
                  <c:v>-5.6093146972603662</c:v>
                </c:pt>
                <c:pt idx="247">
                  <c:v>-5.8071356123111508</c:v>
                </c:pt>
                <c:pt idx="248">
                  <c:v>-6.0048797931937727</c:v>
                </c:pt>
                <c:pt idx="249">
                  <c:v>-6.2025443391935609</c:v>
                </c:pt>
                <c:pt idx="250">
                  <c:v>-6.4001263139389186</c:v>
                </c:pt>
                <c:pt idx="251">
                  <c:v>-6.5976227466871364</c:v>
                </c:pt>
                <c:pt idx="252">
                  <c:v>-6.7950306337127353</c:v>
                </c:pt>
                <c:pt idx="253">
                  <c:v>-6.9923469397769002</c:v>
                </c:pt>
                <c:pt idx="254">
                  <c:v>-7.1895685996498511</c:v>
                </c:pt>
                <c:pt idx="255">
                  <c:v>-7.3866925196599738</c:v>
                </c:pt>
                <c:pt idx="256">
                  <c:v>-7.5837155792308577</c:v>
                </c:pt>
                <c:pt idx="257">
                  <c:v>-7.7806346323722515</c:v>
                </c:pt>
                <c:pt idx="258">
                  <c:v>-7.9774465090787716</c:v>
                </c:pt>
                <c:pt idx="259">
                  <c:v>-8.1741480165919072</c:v>
                </c:pt>
                <c:pt idx="260">
                  <c:v>-8.3707359404732031</c:v>
                </c:pt>
                <c:pt idx="261">
                  <c:v>-8.5672070454334435</c:v>
                </c:pt>
                <c:pt idx="262">
                  <c:v>-8.7635580758597413</c:v>
                </c:pt>
                <c:pt idx="263">
                  <c:v>-8.9597857559778049</c:v>
                </c:pt>
                <c:pt idx="264">
                  <c:v>-9.1558867895854057</c:v>
                </c:pt>
                <c:pt idx="265">
                  <c:v>-9.3518578592889607</c:v>
                </c:pt>
                <c:pt idx="266">
                  <c:v>-9.5476956251747165</c:v>
                </c:pt>
                <c:pt idx="267">
                  <c:v>-9.7433967228458584</c:v>
                </c:pt>
                <c:pt idx="268">
                  <c:v>-9.9389577607544926</c:v>
                </c:pt>
                <c:pt idx="269">
                  <c:v>-10.134375316761648</c:v>
                </c:pt>
                <c:pt idx="270">
                  <c:v>-10.32964593385852</c:v>
                </c:pt>
                <c:pt idx="271">
                  <c:v>-10.524766114986164</c:v>
                </c:pt>
                <c:pt idx="272">
                  <c:v>-10.719732316895414</c:v>
                </c:pt>
                <c:pt idx="273">
                  <c:v>-10.91454094299473</c:v>
                </c:pt>
                <c:pt idx="274">
                  <c:v>-11.109188335140843</c:v>
                </c:pt>
                <c:pt idx="275">
                  <c:v>-11.303670764334175</c:v>
                </c:pt>
                <c:pt idx="276">
                  <c:v>-11.497984420293381</c:v>
                </c:pt>
                <c:pt idx="277">
                  <c:v>-11.692125399890649</c:v>
                </c:pt>
                <c:pt idx="278">
                  <c:v>-11.886089694443749</c:v>
                </c:pt>
                <c:pt idx="279">
                  <c:v>-12.079873175872372</c:v>
                </c:pt>
                <c:pt idx="280">
                  <c:v>-12.273471581740189</c:v>
                </c:pt>
                <c:pt idx="281">
                  <c:v>-12.466880499218323</c:v>
                </c:pt>
                <c:pt idx="282">
                  <c:v>-12.660095348019681</c:v>
                </c:pt>
                <c:pt idx="283">
                  <c:v>-12.853111362369756</c:v>
                </c:pt>
                <c:pt idx="284">
                  <c:v>-13.045923572093617</c:v>
                </c:pt>
                <c:pt idx="285">
                  <c:v>-13.238526782911977</c:v>
                </c:pt>
                <c:pt idx="286">
                  <c:v>-13.430915556056833</c:v>
                </c:pt>
                <c:pt idx="287">
                  <c:v>-13.623084187326118</c:v>
                </c:pt>
                <c:pt idx="288">
                  <c:v>-13.815026685713738</c:v>
                </c:pt>
                <c:pt idx="289">
                  <c:v>-14.006736751758469</c:v>
                </c:pt>
                <c:pt idx="290">
                  <c:v>-14.198207755770225</c:v>
                </c:pt>
                <c:pt idx="291">
                  <c:v>-14.389432716095776</c:v>
                </c:pt>
                <c:pt idx="292">
                  <c:v>-14.580404277598447</c:v>
                </c:pt>
                <c:pt idx="293">
                  <c:v>-14.771114690528243</c:v>
                </c:pt>
                <c:pt idx="294">
                  <c:v>-14.961555789966079</c:v>
                </c:pt>
                <c:pt idx="295">
                  <c:v>-15.151718976026585</c:v>
                </c:pt>
                <c:pt idx="296">
                  <c:v>-15.341595195007125</c:v>
                </c:pt>
                <c:pt idx="297">
                  <c:v>-15.531174921669384</c:v>
                </c:pt>
                <c:pt idx="298">
                  <c:v>-15.720448142839645</c:v>
                </c:pt>
                <c:pt idx="299">
                  <c:v>-15.909404342512097</c:v>
                </c:pt>
                <c:pt idx="300">
                  <c:v>-16.098032488634885</c:v>
                </c:pt>
                <c:pt idx="301">
                  <c:v>-16.286321021756571</c:v>
                </c:pt>
                <c:pt idx="302">
                  <c:v>-16.474257845706322</c:v>
                </c:pt>
                <c:pt idx="303">
                  <c:v>-16.661830320475868</c:v>
                </c:pt>
                <c:pt idx="304">
                  <c:v>-16.849025257466533</c:v>
                </c:pt>
                <c:pt idx="305">
                  <c:v>-17.035828917262059</c:v>
                </c:pt>
                <c:pt idx="306">
                  <c:v>-17.22222701007993</c:v>
                </c:pt>
                <c:pt idx="307">
                  <c:v>-17.408204699055243</c:v>
                </c:pt>
                <c:pt idx="308">
                  <c:v>-17.593746606500421</c:v>
                </c:pt>
                <c:pt idx="309">
                  <c:v>-17.778836823287676</c:v>
                </c:pt>
                <c:pt idx="310">
                  <c:v>-17.963458921493437</c:v>
                </c:pt>
                <c:pt idx="311">
                  <c:v>-18.147595970442907</c:v>
                </c:pt>
                <c:pt idx="312">
                  <c:v>-18.331230556292034</c:v>
                </c:pt>
                <c:pt idx="313">
                  <c:v>-18.514344805278977</c:v>
                </c:pt>
                <c:pt idx="314">
                  <c:v>-18.696920410777565</c:v>
                </c:pt>
                <c:pt idx="315">
                  <c:v>-18.878938664281595</c:v>
                </c:pt>
                <c:pt idx="316">
                  <c:v>-19.060380490445713</c:v>
                </c:pt>
                <c:pt idx="317">
                  <c:v>-19.241226486305788</c:v>
                </c:pt>
                <c:pt idx="318">
                  <c:v>-19.421456964795048</c:v>
                </c:pt>
                <c:pt idx="319">
                  <c:v>-19.601052002669274</c:v>
                </c:pt>
                <c:pt idx="320">
                  <c:v>-19.779991492943115</c:v>
                </c:pt>
                <c:pt idx="321">
                  <c:v>-19.958255201931088</c:v>
                </c:pt>
                <c:pt idx="322">
                  <c:v>-20.135822830976377</c:v>
                </c:pt>
                <c:pt idx="323">
                  <c:v>-20.312674082933036</c:v>
                </c:pt>
                <c:pt idx="324">
                  <c:v>-20.488788733450608</c:v>
                </c:pt>
                <c:pt idx="325">
                  <c:v>-20.66414670709003</c:v>
                </c:pt>
                <c:pt idx="326">
                  <c:v>-20.838728158275295</c:v>
                </c:pt>
                <c:pt idx="327">
                  <c:v>-21.012513557055268</c:v>
                </c:pt>
                <c:pt idx="328">
                  <c:v>-21.185483779622221</c:v>
                </c:pt>
                <c:pt idx="329">
                  <c:v>-21.357620203494776</c:v>
                </c:pt>
                <c:pt idx="330">
                  <c:v>-21.528904807237346</c:v>
                </c:pt>
                <c:pt idx="331">
                  <c:v>-21.699320274541456</c:v>
                </c:pt>
                <c:pt idx="332">
                  <c:v>-21.868850102451383</c:v>
                </c:pt>
                <c:pt idx="333">
                  <c:v>-22.037478713465887</c:v>
                </c:pt>
                <c:pt idx="334">
                  <c:v>-22.205191571194739</c:v>
                </c:pt>
                <c:pt idx="335">
                  <c:v>-22.371975299193565</c:v>
                </c:pt>
                <c:pt idx="336">
                  <c:v>-22.53781780254652</c:v>
                </c:pt>
                <c:pt idx="337">
                  <c:v>-22.702708391703133</c:v>
                </c:pt>
                <c:pt idx="338">
                  <c:v>-22.866637908021843</c:v>
                </c:pt>
                <c:pt idx="339">
                  <c:v>-23.029598850411077</c:v>
                </c:pt>
                <c:pt idx="340">
                  <c:v>-23.191585502402134</c:v>
                </c:pt>
                <c:pt idx="341">
                  <c:v>-23.352594058932997</c:v>
                </c:pt>
                <c:pt idx="342">
                  <c:v>-23.512622752070399</c:v>
                </c:pt>
                <c:pt idx="343">
                  <c:v>-23.671671974848394</c:v>
                </c:pt>
                <c:pt idx="344">
                  <c:v>-23.829744402359623</c:v>
                </c:pt>
                <c:pt idx="345">
                  <c:v>-23.986845109199265</c:v>
                </c:pt>
                <c:pt idx="346">
                  <c:v>-24.142981682332625</c:v>
                </c:pt>
                <c:pt idx="347">
                  <c:v>-24.298164328434972</c:v>
                </c:pt>
                <c:pt idx="348">
                  <c:v>-24.452405974745037</c:v>
                </c:pt>
                <c:pt idx="349">
                  <c:v>-24.605722362468498</c:v>
                </c:pt>
                <c:pt idx="350">
                  <c:v>-24.758132131779945</c:v>
                </c:pt>
                <c:pt idx="351">
                  <c:v>-24.909656897492653</c:v>
                </c:pt>
                <c:pt idx="352">
                  <c:v>-25.060321314499706</c:v>
                </c:pt>
                <c:pt idx="353">
                  <c:v>-25.210153132133954</c:v>
                </c:pt>
                <c:pt idx="354">
                  <c:v>-25.359183236653561</c:v>
                </c:pt>
                <c:pt idx="355">
                  <c:v>-25.50744568112977</c:v>
                </c:pt>
                <c:pt idx="356">
                  <c:v>-25.654977702091305</c:v>
                </c:pt>
                <c:pt idx="357">
                  <c:v>-25.801819722379339</c:v>
                </c:pt>
                <c:pt idx="358">
                  <c:v>-25.948015339759856</c:v>
                </c:pt>
                <c:pt idx="359">
                  <c:v>-26.093611300960859</c:v>
                </c:pt>
                <c:pt idx="360">
                  <c:v>-26.238657460914784</c:v>
                </c:pt>
                <c:pt idx="361">
                  <c:v>-26.38320672711469</c:v>
                </c:pt>
                <c:pt idx="362">
                  <c:v>-26.527314989124715</c:v>
                </c:pt>
                <c:pt idx="363">
                  <c:v>-26.671041033417232</c:v>
                </c:pt>
                <c:pt idx="364">
                  <c:v>-26.81444644384414</c:v>
                </c:pt>
                <c:pt idx="365">
                  <c:v>-26.957595488188268</c:v>
                </c:pt>
                <c:pt idx="366">
                  <c:v>-27.100554991370906</c:v>
                </c:pt>
                <c:pt idx="367">
                  <c:v>-27.243394196019494</c:v>
                </c:pt>
                <c:pt idx="368">
                  <c:v>-27.386184611225971</c:v>
                </c:pt>
                <c:pt idx="369">
                  <c:v>-27.528999850439003</c:v>
                </c:pt>
                <c:pt idx="370">
                  <c:v>-27.671915459539992</c:v>
                </c:pt>
                <c:pt idx="371">
                  <c:v>-27.815008736248693</c:v>
                </c:pt>
                <c:pt idx="372">
                  <c:v>-27.958358542085463</c:v>
                </c:pt>
                <c:pt idx="373">
                  <c:v>-28.102045108190225</c:v>
                </c:pt>
                <c:pt idx="374">
                  <c:v>-28.246149836348135</c:v>
                </c:pt>
                <c:pt idx="375">
                  <c:v>-28.390755096616502</c:v>
                </c:pt>
                <c:pt idx="376">
                  <c:v>-28.535944022968145</c:v>
                </c:pt>
                <c:pt idx="377">
                  <c:v>-28.681800308373326</c:v>
                </c:pt>
                <c:pt idx="378">
                  <c:v>-28.828408000735976</c:v>
                </c:pt>
                <c:pt idx="379">
                  <c:v>-28.975851301067841</c:v>
                </c:pt>
                <c:pt idx="380">
                  <c:v>-29.124214365249379</c:v>
                </c:pt>
                <c:pt idx="381">
                  <c:v>-29.273581110659723</c:v>
                </c:pt>
                <c:pt idx="382">
                  <c:v>-29.424035028890671</c:v>
                </c:pt>
                <c:pt idx="383">
                  <c:v>-29.575659005668761</c:v>
                </c:pt>
                <c:pt idx="384">
                  <c:v>-29.728535149008959</c:v>
                </c:pt>
                <c:pt idx="385">
                  <c:v>-29.882744626512139</c:v>
                </c:pt>
                <c:pt idx="386">
                  <c:v>-30.038367512594007</c:v>
                </c:pt>
                <c:pt idx="387">
                  <c:v>-30.195482646304246</c:v>
                </c:pt>
                <c:pt idx="388">
                  <c:v>-30.354167500254196</c:v>
                </c:pt>
                <c:pt idx="389">
                  <c:v>-30.514498061032185</c:v>
                </c:pt>
                <c:pt idx="390">
                  <c:v>-30.676548721336715</c:v>
                </c:pt>
                <c:pt idx="391">
                  <c:v>-30.840392183915192</c:v>
                </c:pt>
                <c:pt idx="392">
                  <c:v>-31.006099377251424</c:v>
                </c:pt>
                <c:pt idx="393">
                  <c:v>-31.173739382801209</c:v>
                </c:pt>
                <c:pt idx="394">
                  <c:v>-31.343379373446687</c:v>
                </c:pt>
                <c:pt idx="395">
                  <c:v>-31.51508456270658</c:v>
                </c:pt>
                <c:pt idx="396">
                  <c:v>-31.688918164126534</c:v>
                </c:pt>
                <c:pt idx="397">
                  <c:v>-31.864941360165805</c:v>
                </c:pt>
                <c:pt idx="398">
                  <c:v>-32.043213279801364</c:v>
                </c:pt>
                <c:pt idx="399">
                  <c:v>-32.223790983995968</c:v>
                </c:pt>
                <c:pt idx="400">
                  <c:v>-32.406729458104422</c:v>
                </c:pt>
                <c:pt idx="401">
                  <c:v>-32.592081610253359</c:v>
                </c:pt>
                <c:pt idx="402">
                  <c:v>-32.779898274690055</c:v>
                </c:pt>
                <c:pt idx="403">
                  <c:v>-32.970228219087218</c:v>
                </c:pt>
                <c:pt idx="404">
                  <c:v>-33.163118154789721</c:v>
                </c:pt>
                <c:pt idx="405">
                  <c:v>-33.358612749008657</c:v>
                </c:pt>
                <c:pt idx="406">
                  <c:v>-33.556754638005664</c:v>
                </c:pt>
                <c:pt idx="407">
                  <c:v>-33.757584440359537</c:v>
                </c:pt>
                <c:pt idx="408">
                  <c:v>-33.961140769473928</c:v>
                </c:pt>
                <c:pt idx="409">
                  <c:v>-34.167460244562335</c:v>
                </c:pt>
                <c:pt idx="410">
                  <c:v>-34.376577499439314</c:v>
                </c:pt>
                <c:pt idx="411">
                  <c:v>-34.588525188545908</c:v>
                </c:pt>
                <c:pt idx="412">
                  <c:v>-34.803333989748644</c:v>
                </c:pt>
                <c:pt idx="413">
                  <c:v>-35.021032603563249</c:v>
                </c:pt>
                <c:pt idx="414">
                  <c:v>-35.241647748578494</c:v>
                </c:pt>
                <c:pt idx="415">
                  <c:v>-35.465204152977115</c:v>
                </c:pt>
                <c:pt idx="416">
                  <c:v>-35.69172454216789</c:v>
                </c:pt>
                <c:pt idx="417">
                  <c:v>-35.921229622670893</c:v>
                </c:pt>
                <c:pt idx="418">
                  <c:v>-36.153738062508133</c:v>
                </c:pt>
                <c:pt idx="419">
                  <c:v>-36.389266468463376</c:v>
                </c:pt>
                <c:pt idx="420">
                  <c:v>-36.627829360676877</c:v>
                </c:pt>
                <c:pt idx="421">
                  <c:v>-36.869439145130045</c:v>
                </c:pt>
                <c:pt idx="422">
                  <c:v>-37.114106084658523</c:v>
                </c:pt>
                <c:pt idx="423">
                  <c:v>-37.361838269195701</c:v>
                </c:pt>
                <c:pt idx="424">
                  <c:v>-37.612641586002155</c:v>
                </c:pt>
                <c:pt idx="425">
                  <c:v>-37.866519690676789</c:v>
                </c:pt>
                <c:pt idx="426">
                  <c:v>-38.12347397976508</c:v>
                </c:pt>
                <c:pt idx="427">
                  <c:v>-38.383503565787855</c:v>
                </c:pt>
                <c:pt idx="428">
                  <c:v>-38.646605255504937</c:v>
                </c:pt>
                <c:pt idx="429">
                  <c:v>-38.912773532203452</c:v>
                </c:pt>
                <c:pt idx="430">
                  <c:v>-39.182000542762609</c:v>
                </c:pt>
                <c:pt idx="431">
                  <c:v>-39.454276090193645</c:v>
                </c:pt>
                <c:pt idx="432">
                  <c:v>-39.729587632285082</c:v>
                </c:pt>
                <c:pt idx="433">
                  <c:v>-40.007920286917013</c:v>
                </c:pt>
                <c:pt idx="434">
                  <c:v>-40.289256844510064</c:v>
                </c:pt>
                <c:pt idx="435">
                  <c:v>-40.5735777879908</c:v>
                </c:pt>
                <c:pt idx="436">
                  <c:v>-40.860861320555522</c:v>
                </c:pt>
                <c:pt idx="437">
                  <c:v>-41.151083401405558</c:v>
                </c:pt>
                <c:pt idx="438">
                  <c:v>-41.444217789532715</c:v>
                </c:pt>
                <c:pt idx="439">
                  <c:v>-41.740236095522867</c:v>
                </c:pt>
                <c:pt idx="440">
                  <c:v>-42.039107841245695</c:v>
                </c:pt>
                <c:pt idx="441">
                  <c:v>-42.340800527204379</c:v>
                </c:pt>
                <c:pt idx="442">
                  <c:v>-42.645279707221448</c:v>
                </c:pt>
                <c:pt idx="443">
                  <c:v>-42.952509070058142</c:v>
                </c:pt>
                <c:pt idx="444">
                  <c:v>-43.262450527481811</c:v>
                </c:pt>
                <c:pt idx="445">
                  <c:v>-43.575064308237479</c:v>
                </c:pt>
                <c:pt idx="446">
                  <c:v>-43.890309057308905</c:v>
                </c:pt>
                <c:pt idx="447">
                  <c:v>-44.208141939823697</c:v>
                </c:pt>
                <c:pt idx="448">
                  <c:v>-44.52851874890812</c:v>
                </c:pt>
                <c:pt idx="449">
                  <c:v>-44.85139401677948</c:v>
                </c:pt>
                <c:pt idx="450">
                  <c:v>-45.176721128346529</c:v>
                </c:pt>
                <c:pt idx="451">
                  <c:v>-45.504452436585879</c:v>
                </c:pt>
                <c:pt idx="452">
                  <c:v>-45.834539378967222</c:v>
                </c:pt>
                <c:pt idx="453">
                  <c:v>-46.166932594215865</c:v>
                </c:pt>
                <c:pt idx="454">
                  <c:v>-46.501582038721907</c:v>
                </c:pt>
                <c:pt idx="455">
                  <c:v>-46.838437101940897</c:v>
                </c:pt>
                <c:pt idx="456">
                  <c:v>-47.177446720158578</c:v>
                </c:pt>
                <c:pt idx="457">
                  <c:v>-47.518559488046918</c:v>
                </c:pt>
                <c:pt idx="458">
                  <c:v>-47.861723767470501</c:v>
                </c:pt>
                <c:pt idx="459">
                  <c:v>-48.206887793065746</c:v>
                </c:pt>
                <c:pt idx="460">
                  <c:v>-48.553999774157234</c:v>
                </c:pt>
                <c:pt idx="461">
                  <c:v>-48.903007992633135</c:v>
                </c:pt>
                <c:pt idx="462">
                  <c:v>-49.253860896456118</c:v>
                </c:pt>
                <c:pt idx="463">
                  <c:v>-49.606507188536639</c:v>
                </c:pt>
                <c:pt idx="464">
                  <c:v>-49.960895910751034</c:v>
                </c:pt>
                <c:pt idx="465">
                  <c:v>-50.316976522933707</c:v>
                </c:pt>
                <c:pt idx="466">
                  <c:v>-50.674698976727399</c:v>
                </c:pt>
                <c:pt idx="467">
                  <c:v>-51.034013784213059</c:v>
                </c:pt>
                <c:pt idx="468">
                  <c:v>-51.39487208129303</c:v>
                </c:pt>
                <c:pt idx="469">
                  <c:v>-51.75722568583231</c:v>
                </c:pt>
                <c:pt idx="470">
                  <c:v>-52.121027150605876</c:v>
                </c:pt>
                <c:pt idx="471">
                  <c:v>-52.486229811128347</c:v>
                </c:pt>
                <c:pt idx="472">
                  <c:v>-52.85278782847292</c:v>
                </c:pt>
                <c:pt idx="473">
                  <c:v>-53.220656227212977</c:v>
                </c:pt>
                <c:pt idx="474">
                  <c:v>-53.589790928638841</c:v>
                </c:pt>
                <c:pt idx="475">
                  <c:v>-53.96014877942558</c:v>
                </c:pt>
                <c:pt idx="476">
                  <c:v>-54.331687575937352</c:v>
                </c:pt>
                <c:pt idx="477">
                  <c:v>-54.704366084371287</c:v>
                </c:pt>
                <c:pt idx="478">
                  <c:v>-55.078144056949213</c:v>
                </c:pt>
                <c:pt idx="479">
                  <c:v>-55.452982244375669</c:v>
                </c:pt>
                <c:pt idx="480">
                  <c:v>-55.828842404782257</c:v>
                </c:pt>
                <c:pt idx="481">
                  <c:v>-56.205687309381076</c:v>
                </c:pt>
                <c:pt idx="482">
                  <c:v>-56.583480745052782</c:v>
                </c:pt>
                <c:pt idx="483">
                  <c:v>-56.962187514087105</c:v>
                </c:pt>
                <c:pt idx="484">
                  <c:v>-57.341773431297554</c:v>
                </c:pt>
                <c:pt idx="485">
                  <c:v>-57.722205318721642</c:v>
                </c:pt>
                <c:pt idx="486">
                  <c:v>-58.103450998115136</c:v>
                </c:pt>
                <c:pt idx="487">
                  <c:v>-58.485479281442672</c:v>
                </c:pt>
                <c:pt idx="488">
                  <c:v>-58.868259959555694</c:v>
                </c:pt>
                <c:pt idx="489">
                  <c:v>-59.251763789246404</c:v>
                </c:pt>
                <c:pt idx="490">
                  <c:v>-59.635962478852484</c:v>
                </c:pt>
                <c:pt idx="491">
                  <c:v>-60.02082867258251</c:v>
                </c:pt>
                <c:pt idx="492">
                  <c:v>-60.406335933718864</c:v>
                </c:pt>
                <c:pt idx="493">
                  <c:v>-60.792458726850612</c:v>
                </c:pt>
                <c:pt idx="494">
                  <c:v>-61.179172399275103</c:v>
                </c:pt>
                <c:pt idx="495">
                  <c:v>-61.566453161700437</c:v>
                </c:pt>
                <c:pt idx="496">
                  <c:v>-61.95427806837084</c:v>
                </c:pt>
                <c:pt idx="497">
                  <c:v>-62.342624996728688</c:v>
                </c:pt>
                <c:pt idx="498">
                  <c:v>-62.731472626718826</c:v>
                </c:pt>
                <c:pt idx="499">
                  <c:v>-63.120800419830623</c:v>
                </c:pt>
                <c:pt idx="500">
                  <c:v>-63.510588597966731</c:v>
                </c:pt>
                <c:pt idx="501">
                  <c:v>-63.900818122220436</c:v>
                </c:pt>
                <c:pt idx="502">
                  <c:v>-64.291470671633874</c:v>
                </c:pt>
                <c:pt idx="503">
                  <c:v>-64.682528622005179</c:v>
                </c:pt>
                <c:pt idx="504">
                  <c:v>-65.073975024803147</c:v>
                </c:pt>
                <c:pt idx="505">
                  <c:v>-65.465793586245354</c:v>
                </c:pt>
                <c:pt idx="506">
                  <c:v>-65.857968646584595</c:v>
                </c:pt>
                <c:pt idx="507">
                  <c:v>-66.250485159651049</c:v>
                </c:pt>
                <c:pt idx="508">
                  <c:v>-66.643328672682372</c:v>
                </c:pt>
                <c:pt idx="509">
                  <c:v>-67.036485306479094</c:v>
                </c:pt>
                <c:pt idx="510">
                  <c:v>-67.429941735910063</c:v>
                </c:pt>
                <c:pt idx="511">
                  <c:v>-67.82368517079523</c:v>
                </c:pt>
                <c:pt idx="512">
                  <c:v>-68.217703337184233</c:v>
                </c:pt>
                <c:pt idx="513">
                  <c:v>-68.611984459049339</c:v>
                </c:pt>
                <c:pt idx="514">
                  <c:v>-69.006517240405373</c:v>
                </c:pt>
                <c:pt idx="515">
                  <c:v>-69.401290847869063</c:v>
                </c:pt>
                <c:pt idx="516">
                  <c:v>-69.796294893665333</c:v>
                </c:pt>
                <c:pt idx="517">
                  <c:v>-70.1915194190872</c:v>
                </c:pt>
                <c:pt idx="518">
                  <c:v>-70.586954878412143</c:v>
                </c:pt>
                <c:pt idx="519">
                  <c:v>-70.982592123278778</c:v>
                </c:pt>
                <c:pt idx="520">
                  <c:v>-71.378422387522775</c:v>
                </c:pt>
                <c:pt idx="521">
                  <c:v>-71.774437272469399</c:v>
                </c:pt>
                <c:pt idx="522">
                  <c:v>-72.17062873268398</c:v>
                </c:pt>
                <c:pt idx="523">
                  <c:v>-72.566989062171132</c:v>
                </c:pt>
                <c:pt idx="524">
                  <c:v>-72.963510881023197</c:v>
                </c:pt>
                <c:pt idx="525">
                  <c:v>-73.360187122506275</c:v>
                </c:pt>
                <c:pt idx="526">
                  <c:v>-73.757011020582368</c:v>
                </c:pt>
                <c:pt idx="527">
                  <c:v>-74.153976097855903</c:v>
                </c:pt>
                <c:pt idx="528">
                  <c:v>-74.551076153939405</c:v>
                </c:pt>
                <c:pt idx="529">
                  <c:v>-74.948305254228359</c:v>
                </c:pt>
                <c:pt idx="530">
                  <c:v>-75.345657719075518</c:v>
                </c:pt>
                <c:pt idx="531">
                  <c:v>-75.743128113359091</c:v>
                </c:pt>
                <c:pt idx="532">
                  <c:v>-76.140711236428032</c:v>
                </c:pt>
                <c:pt idx="533">
                  <c:v>-76.538402112422958</c:v>
                </c:pt>
                <c:pt idx="534">
                  <c:v>-76.936195980956285</c:v>
                </c:pt>
                <c:pt idx="535">
                  <c:v>-77.334088288144983</c:v>
                </c:pt>
                <c:pt idx="536">
                  <c:v>-77.73207467798386</c:v>
                </c:pt>
                <c:pt idx="537">
                  <c:v>-78.130150984050772</c:v>
                </c:pt>
                <c:pt idx="538">
                  <c:v>-78.528313221532642</c:v>
                </c:pt>
                <c:pt idx="539">
                  <c:v>-78.926557579562854</c:v>
                </c:pt>
                <c:pt idx="540">
                  <c:v>-79.324880413858892</c:v>
                </c:pt>
                <c:pt idx="541">
                  <c:v>-79.723278239652274</c:v>
                </c:pt>
              </c:numCache>
            </c:numRef>
          </c:yVal>
          <c:smooth val="1"/>
          <c:extLst>
            <c:ext xmlns:c16="http://schemas.microsoft.com/office/drawing/2014/chart" uri="{C3380CC4-5D6E-409C-BE32-E72D297353CC}">
              <c16:uniqueId val="{00000000-ACF8-49D1-9313-CAF9B0C485FE}"/>
            </c:ext>
          </c:extLst>
        </c:ser>
        <c:dLbls>
          <c:showLegendKey val="0"/>
          <c:showVal val="0"/>
          <c:showCatName val="0"/>
          <c:showSerName val="0"/>
          <c:showPercent val="0"/>
          <c:showBubbleSize val="0"/>
        </c:dLbls>
        <c:axId val="555528192"/>
        <c:axId val="555530112"/>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Loop_Modeling!$BP$19:$BP$560</c:f>
              <c:numCache>
                <c:formatCode>General</c:formatCode>
                <c:ptCount val="542"/>
                <c:pt idx="0">
                  <c:v>90.134537970610864</c:v>
                </c:pt>
                <c:pt idx="1">
                  <c:v>90.137627064660009</c:v>
                </c:pt>
                <c:pt idx="2">
                  <c:v>90.140784931736206</c:v>
                </c:pt>
                <c:pt idx="3">
                  <c:v>90.144012948138453</c:v>
                </c:pt>
                <c:pt idx="4">
                  <c:v>90.14731250631587</c:v>
                </c:pt>
                <c:pt idx="5">
                  <c:v>90.150685014133515</c:v>
                </c:pt>
                <c:pt idx="6">
                  <c:v>90.154131894045705</c:v>
                </c:pt>
                <c:pt idx="7">
                  <c:v>90.157654582168291</c:v>
                </c:pt>
                <c:pt idx="8">
                  <c:v>90.161254527243329</c:v>
                </c:pt>
                <c:pt idx="9">
                  <c:v>90.1649331894873</c:v>
                </c:pt>
                <c:pt idx="10">
                  <c:v>90.168692039314266</c:v>
                </c:pt>
                <c:pt idx="11">
                  <c:v>90.172532555924988</c:v>
                </c:pt>
                <c:pt idx="12">
                  <c:v>90.176456225751494</c:v>
                </c:pt>
                <c:pt idx="13">
                  <c:v>90.180464540746954</c:v>
                </c:pt>
                <c:pt idx="14">
                  <c:v>90.184558996509892</c:v>
                </c:pt>
                <c:pt idx="15">
                  <c:v>90.188741090229783</c:v>
                </c:pt>
                <c:pt idx="16">
                  <c:v>90.193012318443024</c:v>
                </c:pt>
                <c:pt idx="17">
                  <c:v>90.197374174584183</c:v>
                </c:pt>
                <c:pt idx="18">
                  <c:v>90.201828146319158</c:v>
                </c:pt>
                <c:pt idx="19">
                  <c:v>90.206375712645297</c:v>
                </c:pt>
                <c:pt idx="20">
                  <c:v>90.211018340741816</c:v>
                </c:pt>
                <c:pt idx="21">
                  <c:v>90.215757482554324</c:v>
                </c:pt>
                <c:pt idx="22">
                  <c:v>90.220594571094523</c:v>
                </c:pt>
                <c:pt idx="23">
                  <c:v>90.225531016437913</c:v>
                </c:pt>
                <c:pt idx="24">
                  <c:v>90.230568201397247</c:v>
                </c:pt>
                <c:pt idx="25">
                  <c:v>90.235707476853023</c:v>
                </c:pt>
                <c:pt idx="26">
                  <c:v>90.240950156716664</c:v>
                </c:pt>
                <c:pt idx="27">
                  <c:v>90.24629751250481</c:v>
                </c:pt>
                <c:pt idx="28">
                  <c:v>90.251750767499487</c:v>
                </c:pt>
                <c:pt idx="29">
                  <c:v>90.257311090467894</c:v>
                </c:pt>
                <c:pt idx="30">
                  <c:v>90.262979588915726</c:v>
                </c:pt>
                <c:pt idx="31">
                  <c:v>90.268757301845099</c:v>
                </c:pt>
                <c:pt idx="32">
                  <c:v>90.27464519198783</c:v>
                </c:pt>
                <c:pt idx="33">
                  <c:v>90.280644137483378</c:v>
                </c:pt>
                <c:pt idx="34">
                  <c:v>90.286754922968129</c:v>
                </c:pt>
                <c:pt idx="35">
                  <c:v>90.292978230045208</c:v>
                </c:pt>
                <c:pt idx="36">
                  <c:v>90.299314627096521</c:v>
                </c:pt>
                <c:pt idx="37">
                  <c:v>90.305764558403808</c:v>
                </c:pt>
                <c:pt idx="38">
                  <c:v>90.312328332541327</c:v>
                </c:pt>
                <c:pt idx="39">
                  <c:v>90.319006109999791</c:v>
                </c:pt>
                <c:pt idx="40">
                  <c:v>90.325797890004765</c:v>
                </c:pt>
                <c:pt idx="41">
                  <c:v>90.332703496487994</c:v>
                </c:pt>
                <c:pt idx="42">
                  <c:v>90.339722563169872</c:v>
                </c:pt>
                <c:pt idx="43">
                  <c:v>90.346854517712558</c:v>
                </c:pt>
                <c:pt idx="44">
                  <c:v>90.354098564900923</c:v>
                </c:pt>
                <c:pt idx="45">
                  <c:v>90.361453668806988</c:v>
                </c:pt>
                <c:pt idx="46">
                  <c:v>90.36891853389875</c:v>
                </c:pt>
                <c:pt idx="47">
                  <c:v>90.376491585046026</c:v>
                </c:pt>
                <c:pt idx="48">
                  <c:v>90.384170946385296</c:v>
                </c:pt>
                <c:pt idx="49">
                  <c:v>90.391954418999887</c:v>
                </c:pt>
                <c:pt idx="50">
                  <c:v>90.399839457377112</c:v>
                </c:pt>
                <c:pt idx="51">
                  <c:v>90.407823144601196</c:v>
                </c:pt>
                <c:pt idx="52">
                  <c:v>90.415902166251172</c:v>
                </c:pt>
                <c:pt idx="53">
                  <c:v>90.42407278296406</c:v>
                </c:pt>
                <c:pt idx="54">
                  <c:v>90.432330801639864</c:v>
                </c:pt>
                <c:pt idx="55">
                  <c:v>90.440671545257956</c:v>
                </c:pt>
                <c:pt idx="56">
                  <c:v>90.44908982128679</c:v>
                </c:pt>
                <c:pt idx="57">
                  <c:v>90.457579888671773</c:v>
                </c:pt>
                <c:pt idx="58">
                  <c:v>90.466135423393169</c:v>
                </c:pt>
                <c:pt idx="59">
                  <c:v>90.47474948259223</c:v>
                </c:pt>
                <c:pt idx="60">
                  <c:v>90.483414467276788</c:v>
                </c:pt>
                <c:pt idx="61">
                  <c:v>90.492122083621595</c:v>
                </c:pt>
                <c:pt idx="62">
                  <c:v>90.500863302895468</c:v>
                </c:pt>
                <c:pt idx="63">
                  <c:v>90.509628320056265</c:v>
                </c:pt>
                <c:pt idx="64">
                  <c:v>90.518406511068932</c:v>
                </c:pt>
                <c:pt idx="65">
                  <c:v>90.527186389019334</c:v>
                </c:pt>
                <c:pt idx="66">
                  <c:v>90.535955559111684</c:v>
                </c:pt>
                <c:pt idx="67">
                  <c:v>90.544700672653846</c:v>
                </c:pt>
                <c:pt idx="68">
                  <c:v>90.553407380161147</c:v>
                </c:pt>
                <c:pt idx="69">
                  <c:v>90.56206028372101</c:v>
                </c:pt>
                <c:pt idx="70">
                  <c:v>90.570642888793884</c:v>
                </c:pt>
                <c:pt idx="71">
                  <c:v>90.579137555643371</c:v>
                </c:pt>
                <c:pt idx="72">
                  <c:v>90.587525450617036</c:v>
                </c:pt>
                <c:pt idx="73">
                  <c:v>90.595786497526518</c:v>
                </c:pt>
                <c:pt idx="74">
                  <c:v>90.603899329404172</c:v>
                </c:pt>
                <c:pt idx="75">
                  <c:v>90.611841240943761</c:v>
                </c:pt>
                <c:pt idx="76">
                  <c:v>90.619588141958388</c:v>
                </c:pt>
                <c:pt idx="77">
                  <c:v>90.627114512229525</c:v>
                </c:pt>
                <c:pt idx="78">
                  <c:v>90.634393358140173</c:v>
                </c:pt>
                <c:pt idx="79">
                  <c:v>90.641396171523283</c:v>
                </c:pt>
                <c:pt idx="80">
                  <c:v>90.648092891189407</c:v>
                </c:pt>
                <c:pt idx="81">
                  <c:v>90.654451867612977</c:v>
                </c:pt>
                <c:pt idx="82">
                  <c:v>90.660439831304373</c:v>
                </c:pt>
                <c:pt idx="83">
                  <c:v>90.666021865398008</c:v>
                </c:pt>
                <c:pt idx="84">
                  <c:v>90.671161383025222</c:v>
                </c:pt>
                <c:pt idx="85">
                  <c:v>90.675820110049884</c:v>
                </c:pt>
                <c:pt idx="86">
                  <c:v>90.67995807375911</c:v>
                </c:pt>
                <c:pt idx="87">
                  <c:v>90.683533598110415</c:v>
                </c:pt>
                <c:pt idx="88">
                  <c:v>90.686503306138832</c:v>
                </c:pt>
                <c:pt idx="89">
                  <c:v>90.688822130114744</c:v>
                </c:pt>
                <c:pt idx="90">
                  <c:v>90.69044333004193</c:v>
                </c:pt>
                <c:pt idx="91">
                  <c:v>90.691318521045716</c:v>
                </c:pt>
                <c:pt idx="92">
                  <c:v>90.69139771018358</c:v>
                </c:pt>
                <c:pt idx="93">
                  <c:v>90.69062934315555</c:v>
                </c:pt>
                <c:pt idx="94">
                  <c:v>90.688960361343902</c:v>
                </c:pt>
                <c:pt idx="95">
                  <c:v>90.686336269542082</c:v>
                </c:pt>
                <c:pt idx="96">
                  <c:v>90.682701214657754</c:v>
                </c:pt>
                <c:pt idx="97">
                  <c:v>90.677998075580931</c:v>
                </c:pt>
                <c:pt idx="98">
                  <c:v>90.672168564308151</c:v>
                </c:pt>
                <c:pt idx="99">
                  <c:v>90.665153338305174</c:v>
                </c:pt>
                <c:pt idx="100">
                  <c:v>90.656892123955757</c:v>
                </c:pt>
                <c:pt idx="101">
                  <c:v>90.64732385082263</c:v>
                </c:pt>
                <c:pt idx="102">
                  <c:v>90.636386796296421</c:v>
                </c:pt>
                <c:pt idx="103">
                  <c:v>90.624018740063832</c:v>
                </c:pt>
                <c:pt idx="104">
                  <c:v>90.610157127669027</c:v>
                </c:pt>
                <c:pt idx="105">
                  <c:v>90.594739242295105</c:v>
                </c:pt>
                <c:pt idx="106">
                  <c:v>90.577702383723533</c:v>
                </c:pt>
                <c:pt idx="107">
                  <c:v>90.558984053289919</c:v>
                </c:pt>
                <c:pt idx="108">
                  <c:v>90.538522143500145</c:v>
                </c:pt>
                <c:pt idx="109">
                  <c:v>90.51625513083728</c:v>
                </c:pt>
                <c:pt idx="110">
                  <c:v>90.492122270161843</c:v>
                </c:pt>
                <c:pt idx="111">
                  <c:v>90.466063789005403</c:v>
                </c:pt>
                <c:pt idx="112">
                  <c:v>90.438021079957821</c:v>
                </c:pt>
                <c:pt idx="113">
                  <c:v>90.40793688929007</c:v>
                </c:pt>
                <c:pt idx="114">
                  <c:v>90.375755499904869</c:v>
                </c:pt>
                <c:pt idx="115">
                  <c:v>90.34142290669007</c:v>
                </c:pt>
                <c:pt idx="116">
                  <c:v>90.30488698236681</c:v>
                </c:pt>
                <c:pt idx="117">
                  <c:v>90.266097631956427</c:v>
                </c:pt>
                <c:pt idx="118">
                  <c:v>90.225006934068332</c:v>
                </c:pt>
                <c:pt idx="119">
                  <c:v>90.181569267311502</c:v>
                </c:pt>
                <c:pt idx="120">
                  <c:v>90.135741420254021</c:v>
                </c:pt>
                <c:pt idx="121">
                  <c:v>90.087482683528336</c:v>
                </c:pt>
                <c:pt idx="122">
                  <c:v>90.036754922846114</c:v>
                </c:pt>
                <c:pt idx="123">
                  <c:v>89.983522631906055</c:v>
                </c:pt>
                <c:pt idx="124">
                  <c:v>89.927752964392752</c:v>
                </c:pt>
                <c:pt idx="125">
                  <c:v>89.869415744515464</c:v>
                </c:pt>
                <c:pt idx="126">
                  <c:v>89.808483455767856</c:v>
                </c:pt>
                <c:pt idx="127">
                  <c:v>89.744931207871929</c:v>
                </c:pt>
                <c:pt idx="128">
                  <c:v>89.678736682092932</c:v>
                </c:pt>
                <c:pt idx="129">
                  <c:v>89.609880055405853</c:v>
                </c:pt>
                <c:pt idx="130">
                  <c:v>89.538343904190967</c:v>
                </c:pt>
                <c:pt idx="131">
                  <c:v>89.464113088409107</c:v>
                </c:pt>
                <c:pt idx="132">
                  <c:v>89.387174617397733</c:v>
                </c:pt>
                <c:pt idx="133">
                  <c:v>89.307517498618807</c:v>
                </c:pt>
                <c:pt idx="134">
                  <c:v>89.225132570871949</c:v>
                </c:pt>
                <c:pt idx="135">
                  <c:v>89.140012323616006</c:v>
                </c:pt>
                <c:pt idx="136">
                  <c:v>89.052150704151089</c:v>
                </c:pt>
                <c:pt idx="137">
                  <c:v>88.961542914509039</c:v>
                </c:pt>
                <c:pt idx="138">
                  <c:v>88.868185199937216</c:v>
                </c:pt>
                <c:pt idx="139">
                  <c:v>88.772074630892106</c:v>
                </c:pt>
                <c:pt idx="140">
                  <c:v>88.67320888044982</c:v>
                </c:pt>
                <c:pt idx="141">
                  <c:v>88.571585999000447</c:v>
                </c:pt>
                <c:pt idx="142">
                  <c:v>88.467204188050431</c:v>
                </c:pt>
                <c:pt idx="143">
                  <c:v>88.360061574851102</c:v>
                </c:pt>
                <c:pt idx="144">
                  <c:v>88.250155989494232</c:v>
                </c:pt>
                <c:pt idx="145">
                  <c:v>88.137484745973822</c:v>
                </c:pt>
                <c:pt idx="146">
                  <c:v>88.022044428602854</c:v>
                </c:pt>
                <c:pt idx="147">
                  <c:v>87.903830685010405</c:v>
                </c:pt>
                <c:pt idx="148">
                  <c:v>87.782838026808776</c:v>
                </c:pt>
                <c:pt idx="149">
                  <c:v>87.659059638863042</c:v>
                </c:pt>
                <c:pt idx="150">
                  <c:v>87.532487197929143</c:v>
                </c:pt>
                <c:pt idx="151">
                  <c:v>87.403110701294821</c:v>
                </c:pt>
                <c:pt idx="152">
                  <c:v>87.270918305883981</c:v>
                </c:pt>
                <c:pt idx="153">
                  <c:v>87.135896178159868</c:v>
                </c:pt>
                <c:pt idx="154">
                  <c:v>86.998028355015819</c:v>
                </c:pt>
                <c:pt idx="155">
                  <c:v>86.857296615718823</c:v>
                </c:pt>
                <c:pt idx="156">
                  <c:v>86.713680364859059</c:v>
                </c:pt>
                <c:pt idx="157">
                  <c:v>86.567156526145197</c:v>
                </c:pt>
                <c:pt idx="158">
                  <c:v>86.417699446803297</c:v>
                </c:pt>
                <c:pt idx="159">
                  <c:v>86.265280812244924</c:v>
                </c:pt>
                <c:pt idx="160">
                  <c:v>86.109869570608254</c:v>
                </c:pt>
                <c:pt idx="161">
                  <c:v>85.951431866719432</c:v>
                </c:pt>
                <c:pt idx="162">
                  <c:v>85.789930984969047</c:v>
                </c:pt>
                <c:pt idx="163">
                  <c:v>85.625327300571456</c:v>
                </c:pt>
                <c:pt idx="164">
                  <c:v>85.457578238644388</c:v>
                </c:pt>
                <c:pt idx="165">
                  <c:v>85.286638240535126</c:v>
                </c:pt>
                <c:pt idx="166">
                  <c:v>85.112458736808762</c:v>
                </c:pt>
                <c:pt idx="167">
                  <c:v>84.934988126318586</c:v>
                </c:pt>
                <c:pt idx="168">
                  <c:v>84.754171760786889</c:v>
                </c:pt>
                <c:pt idx="169">
                  <c:v>84.569951934334071</c:v>
                </c:pt>
                <c:pt idx="170">
                  <c:v>84.38226787741857</c:v>
                </c:pt>
                <c:pt idx="171">
                  <c:v>84.191055754671197</c:v>
                </c:pt>
                <c:pt idx="172">
                  <c:v>83.996248666132686</c:v>
                </c:pt>
                <c:pt idx="173">
                  <c:v>83.797776651439648</c:v>
                </c:pt>
                <c:pt idx="174">
                  <c:v>83.595566696526291</c:v>
                </c:pt>
                <c:pt idx="175">
                  <c:v>83.389542742456172</c:v>
                </c:pt>
                <c:pt idx="176">
                  <c:v>83.179625696020182</c:v>
                </c:pt>
                <c:pt idx="177">
                  <c:v>82.965733441783456</c:v>
                </c:pt>
                <c:pt idx="178">
                  <c:v>82.747780855293485</c:v>
                </c:pt>
                <c:pt idx="179">
                  <c:v>82.525679817199702</c:v>
                </c:pt>
                <c:pt idx="180">
                  <c:v>82.299339228071588</c:v>
                </c:pt>
                <c:pt idx="181">
                  <c:v>82.068665023736244</c:v>
                </c:pt>
                <c:pt idx="182">
                  <c:v>81.833560190989232</c:v>
                </c:pt>
                <c:pt idx="183">
                  <c:v>81.593924783571026</c:v>
                </c:pt>
                <c:pt idx="184">
                  <c:v>81.349655938326038</c:v>
                </c:pt>
                <c:pt idx="185">
                  <c:v>81.100647891501808</c:v>
                </c:pt>
                <c:pt idx="186">
                  <c:v>80.846791995167578</c:v>
                </c:pt>
                <c:pt idx="187">
                  <c:v>80.587976733768116</c:v>
                </c:pt>
                <c:pt idx="188">
                  <c:v>80.324087740850615</c:v>
                </c:pt>
                <c:pt idx="189">
                  <c:v>80.055007816036223</c:v>
                </c:pt>
                <c:pt idx="190">
                  <c:v>79.780616942327597</c:v>
                </c:pt>
                <c:pt idx="191">
                  <c:v>79.500792303873965</c:v>
                </c:pt>
                <c:pt idx="192">
                  <c:v>79.215408304339519</c:v>
                </c:pt>
                <c:pt idx="193">
                  <c:v>78.924336586041193</c:v>
                </c:pt>
                <c:pt idx="194">
                  <c:v>78.627446050049102</c:v>
                </c:pt>
                <c:pt idx="195">
                  <c:v>78.324602877466589</c:v>
                </c:pt>
                <c:pt idx="196">
                  <c:v>78.015670552121392</c:v>
                </c:pt>
                <c:pt idx="197">
                  <c:v>77.700509884935158</c:v>
                </c:pt>
                <c:pt idx="198">
                  <c:v>77.378979040244133</c:v>
                </c:pt>
                <c:pt idx="199">
                  <c:v>77.050933564380273</c:v>
                </c:pt>
                <c:pt idx="200">
                  <c:v>76.716226416832072</c:v>
                </c:pt>
                <c:pt idx="201">
                  <c:v>76.374708004334636</c:v>
                </c:pt>
                <c:pt idx="202">
                  <c:v>76.026226218252077</c:v>
                </c:pt>
                <c:pt idx="203">
                  <c:v>75.670626475644852</c:v>
                </c:pt>
                <c:pt idx="204">
                  <c:v>75.307751764429042</c:v>
                </c:pt>
                <c:pt idx="205">
                  <c:v>74.937442693060646</c:v>
                </c:pt>
                <c:pt idx="206">
                  <c:v>74.559537545200598</c:v>
                </c:pt>
                <c:pt idx="207">
                  <c:v>74.17387233983392</c:v>
                </c:pt>
                <c:pt idx="208">
                  <c:v>73.780280897341939</c:v>
                </c:pt>
                <c:pt idx="209">
                  <c:v>73.378594912050744</c:v>
                </c:pt>
                <c:pt idx="210">
                  <c:v>72.968644031794639</c:v>
                </c:pt>
                <c:pt idx="211">
                  <c:v>72.550255945062759</c:v>
                </c:pt>
                <c:pt idx="212">
                  <c:v>72.123256476315049</c:v>
                </c:pt>
                <c:pt idx="213">
                  <c:v>71.687469690077791</c:v>
                </c:pt>
                <c:pt idx="214">
                  <c:v>71.242718004448591</c:v>
                </c:pt>
                <c:pt idx="215">
                  <c:v>70.788822314662454</c:v>
                </c:pt>
                <c:pt idx="216">
                  <c:v>70.325602127390809</c:v>
                </c:pt>
                <c:pt idx="217">
                  <c:v>69.852875706466776</c:v>
                </c:pt>
                <c:pt idx="218">
                  <c:v>69.370460230741486</c:v>
                </c:pt>
                <c:pt idx="219">
                  <c:v>68.878171964800757</c:v>
                </c:pt>
                <c:pt idx="220">
                  <c:v>68.37582644327901</c:v>
                </c:pt>
                <c:pt idx="221">
                  <c:v>67.863238669523085</c:v>
                </c:pt>
                <c:pt idx="222">
                  <c:v>67.340223329369465</c:v>
                </c:pt>
                <c:pt idx="223">
                  <c:v>66.806595020796848</c:v>
                </c:pt>
                <c:pt idx="224">
                  <c:v>66.262168500232249</c:v>
                </c:pt>
                <c:pt idx="225">
                  <c:v>65.706758946271577</c:v>
                </c:pt>
                <c:pt idx="226">
                  <c:v>65.140182241582323</c:v>
                </c:pt>
                <c:pt idx="227">
                  <c:v>64.562255273736881</c:v>
                </c:pt>
                <c:pt idx="228">
                  <c:v>63.972796255711167</c:v>
                </c:pt>
                <c:pt idx="229">
                  <c:v>63.371625066752941</c:v>
                </c:pt>
                <c:pt idx="230">
                  <c:v>62.758563614302084</c:v>
                </c:pt>
                <c:pt idx="231">
                  <c:v>62.133436217592049</c:v>
                </c:pt>
                <c:pt idx="232">
                  <c:v>61.496070013525525</c:v>
                </c:pt>
                <c:pt idx="233">
                  <c:v>60.84629538534265</c:v>
                </c:pt>
                <c:pt idx="234">
                  <c:v>60.183946414546526</c:v>
                </c:pt>
                <c:pt idx="235">
                  <c:v>59.508861356451874</c:v>
                </c:pt>
                <c:pt idx="236">
                  <c:v>58.820883139640294</c:v>
                </c:pt>
                <c:pt idx="237">
                  <c:v>58.119859889492155</c:v>
                </c:pt>
                <c:pt idx="238">
                  <c:v>57.405645475838817</c:v>
                </c:pt>
                <c:pt idx="239">
                  <c:v>56.678100084651525</c:v>
                </c:pt>
                <c:pt idx="240">
                  <c:v>55.937090813518687</c:v>
                </c:pt>
                <c:pt idx="241">
                  <c:v>55.182492290499376</c:v>
                </c:pt>
                <c:pt idx="242">
                  <c:v>54.414187315754617</c:v>
                </c:pt>
                <c:pt idx="243">
                  <c:v>53.632067525152813</c:v>
                </c:pt>
                <c:pt idx="244">
                  <c:v>52.836034074822436</c:v>
                </c:pt>
                <c:pt idx="245">
                  <c:v>52.025998345391947</c:v>
                </c:pt>
                <c:pt idx="246">
                  <c:v>51.201882664397154</c:v>
                </c:pt>
                <c:pt idx="247">
                  <c:v>50.363621045068655</c:v>
                </c:pt>
                <c:pt idx="248">
                  <c:v>49.511159939418349</c:v>
                </c:pt>
                <c:pt idx="249">
                  <c:v>48.644459003253317</c:v>
                </c:pt>
                <c:pt idx="250">
                  <c:v>47.763491870419507</c:v>
                </c:pt>
                <c:pt idx="251">
                  <c:v>46.868246933263741</c:v>
                </c:pt>
                <c:pt idx="252">
                  <c:v>45.958728125964953</c:v>
                </c:pt>
                <c:pt idx="253">
                  <c:v>45.034955707044041</c:v>
                </c:pt>
                <c:pt idx="254">
                  <c:v>44.09696703703743</c:v>
                </c:pt>
                <c:pt idx="255">
                  <c:v>43.144817346960501</c:v>
                </c:pt>
                <c:pt idx="256">
                  <c:v>42.178580492882418</c:v>
                </c:pt>
                <c:pt idx="257">
                  <c:v>41.198349691586323</c:v>
                </c:pt>
                <c:pt idx="258">
                  <c:v>40.204238232016849</c:v>
                </c:pt>
                <c:pt idx="259">
                  <c:v>39.196380156915247</c:v>
                </c:pt>
                <c:pt idx="260">
                  <c:v>38.174930908800803</c:v>
                </c:pt>
                <c:pt idx="261">
                  <c:v>37.140067934243767</c:v>
                </c:pt>
                <c:pt idx="262">
                  <c:v>36.091991240197537</c:v>
                </c:pt>
                <c:pt idx="263">
                  <c:v>35.030923896031517</c:v>
                </c:pt>
                <c:pt idx="264">
                  <c:v>33.957112474839974</c:v>
                </c:pt>
                <c:pt idx="265">
                  <c:v>32.870827427589589</c:v>
                </c:pt>
                <c:pt idx="266">
                  <c:v>31.772363383726766</c:v>
                </c:pt>
                <c:pt idx="267">
                  <c:v>30.662039371994812</c:v>
                </c:pt>
                <c:pt idx="268">
                  <c:v>29.540198955426053</c:v>
                </c:pt>
                <c:pt idx="269">
                  <c:v>28.407210274753265</c:v>
                </c:pt>
                <c:pt idx="270">
                  <c:v>27.263465994868803</c:v>
                </c:pt>
                <c:pt idx="271">
                  <c:v>26.109383149415418</c:v>
                </c:pt>
                <c:pt idx="272">
                  <c:v>24.945402879136871</c:v>
                </c:pt>
                <c:pt idx="273">
                  <c:v>23.771990060255721</c:v>
                </c:pt>
                <c:pt idx="274">
                  <c:v>22.589632819849324</c:v>
                </c:pt>
                <c:pt idx="275">
                  <c:v>21.398841935992696</c:v>
                </c:pt>
                <c:pt idx="276">
                  <c:v>20.200150121295344</c:v>
                </c:pt>
                <c:pt idx="277">
                  <c:v>18.99411118938043</c:v>
                </c:pt>
                <c:pt idx="278">
                  <c:v>17.781299104830211</c:v>
                </c:pt>
                <c:pt idx="279">
                  <c:v>16.56230691814282</c:v>
                </c:pt>
                <c:pt idx="280">
                  <c:v>15.337745588278608</c:v>
                </c:pt>
                <c:pt idx="281">
                  <c:v>14.108242696436939</c:v>
                </c:pt>
                <c:pt idx="282">
                  <c:v>12.874441055752797</c:v>
                </c:pt>
                <c:pt idx="283">
                  <c:v>11.636997222633129</c:v>
                </c:pt>
                <c:pt idx="284">
                  <c:v>10.396579916458714</c:v>
                </c:pt>
                <c:pt idx="285">
                  <c:v>9.1538683553089939</c:v>
                </c:pt>
                <c:pt idx="286">
                  <c:v>7.9095505162552042</c:v>
                </c:pt>
                <c:pt idx="287">
                  <c:v>6.6643213295460759</c:v>
                </c:pt>
                <c:pt idx="288">
                  <c:v>5.4188808167180413</c:v>
                </c:pt>
                <c:pt idx="289">
                  <c:v>4.1739321832309955</c:v>
                </c:pt>
                <c:pt idx="290">
                  <c:v>2.9301798766952887</c:v>
                </c:pt>
                <c:pt idx="291">
                  <c:v>1.688327622091363</c:v>
                </c:pt>
                <c:pt idx="292">
                  <c:v>0.4490764455669195</c:v>
                </c:pt>
                <c:pt idx="293">
                  <c:v>-0.78687730154141822</c:v>
                </c:pt>
                <c:pt idx="294">
                  <c:v>-2.0188439069052033</c:v>
                </c:pt>
                <c:pt idx="295">
                  <c:v>-3.2461422382889649</c:v>
                </c:pt>
                <c:pt idx="296">
                  <c:v>-4.4681016505467905</c:v>
                </c:pt>
                <c:pt idx="297">
                  <c:v>-5.6840638480442216</c:v>
                </c:pt>
                <c:pt idx="298">
                  <c:v>-6.8933846926197413</c:v>
                </c:pt>
                <c:pt idx="299">
                  <c:v>-8.095435947898908</c:v>
                </c:pt>
                <c:pt idx="300">
                  <c:v>-9.2896069515891497</c:v>
                </c:pt>
                <c:pt idx="301">
                  <c:v>-10.475306208231116</c:v>
                </c:pt>
                <c:pt idx="302">
                  <c:v>-11.651962895844244</c:v>
                </c:pt>
                <c:pt idx="303">
                  <c:v>-12.81902828085285</c:v>
                </c:pt>
                <c:pt idx="304">
                  <c:v>-13.975977036698165</c:v>
                </c:pt>
                <c:pt idx="305">
                  <c:v>-15.122308462543149</c:v>
                </c:pt>
                <c:pt idx="306">
                  <c:v>-16.257547599482528</c:v>
                </c:pt>
                <c:pt idx="307">
                  <c:v>-17.381246242640497</c:v>
                </c:pt>
                <c:pt idx="308">
                  <c:v>-18.492983848486428</c:v>
                </c:pt>
                <c:pt idx="309">
                  <c:v>-19.592368337581082</c:v>
                </c:pt>
                <c:pt idx="310">
                  <c:v>-20.679036793786313</c:v>
                </c:pt>
                <c:pt idx="311">
                  <c:v>-21.752656061730857</c:v>
                </c:pt>
                <c:pt idx="312">
                  <c:v>-22.8129232449838</c:v>
                </c:pt>
                <c:pt idx="313">
                  <c:v>-23.859566107976494</c:v>
                </c:pt>
                <c:pt idx="314">
                  <c:v>-24.892343385197375</c:v>
                </c:pt>
                <c:pt idx="315">
                  <c:v>-25.91104500158453</c:v>
                </c:pt>
                <c:pt idx="316">
                  <c:v>-26.91549220834456</c:v>
                </c:pt>
                <c:pt idx="317">
                  <c:v>-27.905537638620267</c:v>
                </c:pt>
                <c:pt idx="318">
                  <c:v>-28.881065287569804</c:v>
                </c:pt>
                <c:pt idx="319">
                  <c:v>-29.841990421422651</c:v>
                </c:pt>
                <c:pt idx="320">
                  <c:v>-30.788259420051141</c:v>
                </c:pt>
                <c:pt idx="321">
                  <c:v>-31.719849557451056</c:v>
                </c:pt>
                <c:pt idx="322">
                  <c:v>-32.636768724339404</c:v>
                </c:pt>
                <c:pt idx="323">
                  <c:v>-33.539055096819176</c:v>
                </c:pt>
                <c:pt idx="324">
                  <c:v>-34.426776754756929</c:v>
                </c:pt>
                <c:pt idx="325">
                  <c:v>-35.300031253162999</c:v>
                </c:pt>
                <c:pt idx="326">
                  <c:v>-36.158945149488744</c:v>
                </c:pt>
                <c:pt idx="327">
                  <c:v>-37.003673489346568</c:v>
                </c:pt>
                <c:pt idx="328">
                  <c:v>-37.834399252734585</c:v>
                </c:pt>
                <c:pt idx="329">
                  <c:v>-38.651332762422477</c:v>
                </c:pt>
                <c:pt idx="330">
                  <c:v>-39.454711055730911</c:v>
                </c:pt>
                <c:pt idx="331">
                  <c:v>-40.244797220532249</c:v>
                </c:pt>
                <c:pt idx="332">
                  <c:v>-41.021879695897539</c:v>
                </c:pt>
                <c:pt idx="333">
                  <c:v>-41.786271537477745</c:v>
                </c:pt>
                <c:pt idx="334">
                  <c:v>-42.538309647350246</c:v>
                </c:pt>
                <c:pt idx="335">
                  <c:v>-43.278353967820472</c:v>
                </c:pt>
                <c:pt idx="336">
                  <c:v>-44.006786638401628</c:v>
                </c:pt>
                <c:pt idx="337">
                  <c:v>-44.724011115048313</c:v>
                </c:pt>
                <c:pt idx="338">
                  <c:v>-45.430451250585882</c:v>
                </c:pt>
                <c:pt idx="339">
                  <c:v>-46.126550335235812</c:v>
                </c:pt>
                <c:pt idx="340">
                  <c:v>-46.812770096141804</c:v>
                </c:pt>
                <c:pt idx="341">
                  <c:v>-47.489589654897046</c:v>
                </c:pt>
                <c:pt idx="342">
                  <c:v>-48.157504442203567</c:v>
                </c:pt>
                <c:pt idx="343">
                  <c:v>-48.817025069027835</c:v>
                </c:pt>
                <c:pt idx="344">
                  <c:v>-49.468676153892524</c:v>
                </c:pt>
                <c:pt idx="345">
                  <c:v>-50.112995106293567</c:v>
                </c:pt>
                <c:pt idx="346">
                  <c:v>-50.750530866628466</c:v>
                </c:pt>
                <c:pt idx="347">
                  <c:v>-51.381842603489552</c:v>
                </c:pt>
                <c:pt idx="348">
                  <c:v>-52.007498369677215</c:v>
                </c:pt>
                <c:pt idx="349">
                  <c:v>-52.628073718822918</c:v>
                </c:pt>
                <c:pt idx="350">
                  <c:v>-53.244150285099501</c:v>
                </c:pt>
                <c:pt idx="351">
                  <c:v>-53.856314329080803</c:v>
                </c:pt>
                <c:pt idx="352">
                  <c:v>-54.465155253421123</c:v>
                </c:pt>
                <c:pt idx="353">
                  <c:v>-55.071264092633228</c:v>
                </c:pt>
                <c:pt idx="354">
                  <c:v>-55.675231981837591</c:v>
                </c:pt>
                <c:pt idx="355">
                  <c:v>-56.277648609923958</c:v>
                </c:pt>
                <c:pt idx="356">
                  <c:v>-56.879100663115928</c:v>
                </c:pt>
                <c:pt idx="357">
                  <c:v>-57.480170265412781</c:v>
                </c:pt>
                <c:pt idx="358">
                  <c:v>-58.081433422833925</c:v>
                </c:pt>
                <c:pt idx="359">
                  <c:v>-58.683458478761843</c:v>
                </c:pt>
                <c:pt idx="360">
                  <c:v>-59.286804587988492</c:v>
                </c:pt>
                <c:pt idx="361">
                  <c:v>-59.892020217282607</c:v>
                </c:pt>
                <c:pt idx="362">
                  <c:v>-60.499641680445777</c:v>
                </c:pt>
                <c:pt idx="363">
                  <c:v>-61.110191715855947</c:v>
                </c:pt>
                <c:pt idx="364">
                  <c:v>-61.724178114447831</c:v>
                </c:pt>
                <c:pt idx="365">
                  <c:v>-62.342092405931425</c:v>
                </c:pt>
                <c:pt idx="366">
                  <c:v>-62.964408610795388</c:v>
                </c:pt>
                <c:pt idx="367">
                  <c:v>-63.591582065297203</c:v>
                </c:pt>
                <c:pt idx="368">
                  <c:v>-64.224048326201967</c:v>
                </c:pt>
                <c:pt idx="369">
                  <c:v>-64.862222161490081</c:v>
                </c:pt>
                <c:pt idx="370">
                  <c:v>-65.506496632650908</c:v>
                </c:pt>
                <c:pt idx="371">
                  <c:v>-66.157242273466224</c:v>
                </c:pt>
                <c:pt idx="372">
                  <c:v>-66.814806369441783</c:v>
                </c:pt>
                <c:pt idx="373">
                  <c:v>-67.479512341200476</c:v>
                </c:pt>
                <c:pt idx="374">
                  <c:v>-68.151659234293902</c:v>
                </c:pt>
                <c:pt idx="375">
                  <c:v>-68.831521316962082</c:v>
                </c:pt>
                <c:pt idx="376">
                  <c:v>-69.519347786442623</c:v>
                </c:pt>
                <c:pt idx="377">
                  <c:v>-70.215362583467467</c:v>
                </c:pt>
                <c:pt idx="378">
                  <c:v>-70.919764313642375</c:v>
                </c:pt>
                <c:pt idx="379">
                  <c:v>-71.63272627344648</c:v>
                </c:pt>
                <c:pt idx="380">
                  <c:v>-72.354396577684412</c:v>
                </c:pt>
                <c:pt idx="381">
                  <c:v>-73.084898384333272</c:v>
                </c:pt>
                <c:pt idx="382">
                  <c:v>-73.824330211892928</c:v>
                </c:pt>
                <c:pt idx="383">
                  <c:v>-74.572766343583439</c:v>
                </c:pt>
                <c:pt idx="384">
                  <c:v>-75.330257312024088</c:v>
                </c:pt>
                <c:pt idx="385">
                  <c:v>-76.096830457410888</c:v>
                </c:pt>
                <c:pt idx="386">
                  <c:v>-76.872490551684464</c:v>
                </c:pt>
                <c:pt idx="387">
                  <c:v>-77.657220480744357</c:v>
                </c:pt>
                <c:pt idx="388">
                  <c:v>-78.450981976436083</c:v>
                </c:pt>
                <c:pt idx="389">
                  <c:v>-79.253716389824518</c:v>
                </c:pt>
                <c:pt idx="390">
                  <c:v>-80.06534549715289</c:v>
                </c:pt>
                <c:pt idx="391">
                  <c:v>-80.885772329900973</c:v>
                </c:pt>
                <c:pt idx="392">
                  <c:v>-81.714882020463236</c:v>
                </c:pt>
                <c:pt idx="393">
                  <c:v>-82.552542655212108</c:v>
                </c:pt>
                <c:pt idx="394">
                  <c:v>-83.398606127033062</c:v>
                </c:pt>
                <c:pt idx="395">
                  <c:v>-84.252908979872473</c:v>
                </c:pt>
                <c:pt idx="396">
                  <c:v>-85.11527323835854</c:v>
                </c:pt>
                <c:pt idx="397">
                  <c:v>-85.985507216187386</c:v>
                </c:pt>
                <c:pt idx="398">
                  <c:v>-86.863406297651181</c:v>
                </c:pt>
                <c:pt idx="399">
                  <c:v>-87.748753687453586</c:v>
                </c:pt>
                <c:pt idx="400">
                  <c:v>-88.641321124769988</c:v>
                </c:pt>
                <c:pt idx="401">
                  <c:v>-89.540869558354501</c:v>
                </c:pt>
                <c:pt idx="402">
                  <c:v>-90.447149780389537</c:v>
                </c:pt>
                <c:pt idx="403">
                  <c:v>-91.359903017648492</c:v>
                </c:pt>
                <c:pt idx="404">
                  <c:v>-92.278861479442583</c:v>
                </c:pt>
                <c:pt idx="405">
                  <c:v>-93.203748862684421</c:v>
                </c:pt>
                <c:pt idx="406">
                  <c:v>-94.134280815252609</c:v>
                </c:pt>
                <c:pt idx="407">
                  <c:v>-95.070165359627993</c:v>
                </c:pt>
                <c:pt idx="408">
                  <c:v>-96.011103279524534</c:v>
                </c:pt>
                <c:pt idx="409">
                  <c:v>-96.956788472901067</c:v>
                </c:pt>
                <c:pt idx="410">
                  <c:v>-97.906908275342616</c:v>
                </c:pt>
                <c:pt idx="411">
                  <c:v>-98.861143758304863</c:v>
                </c:pt>
                <c:pt idx="412">
                  <c:v>-99.819170007128662</c:v>
                </c:pt>
                <c:pt idx="413">
                  <c:v>-100.78065638404244</c:v>
                </c:pt>
                <c:pt idx="414">
                  <c:v>-101.74526678157595</c:v>
                </c:pt>
                <c:pt idx="415">
                  <c:v>-102.71265987191141</c:v>
                </c:pt>
                <c:pt idx="416">
                  <c:v>-103.68248935768369</c:v>
                </c:pt>
                <c:pt idx="417">
                  <c:v>-104.6544042296203</c:v>
                </c:pt>
                <c:pt idx="418">
                  <c:v>-105.62804903620153</c:v>
                </c:pt>
                <c:pt idx="419">
                  <c:v>-106.60306417018749</c:v>
                </c:pt>
                <c:pt idx="420">
                  <c:v>-107.57908617645046</c:v>
                </c:pt>
                <c:pt idx="421">
                  <c:v>-108.55574808505258</c:v>
                </c:pt>
                <c:pt idx="422">
                  <c:v>-109.5326797729351</c:v>
                </c:pt>
                <c:pt idx="423">
                  <c:v>-110.50950835695083</c:v>
                </c:pt>
                <c:pt idx="424">
                  <c:v>-111.48585862028121</c:v>
                </c:pt>
                <c:pt idx="425">
                  <c:v>-112.46135347356038</c:v>
                </c:pt>
                <c:pt idx="426">
                  <c:v>-113.43561445128068</c:v>
                </c:pt>
                <c:pt idx="427">
                  <c:v>-114.40826224328958</c:v>
                </c:pt>
                <c:pt idx="428">
                  <c:v>-115.37891726044775</c:v>
                </c:pt>
                <c:pt idx="429">
                  <c:v>-116.34720023278389</c:v>
                </c:pt>
                <c:pt idx="430">
                  <c:v>-117.3127328377726</c:v>
                </c:pt>
                <c:pt idx="431">
                  <c:v>-118.27513835572569</c:v>
                </c:pt>
                <c:pt idx="432">
                  <c:v>-119.23404234867532</c:v>
                </c:pt>
                <c:pt idx="433">
                  <c:v>-120.18907335861617</c:v>
                </c:pt>
                <c:pt idx="434">
                  <c:v>-121.13986362050534</c:v>
                </c:pt>
                <c:pt idx="435">
                  <c:v>-122.08604978506368</c:v>
                </c:pt>
                <c:pt idx="436">
                  <c:v>-123.02727364614036</c:v>
                </c:pt>
                <c:pt idx="437">
                  <c:v>-123.96318286720319</c:v>
                </c:pt>
                <c:pt idx="438">
                  <c:v>-124.8934317014419</c:v>
                </c:pt>
                <c:pt idx="439">
                  <c:v>-125.8176816999449</c:v>
                </c:pt>
                <c:pt idx="440">
                  <c:v>-126.73560240251228</c:v>
                </c:pt>
                <c:pt idx="441">
                  <c:v>-127.64687200582611</c:v>
                </c:pt>
                <c:pt idx="442">
                  <c:v>-128.55117800395087</c:v>
                </c:pt>
                <c:pt idx="443">
                  <c:v>-129.44821779645721</c:v>
                </c:pt>
                <c:pt idx="444">
                  <c:v>-130.33769925983145</c:v>
                </c:pt>
                <c:pt idx="445">
                  <c:v>-131.21934127829059</c:v>
                </c:pt>
                <c:pt idx="446">
                  <c:v>-132.09287423056554</c:v>
                </c:pt>
                <c:pt idx="447">
                  <c:v>-132.95804042976079</c:v>
                </c:pt>
                <c:pt idx="448">
                  <c:v>-133.81459451390444</c:v>
                </c:pt>
                <c:pt idx="449">
                  <c:v>-134.66230378535832</c:v>
                </c:pt>
                <c:pt idx="450">
                  <c:v>-135.5009484978039</c:v>
                </c:pt>
                <c:pt idx="451">
                  <c:v>-136.3303220900568</c:v>
                </c:pt>
                <c:pt idx="452">
                  <c:v>-137.15023136649393</c:v>
                </c:pt>
                <c:pt idx="453">
                  <c:v>-137.96049662436954</c:v>
                </c:pt>
                <c:pt idx="454">
                  <c:v>-138.76095172877748</c:v>
                </c:pt>
                <c:pt idx="455">
                  <c:v>-139.55144413645652</c:v>
                </c:pt>
                <c:pt idx="456">
                  <c:v>-140.33183487002444</c:v>
                </c:pt>
                <c:pt idx="457">
                  <c:v>-141.10199844459524</c:v>
                </c:pt>
                <c:pt idx="458">
                  <c:v>-141.86182274904024</c:v>
                </c:pt>
                <c:pt idx="459">
                  <c:v>-142.6112088844167</c:v>
                </c:pt>
                <c:pt idx="460">
                  <c:v>-143.35007096231692</c:v>
                </c:pt>
                <c:pt idx="461">
                  <c:v>-144.07833586605281</c:v>
                </c:pt>
                <c:pt idx="462">
                  <c:v>-144.79594297773247</c:v>
                </c:pt>
                <c:pt idx="463">
                  <c:v>-145.50284387436457</c:v>
                </c:pt>
                <c:pt idx="464">
                  <c:v>-146.19900199617538</c:v>
                </c:pt>
                <c:pt idx="465">
                  <c:v>-146.88439229033443</c:v>
                </c:pt>
                <c:pt idx="466">
                  <c:v>-147.55900083326279</c:v>
                </c:pt>
                <c:pt idx="467">
                  <c:v>-148.22282443463956</c:v>
                </c:pt>
                <c:pt idx="468">
                  <c:v>-148.87587022614062</c:v>
                </c:pt>
                <c:pt idx="469">
                  <c:v>-149.51815523784794</c:v>
                </c:pt>
                <c:pt idx="470">
                  <c:v>-150.14970596513248</c:v>
                </c:pt>
                <c:pt idx="471">
                  <c:v>-150.77055792868015</c:v>
                </c:pt>
                <c:pt idx="472">
                  <c:v>-151.38075523017329</c:v>
                </c:pt>
                <c:pt idx="473">
                  <c:v>-151.9803501059871</c:v>
                </c:pt>
                <c:pt idx="474">
                  <c:v>-152.56940248107205</c:v>
                </c:pt>
                <c:pt idx="475">
                  <c:v>-153.14797952504247</c:v>
                </c:pt>
                <c:pt idx="476">
                  <c:v>-153.71615521229702</c:v>
                </c:pt>
                <c:pt idx="477">
                  <c:v>-154.27400988783447</c:v>
                </c:pt>
                <c:pt idx="478">
                  <c:v>-154.82162984025169</c:v>
                </c:pt>
                <c:pt idx="479">
                  <c:v>-155.35910688323872</c:v>
                </c:pt>
                <c:pt idx="480">
                  <c:v>-155.88653794673317</c:v>
                </c:pt>
                <c:pt idx="481">
                  <c:v>-156.40402467872906</c:v>
                </c:pt>
                <c:pt idx="482">
                  <c:v>-156.91167305859258</c:v>
                </c:pt>
                <c:pt idx="483">
                  <c:v>-157.40959302259554</c:v>
                </c:pt>
                <c:pt idx="484">
                  <c:v>-157.89789810224761</c:v>
                </c:pt>
                <c:pt idx="485">
                  <c:v>-158.37670507587802</c:v>
                </c:pt>
                <c:pt idx="486">
                  <c:v>-158.84613363381172</c:v>
                </c:pt>
                <c:pt idx="487">
                  <c:v>-159.30630605737829</c:v>
                </c:pt>
                <c:pt idx="488">
                  <c:v>-159.75734691189214</c:v>
                </c:pt>
                <c:pt idx="489">
                  <c:v>-160.1993827536615</c:v>
                </c:pt>
                <c:pt idx="490">
                  <c:v>-160.63254185100052</c:v>
                </c:pt>
                <c:pt idx="491">
                  <c:v>-161.05695391915626</c:v>
                </c:pt>
                <c:pt idx="492">
                  <c:v>-161.47274986899029</c:v>
                </c:pt>
                <c:pt idx="493">
                  <c:v>-161.88006156921247</c:v>
                </c:pt>
                <c:pt idx="494">
                  <c:v>-162.27902162190679</c:v>
                </c:pt>
                <c:pt idx="495">
                  <c:v>-162.66976315105788</c:v>
                </c:pt>
                <c:pt idx="496">
                  <c:v>-163.05241960374417</c:v>
                </c:pt>
                <c:pt idx="497">
                  <c:v>-163.42712456364373</c:v>
                </c:pt>
                <c:pt idx="498">
                  <c:v>-163.7940115764699</c:v>
                </c:pt>
                <c:pt idx="499">
                  <c:v>-164.15321398693686</c:v>
                </c:pt>
                <c:pt idx="500">
                  <c:v>-164.50486478684226</c:v>
                </c:pt>
                <c:pt idx="501">
                  <c:v>-164.84909647384703</c:v>
                </c:pt>
                <c:pt idx="502">
                  <c:v>-165.18604092051709</c:v>
                </c:pt>
                <c:pt idx="503">
                  <c:v>-165.51582925319923</c:v>
                </c:pt>
                <c:pt idx="504">
                  <c:v>-165.83859174029729</c:v>
                </c:pt>
                <c:pt idx="505">
                  <c:v>-166.1544576895156</c:v>
                </c:pt>
                <c:pt idx="506">
                  <c:v>-166.46355535364481</c:v>
                </c:pt>
                <c:pt idx="507">
                  <c:v>-166.76601184447054</c:v>
                </c:pt>
                <c:pt idx="508">
                  <c:v>-167.06195305438882</c:v>
                </c:pt>
                <c:pt idx="509">
                  <c:v>-167.35150358532664</c:v>
                </c:pt>
                <c:pt idx="510">
                  <c:v>-167.63478668457563</c:v>
                </c:pt>
                <c:pt idx="511">
                  <c:v>-167.91192418714996</c:v>
                </c:pt>
                <c:pt idx="512">
                  <c:v>-168.18303646430496</c:v>
                </c:pt>
                <c:pt idx="513">
                  <c:v>-168.44824237785278</c:v>
                </c:pt>
                <c:pt idx="514">
                  <c:v>-168.70765923993156</c:v>
                </c:pt>
                <c:pt idx="515">
                  <c:v>-168.96140277789374</c:v>
                </c:pt>
                <c:pt idx="516">
                  <c:v>-169.20958710399685</c:v>
                </c:pt>
                <c:pt idx="517">
                  <c:v>-169.45232468958625</c:v>
                </c:pt>
                <c:pt idx="518">
                  <c:v>-169.68972634348137</c:v>
                </c:pt>
                <c:pt idx="519">
                  <c:v>-169.92190119428193</c:v>
                </c:pt>
                <c:pt idx="520">
                  <c:v>-170.1489566763301</c:v>
                </c:pt>
                <c:pt idx="521">
                  <c:v>-170.37099851907419</c:v>
                </c:pt>
                <c:pt idx="522">
                  <c:v>-170.58813073959033</c:v>
                </c:pt>
                <c:pt idx="523">
                  <c:v>-170.80045563803614</c:v>
                </c:pt>
                <c:pt idx="524">
                  <c:v>-171.00807379581784</c:v>
                </c:pt>
                <c:pt idx="525">
                  <c:v>-171.21108407626531</c:v>
                </c:pt>
                <c:pt idx="526">
                  <c:v>-171.40958362762024</c:v>
                </c:pt>
                <c:pt idx="527">
                  <c:v>-171.60366788815503</c:v>
                </c:pt>
                <c:pt idx="528">
                  <c:v>-171.79343059324864</c:v>
                </c:pt>
                <c:pt idx="529">
                  <c:v>-171.97896378425639</c:v>
                </c:pt>
                <c:pt idx="530">
                  <c:v>-172.16035781901968</c:v>
                </c:pt>
                <c:pt idx="531">
                  <c:v>-172.33770138387209</c:v>
                </c:pt>
                <c:pt idx="532">
                  <c:v>-172.51108150700634</c:v>
                </c:pt>
                <c:pt idx="533">
                  <c:v>-172.68058357307419</c:v>
                </c:pt>
                <c:pt idx="534">
                  <c:v>-172.84629133890053</c:v>
                </c:pt>
                <c:pt idx="535">
                  <c:v>-173.00828695020039</c:v>
                </c:pt>
                <c:pt idx="536">
                  <c:v>-173.16665095919399</c:v>
                </c:pt>
                <c:pt idx="537">
                  <c:v>-173.32146234302249</c:v>
                </c:pt>
                <c:pt idx="538">
                  <c:v>-173.47279852287377</c:v>
                </c:pt>
                <c:pt idx="539">
                  <c:v>-173.62073538373261</c:v>
                </c:pt>
                <c:pt idx="540">
                  <c:v>-173.76534729467755</c:v>
                </c:pt>
                <c:pt idx="541">
                  <c:v>-173.90670712964911</c:v>
                </c:pt>
              </c:numCache>
            </c:numRef>
          </c:yVal>
          <c:smooth val="1"/>
          <c:extLst>
            <c:ext xmlns:c16="http://schemas.microsoft.com/office/drawing/2014/chart" uri="{C3380CC4-5D6E-409C-BE32-E72D297353CC}">
              <c16:uniqueId val="{00000001-ACF8-49D1-9313-CAF9B0C485FE}"/>
            </c:ext>
          </c:extLst>
        </c:ser>
        <c:dLbls>
          <c:showLegendKey val="0"/>
          <c:showVal val="0"/>
          <c:showCatName val="0"/>
          <c:showSerName val="0"/>
          <c:showPercent val="0"/>
          <c:showBubbleSize val="0"/>
        </c:dLbls>
        <c:axId val="555537920"/>
        <c:axId val="555536384"/>
      </c:scatterChart>
      <c:valAx>
        <c:axId val="55552819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530112"/>
        <c:crosses val="autoZero"/>
        <c:crossBetween val="midCat"/>
      </c:valAx>
      <c:valAx>
        <c:axId val="555530112"/>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555528192"/>
        <c:crosses val="autoZero"/>
        <c:crossBetween val="midCat"/>
        <c:majorUnit val="20"/>
        <c:minorUnit val="10"/>
      </c:valAx>
      <c:valAx>
        <c:axId val="555536384"/>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555537920"/>
        <c:crosses val="max"/>
        <c:crossBetween val="midCat"/>
        <c:majorUnit val="90"/>
        <c:minorUnit val="45"/>
      </c:valAx>
      <c:valAx>
        <c:axId val="555537920"/>
        <c:scaling>
          <c:logBase val="10"/>
          <c:orientation val="minMax"/>
        </c:scaling>
        <c:delete val="1"/>
        <c:axPos val="b"/>
        <c:numFmt formatCode="0.00" sourceLinked="1"/>
        <c:majorTickMark val="out"/>
        <c:minorTickMark val="none"/>
        <c:tickLblPos val="nextTo"/>
        <c:crossAx val="55553638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Eff</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82.768015964506432</c:v>
                </c:pt>
                <c:pt idx="2">
                  <c:v>86.682657917278163</c:v>
                </c:pt>
                <c:pt idx="3">
                  <c:v>87.953800007864942</c:v>
                </c:pt>
                <c:pt idx="4">
                  <c:v>88.536496271462724</c:v>
                </c:pt>
                <c:pt idx="5">
                  <c:v>88.845633519816332</c:v>
                </c:pt>
                <c:pt idx="6">
                  <c:v>89.021192209994112</c:v>
                </c:pt>
                <c:pt idx="7">
                  <c:v>89.122936777973891</c:v>
                </c:pt>
                <c:pt idx="8">
                  <c:v>89.467745647759855</c:v>
                </c:pt>
                <c:pt idx="9">
                  <c:v>89.923845394020418</c:v>
                </c:pt>
                <c:pt idx="10">
                  <c:v>90.278471225267737</c:v>
                </c:pt>
                <c:pt idx="11">
                  <c:v>90.558252021737147</c:v>
                </c:pt>
                <c:pt idx="12">
                  <c:v>90.781257750026001</c:v>
                </c:pt>
                <c:pt idx="13">
                  <c:v>90.960182373012771</c:v>
                </c:pt>
                <c:pt idx="14">
                  <c:v>91.10420468883666</c:v>
                </c:pt>
                <c:pt idx="15">
                  <c:v>91.220126285142911</c:v>
                </c:pt>
                <c:pt idx="16">
                  <c:v>91.313094310597037</c:v>
                </c:pt>
                <c:pt idx="17">
                  <c:v>91.387075659303662</c:v>
                </c:pt>
                <c:pt idx="18">
                  <c:v>91.445176908023669</c:v>
                </c:pt>
                <c:pt idx="19">
                  <c:v>91.489865533282682</c:v>
                </c:pt>
                <c:pt idx="20">
                  <c:v>91.52312620817851</c:v>
                </c:pt>
                <c:pt idx="21">
                  <c:v>91.546573369830739</c:v>
                </c:pt>
                <c:pt idx="22">
                  <c:v>91.561533695432757</c:v>
                </c:pt>
                <c:pt idx="23">
                  <c:v>91.569107471286543</c:v>
                </c:pt>
                <c:pt idx="24">
                  <c:v>91.570214898937806</c:v>
                </c:pt>
                <c:pt idx="25">
                  <c:v>91.565631482245408</c:v>
                </c:pt>
                <c:pt idx="26">
                  <c:v>91.556015385652856</c:v>
                </c:pt>
                <c:pt idx="27">
                  <c:v>91.541928811443412</c:v>
                </c:pt>
                <c:pt idx="28">
                  <c:v>91.52385486783551</c:v>
                </c:pt>
                <c:pt idx="29">
                  <c:v>91.502210999882607</c:v>
                </c:pt>
                <c:pt idx="30">
                  <c:v>91.477359773464812</c:v>
                </c:pt>
                <c:pt idx="31">
                  <c:v>91.449617601600451</c:v>
                </c:pt>
                <c:pt idx="32">
                  <c:v>91.419261857020402</c:v>
                </c:pt>
                <c:pt idx="33">
                  <c:v>91.38653670875712</c:v>
                </c:pt>
                <c:pt idx="34">
                  <c:v>91.351657942056619</c:v>
                </c:pt>
                <c:pt idx="35">
                  <c:v>91.314816962395469</c:v>
                </c:pt>
                <c:pt idx="36">
                  <c:v>91.276184140311315</c:v>
                </c:pt>
                <c:pt idx="37">
                  <c:v>91.235911620275544</c:v>
                </c:pt>
                <c:pt idx="38">
                  <c:v>91.194135691194234</c:v>
                </c:pt>
                <c:pt idx="39">
                  <c:v>91.150978796331202</c:v>
                </c:pt>
                <c:pt idx="40">
                  <c:v>91.10655124506053</c:v>
                </c:pt>
                <c:pt idx="41">
                  <c:v>91.060952676808142</c:v>
                </c:pt>
                <c:pt idx="42">
                  <c:v>91.014273318052005</c:v>
                </c:pt>
                <c:pt idx="43">
                  <c:v>90.966595065723283</c:v>
                </c:pt>
                <c:pt idx="44">
                  <c:v>90.917992424350274</c:v>
                </c:pt>
                <c:pt idx="45">
                  <c:v>90.868533319473158</c:v>
                </c:pt>
                <c:pt idx="46">
                  <c:v>90.818279805977681</c:v>
                </c:pt>
                <c:pt idx="47">
                  <c:v>90.767288686851217</c:v>
                </c:pt>
                <c:pt idx="48">
                  <c:v>90.715612055304717</c:v>
                </c:pt>
                <c:pt idx="49">
                  <c:v>90.663297771109356</c:v>
                </c:pt>
                <c:pt idx="50">
                  <c:v>90.61038988027704</c:v>
                </c:pt>
                <c:pt idx="51">
                  <c:v>90.55692898579359</c:v>
                </c:pt>
                <c:pt idx="52">
                  <c:v>90.502952575937627</c:v>
                </c:pt>
                <c:pt idx="53">
                  <c:v>90.44849531574063</c:v>
                </c:pt>
                <c:pt idx="54">
                  <c:v>90.393589306326987</c:v>
                </c:pt>
                <c:pt idx="55">
                  <c:v>90.338264316189239</c:v>
                </c:pt>
                <c:pt idx="56">
                  <c:v>90.282547987878843</c:v>
                </c:pt>
                <c:pt idx="57">
                  <c:v>90.2264660231085</c:v>
                </c:pt>
                <c:pt idx="58">
                  <c:v>90.170042348851368</c:v>
                </c:pt>
                <c:pt idx="59">
                  <c:v>90.113299266675128</c:v>
                </c:pt>
                <c:pt idx="60">
                  <c:v>90.056257587252333</c:v>
                </c:pt>
                <c:pt idx="61">
                  <c:v>89.998936751735741</c:v>
                </c:pt>
                <c:pt idx="62">
                  <c:v>89.941354941471303</c:v>
                </c:pt>
                <c:pt idx="63">
                  <c:v>89.883529177335078</c:v>
                </c:pt>
                <c:pt idx="64">
                  <c:v>89.825475409821735</c:v>
                </c:pt>
                <c:pt idx="65">
                  <c:v>89.76720860087319</c:v>
                </c:pt>
                <c:pt idx="66">
                  <c:v>89.708742798318099</c:v>
                </c:pt>
                <c:pt idx="67">
                  <c:v>89.650091203688831</c:v>
                </c:pt>
                <c:pt idx="68">
                  <c:v>89.591266234093212</c:v>
                </c:pt>
                <c:pt idx="69">
                  <c:v>89.5322795787405</c:v>
                </c:pt>
                <c:pt idx="70">
                  <c:v>89.473142250652614</c:v>
                </c:pt>
                <c:pt idx="71">
                  <c:v>89.413864634032393</c:v>
                </c:pt>
                <c:pt idx="72">
                  <c:v>89.354456527708649</c:v>
                </c:pt>
                <c:pt idx="73">
                  <c:v>89.294927185031639</c:v>
                </c:pt>
                <c:pt idx="74">
                  <c:v>89.235285350553212</c:v>
                </c:pt>
                <c:pt idx="75">
                  <c:v>89.175539293789356</c:v>
                </c:pt>
                <c:pt idx="76">
                  <c:v>89.11569684033276</c:v>
                </c:pt>
                <c:pt idx="77">
                  <c:v>89.055765400554805</c:v>
                </c:pt>
                <c:pt idx="78">
                  <c:v>88.995751996111977</c:v>
                </c:pt>
                <c:pt idx="79">
                  <c:v>88.935663284450229</c:v>
                </c:pt>
                <c:pt idx="80">
                  <c:v>88.875505581481548</c:v>
                </c:pt>
                <c:pt idx="81">
                  <c:v>88.815284882589779</c:v>
                </c:pt>
                <c:pt idx="82">
                  <c:v>88.755006882107622</c:v>
                </c:pt>
                <c:pt idx="83">
                  <c:v>88.694676991392754</c:v>
                </c:pt>
                <c:pt idx="84">
                  <c:v>88.634300355619771</c:v>
                </c:pt>
                <c:pt idx="85">
                  <c:v>88.573881869392622</c:v>
                </c:pt>
                <c:pt idx="86">
                  <c:v>88.513426191273339</c:v>
                </c:pt>
                <c:pt idx="87">
                  <c:v>88.452937757313578</c:v>
                </c:pt>
                <c:pt idx="88">
                  <c:v>88.392420793668308</c:v>
                </c:pt>
                <c:pt idx="89">
                  <c:v>88.331879328362959</c:v>
                </c:pt>
                <c:pt idx="90">
                  <c:v>88.271317202279974</c:v>
                </c:pt>
                <c:pt idx="91">
                  <c:v>88.210738079424289</c:v>
                </c:pt>
                <c:pt idx="92">
                  <c:v>88.150145456522353</c:v>
                </c:pt>
                <c:pt idx="93">
                  <c:v>88.089542672004811</c:v>
                </c:pt>
                <c:pt idx="94">
                  <c:v>88.028932914418164</c:v>
                </c:pt>
                <c:pt idx="95">
                  <c:v>87.968319230307785</c:v>
                </c:pt>
                <c:pt idx="96">
                  <c:v>87.907704531610165</c:v>
                </c:pt>
                <c:pt idx="97">
                  <c:v>87.847091602589899</c:v>
                </c:pt>
                <c:pt idx="98">
                  <c:v>87.786483106353799</c:v>
                </c:pt>
                <c:pt idx="99">
                  <c:v>87.725881590971881</c:v>
                </c:pt>
                <c:pt idx="100">
                  <c:v>87.665289495232486</c:v>
                </c:pt>
                <c:pt idx="101">
                  <c:v>87.604709154056977</c:v>
                </c:pt>
                <c:pt idx="102">
                  <c:v>87.544142803597097</c:v>
                </c:pt>
                <c:pt idx="103">
                  <c:v>87.483592586036693</c:v>
                </c:pt>
                <c:pt idx="104">
                  <c:v>87.423060554117313</c:v>
                </c:pt>
                <c:pt idx="105">
                  <c:v>87.362548675406259</c:v>
                </c:pt>
                <c:pt idx="106">
                  <c:v>87.302058836323951</c:v>
                </c:pt>
                <c:pt idx="107">
                  <c:v>87.241592845946215</c:v>
                </c:pt>
                <c:pt idx="108">
                  <c:v>87.18115243959619</c:v>
                </c:pt>
                <c:pt idx="109">
                  <c:v>87.120739282239128</c:v>
                </c:pt>
                <c:pt idx="110">
                  <c:v>87.060354971692632</c:v>
                </c:pt>
                <c:pt idx="111">
                  <c:v>87.000001041664049</c:v>
                </c:pt>
                <c:pt idx="112">
                  <c:v>86.9396789646256</c:v>
                </c:pt>
                <c:pt idx="113">
                  <c:v>86.879390154537404</c:v>
                </c:pt>
                <c:pt idx="114">
                  <c:v>86.819135969427592</c:v>
                </c:pt>
                <c:pt idx="115">
                  <c:v>86.758917713838173</c:v>
                </c:pt>
                <c:pt idx="116">
                  <c:v>86.69873664114499</c:v>
                </c:pt>
                <c:pt idx="117">
                  <c:v>86.638593955758708</c:v>
                </c:pt>
                <c:pt idx="118">
                  <c:v>86.578490815214565</c:v>
                </c:pt>
                <c:pt idx="119">
                  <c:v>86.518428332156816</c:v>
                </c:pt>
                <c:pt idx="120">
                  <c:v>86.458407576224232</c:v>
                </c:pt>
                <c:pt idx="121">
                  <c:v>86.398429575842584</c:v>
                </c:pt>
                <c:pt idx="122">
                  <c:v>86.338495319928867</c:v>
                </c:pt>
                <c:pt idx="123">
                  <c:v>86.278605759512857</c:v>
                </c:pt>
                <c:pt idx="124">
                  <c:v>86.218761809280281</c:v>
                </c:pt>
                <c:pt idx="125">
                  <c:v>86.158964349042108</c:v>
                </c:pt>
                <c:pt idx="126">
                  <c:v>86.099214225134006</c:v>
                </c:pt>
                <c:pt idx="127">
                  <c:v>86.039512251749855</c:v>
                </c:pt>
                <c:pt idx="128">
                  <c:v>85.979859212212943</c:v>
                </c:pt>
                <c:pt idx="129">
                  <c:v>85.920255860188036</c:v>
                </c:pt>
                <c:pt idx="130">
                  <c:v>85.86070292083761</c:v>
                </c:pt>
                <c:pt idx="131">
                  <c:v>85.801201091925392</c:v>
                </c:pt>
                <c:pt idx="132">
                  <c:v>85.741751044869645</c:v>
                </c:pt>
                <c:pt idx="133">
                  <c:v>85.682353425749099</c:v>
                </c:pt>
                <c:pt idx="134">
                  <c:v>85.623008856263894</c:v>
                </c:pt>
                <c:pt idx="135">
                  <c:v>85.563717934653809</c:v>
                </c:pt>
                <c:pt idx="136">
                  <c:v>85.504481236576225</c:v>
                </c:pt>
                <c:pt idx="137">
                  <c:v>85.445299315945448</c:v>
                </c:pt>
                <c:pt idx="138">
                  <c:v>85.386172705735746</c:v>
                </c:pt>
                <c:pt idx="139">
                  <c:v>85.327101918749662</c:v>
                </c:pt>
                <c:pt idx="140">
                  <c:v>85.268087448353469</c:v>
                </c:pt>
                <c:pt idx="141">
                  <c:v>85.209129769181473</c:v>
                </c:pt>
                <c:pt idx="142">
                  <c:v>85.150229337810231</c:v>
                </c:pt>
                <c:pt idx="143">
                  <c:v>85.091386593404934</c:v>
                </c:pt>
                <c:pt idx="144">
                  <c:v>85.032601958338574</c:v>
                </c:pt>
                <c:pt idx="145">
                  <c:v>84.973875838785531</c:v>
                </c:pt>
                <c:pt idx="146">
                  <c:v>84.915208625290902</c:v>
                </c:pt>
                <c:pt idx="147">
                  <c:v>84.856600693316508</c:v>
                </c:pt>
                <c:pt idx="148">
                  <c:v>84.798052403764743</c:v>
                </c:pt>
                <c:pt idx="149">
                  <c:v>84.739564103481314</c:v>
                </c:pt>
                <c:pt idx="150">
                  <c:v>84.681136125737993</c:v>
                </c:pt>
              </c:numCache>
            </c:numRef>
          </c:yVal>
          <c:smooth val="0"/>
          <c:extLst>
            <c:ext xmlns:c16="http://schemas.microsoft.com/office/drawing/2014/chart" uri="{C3380CC4-5D6E-409C-BE32-E72D297353CC}">
              <c16:uniqueId val="{00000000-3346-4488-BAA1-46FD455F8B2C}"/>
            </c:ext>
          </c:extLst>
        </c:ser>
        <c:dLbls>
          <c:showLegendKey val="0"/>
          <c:showVal val="0"/>
          <c:showCatName val="0"/>
          <c:showSerName val="0"/>
          <c:showPercent val="0"/>
          <c:showBubbleSize val="0"/>
        </c:dLbls>
        <c:axId val="224130176"/>
        <c:axId val="224131712"/>
      </c:scatterChart>
      <c:scatterChart>
        <c:scatterStyle val="smoothMarker"/>
        <c:varyColors val="0"/>
        <c:ser>
          <c:idx val="1"/>
          <c:order val="1"/>
          <c:tx>
            <c:v>MOSFET</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0.17349670634920636</c:v>
                </c:pt>
                <c:pt idx="2">
                  <c:v>0.34926146207105119</c:v>
                </c:pt>
                <c:pt idx="3">
                  <c:v>0.52650269634711822</c:v>
                </c:pt>
                <c:pt idx="4">
                  <c:v>0.70493793650793657</c:v>
                </c:pt>
                <c:pt idx="5">
                  <c:v>0.88440392894913999</c:v>
                </c:pt>
                <c:pt idx="6">
                  <c:v>1.0647905229366899</c:v>
                </c:pt>
                <c:pt idx="7">
                  <c:v>1.2460168540147132</c:v>
                </c:pt>
                <c:pt idx="8">
                  <c:v>1.4281406149809786</c:v>
                </c:pt>
                <c:pt idx="9">
                  <c:v>1.6116986546635184</c:v>
                </c:pt>
                <c:pt idx="10">
                  <c:v>1.7967624721238358</c:v>
                </c:pt>
                <c:pt idx="11">
                  <c:v>1.983332067361931</c:v>
                </c:pt>
                <c:pt idx="12">
                  <c:v>2.1714074403778043</c:v>
                </c:pt>
                <c:pt idx="13">
                  <c:v>2.3609885911714552</c:v>
                </c:pt>
                <c:pt idx="14">
                  <c:v>2.5520755197428828</c:v>
                </c:pt>
                <c:pt idx="15">
                  <c:v>2.7446682260920903</c:v>
                </c:pt>
                <c:pt idx="16">
                  <c:v>2.938766710219074</c:v>
                </c:pt>
                <c:pt idx="17">
                  <c:v>3.1343709721238353</c:v>
                </c:pt>
                <c:pt idx="18">
                  <c:v>3.3314810118063756</c:v>
                </c:pt>
                <c:pt idx="19">
                  <c:v>3.5300968292666921</c:v>
                </c:pt>
                <c:pt idx="20">
                  <c:v>3.7302184245047885</c:v>
                </c:pt>
                <c:pt idx="21">
                  <c:v>3.9318457975206602</c:v>
                </c:pt>
                <c:pt idx="22">
                  <c:v>4.1349789483143118</c:v>
                </c:pt>
                <c:pt idx="23">
                  <c:v>4.3396178768857405</c:v>
                </c:pt>
                <c:pt idx="24">
                  <c:v>4.5457625832349473</c:v>
                </c:pt>
                <c:pt idx="25">
                  <c:v>4.7534130673619313</c:v>
                </c:pt>
                <c:pt idx="26">
                  <c:v>4.9625693292666933</c:v>
                </c:pt>
                <c:pt idx="27">
                  <c:v>5.1732313689492315</c:v>
                </c:pt>
                <c:pt idx="28">
                  <c:v>5.3853991864095487</c:v>
                </c:pt>
                <c:pt idx="29">
                  <c:v>5.5990727816476458</c:v>
                </c:pt>
                <c:pt idx="30">
                  <c:v>5.8142521546635191</c:v>
                </c:pt>
                <c:pt idx="31">
                  <c:v>6.0309373054571687</c:v>
                </c:pt>
                <c:pt idx="32">
                  <c:v>6.2491282340285981</c:v>
                </c:pt>
                <c:pt idx="33">
                  <c:v>6.4688249403778046</c:v>
                </c:pt>
                <c:pt idx="34">
                  <c:v>6.6900274245047866</c:v>
                </c:pt>
                <c:pt idx="35">
                  <c:v>6.9127356864095519</c:v>
                </c:pt>
                <c:pt idx="36">
                  <c:v>7.13694972609209</c:v>
                </c:pt>
                <c:pt idx="37">
                  <c:v>7.3626695435524097</c:v>
                </c:pt>
                <c:pt idx="38">
                  <c:v>7.5898951387905003</c:v>
                </c:pt>
                <c:pt idx="39">
                  <c:v>7.8186265118063751</c:v>
                </c:pt>
                <c:pt idx="40">
                  <c:v>8.0488636626000272</c:v>
                </c:pt>
                <c:pt idx="41">
                  <c:v>8.2806065911714573</c:v>
                </c:pt>
                <c:pt idx="42">
                  <c:v>8.5138552975206601</c:v>
                </c:pt>
                <c:pt idx="43">
                  <c:v>8.7486097816476462</c:v>
                </c:pt>
                <c:pt idx="44">
                  <c:v>8.9848700435524069</c:v>
                </c:pt>
                <c:pt idx="45">
                  <c:v>9.2226360832349457</c:v>
                </c:pt>
                <c:pt idx="46">
                  <c:v>9.4619079006952642</c:v>
                </c:pt>
                <c:pt idx="47">
                  <c:v>9.7026854959333591</c:v>
                </c:pt>
                <c:pt idx="48">
                  <c:v>9.9449688689492337</c:v>
                </c:pt>
                <c:pt idx="49">
                  <c:v>10.188758019742881</c:v>
                </c:pt>
                <c:pt idx="50">
                  <c:v>10.434052948314312</c:v>
                </c:pt>
                <c:pt idx="51">
                  <c:v>10.680853654663521</c:v>
                </c:pt>
                <c:pt idx="52">
                  <c:v>10.929160138790504</c:v>
                </c:pt>
                <c:pt idx="53">
                  <c:v>11.178972400695264</c:v>
                </c:pt>
                <c:pt idx="54">
                  <c:v>11.430290440377801</c:v>
                </c:pt>
                <c:pt idx="55">
                  <c:v>11.683114257838122</c:v>
                </c:pt>
                <c:pt idx="56">
                  <c:v>11.937443853076214</c:v>
                </c:pt>
                <c:pt idx="57">
                  <c:v>12.193279226092088</c:v>
                </c:pt>
                <c:pt idx="58">
                  <c:v>12.450620376885741</c:v>
                </c:pt>
                <c:pt idx="59">
                  <c:v>12.709467305457171</c:v>
                </c:pt>
                <c:pt idx="60">
                  <c:v>12.969820011806378</c:v>
                </c:pt>
                <c:pt idx="61">
                  <c:v>13.231678495933359</c:v>
                </c:pt>
                <c:pt idx="62">
                  <c:v>13.495042757838121</c:v>
                </c:pt>
                <c:pt idx="63">
                  <c:v>13.759912797520661</c:v>
                </c:pt>
                <c:pt idx="64">
                  <c:v>14.026288614980977</c:v>
                </c:pt>
                <c:pt idx="65">
                  <c:v>14.294170210219074</c:v>
                </c:pt>
                <c:pt idx="66">
                  <c:v>14.563557583234948</c:v>
                </c:pt>
                <c:pt idx="67">
                  <c:v>14.834450734028596</c:v>
                </c:pt>
                <c:pt idx="68">
                  <c:v>15.106849662600023</c:v>
                </c:pt>
                <c:pt idx="69">
                  <c:v>15.380754368949228</c:v>
                </c:pt>
                <c:pt idx="70">
                  <c:v>15.656164853076222</c:v>
                </c:pt>
                <c:pt idx="71">
                  <c:v>15.933081114980979</c:v>
                </c:pt>
                <c:pt idx="72">
                  <c:v>16.211503154663518</c:v>
                </c:pt>
                <c:pt idx="73">
                  <c:v>16.491430972123837</c:v>
                </c:pt>
                <c:pt idx="74">
                  <c:v>16.772864567361935</c:v>
                </c:pt>
                <c:pt idx="75">
                  <c:v>17.055803940377803</c:v>
                </c:pt>
                <c:pt idx="76">
                  <c:v>17.340249091171451</c:v>
                </c:pt>
                <c:pt idx="77">
                  <c:v>17.626200019742885</c:v>
                </c:pt>
                <c:pt idx="78">
                  <c:v>17.913656726092089</c:v>
                </c:pt>
                <c:pt idx="79">
                  <c:v>18.202619210219073</c:v>
                </c:pt>
                <c:pt idx="80">
                  <c:v>18.493087472123836</c:v>
                </c:pt>
                <c:pt idx="81">
                  <c:v>18.785061511806379</c:v>
                </c:pt>
                <c:pt idx="82">
                  <c:v>19.078541329266699</c:v>
                </c:pt>
                <c:pt idx="83">
                  <c:v>19.373526924504795</c:v>
                </c:pt>
                <c:pt idx="84">
                  <c:v>19.670018297520656</c:v>
                </c:pt>
                <c:pt idx="85">
                  <c:v>19.968015448314315</c:v>
                </c:pt>
                <c:pt idx="86">
                  <c:v>20.267518376885747</c:v>
                </c:pt>
                <c:pt idx="87">
                  <c:v>20.568527083234947</c:v>
                </c:pt>
                <c:pt idx="88">
                  <c:v>20.871041567361932</c:v>
                </c:pt>
                <c:pt idx="89">
                  <c:v>21.175061829266692</c:v>
                </c:pt>
                <c:pt idx="90">
                  <c:v>21.480587868949232</c:v>
                </c:pt>
                <c:pt idx="91">
                  <c:v>21.787619686409549</c:v>
                </c:pt>
                <c:pt idx="92">
                  <c:v>22.096157281647645</c:v>
                </c:pt>
                <c:pt idx="93">
                  <c:v>22.406200654663518</c:v>
                </c:pt>
                <c:pt idx="94">
                  <c:v>22.717749805457167</c:v>
                </c:pt>
                <c:pt idx="95">
                  <c:v>23.0308047340286</c:v>
                </c:pt>
                <c:pt idx="96">
                  <c:v>23.345365440377808</c:v>
                </c:pt>
                <c:pt idx="97">
                  <c:v>23.661431924504789</c:v>
                </c:pt>
                <c:pt idx="98">
                  <c:v>23.979004186409544</c:v>
                </c:pt>
                <c:pt idx="99">
                  <c:v>24.298082226092088</c:v>
                </c:pt>
                <c:pt idx="100">
                  <c:v>24.618666043552409</c:v>
                </c:pt>
                <c:pt idx="101">
                  <c:v>24.940755638790499</c:v>
                </c:pt>
                <c:pt idx="102">
                  <c:v>25.264351011806379</c:v>
                </c:pt>
                <c:pt idx="103">
                  <c:v>25.589452162600033</c:v>
                </c:pt>
                <c:pt idx="104">
                  <c:v>25.916059091171459</c:v>
                </c:pt>
                <c:pt idx="105">
                  <c:v>26.244171797520664</c:v>
                </c:pt>
                <c:pt idx="106">
                  <c:v>26.573790281647643</c:v>
                </c:pt>
                <c:pt idx="107">
                  <c:v>26.904914543552408</c:v>
                </c:pt>
                <c:pt idx="108">
                  <c:v>27.237544583234943</c:v>
                </c:pt>
                <c:pt idx="109">
                  <c:v>27.571680400695268</c:v>
                </c:pt>
                <c:pt idx="110">
                  <c:v>27.907321995933358</c:v>
                </c:pt>
                <c:pt idx="111">
                  <c:v>28.244469368949236</c:v>
                </c:pt>
                <c:pt idx="112">
                  <c:v>28.583122519742879</c:v>
                </c:pt>
                <c:pt idx="113">
                  <c:v>28.923281448314317</c:v>
                </c:pt>
                <c:pt idx="114">
                  <c:v>29.264946154663519</c:v>
                </c:pt>
                <c:pt idx="115">
                  <c:v>29.608116638790502</c:v>
                </c:pt>
                <c:pt idx="116">
                  <c:v>29.952792900695265</c:v>
                </c:pt>
                <c:pt idx="117">
                  <c:v>30.298974940377811</c:v>
                </c:pt>
                <c:pt idx="118">
                  <c:v>30.646662757838126</c:v>
                </c:pt>
                <c:pt idx="119">
                  <c:v>30.995856353076213</c:v>
                </c:pt>
                <c:pt idx="120">
                  <c:v>31.346555726092092</c:v>
                </c:pt>
                <c:pt idx="121">
                  <c:v>31.698760876885743</c:v>
                </c:pt>
                <c:pt idx="122">
                  <c:v>32.052471805457174</c:v>
                </c:pt>
                <c:pt idx="123">
                  <c:v>32.40768851180637</c:v>
                </c:pt>
                <c:pt idx="124">
                  <c:v>32.76441099593336</c:v>
                </c:pt>
                <c:pt idx="125">
                  <c:v>33.122639257838124</c:v>
                </c:pt>
                <c:pt idx="126">
                  <c:v>33.482373297520667</c:v>
                </c:pt>
                <c:pt idx="127">
                  <c:v>33.843613114980975</c:v>
                </c:pt>
                <c:pt idx="128">
                  <c:v>34.206358710219071</c:v>
                </c:pt>
                <c:pt idx="129">
                  <c:v>34.570610083234946</c:v>
                </c:pt>
                <c:pt idx="130">
                  <c:v>34.936367234028594</c:v>
                </c:pt>
                <c:pt idx="131">
                  <c:v>35.303630162600022</c:v>
                </c:pt>
                <c:pt idx="132">
                  <c:v>35.67239886894923</c:v>
                </c:pt>
                <c:pt idx="133">
                  <c:v>36.042673353076225</c:v>
                </c:pt>
                <c:pt idx="134">
                  <c:v>36.414453614980978</c:v>
                </c:pt>
                <c:pt idx="135">
                  <c:v>36.787739654663518</c:v>
                </c:pt>
                <c:pt idx="136">
                  <c:v>37.162531472123831</c:v>
                </c:pt>
                <c:pt idx="137">
                  <c:v>37.538829067361931</c:v>
                </c:pt>
                <c:pt idx="138">
                  <c:v>37.916632440377796</c:v>
                </c:pt>
                <c:pt idx="139">
                  <c:v>38.295941591171456</c:v>
                </c:pt>
                <c:pt idx="140">
                  <c:v>38.676756519742895</c:v>
                </c:pt>
                <c:pt idx="141">
                  <c:v>39.059077226092086</c:v>
                </c:pt>
                <c:pt idx="142">
                  <c:v>39.442903710219078</c:v>
                </c:pt>
                <c:pt idx="143">
                  <c:v>39.828235972123835</c:v>
                </c:pt>
                <c:pt idx="144">
                  <c:v>40.215074011806379</c:v>
                </c:pt>
                <c:pt idx="145">
                  <c:v>40.603417829266689</c:v>
                </c:pt>
                <c:pt idx="146">
                  <c:v>40.993267424504793</c:v>
                </c:pt>
                <c:pt idx="147">
                  <c:v>41.384622797520663</c:v>
                </c:pt>
                <c:pt idx="148">
                  <c:v>41.777483948314327</c:v>
                </c:pt>
                <c:pt idx="149">
                  <c:v>42.171850876885742</c:v>
                </c:pt>
                <c:pt idx="150">
                  <c:v>42.567723583234944</c:v>
                </c:pt>
              </c:numCache>
            </c:numRef>
          </c:yVal>
          <c:smooth val="1"/>
          <c:extLst>
            <c:ext xmlns:c16="http://schemas.microsoft.com/office/drawing/2014/chart" uri="{C3380CC4-5D6E-409C-BE32-E72D297353CC}">
              <c16:uniqueId val="{00000001-3346-4488-BAA1-46FD455F8B2C}"/>
            </c:ext>
          </c:extLst>
        </c:ser>
        <c:ser>
          <c:idx val="2"/>
          <c:order val="2"/>
          <c:tx>
            <c:v>Diode</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0.36274444444444448</c:v>
                </c:pt>
                <c:pt idx="2">
                  <c:v>0.36962920568032265</c:v>
                </c:pt>
                <c:pt idx="3">
                  <c:v>0.3755723686411449</c:v>
                </c:pt>
                <c:pt idx="4">
                  <c:v>0.38113555555555562</c:v>
                </c:pt>
                <c:pt idx="5">
                  <c:v>0.38652284601699644</c:v>
                </c:pt>
                <c:pt idx="6">
                  <c:v>0.39183229837888089</c:v>
                </c:pt>
                <c:pt idx="7">
                  <c:v>0.39711830633415685</c:v>
                </c:pt>
                <c:pt idx="8">
                  <c:v>0.40246941781450873</c:v>
                </c:pt>
                <c:pt idx="9">
                  <c:v>0.40816252892561988</c:v>
                </c:pt>
                <c:pt idx="10">
                  <c:v>0.41423208448117543</c:v>
                </c:pt>
                <c:pt idx="11">
                  <c:v>0.42067808448117539</c:v>
                </c:pt>
                <c:pt idx="12">
                  <c:v>0.4275005289256199</c:v>
                </c:pt>
                <c:pt idx="13">
                  <c:v>0.43469941781450877</c:v>
                </c:pt>
                <c:pt idx="14">
                  <c:v>0.44227475114784209</c:v>
                </c:pt>
                <c:pt idx="15">
                  <c:v>0.45022652892561987</c:v>
                </c:pt>
                <c:pt idx="16">
                  <c:v>0.45855475114784205</c:v>
                </c:pt>
                <c:pt idx="17">
                  <c:v>0.46725941781450875</c:v>
                </c:pt>
                <c:pt idx="18">
                  <c:v>0.4763405289256199</c:v>
                </c:pt>
                <c:pt idx="19">
                  <c:v>0.4857980844811754</c:v>
                </c:pt>
                <c:pt idx="20">
                  <c:v>0.49563208448117541</c:v>
                </c:pt>
                <c:pt idx="21">
                  <c:v>0.50584252892561976</c:v>
                </c:pt>
                <c:pt idx="22">
                  <c:v>0.51642941781450868</c:v>
                </c:pt>
                <c:pt idx="23">
                  <c:v>0.52739275114784201</c:v>
                </c:pt>
                <c:pt idx="24">
                  <c:v>0.53873252892561985</c:v>
                </c:pt>
                <c:pt idx="25">
                  <c:v>0.55044875114784209</c:v>
                </c:pt>
                <c:pt idx="26">
                  <c:v>0.56254141781450873</c:v>
                </c:pt>
                <c:pt idx="27">
                  <c:v>0.57501052892561977</c:v>
                </c:pt>
                <c:pt idx="28">
                  <c:v>0.58785608448117532</c:v>
                </c:pt>
                <c:pt idx="29">
                  <c:v>0.60107808448117539</c:v>
                </c:pt>
                <c:pt idx="30">
                  <c:v>0.61467652892561997</c:v>
                </c:pt>
                <c:pt idx="31">
                  <c:v>0.62865141781450873</c:v>
                </c:pt>
                <c:pt idx="32">
                  <c:v>0.64300275114784211</c:v>
                </c:pt>
                <c:pt idx="33">
                  <c:v>0.6577305289256199</c:v>
                </c:pt>
                <c:pt idx="34">
                  <c:v>0.67283475114784197</c:v>
                </c:pt>
                <c:pt idx="35">
                  <c:v>0.68831541781450878</c:v>
                </c:pt>
                <c:pt idx="36">
                  <c:v>0.70417252892561999</c:v>
                </c:pt>
                <c:pt idx="37">
                  <c:v>0.72040608448117549</c:v>
                </c:pt>
                <c:pt idx="38">
                  <c:v>0.73701608448117528</c:v>
                </c:pt>
                <c:pt idx="39">
                  <c:v>0.75400252892561981</c:v>
                </c:pt>
                <c:pt idx="40">
                  <c:v>0.77136541781450874</c:v>
                </c:pt>
                <c:pt idx="41">
                  <c:v>0.78910475114784207</c:v>
                </c:pt>
                <c:pt idx="42">
                  <c:v>0.8072205289256198</c:v>
                </c:pt>
                <c:pt idx="43">
                  <c:v>0.82571275114784226</c:v>
                </c:pt>
                <c:pt idx="44">
                  <c:v>0.84458141781450857</c:v>
                </c:pt>
                <c:pt idx="45">
                  <c:v>0.86382652892561973</c:v>
                </c:pt>
                <c:pt idx="46">
                  <c:v>0.88344808448117529</c:v>
                </c:pt>
                <c:pt idx="47">
                  <c:v>0.90344608448117536</c:v>
                </c:pt>
                <c:pt idx="48">
                  <c:v>0.92382052892561994</c:v>
                </c:pt>
                <c:pt idx="49">
                  <c:v>0.9445714178145086</c:v>
                </c:pt>
                <c:pt idx="50">
                  <c:v>0.96569875114784187</c:v>
                </c:pt>
                <c:pt idx="51">
                  <c:v>0.98720252892561999</c:v>
                </c:pt>
                <c:pt idx="52">
                  <c:v>1.0090827511478417</c:v>
                </c:pt>
                <c:pt idx="53">
                  <c:v>1.0313394178145088</c:v>
                </c:pt>
                <c:pt idx="54">
                  <c:v>1.0539725289256194</c:v>
                </c:pt>
                <c:pt idx="55">
                  <c:v>1.0769820844811755</c:v>
                </c:pt>
                <c:pt idx="56">
                  <c:v>1.1003680844811752</c:v>
                </c:pt>
                <c:pt idx="57">
                  <c:v>1.1241305289256196</c:v>
                </c:pt>
                <c:pt idx="58">
                  <c:v>1.1482694178145083</c:v>
                </c:pt>
                <c:pt idx="59">
                  <c:v>1.172784751147842</c:v>
                </c:pt>
                <c:pt idx="60">
                  <c:v>1.1976765289256199</c:v>
                </c:pt>
                <c:pt idx="61">
                  <c:v>1.222944751147842</c:v>
                </c:pt>
                <c:pt idx="62">
                  <c:v>1.2485894178145085</c:v>
                </c:pt>
                <c:pt idx="63">
                  <c:v>1.2746105289256198</c:v>
                </c:pt>
                <c:pt idx="64">
                  <c:v>1.3010080844811749</c:v>
                </c:pt>
                <c:pt idx="65">
                  <c:v>1.3277820844811752</c:v>
                </c:pt>
                <c:pt idx="66">
                  <c:v>1.3549325289256196</c:v>
                </c:pt>
                <c:pt idx="67">
                  <c:v>1.3824594178145084</c:v>
                </c:pt>
                <c:pt idx="68">
                  <c:v>1.4103627511478416</c:v>
                </c:pt>
                <c:pt idx="69">
                  <c:v>1.4386425289256195</c:v>
                </c:pt>
                <c:pt idx="70">
                  <c:v>1.4672987511478421</c:v>
                </c:pt>
                <c:pt idx="71">
                  <c:v>1.4963314178145088</c:v>
                </c:pt>
                <c:pt idx="72">
                  <c:v>1.5257405289256196</c:v>
                </c:pt>
                <c:pt idx="73">
                  <c:v>1.5555260844811751</c:v>
                </c:pt>
                <c:pt idx="74">
                  <c:v>1.5856880844811756</c:v>
                </c:pt>
                <c:pt idx="75">
                  <c:v>1.6162265289256195</c:v>
                </c:pt>
                <c:pt idx="76">
                  <c:v>1.6471414178145083</c:v>
                </c:pt>
                <c:pt idx="77">
                  <c:v>1.6784327511478419</c:v>
                </c:pt>
                <c:pt idx="78">
                  <c:v>1.7101005289256195</c:v>
                </c:pt>
                <c:pt idx="79">
                  <c:v>1.7421447511478414</c:v>
                </c:pt>
                <c:pt idx="80">
                  <c:v>1.7745654178145083</c:v>
                </c:pt>
                <c:pt idx="81">
                  <c:v>1.8073625289256199</c:v>
                </c:pt>
                <c:pt idx="82">
                  <c:v>1.8405360844811756</c:v>
                </c:pt>
                <c:pt idx="83">
                  <c:v>1.8740860844811755</c:v>
                </c:pt>
                <c:pt idx="84">
                  <c:v>1.9080125289256193</c:v>
                </c:pt>
                <c:pt idx="85">
                  <c:v>1.9423154178145092</c:v>
                </c:pt>
                <c:pt idx="86">
                  <c:v>1.9769947511478421</c:v>
                </c:pt>
                <c:pt idx="87">
                  <c:v>2.0120505289256201</c:v>
                </c:pt>
                <c:pt idx="88">
                  <c:v>2.0474827511478413</c:v>
                </c:pt>
                <c:pt idx="89">
                  <c:v>2.0832914178145083</c:v>
                </c:pt>
                <c:pt idx="90">
                  <c:v>2.1194765289256194</c:v>
                </c:pt>
                <c:pt idx="91">
                  <c:v>2.1560380844811751</c:v>
                </c:pt>
                <c:pt idx="92">
                  <c:v>2.1929760844811748</c:v>
                </c:pt>
                <c:pt idx="93">
                  <c:v>2.2302905289256199</c:v>
                </c:pt>
                <c:pt idx="94">
                  <c:v>2.2679814178145081</c:v>
                </c:pt>
                <c:pt idx="95">
                  <c:v>2.3060487511478422</c:v>
                </c:pt>
                <c:pt idx="96">
                  <c:v>2.34449252892562</c:v>
                </c:pt>
                <c:pt idx="97">
                  <c:v>2.3833127511478418</c:v>
                </c:pt>
                <c:pt idx="98">
                  <c:v>2.4225094178145072</c:v>
                </c:pt>
                <c:pt idx="99">
                  <c:v>2.4620825289256199</c:v>
                </c:pt>
                <c:pt idx="100">
                  <c:v>2.5020320844811748</c:v>
                </c:pt>
                <c:pt idx="101">
                  <c:v>2.5423580844811746</c:v>
                </c:pt>
                <c:pt idx="102">
                  <c:v>2.5830605289256199</c:v>
                </c:pt>
                <c:pt idx="103">
                  <c:v>2.6241394178145092</c:v>
                </c:pt>
                <c:pt idx="104">
                  <c:v>2.6655947511478417</c:v>
                </c:pt>
                <c:pt idx="105">
                  <c:v>2.7074265289256205</c:v>
                </c:pt>
                <c:pt idx="106">
                  <c:v>2.7496347511478421</c:v>
                </c:pt>
                <c:pt idx="107">
                  <c:v>2.7922194178145081</c:v>
                </c:pt>
                <c:pt idx="108">
                  <c:v>2.8351805289256191</c:v>
                </c:pt>
                <c:pt idx="109">
                  <c:v>2.8785180844811751</c:v>
                </c:pt>
                <c:pt idx="110">
                  <c:v>2.9222320844811751</c:v>
                </c:pt>
                <c:pt idx="111">
                  <c:v>2.9663225289256197</c:v>
                </c:pt>
                <c:pt idx="112">
                  <c:v>3.0107894178145078</c:v>
                </c:pt>
                <c:pt idx="113">
                  <c:v>3.0556327511478418</c:v>
                </c:pt>
                <c:pt idx="114">
                  <c:v>3.1008525289256195</c:v>
                </c:pt>
                <c:pt idx="115">
                  <c:v>3.1464487511478416</c:v>
                </c:pt>
                <c:pt idx="116">
                  <c:v>3.1924214178145078</c:v>
                </c:pt>
                <c:pt idx="117">
                  <c:v>3.2387705289256203</c:v>
                </c:pt>
                <c:pt idx="118">
                  <c:v>3.2854960844811756</c:v>
                </c:pt>
                <c:pt idx="119">
                  <c:v>3.3325980844811753</c:v>
                </c:pt>
                <c:pt idx="120">
                  <c:v>3.3800765289256196</c:v>
                </c:pt>
                <c:pt idx="121">
                  <c:v>3.4279314178145079</c:v>
                </c:pt>
                <c:pt idx="122">
                  <c:v>3.4761627511478412</c:v>
                </c:pt>
                <c:pt idx="123">
                  <c:v>3.5247705289256182</c:v>
                </c:pt>
                <c:pt idx="124">
                  <c:v>3.5737547511478418</c:v>
                </c:pt>
                <c:pt idx="125">
                  <c:v>3.6231154178145082</c:v>
                </c:pt>
                <c:pt idx="126">
                  <c:v>3.6728525289256195</c:v>
                </c:pt>
                <c:pt idx="127">
                  <c:v>3.7229660844811732</c:v>
                </c:pt>
                <c:pt idx="128">
                  <c:v>3.7734560844811744</c:v>
                </c:pt>
                <c:pt idx="129">
                  <c:v>3.8243225289256189</c:v>
                </c:pt>
                <c:pt idx="130">
                  <c:v>3.8755654178145074</c:v>
                </c:pt>
                <c:pt idx="131">
                  <c:v>3.9271847511478404</c:v>
                </c:pt>
                <c:pt idx="132">
                  <c:v>3.9791805289256184</c:v>
                </c:pt>
                <c:pt idx="133">
                  <c:v>4.0315527511478422</c:v>
                </c:pt>
                <c:pt idx="134">
                  <c:v>4.0843014178145083</c:v>
                </c:pt>
                <c:pt idx="135">
                  <c:v>4.1374265289256185</c:v>
                </c:pt>
                <c:pt idx="136">
                  <c:v>4.1909280844811736</c:v>
                </c:pt>
                <c:pt idx="137">
                  <c:v>4.2448060844811755</c:v>
                </c:pt>
                <c:pt idx="138">
                  <c:v>4.2990605289256179</c:v>
                </c:pt>
                <c:pt idx="139">
                  <c:v>4.3536914178145079</c:v>
                </c:pt>
                <c:pt idx="140">
                  <c:v>4.4086987511478428</c:v>
                </c:pt>
                <c:pt idx="141">
                  <c:v>4.4640825289256192</c:v>
                </c:pt>
                <c:pt idx="142">
                  <c:v>4.5198427511478414</c:v>
                </c:pt>
                <c:pt idx="143">
                  <c:v>4.5759794178145068</c:v>
                </c:pt>
                <c:pt idx="144">
                  <c:v>4.6324925289256198</c:v>
                </c:pt>
                <c:pt idx="145">
                  <c:v>4.6893820844811742</c:v>
                </c:pt>
                <c:pt idx="146">
                  <c:v>4.7466480844811727</c:v>
                </c:pt>
                <c:pt idx="147">
                  <c:v>4.8042905289256197</c:v>
                </c:pt>
                <c:pt idx="148">
                  <c:v>4.862309417814509</c:v>
                </c:pt>
                <c:pt idx="149">
                  <c:v>4.9207047511478414</c:v>
                </c:pt>
                <c:pt idx="150">
                  <c:v>4.9794765289256189</c:v>
                </c:pt>
              </c:numCache>
            </c:numRef>
          </c:yVal>
          <c:smooth val="1"/>
          <c:extLst>
            <c:ext xmlns:c16="http://schemas.microsoft.com/office/drawing/2014/chart" uri="{C3380CC4-5D6E-409C-BE32-E72D297353CC}">
              <c16:uniqueId val="{00000002-3346-4488-BAA1-46FD455F8B2C}"/>
            </c:ext>
          </c:extLst>
        </c:ser>
        <c:ser>
          <c:idx val="3"/>
          <c:order val="3"/>
          <c:tx>
            <c:v>RCS</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7.3333333333333367E-4</c:v>
                </c:pt>
                <c:pt idx="2">
                  <c:v>2.0741798914805398E-3</c:v>
                </c:pt>
                <c:pt idx="3">
                  <c:v>3.8105117766515308E-3</c:v>
                </c:pt>
                <c:pt idx="4">
                  <c:v>5.8666666666666693E-3</c:v>
                </c:pt>
                <c:pt idx="5">
                  <c:v>8.1989159174992287E-3</c:v>
                </c:pt>
                <c:pt idx="6">
                  <c:v>1.0777754868245984E-2</c:v>
                </c:pt>
                <c:pt idx="7">
                  <c:v>1.3581523396798233E-2</c:v>
                </c:pt>
                <c:pt idx="8">
                  <c:v>1.6625674931129472E-2</c:v>
                </c:pt>
                <c:pt idx="9">
                  <c:v>2.0054008264462814E-2</c:v>
                </c:pt>
                <c:pt idx="10">
                  <c:v>2.3885674931129471E-2</c:v>
                </c:pt>
                <c:pt idx="11">
                  <c:v>2.8120674931129474E-2</c:v>
                </c:pt>
                <c:pt idx="12">
                  <c:v>3.2759008264462812E-2</c:v>
                </c:pt>
                <c:pt idx="13">
                  <c:v>3.7800674931129478E-2</c:v>
                </c:pt>
                <c:pt idx="14">
                  <c:v>4.3245674931129477E-2</c:v>
                </c:pt>
                <c:pt idx="15">
                  <c:v>4.9094008264462828E-2</c:v>
                </c:pt>
                <c:pt idx="16">
                  <c:v>5.5345674931129463E-2</c:v>
                </c:pt>
                <c:pt idx="17">
                  <c:v>6.2000674931129457E-2</c:v>
                </c:pt>
                <c:pt idx="18">
                  <c:v>6.9059008264462846E-2</c:v>
                </c:pt>
                <c:pt idx="19">
                  <c:v>7.6520674931129448E-2</c:v>
                </c:pt>
                <c:pt idx="20">
                  <c:v>8.4385674931129487E-2</c:v>
                </c:pt>
                <c:pt idx="21">
                  <c:v>9.2654008264462809E-2</c:v>
                </c:pt>
                <c:pt idx="22">
                  <c:v>0.10132567493112948</c:v>
                </c:pt>
                <c:pt idx="23">
                  <c:v>0.11040067493112947</c:v>
                </c:pt>
                <c:pt idx="24">
                  <c:v>0.11987900826446284</c:v>
                </c:pt>
                <c:pt idx="25">
                  <c:v>0.12976067493112944</c:v>
                </c:pt>
                <c:pt idx="26">
                  <c:v>0.14004567493112949</c:v>
                </c:pt>
                <c:pt idx="27">
                  <c:v>0.15073400826446279</c:v>
                </c:pt>
                <c:pt idx="28">
                  <c:v>0.16182567493112945</c:v>
                </c:pt>
                <c:pt idx="29">
                  <c:v>0.17332067493112943</c:v>
                </c:pt>
                <c:pt idx="30">
                  <c:v>0.18521900826446289</c:v>
                </c:pt>
                <c:pt idx="31">
                  <c:v>0.19752067493112949</c:v>
                </c:pt>
                <c:pt idx="32">
                  <c:v>0.21022567493112945</c:v>
                </c:pt>
                <c:pt idx="33">
                  <c:v>0.22333400826446287</c:v>
                </c:pt>
                <c:pt idx="34">
                  <c:v>0.2368456749311294</c:v>
                </c:pt>
                <c:pt idx="35">
                  <c:v>0.25076067493112963</c:v>
                </c:pt>
                <c:pt idx="36">
                  <c:v>0.2650790082644629</c:v>
                </c:pt>
                <c:pt idx="37">
                  <c:v>0.27980067493112953</c:v>
                </c:pt>
                <c:pt idx="38">
                  <c:v>0.29492567493112942</c:v>
                </c:pt>
                <c:pt idx="39">
                  <c:v>0.31045400826446273</c:v>
                </c:pt>
                <c:pt idx="40">
                  <c:v>0.32638567493112947</c:v>
                </c:pt>
                <c:pt idx="41">
                  <c:v>0.34272067493112957</c:v>
                </c:pt>
                <c:pt idx="42">
                  <c:v>0.35945900826446275</c:v>
                </c:pt>
                <c:pt idx="43">
                  <c:v>0.37660067493112948</c:v>
                </c:pt>
                <c:pt idx="44">
                  <c:v>0.39414567493112945</c:v>
                </c:pt>
                <c:pt idx="45">
                  <c:v>0.4120940082644628</c:v>
                </c:pt>
                <c:pt idx="46">
                  <c:v>0.43044567493112956</c:v>
                </c:pt>
                <c:pt idx="47">
                  <c:v>0.44920067493112947</c:v>
                </c:pt>
                <c:pt idx="48">
                  <c:v>0.46835900826446297</c:v>
                </c:pt>
                <c:pt idx="49">
                  <c:v>0.48792067493112928</c:v>
                </c:pt>
                <c:pt idx="50">
                  <c:v>0.50788567493112935</c:v>
                </c:pt>
                <c:pt idx="51">
                  <c:v>0.528254008264463</c:v>
                </c:pt>
                <c:pt idx="52">
                  <c:v>0.54902567493112953</c:v>
                </c:pt>
                <c:pt idx="53">
                  <c:v>0.57020067493112958</c:v>
                </c:pt>
                <c:pt idx="54">
                  <c:v>0.59177900826446272</c:v>
                </c:pt>
                <c:pt idx="55">
                  <c:v>0.61376067493112962</c:v>
                </c:pt>
                <c:pt idx="56">
                  <c:v>0.63614567493112939</c:v>
                </c:pt>
                <c:pt idx="57">
                  <c:v>0.65893400826446269</c:v>
                </c:pt>
                <c:pt idx="58">
                  <c:v>0.68212567493112952</c:v>
                </c:pt>
                <c:pt idx="59">
                  <c:v>0.70572067493112955</c:v>
                </c:pt>
                <c:pt idx="60">
                  <c:v>0.72971900826446312</c:v>
                </c:pt>
                <c:pt idx="61">
                  <c:v>0.75412067493112955</c:v>
                </c:pt>
                <c:pt idx="62">
                  <c:v>0.77892567493112941</c:v>
                </c:pt>
                <c:pt idx="63">
                  <c:v>0.80413400826446291</c:v>
                </c:pt>
                <c:pt idx="64">
                  <c:v>0.8297456749311295</c:v>
                </c:pt>
                <c:pt idx="65">
                  <c:v>0.85576067493112951</c:v>
                </c:pt>
                <c:pt idx="66">
                  <c:v>0.88217900826446272</c:v>
                </c:pt>
                <c:pt idx="67">
                  <c:v>0.90900067493112913</c:v>
                </c:pt>
                <c:pt idx="68">
                  <c:v>0.93622567493112907</c:v>
                </c:pt>
                <c:pt idx="69">
                  <c:v>0.96385400826446233</c:v>
                </c:pt>
                <c:pt idx="70">
                  <c:v>0.99188567493112967</c:v>
                </c:pt>
                <c:pt idx="71">
                  <c:v>1.0203206749311298</c:v>
                </c:pt>
                <c:pt idx="72">
                  <c:v>1.0491590082644631</c:v>
                </c:pt>
                <c:pt idx="73">
                  <c:v>1.0784006749311292</c:v>
                </c:pt>
                <c:pt idx="74">
                  <c:v>1.1080456749311298</c:v>
                </c:pt>
                <c:pt idx="75">
                  <c:v>1.1380940082644628</c:v>
                </c:pt>
                <c:pt idx="76">
                  <c:v>1.1685456749311294</c:v>
                </c:pt>
                <c:pt idx="77">
                  <c:v>1.1994006749311295</c:v>
                </c:pt>
                <c:pt idx="78">
                  <c:v>1.2306590082644626</c:v>
                </c:pt>
                <c:pt idx="79">
                  <c:v>1.2623206749311293</c:v>
                </c:pt>
                <c:pt idx="80">
                  <c:v>1.2943856749311293</c:v>
                </c:pt>
                <c:pt idx="81">
                  <c:v>1.3268540082644629</c:v>
                </c:pt>
                <c:pt idx="82">
                  <c:v>1.3597256749311297</c:v>
                </c:pt>
                <c:pt idx="83">
                  <c:v>1.3930006749311299</c:v>
                </c:pt>
                <c:pt idx="84">
                  <c:v>1.4266790082644625</c:v>
                </c:pt>
                <c:pt idx="85">
                  <c:v>1.4607606749311297</c:v>
                </c:pt>
                <c:pt idx="86">
                  <c:v>1.4952456749311298</c:v>
                </c:pt>
                <c:pt idx="87">
                  <c:v>1.5301340082644628</c:v>
                </c:pt>
                <c:pt idx="88">
                  <c:v>1.5654256749311293</c:v>
                </c:pt>
                <c:pt idx="89">
                  <c:v>1.6011206749311295</c:v>
                </c:pt>
                <c:pt idx="90">
                  <c:v>1.6372190082644626</c:v>
                </c:pt>
                <c:pt idx="91">
                  <c:v>1.6737206749311293</c:v>
                </c:pt>
                <c:pt idx="92">
                  <c:v>1.7106256749311295</c:v>
                </c:pt>
                <c:pt idx="93">
                  <c:v>1.7479340082644628</c:v>
                </c:pt>
                <c:pt idx="94">
                  <c:v>1.7856456749311298</c:v>
                </c:pt>
                <c:pt idx="95">
                  <c:v>1.8237606749311301</c:v>
                </c:pt>
                <c:pt idx="96">
                  <c:v>1.8622790082644631</c:v>
                </c:pt>
                <c:pt idx="97">
                  <c:v>1.9012006749311297</c:v>
                </c:pt>
                <c:pt idx="98">
                  <c:v>1.9405256749311295</c:v>
                </c:pt>
                <c:pt idx="99">
                  <c:v>1.9802540082644626</c:v>
                </c:pt>
                <c:pt idx="100">
                  <c:v>2.0203856749311293</c:v>
                </c:pt>
                <c:pt idx="101">
                  <c:v>2.0609206749311291</c:v>
                </c:pt>
                <c:pt idx="102">
                  <c:v>2.1018590082644635</c:v>
                </c:pt>
                <c:pt idx="103">
                  <c:v>2.1432006749311308</c:v>
                </c:pt>
                <c:pt idx="104">
                  <c:v>2.1849456749311291</c:v>
                </c:pt>
                <c:pt idx="105">
                  <c:v>2.2270940082644626</c:v>
                </c:pt>
                <c:pt idx="106">
                  <c:v>2.2696456749311298</c:v>
                </c:pt>
                <c:pt idx="107">
                  <c:v>2.3126006749311299</c:v>
                </c:pt>
                <c:pt idx="108">
                  <c:v>2.3559590082644628</c:v>
                </c:pt>
                <c:pt idx="109">
                  <c:v>2.3997206749311304</c:v>
                </c:pt>
                <c:pt idx="110">
                  <c:v>2.44388567493113</c:v>
                </c:pt>
                <c:pt idx="111">
                  <c:v>2.4884540082644637</c:v>
                </c:pt>
                <c:pt idx="112">
                  <c:v>2.5334256749311295</c:v>
                </c:pt>
                <c:pt idx="113">
                  <c:v>2.5788006749311303</c:v>
                </c:pt>
                <c:pt idx="114">
                  <c:v>2.6245790082644627</c:v>
                </c:pt>
                <c:pt idx="115">
                  <c:v>2.6707606749311292</c:v>
                </c:pt>
                <c:pt idx="116">
                  <c:v>2.7173456749311291</c:v>
                </c:pt>
                <c:pt idx="117">
                  <c:v>2.7643340082644641</c:v>
                </c:pt>
                <c:pt idx="118">
                  <c:v>2.8117256749311306</c:v>
                </c:pt>
                <c:pt idx="119">
                  <c:v>2.859520674931129</c:v>
                </c:pt>
                <c:pt idx="120">
                  <c:v>2.9077190082644635</c:v>
                </c:pt>
                <c:pt idx="121">
                  <c:v>2.956320674931129</c:v>
                </c:pt>
                <c:pt idx="122">
                  <c:v>3.0053256749311301</c:v>
                </c:pt>
                <c:pt idx="123">
                  <c:v>3.0547340082644627</c:v>
                </c:pt>
                <c:pt idx="124">
                  <c:v>3.10454567493113</c:v>
                </c:pt>
                <c:pt idx="125">
                  <c:v>3.1547606749311301</c:v>
                </c:pt>
                <c:pt idx="126">
                  <c:v>3.2053790082644622</c:v>
                </c:pt>
                <c:pt idx="127">
                  <c:v>3.2564006749311289</c:v>
                </c:pt>
                <c:pt idx="128">
                  <c:v>3.307825674931129</c:v>
                </c:pt>
                <c:pt idx="129">
                  <c:v>3.3596540082644637</c:v>
                </c:pt>
                <c:pt idx="130">
                  <c:v>3.411885674931129</c:v>
                </c:pt>
                <c:pt idx="131">
                  <c:v>3.4645206749311295</c:v>
                </c:pt>
                <c:pt idx="132">
                  <c:v>3.5175590082644637</c:v>
                </c:pt>
                <c:pt idx="133">
                  <c:v>3.5710006749311316</c:v>
                </c:pt>
                <c:pt idx="134">
                  <c:v>3.6248456749311293</c:v>
                </c:pt>
                <c:pt idx="135">
                  <c:v>3.679094008264463</c:v>
                </c:pt>
                <c:pt idx="136">
                  <c:v>3.7337456749311286</c:v>
                </c:pt>
                <c:pt idx="137">
                  <c:v>3.7888006749311298</c:v>
                </c:pt>
                <c:pt idx="138">
                  <c:v>3.8442590082644612</c:v>
                </c:pt>
                <c:pt idx="139">
                  <c:v>3.9001206749311295</c:v>
                </c:pt>
                <c:pt idx="140">
                  <c:v>3.9563856749311315</c:v>
                </c:pt>
                <c:pt idx="141">
                  <c:v>4.0130540082644632</c:v>
                </c:pt>
                <c:pt idx="142">
                  <c:v>4.0701256749311305</c:v>
                </c:pt>
                <c:pt idx="143">
                  <c:v>4.1276006749311289</c:v>
                </c:pt>
                <c:pt idx="144">
                  <c:v>4.1854790082644637</c:v>
                </c:pt>
                <c:pt idx="145">
                  <c:v>4.2437606749311287</c:v>
                </c:pt>
                <c:pt idx="146">
                  <c:v>4.3024456749311302</c:v>
                </c:pt>
                <c:pt idx="147">
                  <c:v>4.3615340082644636</c:v>
                </c:pt>
                <c:pt idx="148">
                  <c:v>4.4210256749311307</c:v>
                </c:pt>
                <c:pt idx="149">
                  <c:v>4.4809206749311299</c:v>
                </c:pt>
                <c:pt idx="150">
                  <c:v>4.5412190082644628</c:v>
                </c:pt>
              </c:numCache>
            </c:numRef>
          </c:yVal>
          <c:smooth val="1"/>
          <c:extLst>
            <c:ext xmlns:c16="http://schemas.microsoft.com/office/drawing/2014/chart" uri="{C3380CC4-5D6E-409C-BE32-E72D297353CC}">
              <c16:uniqueId val="{00000003-3346-4488-BAA1-46FD455F8B2C}"/>
            </c:ext>
          </c:extLst>
        </c:ser>
        <c:dLbls>
          <c:showLegendKey val="0"/>
          <c:showVal val="0"/>
          <c:showCatName val="0"/>
          <c:showSerName val="0"/>
          <c:showPercent val="0"/>
          <c:showBubbleSize val="0"/>
        </c:dLbls>
        <c:axId val="543660288"/>
        <c:axId val="543658752"/>
      </c:scatterChart>
      <c:valAx>
        <c:axId val="224130176"/>
        <c:scaling>
          <c:orientation val="minMax"/>
          <c:max val="6"/>
        </c:scaling>
        <c:delete val="0"/>
        <c:axPos val="b"/>
        <c:majorGridlines/>
        <c:numFmt formatCode="General" sourceLinked="1"/>
        <c:majorTickMark val="out"/>
        <c:minorTickMark val="none"/>
        <c:tickLblPos val="nextTo"/>
        <c:crossAx val="224131712"/>
        <c:crosses val="autoZero"/>
        <c:crossBetween val="midCat"/>
      </c:valAx>
      <c:valAx>
        <c:axId val="224131712"/>
        <c:scaling>
          <c:orientation val="minMax"/>
          <c:max val="100"/>
          <c:min val="60"/>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224130176"/>
        <c:crosses val="autoZero"/>
        <c:crossBetween val="midCat"/>
      </c:valAx>
      <c:valAx>
        <c:axId val="543658752"/>
        <c:scaling>
          <c:orientation val="minMax"/>
        </c:scaling>
        <c:delete val="0"/>
        <c:axPos val="r"/>
        <c:numFmt formatCode="General" sourceLinked="1"/>
        <c:majorTickMark val="out"/>
        <c:minorTickMark val="none"/>
        <c:tickLblPos val="nextTo"/>
        <c:crossAx val="543660288"/>
        <c:crosses val="max"/>
        <c:crossBetween val="midCat"/>
      </c:valAx>
      <c:valAx>
        <c:axId val="543660288"/>
        <c:scaling>
          <c:orientation val="minMax"/>
        </c:scaling>
        <c:delete val="1"/>
        <c:axPos val="b"/>
        <c:numFmt formatCode="General" sourceLinked="1"/>
        <c:majorTickMark val="out"/>
        <c:minorTickMark val="none"/>
        <c:tickLblPos val="nextTo"/>
        <c:crossAx val="543658752"/>
        <c:crosses val="autoZero"/>
        <c:crossBetween val="midCat"/>
      </c:valAx>
    </c:plotArea>
    <c:legend>
      <c:legendPos val="r"/>
      <c:overlay val="1"/>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Lines="2" dropStyle="combo" dx="22" fmlaLink="Variable_Management!$B$152" fmlaRange="Lists!$R$8:$R$9" noThreeD="1" sel="2" val="0"/>
</file>

<file path=xl/ctrlProps/ctrlProp11.xml><?xml version="1.0" encoding="utf-8"?>
<formControlPr xmlns="http://schemas.microsoft.com/office/spreadsheetml/2009/9/main" objectType="Drop" dropLines="2" dropStyle="combo" dx="22" fmlaLink="Variable_Management!$B$153" fmlaRange="Lists!$R$11:$R$12" noThreeD="1" sel="1" val="0"/>
</file>

<file path=xl/ctrlProps/ctrlProp12.xml><?xml version="1.0" encoding="utf-8"?>
<formControlPr xmlns="http://schemas.microsoft.com/office/spreadsheetml/2009/9/main" objectType="Drop" dropLines="2" dropStyle="combo" dx="22" fmlaLink="Variable_Management!$B$154" fmlaRange="Lists!$R$14:$R$15" noThreeD="1" sel="1" val="0"/>
</file>

<file path=xl/ctrlProps/ctrlProp13.xml><?xml version="1.0" encoding="utf-8"?>
<formControlPr xmlns="http://schemas.microsoft.com/office/spreadsheetml/2009/9/main" objectType="Drop" dropLines="4" dropStyle="combo" dx="22" fmlaLink="Variable_Management!$B$158" fmlaRange="Lists!$L$20" noThreeD="1" sel="1" val="0"/>
</file>

<file path=xl/ctrlProps/ctrlProp14.xml><?xml version="1.0" encoding="utf-8"?>
<formControlPr xmlns="http://schemas.microsoft.com/office/spreadsheetml/2009/9/main" objectType="Drop" dropLines="2" dropStyle="combo" dx="22" fmlaLink="Variable_Management!$B$159" fmlaRange="Lists!$L$26:$L$27" noThreeD="1" sel="1" val="0"/>
</file>

<file path=xl/ctrlProps/ctrlProp2.xml><?xml version="1.0" encoding="utf-8"?>
<formControlPr xmlns="http://schemas.microsoft.com/office/spreadsheetml/2009/9/main" objectType="Spin" dx="20" fmlaLink="$H$7" max="45" noThreeD="1" page="10" val="9"/>
</file>

<file path=xl/ctrlProps/ctrlProp3.xml><?xml version="1.0" encoding="utf-8"?>
<formControlPr xmlns="http://schemas.microsoft.com/office/spreadsheetml/2009/9/main" objectType="Spin" dx="20" fmlaLink="$H$9" max="60" min="6" noThreeD="1" page="10" val="45"/>
</file>

<file path=xl/ctrlProps/ctrlProp4.xml><?xml version="1.0" encoding="utf-8"?>
<formControlPr xmlns="http://schemas.microsoft.com/office/spreadsheetml/2009/9/main" objectType="Spin" dx="20" fmlaLink="$H$10" max="60" noThreeD="1" page="10" val="22"/>
</file>

<file path=xl/ctrlProps/ctrlProp5.xml><?xml version="1.0" encoding="utf-8"?>
<formControlPr xmlns="http://schemas.microsoft.com/office/spreadsheetml/2009/9/main" objectType="Spin" dx="20" fmlaLink="$H$14" max="8" min="1" noThreeD="1" page="10" val="2"/>
</file>

<file path=xl/ctrlProps/ctrlProp6.xml><?xml version="1.0" encoding="utf-8"?>
<formControlPr xmlns="http://schemas.microsoft.com/office/spreadsheetml/2009/9/main" objectType="Spin" dx="20" fmlaLink="$H$14" max="8" min="1" noThreeD="1" page="10" val="2"/>
</file>

<file path=xl/ctrlProps/ctrlProp7.xml><?xml version="1.0" encoding="utf-8"?>
<formControlPr xmlns="http://schemas.microsoft.com/office/spreadsheetml/2009/9/main" objectType="Drop" dropLines="2" dropStyle="combo" dx="22" fmlaLink="Variable_Management!$B$147" fmlaRange="Lists!$D$3:$D$4" noThreeD="1" sel="1" val="0"/>
</file>

<file path=xl/ctrlProps/ctrlProp8.xml><?xml version="1.0" encoding="utf-8"?>
<formControlPr xmlns="http://schemas.microsoft.com/office/spreadsheetml/2009/9/main" objectType="Drop" dropStyle="combo" dx="22" fmlaLink="Variable_Management!$B$146" fmlaRange="Lists!$C$3:$C$10" noThreeD="1" sel="3" val="0"/>
</file>

<file path=xl/ctrlProps/ctrlProp9.xml><?xml version="1.0" encoding="utf-8"?>
<formControlPr xmlns="http://schemas.microsoft.com/office/spreadsheetml/2009/9/main" objectType="Drop" dropLines="4" dropStyle="combo" dx="22" fmlaLink="Variable_Management!$B$150" fmlaRange="Lists!$R$3:$R$6" noThreeD="1" sel="2"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5.png"/><Relationship Id="rId7"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3.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6.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200025</xdr:colOff>
          <xdr:row>13</xdr:row>
          <xdr:rowOff>38100</xdr:rowOff>
        </xdr:from>
        <xdr:to>
          <xdr:col>18</xdr:col>
          <xdr:colOff>219075</xdr:colOff>
          <xdr:row>15</xdr:row>
          <xdr:rowOff>114300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100002</xdr:colOff>
      <xdr:row>73</xdr:row>
      <xdr:rowOff>197826</xdr:rowOff>
    </xdr:from>
    <xdr:to>
      <xdr:col>25</xdr:col>
      <xdr:colOff>502966</xdr:colOff>
      <xdr:row>108</xdr:row>
      <xdr:rowOff>182733</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7</xdr:col>
          <xdr:colOff>561975</xdr:colOff>
          <xdr:row>91</xdr:row>
          <xdr:rowOff>0</xdr:rowOff>
        </xdr:from>
        <xdr:to>
          <xdr:col>7</xdr:col>
          <xdr:colOff>781050</xdr:colOff>
          <xdr:row>91</xdr:row>
          <xdr:rowOff>228600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49696</xdr:colOff>
      <xdr:row>110</xdr:row>
      <xdr:rowOff>55217</xdr:rowOff>
    </xdr:from>
    <xdr:to>
      <xdr:col>25</xdr:col>
      <xdr:colOff>480392</xdr:colOff>
      <xdr:row>132</xdr:row>
      <xdr:rowOff>82826</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561975</xdr:colOff>
          <xdr:row>93</xdr:row>
          <xdr:rowOff>0</xdr:rowOff>
        </xdr:from>
        <xdr:to>
          <xdr:col>7</xdr:col>
          <xdr:colOff>781050</xdr:colOff>
          <xdr:row>95</xdr:row>
          <xdr:rowOff>0</xdr:rowOff>
        </xdr:to>
        <xdr:sp macro="" textlink="">
          <xdr:nvSpPr>
            <xdr:cNvPr id="1079" name="Spinner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561975</xdr:colOff>
          <xdr:row>96</xdr:row>
          <xdr:rowOff>0</xdr:rowOff>
        </xdr:from>
        <xdr:to>
          <xdr:col>7</xdr:col>
          <xdr:colOff>781050</xdr:colOff>
          <xdr:row>96</xdr:row>
          <xdr:rowOff>219075</xdr:rowOff>
        </xdr:to>
        <xdr:sp macro="" textlink="">
          <xdr:nvSpPr>
            <xdr:cNvPr id="1080" name="Spinner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561975</xdr:colOff>
          <xdr:row>99</xdr:row>
          <xdr:rowOff>9525</xdr:rowOff>
        </xdr:from>
        <xdr:to>
          <xdr:col>7</xdr:col>
          <xdr:colOff>781050</xdr:colOff>
          <xdr:row>101</xdr:row>
          <xdr:rowOff>0</xdr:rowOff>
        </xdr:to>
        <xdr:sp macro="" textlink="">
          <xdr:nvSpPr>
            <xdr:cNvPr id="1082" name="Spinner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5</xdr:row>
          <xdr:rowOff>180975</xdr:rowOff>
        </xdr:from>
        <xdr:to>
          <xdr:col>25</xdr:col>
          <xdr:colOff>219075</xdr:colOff>
          <xdr:row>37</xdr:row>
          <xdr:rowOff>85725</xdr:rowOff>
        </xdr:to>
        <xdr:sp macro="" textlink="">
          <xdr:nvSpPr>
            <xdr:cNvPr id="1094" name="Object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542925</xdr:colOff>
          <xdr:row>13</xdr:row>
          <xdr:rowOff>0</xdr:rowOff>
        </xdr:from>
        <xdr:to>
          <xdr:col>7</xdr:col>
          <xdr:colOff>781050</xdr:colOff>
          <xdr:row>13</xdr:row>
          <xdr:rowOff>180975</xdr:rowOff>
        </xdr:to>
        <xdr:sp macro="" textlink="">
          <xdr:nvSpPr>
            <xdr:cNvPr id="1100" name="Spinner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44</xdr:row>
          <xdr:rowOff>95250</xdr:rowOff>
        </xdr:from>
        <xdr:to>
          <xdr:col>18</xdr:col>
          <xdr:colOff>19050</xdr:colOff>
          <xdr:row>57</xdr:row>
          <xdr:rowOff>95250</xdr:rowOff>
        </xdr:to>
        <xdr:sp macro="" textlink="">
          <xdr:nvSpPr>
            <xdr:cNvPr id="1112" name="Object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57150</xdr:rowOff>
        </xdr:from>
        <xdr:to>
          <xdr:col>2</xdr:col>
          <xdr:colOff>523875</xdr:colOff>
          <xdr:row>68</xdr:row>
          <xdr:rowOff>66675</xdr:rowOff>
        </xdr:to>
        <xdr:sp macro="" textlink="">
          <xdr:nvSpPr>
            <xdr:cNvPr id="1132" name="Drop Down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9525</xdr:rowOff>
        </xdr:from>
        <xdr:to>
          <xdr:col>2</xdr:col>
          <xdr:colOff>523875</xdr:colOff>
          <xdr:row>67</xdr:row>
          <xdr:rowOff>19050</xdr:rowOff>
        </xdr:to>
        <xdr:sp macro="" textlink="">
          <xdr:nvSpPr>
            <xdr:cNvPr id="1133" name="Drop Down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66</xdr:row>
          <xdr:rowOff>9525</xdr:rowOff>
        </xdr:from>
        <xdr:to>
          <xdr:col>7</xdr:col>
          <xdr:colOff>1114425</xdr:colOff>
          <xdr:row>67</xdr:row>
          <xdr:rowOff>19050</xdr:rowOff>
        </xdr:to>
        <xdr:sp macro="" textlink="">
          <xdr:nvSpPr>
            <xdr:cNvPr id="1138" name="Drop Down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67</xdr:row>
          <xdr:rowOff>57150</xdr:rowOff>
        </xdr:from>
        <xdr:to>
          <xdr:col>5</xdr:col>
          <xdr:colOff>542925</xdr:colOff>
          <xdr:row>68</xdr:row>
          <xdr:rowOff>66675</xdr:rowOff>
        </xdr:to>
        <xdr:sp macro="" textlink="">
          <xdr:nvSpPr>
            <xdr:cNvPr id="1139" name="Drop Down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104775</xdr:rowOff>
        </xdr:from>
        <xdr:to>
          <xdr:col>5</xdr:col>
          <xdr:colOff>542925</xdr:colOff>
          <xdr:row>69</xdr:row>
          <xdr:rowOff>114300</xdr:rowOff>
        </xdr:to>
        <xdr:sp macro="" textlink="">
          <xdr:nvSpPr>
            <xdr:cNvPr id="1140" name="Drop Down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152400</xdr:rowOff>
        </xdr:from>
        <xdr:to>
          <xdr:col>5</xdr:col>
          <xdr:colOff>542925</xdr:colOff>
          <xdr:row>70</xdr:row>
          <xdr:rowOff>161925</xdr:rowOff>
        </xdr:to>
        <xdr:sp macro="" textlink="">
          <xdr:nvSpPr>
            <xdr:cNvPr id="1141" name="Drop Down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67</xdr:row>
          <xdr:rowOff>57150</xdr:rowOff>
        </xdr:from>
        <xdr:to>
          <xdr:col>7</xdr:col>
          <xdr:colOff>1114425</xdr:colOff>
          <xdr:row>68</xdr:row>
          <xdr:rowOff>66675</xdr:rowOff>
        </xdr:to>
        <xdr:sp macro="" textlink="">
          <xdr:nvSpPr>
            <xdr:cNvPr id="1144" name="Drop Down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68</xdr:row>
          <xdr:rowOff>104775</xdr:rowOff>
        </xdr:from>
        <xdr:to>
          <xdr:col>7</xdr:col>
          <xdr:colOff>1114425</xdr:colOff>
          <xdr:row>69</xdr:row>
          <xdr:rowOff>114300</xdr:rowOff>
        </xdr:to>
        <xdr:sp macro="" textlink="">
          <xdr:nvSpPr>
            <xdr:cNvPr id="1145" name="Drop Down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22620</xdr:colOff>
      <xdr:row>67</xdr:row>
      <xdr:rowOff>35719</xdr:rowOff>
    </xdr:from>
    <xdr:to>
      <xdr:col>7</xdr:col>
      <xdr:colOff>1145381</xdr:colOff>
      <xdr:row>71</xdr:row>
      <xdr:rowOff>179837</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3501316" y="13329306"/>
          <a:ext cx="1702543" cy="906118"/>
          <a:chOff x="3508770" y="13351669"/>
          <a:chExt cx="1703786" cy="906118"/>
        </a:xfrm>
      </xdr:grpSpPr>
      <xdr:sp macro="" textlink="">
        <xdr:nvSpPr>
          <xdr:cNvPr id="21" name="Rectangle 20">
            <a:extLst>
              <a:ext uri="{FF2B5EF4-FFF2-40B4-BE49-F238E27FC236}">
                <a16:creationId xmlns:a16="http://schemas.microsoft.com/office/drawing/2014/main" id="{00000000-0008-0000-0000-000015000000}"/>
              </a:ext>
            </a:extLst>
          </xdr:cNvPr>
          <xdr:cNvSpPr/>
        </xdr:nvSpPr>
        <xdr:spPr>
          <a:xfrm>
            <a:off x="3508770" y="13870885"/>
            <a:ext cx="1684736" cy="38690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Rectangle 21">
            <a:extLst>
              <a:ext uri="{FF2B5EF4-FFF2-40B4-BE49-F238E27FC236}">
                <a16:creationId xmlns:a16="http://schemas.microsoft.com/office/drawing/2014/main" id="{00000000-0008-0000-0000-000016000000}"/>
              </a:ext>
            </a:extLst>
          </xdr:cNvPr>
          <xdr:cNvSpPr/>
        </xdr:nvSpPr>
        <xdr:spPr>
          <a:xfrm>
            <a:off x="3509962" y="13351669"/>
            <a:ext cx="1702594" cy="2440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c:userShapes xmlns:c="http://schemas.openxmlformats.org/drawingml/2006/chart">
  <cdr:relSizeAnchor xmlns:cdr="http://schemas.openxmlformats.org/drawingml/2006/chartDrawing">
    <cdr:from>
      <cdr:x>0.11333</cdr:x>
      <cdr:y>0.76561</cdr:y>
    </cdr:from>
    <cdr:to>
      <cdr:x>0.38406</cdr:x>
      <cdr:y>0.79588</cdr:y>
    </cdr:to>
    <cdr:sp macro="" textlink="Loop_Modeling!$F$82">
      <cdr:nvSpPr>
        <cdr:cNvPr id="2" name="TextBox 14">
          <a:extLst xmlns:a="http://schemas.openxmlformats.org/drawingml/2006/main">
            <a:ext uri="{FF2B5EF4-FFF2-40B4-BE49-F238E27FC236}">
              <a16:creationId xmlns:a16="http://schemas.microsoft.com/office/drawing/2014/main" id="{B9F69107-50D7-40E8-B07A-42181AF0EA86}"/>
            </a:ext>
          </a:extLst>
        </cdr:cNvPr>
        <cdr:cNvSpPr txBox="1"/>
      </cdr:nvSpPr>
      <cdr:spPr>
        <a:xfrm xmlns:a="http://schemas.openxmlformats.org/drawingml/2006/main">
          <a:off x="1058242" y="4517049"/>
          <a:ext cx="2527931" cy="17859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35E0C87-5EDD-4A0F-8D8F-CE89327299BD}" type="TxLink">
            <a:rPr lang="en-US" sz="1200" b="1" i="0" u="none" strike="noStrike">
              <a:solidFill>
                <a:schemeClr val="accent1"/>
              </a:solidFill>
              <a:latin typeface="Calibri"/>
              <a:ea typeface="Calibri"/>
              <a:cs typeface="Calibri"/>
            </a:rPr>
            <a:pPr/>
            <a:t>Crossover Frequency = 1.5 kHz</a:t>
          </a:fld>
          <a:endParaRPr lang="en-US" sz="2800" b="1">
            <a:solidFill>
              <a:schemeClr val="accent1"/>
            </a:solidFill>
            <a:latin typeface="+mn-lt"/>
            <a:cs typeface="Arial" panose="020B0604020202020204" pitchFamily="34" charset="0"/>
          </a:endParaRPr>
        </a:p>
      </cdr:txBody>
    </cdr:sp>
  </cdr:relSizeAnchor>
  <cdr:relSizeAnchor xmlns:cdr="http://schemas.openxmlformats.org/drawingml/2006/chartDrawing">
    <cdr:from>
      <cdr:x>0.11255</cdr:x>
      <cdr:y>0.81318</cdr:y>
    </cdr:from>
    <cdr:to>
      <cdr:x>0.32026</cdr:x>
      <cdr:y>0.84445</cdr:y>
    </cdr:to>
    <cdr:sp macro="" textlink="Loop_Modeling!$F$83">
      <cdr:nvSpPr>
        <cdr:cNvPr id="4" name="TextBox 14">
          <a:extLst xmlns:a="http://schemas.openxmlformats.org/drawingml/2006/main">
            <a:ext uri="{FF2B5EF4-FFF2-40B4-BE49-F238E27FC236}">
              <a16:creationId xmlns:a16="http://schemas.microsoft.com/office/drawing/2014/main" id="{555BDF7A-AEF3-40F0-9C9E-42A5B5E7620C}"/>
            </a:ext>
          </a:extLst>
        </cdr:cNvPr>
        <cdr:cNvSpPr txBox="1"/>
      </cdr:nvSpPr>
      <cdr:spPr>
        <a:xfrm xmlns:a="http://schemas.openxmlformats.org/drawingml/2006/main">
          <a:off x="1047261" y="4783992"/>
          <a:ext cx="1932801" cy="1839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8F8B1BF-475A-4835-80C5-C06869B2ECFA}" type="TxLink">
            <a:rPr lang="en-US" sz="1200" b="1" i="0" u="none" strike="noStrike">
              <a:solidFill>
                <a:srgbClr val="C00000"/>
              </a:solidFill>
              <a:latin typeface="Calibri"/>
              <a:ea typeface="Calibri"/>
              <a:cs typeface="Calibri"/>
            </a:rPr>
            <a:pPr/>
            <a:t>Phase Margin = 69°</a:t>
          </a:fld>
          <a:endParaRPr lang="en-US" sz="2800" b="1">
            <a:solidFill>
              <a:srgbClr val="C00000"/>
            </a:solidFill>
            <a:latin typeface="+mn-lt"/>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451597</xdr:colOff>
      <xdr:row>220</xdr:row>
      <xdr:rowOff>177800</xdr:rowOff>
    </xdr:from>
    <xdr:to>
      <xdr:col>16</xdr:col>
      <xdr:colOff>350744</xdr:colOff>
      <xdr:row>223</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037047" y="33204150"/>
          <a:ext cx="3810747" cy="440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 to explain the placement of the Zero</a:t>
          </a:r>
          <a:r>
            <a:rPr lang="en-US" sz="1100" baseline="0"/>
            <a:t> a little bit better. The pole location should also be based on the location of the zero</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600075</xdr:colOff>
          <xdr:row>107</xdr:row>
          <xdr:rowOff>152400</xdr:rowOff>
        </xdr:from>
        <xdr:to>
          <xdr:col>11</xdr:col>
          <xdr:colOff>209550</xdr:colOff>
          <xdr:row>109</xdr:row>
          <xdr:rowOff>180975</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19051</xdr:colOff>
      <xdr:row>190</xdr:row>
      <xdr:rowOff>17931</xdr:rowOff>
    </xdr:from>
    <xdr:to>
      <xdr:col>14</xdr:col>
      <xdr:colOff>583081</xdr:colOff>
      <xdr:row>198</xdr:row>
      <xdr:rowOff>107951</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9994901" y="27335631"/>
          <a:ext cx="3866030" cy="1563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votlage range</a:t>
          </a:r>
        </a:p>
        <a:p>
          <a:endParaRPr lang="en-US" sz="1100" baseline="0"/>
        </a:p>
        <a:p>
          <a:r>
            <a:rPr lang="en-US" sz="1100" b="1" baseline="0"/>
            <a:t>Includes the effect of slope compensation. To help with the calculations the applicaiton note detailing component selection does not include loop compensation</a:t>
          </a:r>
          <a:endParaRPr lang="en-US" sz="1100" b="1"/>
        </a:p>
      </xdr:txBody>
    </xdr:sp>
    <xdr:clientData/>
  </xdr:twoCellAnchor>
  <xdr:twoCellAnchor>
    <xdr:from>
      <xdr:col>3</xdr:col>
      <xdr:colOff>660400</xdr:colOff>
      <xdr:row>223</xdr:row>
      <xdr:rowOff>165100</xdr:rowOff>
    </xdr:from>
    <xdr:to>
      <xdr:col>9</xdr:col>
      <xdr:colOff>311150</xdr:colOff>
      <xdr:row>227</xdr:row>
      <xdr:rowOff>88900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4794250" y="33928050"/>
          <a:ext cx="5492750"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Flexible</a:t>
          </a:r>
          <a:r>
            <a:rPr lang="en-US" sz="1100" baseline="0"/>
            <a:t> equations see the MathCad file for these</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48</xdr:col>
      <xdr:colOff>186690</xdr:colOff>
      <xdr:row>39</xdr:row>
      <xdr:rowOff>167640</xdr:rowOff>
    </xdr:from>
    <xdr:to>
      <xdr:col>50</xdr:col>
      <xdr:colOff>515248</xdr:colOff>
      <xdr:row>45</xdr:row>
      <xdr:rowOff>69931</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50</xdr:col>
      <xdr:colOff>247650</xdr:colOff>
      <xdr:row>40</xdr:row>
      <xdr:rowOff>60960</xdr:rowOff>
    </xdr:from>
    <xdr:to>
      <xdr:col>54</xdr:col>
      <xdr:colOff>567929</xdr:colOff>
      <xdr:row>44</xdr:row>
      <xdr:rowOff>129611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47</xdr:col>
      <xdr:colOff>30480</xdr:colOff>
      <xdr:row>49</xdr:row>
      <xdr:rowOff>64770</xdr:rowOff>
    </xdr:from>
    <xdr:to>
      <xdr:col>58</xdr:col>
      <xdr:colOff>144780</xdr:colOff>
      <xdr:row>73</xdr:row>
      <xdr:rowOff>38100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21</xdr:row>
      <xdr:rowOff>121920</xdr:rowOff>
    </xdr:from>
    <xdr:to>
      <xdr:col>26</xdr:col>
      <xdr:colOff>45720</xdr:colOff>
      <xdr:row>45</xdr:row>
      <xdr:rowOff>80010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57979</xdr:colOff>
      <xdr:row>54</xdr:row>
      <xdr:rowOff>113246</xdr:rowOff>
    </xdr:from>
    <xdr:to>
      <xdr:col>12</xdr:col>
      <xdr:colOff>141106</xdr:colOff>
      <xdr:row>65</xdr:row>
      <xdr:rowOff>121529</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617805" y="10698420"/>
          <a:ext cx="2733562" cy="2103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error amplifier is the same regardless of the mode of operation</a:t>
          </a:r>
        </a:p>
      </xdr:txBody>
    </xdr:sp>
    <xdr:clientData/>
  </xdr:twoCellAnchor>
  <xdr:twoCellAnchor>
    <xdr:from>
      <xdr:col>34</xdr:col>
      <xdr:colOff>313764</xdr:colOff>
      <xdr:row>48</xdr:row>
      <xdr:rowOff>179295</xdr:rowOff>
    </xdr:from>
    <xdr:to>
      <xdr:col>45</xdr:col>
      <xdr:colOff>438673</xdr:colOff>
      <xdr:row>72</xdr:row>
      <xdr:rowOff>152625</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0</xdr:colOff>
      <xdr:row>22</xdr:row>
      <xdr:rowOff>0</xdr:rowOff>
    </xdr:from>
    <xdr:to>
      <xdr:col>45</xdr:col>
      <xdr:colOff>97865</xdr:colOff>
      <xdr:row>45</xdr:row>
      <xdr:rowOff>144855</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0</xdr:colOff>
      <xdr:row>22</xdr:row>
      <xdr:rowOff>0</xdr:rowOff>
    </xdr:from>
    <xdr:to>
      <xdr:col>58</xdr:col>
      <xdr:colOff>269688</xdr:colOff>
      <xdr:row>45</xdr:row>
      <xdr:rowOff>144855</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76</xdr:col>
      <xdr:colOff>197810</xdr:colOff>
      <xdr:row>6</xdr:row>
      <xdr:rowOff>107149</xdr:rowOff>
    </xdr:from>
    <xdr:to>
      <xdr:col>85</xdr:col>
      <xdr:colOff>2406</xdr:colOff>
      <xdr:row>25</xdr:row>
      <xdr:rowOff>110908</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228022</xdr:colOff>
      <xdr:row>12</xdr:row>
      <xdr:rowOff>102466</xdr:rowOff>
    </xdr:from>
    <xdr:to>
      <xdr:col>66</xdr:col>
      <xdr:colOff>96573</xdr:colOff>
      <xdr:row>37</xdr:row>
      <xdr:rowOff>156894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2</xdr:col>
      <xdr:colOff>7620</xdr:colOff>
      <xdr:row>2</xdr:row>
      <xdr:rowOff>68531</xdr:rowOff>
    </xdr:to>
    <xdr:pic>
      <xdr:nvPicPr>
        <xdr:cNvPr id="12" name="Picture 11" descr="ti logo">
          <a:hlinkClick xmlns:r="http://schemas.openxmlformats.org/officeDocument/2006/relationships" r:id="rId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2670" cy="29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4</xdr:col>
      <xdr:colOff>152400</xdr:colOff>
      <xdr:row>1</xdr:row>
      <xdr:rowOff>28575</xdr:rowOff>
    </xdr:from>
    <xdr:ext cx="4719497" cy="254557"/>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600-00000E000000}"/>
            </a:ext>
          </a:extLst>
        </xdr:cNvPr>
        <xdr:cNvSpPr txBox="1"/>
      </xdr:nvSpPr>
      <xdr:spPr>
        <a:xfrm>
          <a:off x="4581525" y="219075"/>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2025</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352927"/>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95247" y="1190623"/>
          <a:ext cx="11229977" cy="43529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Text" lastClr="000000"/>
              </a:solidFill>
              <a:effectLst/>
              <a:uLnTx/>
              <a:uFillTx/>
              <a:latin typeface="+mn-lt"/>
              <a:ea typeface="+mn-ea"/>
              <a:cs typeface="+mn-cs"/>
            </a:rPr>
            <a:t>IMPORTANT NOTICE AND DISCLAIMER</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objects to and rejects any additional or different terms you may have proposed. </a:t>
          </a:r>
        </a:p>
        <a:p>
          <a:endParaRPr lang="en-US" sz="1100" b="0" i="0" u="none" strike="noStrike" baseline="0">
            <a:solidFill>
              <a:schemeClr val="tx1"/>
            </a:solidFill>
            <a:latin typeface="+mn-lt"/>
            <a:ea typeface="+mn-ea"/>
            <a:cs typeface="+mn-cs"/>
          </a:endParaRPr>
        </a:p>
        <a:p>
          <a:endParaRPr lang="en-US" sz="1100" b="0" i="0" u="none" strike="noStrike" baseline="0">
            <a:solidFill>
              <a:schemeClr val="tx1"/>
            </a:solidFill>
            <a:latin typeface="+mn-lt"/>
            <a:ea typeface="+mn-ea"/>
            <a:cs typeface="+mn-cs"/>
          </a:endParaRPr>
        </a:p>
        <a:p>
          <a:pPr algn="ctr"/>
          <a:r>
            <a:rPr lang="en-US" sz="1100" b="0" i="0" u="none" strike="noStrike" baseline="0">
              <a:solidFill>
                <a:schemeClr val="tx1"/>
              </a:solidFill>
              <a:latin typeface="+mn-lt"/>
              <a:ea typeface="+mn-ea"/>
              <a:cs typeface="+mn-cs"/>
            </a:rPr>
            <a:t>Mailing Address: Texas Instruments, Post Office Box 655303, Dallas, Texas 75265</a:t>
          </a:r>
        </a:p>
        <a:p>
          <a:pPr algn="ctr"/>
          <a:r>
            <a:rPr lang="en-US" sz="1100" b="0" i="0" u="none" strike="noStrike" baseline="0">
              <a:solidFill>
                <a:schemeClr val="tx1"/>
              </a:solidFill>
              <a:latin typeface="+mn-lt"/>
              <a:ea typeface="+mn-ea"/>
              <a:cs typeface="+mn-cs"/>
            </a:rPr>
            <a:t>Copyright © 2025, Texas Instruments Incorporated	</a:t>
          </a:r>
        </a:p>
      </xdr:txBody>
    </xdr:sp>
    <xdr:clientData/>
  </xdr:oneCellAnchor>
  <xdr:oneCellAnchor>
    <xdr:from>
      <xdr:col>0</xdr:col>
      <xdr:colOff>99057</xdr:colOff>
      <xdr:row>30</xdr:row>
      <xdr:rowOff>16998</xdr:rowOff>
    </xdr:from>
    <xdr:ext cx="11229977" cy="634512"/>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99057" y="542719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vmlDrawing" Target="../drawings/vmlDrawing1.vml"/><Relationship Id="rId21" Type="http://schemas.openxmlformats.org/officeDocument/2006/relationships/ctrlProp" Target="../ctrlProps/ctrlProp14.xml"/><Relationship Id="rId7" Type="http://schemas.openxmlformats.org/officeDocument/2006/relationships/image" Target="../media/image2.emf"/><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drawing" Target="../drawings/drawing1.xml"/><Relationship Id="rId16" Type="http://schemas.openxmlformats.org/officeDocument/2006/relationships/ctrlProp" Target="../ctrlProps/ctrlProp9.xml"/><Relationship Id="rId20"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package" Target="../embeddings/Microsoft_Visio_Drawing1.vsdx"/><Relationship Id="rId11" Type="http://schemas.openxmlformats.org/officeDocument/2006/relationships/ctrlProp" Target="../ctrlProps/ctrlProp4.xml"/><Relationship Id="rId5" Type="http://schemas.openxmlformats.org/officeDocument/2006/relationships/image" Target="../media/image1.emf"/><Relationship Id="rId15" Type="http://schemas.openxmlformats.org/officeDocument/2006/relationships/ctrlProp" Target="../ctrlProps/ctrlProp8.xml"/><Relationship Id="rId10" Type="http://schemas.openxmlformats.org/officeDocument/2006/relationships/ctrlProp" Target="../ctrlProps/ctrlProp3.xml"/><Relationship Id="rId19" Type="http://schemas.openxmlformats.org/officeDocument/2006/relationships/ctrlProp" Target="../ctrlProps/ctrlProp12.xml"/><Relationship Id="rId4" Type="http://schemas.openxmlformats.org/officeDocument/2006/relationships/package" Target="../embeddings/Microsoft_Visio_Drawing.vsdx"/><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A137"/>
  <sheetViews>
    <sheetView tabSelected="1" zoomScale="115" zoomScaleNormal="115" workbookViewId="0">
      <selection activeCell="H7" sqref="H7"/>
    </sheetView>
  </sheetViews>
  <sheetFormatPr defaultColWidth="8.7109375" defaultRowHeight="15" x14ac:dyDescent="0.25"/>
  <cols>
    <col min="1" max="6" width="8.7109375" style="116" customWidth="1"/>
    <col min="7" max="7" width="8.7109375" style="293" customWidth="1"/>
    <col min="8" max="8" width="17.5703125" style="116" customWidth="1"/>
    <col min="9" max="9" width="4.28515625" style="116" bestFit="1" customWidth="1"/>
    <col min="10" max="10" width="4.7109375" style="116" customWidth="1"/>
    <col min="11" max="20" width="8.7109375" style="116" customWidth="1"/>
    <col min="21" max="21" width="8.7109375" style="119" customWidth="1"/>
    <col min="22" max="22" width="7.28515625" style="116" customWidth="1"/>
    <col min="23" max="26" width="8.7109375" style="116" customWidth="1"/>
    <col min="27" max="27" width="1.7109375" style="151" customWidth="1"/>
    <col min="28" max="16384" width="8.7109375" style="116"/>
  </cols>
  <sheetData>
    <row r="1" spans="1:27" ht="46.9" customHeight="1" x14ac:dyDescent="0.25">
      <c r="A1" s="112"/>
      <c r="B1" s="112"/>
      <c r="C1" s="112"/>
      <c r="D1" s="112"/>
      <c r="E1" s="113" t="str">
        <f>"LM5125-Q1 BOOST Controller Design Tool"</f>
        <v>LM5125-Q1 BOOST Controller Design Tool</v>
      </c>
      <c r="F1" s="112"/>
      <c r="G1" s="279"/>
      <c r="H1" s="112"/>
      <c r="I1" s="112"/>
      <c r="J1" s="112"/>
      <c r="K1" s="112"/>
      <c r="L1" s="112"/>
      <c r="M1" s="112"/>
      <c r="N1" s="112"/>
      <c r="O1" s="112"/>
      <c r="P1" s="112"/>
      <c r="Q1" s="112"/>
      <c r="R1" s="112"/>
      <c r="S1" s="112"/>
      <c r="T1" s="112"/>
      <c r="U1" s="114"/>
      <c r="V1" s="112"/>
      <c r="W1" s="112"/>
      <c r="X1" s="112"/>
      <c r="Y1" s="112"/>
      <c r="Z1" s="112"/>
      <c r="AA1" s="115"/>
    </row>
    <row r="2" spans="1:27" s="119" customFormat="1" x14ac:dyDescent="0.25">
      <c r="A2" s="117"/>
      <c r="B2" s="117"/>
      <c r="C2" s="117"/>
      <c r="D2" s="117"/>
      <c r="E2" s="117"/>
      <c r="F2" s="117"/>
      <c r="G2" s="280"/>
      <c r="H2" s="117"/>
      <c r="I2" s="117"/>
      <c r="J2" s="117"/>
      <c r="K2" s="117"/>
      <c r="L2" s="117"/>
      <c r="M2" s="117"/>
      <c r="N2" s="117"/>
      <c r="O2" s="117"/>
      <c r="P2" s="117"/>
      <c r="Q2" s="117"/>
      <c r="R2" s="117"/>
      <c r="S2" s="117"/>
      <c r="T2" s="117"/>
      <c r="U2" s="117"/>
      <c r="V2" s="117"/>
      <c r="W2" s="117"/>
      <c r="X2" s="117"/>
      <c r="Y2" s="117"/>
      <c r="Z2" s="117"/>
      <c r="AA2" s="118"/>
    </row>
    <row r="3" spans="1:27" s="119" customFormat="1" x14ac:dyDescent="0.25">
      <c r="A3" s="120" t="s">
        <v>1</v>
      </c>
      <c r="B3" s="117"/>
      <c r="C3" s="117"/>
      <c r="D3" s="117"/>
      <c r="E3" s="121"/>
      <c r="F3" s="122" t="s">
        <v>2</v>
      </c>
      <c r="G3" s="280"/>
      <c r="H3" s="117"/>
      <c r="I3" s="117"/>
      <c r="J3" s="117"/>
      <c r="K3" s="117"/>
      <c r="L3" s="117"/>
      <c r="M3" s="117"/>
      <c r="N3" s="117"/>
      <c r="O3" s="256" t="s">
        <v>0</v>
      </c>
      <c r="P3" s="117"/>
      <c r="Q3" s="117"/>
      <c r="R3" s="117"/>
      <c r="S3" s="117"/>
      <c r="T3" s="117"/>
      <c r="U3" s="117"/>
      <c r="V3" s="117"/>
      <c r="W3" s="117"/>
      <c r="X3" s="117"/>
      <c r="Y3" s="117"/>
      <c r="Z3" s="117"/>
      <c r="AA3" s="118"/>
    </row>
    <row r="4" spans="1:27" s="125" customFormat="1" x14ac:dyDescent="0.25">
      <c r="A4" s="123"/>
      <c r="B4" s="123"/>
      <c r="C4" s="123"/>
      <c r="D4" s="123"/>
      <c r="E4" s="123"/>
      <c r="F4" s="123"/>
      <c r="G4" s="281"/>
      <c r="H4" s="123"/>
      <c r="I4" s="123"/>
      <c r="J4" s="123"/>
      <c r="K4" s="123"/>
      <c r="L4" s="123"/>
      <c r="M4" s="123"/>
      <c r="N4" s="123"/>
      <c r="O4" s="123"/>
      <c r="P4" s="123"/>
      <c r="Q4" s="123"/>
      <c r="R4" s="123"/>
      <c r="S4" s="123"/>
      <c r="T4" s="123"/>
      <c r="U4" s="123"/>
      <c r="V4" s="123"/>
      <c r="W4" s="123"/>
      <c r="X4" s="123"/>
      <c r="Y4" s="123"/>
      <c r="Z4" s="123"/>
      <c r="AA4" s="124"/>
    </row>
    <row r="5" spans="1:27" ht="15.75" thickBot="1" x14ac:dyDescent="0.3">
      <c r="A5" s="141" t="s">
        <v>3</v>
      </c>
      <c r="B5" s="127"/>
      <c r="C5" s="127"/>
      <c r="D5" s="127"/>
      <c r="E5" s="127"/>
      <c r="F5" s="127"/>
      <c r="G5" s="137"/>
      <c r="H5" s="127"/>
      <c r="I5" s="127"/>
      <c r="J5" s="126"/>
      <c r="K5" s="126"/>
      <c r="L5" s="126"/>
      <c r="M5" s="126"/>
      <c r="N5" s="126"/>
      <c r="O5" s="126"/>
      <c r="P5" s="126"/>
      <c r="Q5" s="126"/>
      <c r="R5" s="126"/>
      <c r="S5" s="126"/>
      <c r="T5" s="126"/>
      <c r="U5" s="127"/>
      <c r="V5" s="126"/>
      <c r="W5" s="126"/>
      <c r="X5" s="126"/>
      <c r="Y5" s="126"/>
      <c r="Z5" s="126"/>
      <c r="AA5" s="115"/>
    </row>
    <row r="6" spans="1:27" x14ac:dyDescent="0.25">
      <c r="A6" s="128"/>
      <c r="B6" s="129"/>
      <c r="C6" s="129"/>
      <c r="D6" s="129"/>
      <c r="E6" s="129"/>
      <c r="F6" s="129"/>
      <c r="G6" s="130" t="s">
        <v>717</v>
      </c>
      <c r="H6" s="152">
        <v>9</v>
      </c>
      <c r="I6" s="131" t="s">
        <v>5</v>
      </c>
      <c r="J6" s="126"/>
      <c r="K6" s="126"/>
      <c r="L6" s="126"/>
      <c r="M6" s="126"/>
      <c r="N6" s="126"/>
      <c r="O6" s="126"/>
      <c r="P6" s="126"/>
      <c r="Q6" s="126"/>
      <c r="R6" s="126"/>
      <c r="S6" s="126"/>
      <c r="T6" s="126"/>
      <c r="U6" s="127"/>
      <c r="V6" s="126"/>
      <c r="W6" s="126"/>
      <c r="X6" s="126"/>
      <c r="Y6" s="126"/>
      <c r="Z6" s="126"/>
      <c r="AA6" s="115"/>
    </row>
    <row r="7" spans="1:27" x14ac:dyDescent="0.25">
      <c r="A7" s="132"/>
      <c r="B7" s="127"/>
      <c r="C7" s="127"/>
      <c r="D7" s="127"/>
      <c r="E7" s="127"/>
      <c r="F7" s="127"/>
      <c r="G7" s="133" t="s">
        <v>718</v>
      </c>
      <c r="H7" s="153">
        <v>9</v>
      </c>
      <c r="I7" s="134" t="s">
        <v>5</v>
      </c>
      <c r="J7" s="126"/>
      <c r="K7" s="126"/>
      <c r="L7" s="126"/>
      <c r="M7" s="126"/>
      <c r="N7" s="126"/>
      <c r="O7" s="126"/>
      <c r="P7" s="126"/>
      <c r="Q7" s="126"/>
      <c r="R7" s="126"/>
      <c r="S7" s="126"/>
      <c r="T7" s="126"/>
      <c r="U7" s="127"/>
      <c r="V7" s="126"/>
      <c r="W7" s="126"/>
      <c r="X7" s="126"/>
      <c r="Y7" s="126"/>
      <c r="Z7" s="126"/>
      <c r="AA7" s="115"/>
    </row>
    <row r="8" spans="1:27" x14ac:dyDescent="0.25">
      <c r="A8" s="132"/>
      <c r="B8" s="127"/>
      <c r="C8" s="127"/>
      <c r="D8" s="127"/>
      <c r="E8" s="127"/>
      <c r="F8" s="127"/>
      <c r="G8" s="133" t="s">
        <v>719</v>
      </c>
      <c r="H8" s="153">
        <v>16</v>
      </c>
      <c r="I8" s="134" t="s">
        <v>5</v>
      </c>
      <c r="J8" s="126"/>
      <c r="K8" s="126"/>
      <c r="L8" s="126"/>
      <c r="M8" s="126"/>
      <c r="N8" s="126"/>
      <c r="O8" s="126"/>
      <c r="P8" s="126"/>
      <c r="Q8" s="126"/>
      <c r="R8" s="126"/>
      <c r="S8" s="126"/>
      <c r="T8" s="126"/>
      <c r="U8" s="127"/>
      <c r="V8" s="126"/>
      <c r="W8" s="126"/>
      <c r="X8" s="126"/>
      <c r="Y8" s="126"/>
      <c r="Z8" s="126"/>
      <c r="AA8" s="115"/>
    </row>
    <row r="9" spans="1:27" x14ac:dyDescent="0.25">
      <c r="A9" s="132"/>
      <c r="B9" s="127"/>
      <c r="C9" s="127"/>
      <c r="D9" s="127"/>
      <c r="E9" s="127"/>
      <c r="F9" s="127"/>
      <c r="G9" s="133" t="s">
        <v>721</v>
      </c>
      <c r="H9" s="153">
        <v>45</v>
      </c>
      <c r="I9" s="134" t="s">
        <v>5</v>
      </c>
      <c r="J9" s="126"/>
      <c r="K9" s="126"/>
      <c r="L9" s="126"/>
      <c r="M9" s="126"/>
      <c r="N9" s="126"/>
      <c r="O9" s="126"/>
      <c r="P9" s="126"/>
      <c r="Q9" s="126"/>
      <c r="R9" s="126"/>
      <c r="S9" s="126"/>
      <c r="T9" s="126"/>
      <c r="U9" s="127"/>
      <c r="V9" s="126"/>
      <c r="W9" s="126"/>
      <c r="X9" s="126"/>
      <c r="Y9" s="126"/>
      <c r="Z9" s="126"/>
      <c r="AA9" s="115"/>
    </row>
    <row r="10" spans="1:27" x14ac:dyDescent="0.25">
      <c r="A10" s="132"/>
      <c r="B10" s="127"/>
      <c r="C10" s="127"/>
      <c r="D10" s="127"/>
      <c r="E10" s="127"/>
      <c r="F10" s="127"/>
      <c r="G10" s="133" t="s">
        <v>720</v>
      </c>
      <c r="H10" s="234">
        <v>22</v>
      </c>
      <c r="I10" s="134" t="s">
        <v>6</v>
      </c>
      <c r="J10" s="126"/>
      <c r="K10" s="126"/>
      <c r="L10" s="126"/>
      <c r="M10" s="126"/>
      <c r="N10" s="126"/>
      <c r="O10" s="126"/>
      <c r="P10" s="126"/>
      <c r="Q10" s="126"/>
      <c r="R10" s="126"/>
      <c r="S10" s="126"/>
      <c r="T10" s="126"/>
      <c r="U10" s="127"/>
      <c r="V10" s="126"/>
      <c r="W10" s="126"/>
      <c r="X10" s="126"/>
      <c r="Y10" s="126"/>
      <c r="Z10" s="126"/>
      <c r="AA10" s="115"/>
    </row>
    <row r="11" spans="1:27" x14ac:dyDescent="0.25">
      <c r="A11" s="132"/>
      <c r="B11" s="127"/>
      <c r="C11" s="127"/>
      <c r="D11" s="127"/>
      <c r="E11" s="127"/>
      <c r="F11" s="127"/>
      <c r="G11" s="133" t="s">
        <v>573</v>
      </c>
      <c r="H11" s="235" t="s">
        <v>524</v>
      </c>
      <c r="I11" s="134"/>
      <c r="J11" s="126"/>
      <c r="K11" s="126"/>
      <c r="L11" s="126"/>
      <c r="M11" s="126"/>
      <c r="N11" s="126"/>
      <c r="O11" s="126"/>
      <c r="P11" s="126"/>
      <c r="Q11" s="126"/>
      <c r="R11" s="126"/>
      <c r="S11" s="126"/>
      <c r="T11" s="126"/>
      <c r="U11" s="127"/>
      <c r="V11" s="126"/>
      <c r="W11" s="126"/>
      <c r="X11" s="126"/>
      <c r="Y11" s="126"/>
      <c r="Z11" s="126"/>
      <c r="AA11" s="115"/>
    </row>
    <row r="12" spans="1:27" x14ac:dyDescent="0.25">
      <c r="A12" s="132"/>
      <c r="B12" s="127"/>
      <c r="C12" s="127"/>
      <c r="D12" s="127"/>
      <c r="E12" s="127"/>
      <c r="F12" s="127"/>
      <c r="G12" s="133" t="s">
        <v>4</v>
      </c>
      <c r="H12" s="153">
        <v>400</v>
      </c>
      <c r="I12" s="134" t="s">
        <v>7</v>
      </c>
      <c r="J12" s="126"/>
      <c r="K12" s="126"/>
      <c r="L12" s="126"/>
      <c r="M12" s="126"/>
      <c r="N12" s="126"/>
      <c r="O12" s="126"/>
      <c r="P12" s="126"/>
      <c r="Q12" s="126"/>
      <c r="R12" s="126"/>
      <c r="S12" s="126"/>
      <c r="T12" s="126"/>
      <c r="U12" s="127"/>
      <c r="V12" s="126"/>
      <c r="W12" s="126"/>
      <c r="X12" s="126"/>
      <c r="Y12" s="126"/>
      <c r="Z12" s="126"/>
      <c r="AA12" s="115"/>
    </row>
    <row r="13" spans="1:27" x14ac:dyDescent="0.25">
      <c r="A13" s="132"/>
      <c r="B13" s="127"/>
      <c r="C13" s="127"/>
      <c r="D13" s="127"/>
      <c r="E13" s="127"/>
      <c r="F13" s="127"/>
      <c r="G13" s="133" t="s">
        <v>574</v>
      </c>
      <c r="H13" s="154">
        <f>RT/1000</f>
        <v>78.183000000000007</v>
      </c>
      <c r="I13" s="134" t="s">
        <v>63</v>
      </c>
      <c r="J13" s="126"/>
      <c r="K13" s="126"/>
      <c r="L13" s="126"/>
      <c r="M13" s="126"/>
      <c r="N13" s="126"/>
      <c r="O13" s="126"/>
      <c r="P13" s="126"/>
      <c r="Q13" s="126"/>
      <c r="R13" s="126"/>
      <c r="S13" s="126"/>
      <c r="T13" s="126"/>
      <c r="U13" s="127"/>
      <c r="V13" s="126"/>
      <c r="W13" s="126"/>
      <c r="X13" s="126"/>
      <c r="Y13" s="126"/>
      <c r="Z13" s="126"/>
      <c r="AA13" s="115"/>
    </row>
    <row r="14" spans="1:27" ht="15" customHeight="1" x14ac:dyDescent="0.25">
      <c r="A14" s="132"/>
      <c r="B14" s="127"/>
      <c r="C14" s="127"/>
      <c r="D14" s="127"/>
      <c r="E14" s="127"/>
      <c r="F14" s="127"/>
      <c r="G14" s="133" t="s">
        <v>761</v>
      </c>
      <c r="H14" s="153">
        <v>2</v>
      </c>
      <c r="I14" s="134" t="s">
        <v>714</v>
      </c>
      <c r="J14" s="126"/>
      <c r="K14" s="126"/>
      <c r="L14" s="126"/>
      <c r="M14" s="126"/>
      <c r="N14" s="126"/>
      <c r="O14" s="126"/>
      <c r="P14" s="126"/>
      <c r="Q14" s="126"/>
      <c r="R14" s="126"/>
      <c r="S14" s="126"/>
      <c r="T14" s="126"/>
      <c r="U14" s="127"/>
      <c r="V14" s="126"/>
      <c r="W14" s="126"/>
      <c r="X14" s="126"/>
      <c r="Y14" s="126"/>
      <c r="Z14" s="126"/>
      <c r="AA14" s="115"/>
    </row>
    <row r="15" spans="1:27" x14ac:dyDescent="0.25">
      <c r="A15" s="132"/>
      <c r="B15" s="127"/>
      <c r="C15" s="127"/>
      <c r="D15" s="127"/>
      <c r="E15" s="127"/>
      <c r="F15" s="127"/>
      <c r="G15" s="133" t="s">
        <v>488</v>
      </c>
      <c r="H15" s="183">
        <f>POUT</f>
        <v>495</v>
      </c>
      <c r="I15" s="134" t="s">
        <v>31</v>
      </c>
      <c r="J15" s="126"/>
      <c r="K15" s="126"/>
      <c r="L15" s="126"/>
      <c r="M15" s="126"/>
      <c r="N15" s="126"/>
      <c r="O15" s="126"/>
      <c r="P15" s="126"/>
      <c r="Q15" s="126"/>
      <c r="R15" s="126"/>
      <c r="S15" s="126"/>
      <c r="T15" s="126"/>
      <c r="U15" s="127"/>
      <c r="V15" s="126"/>
      <c r="W15" s="126"/>
      <c r="X15" s="126"/>
      <c r="Y15" s="126"/>
      <c r="Z15" s="126"/>
      <c r="AA15" s="115"/>
    </row>
    <row r="16" spans="1:27" x14ac:dyDescent="0.25">
      <c r="A16" s="132"/>
      <c r="B16" s="127"/>
      <c r="C16" s="127"/>
      <c r="D16" s="127"/>
      <c r="E16" s="127"/>
      <c r="F16" s="127"/>
      <c r="G16" s="133" t="s">
        <v>716</v>
      </c>
      <c r="H16" s="183">
        <f>Np*POUT</f>
        <v>990</v>
      </c>
      <c r="I16" s="134" t="s">
        <v>31</v>
      </c>
      <c r="J16" s="126"/>
      <c r="K16" s="126"/>
      <c r="L16" s="126"/>
      <c r="M16" s="126"/>
      <c r="N16" s="126"/>
      <c r="O16" s="126"/>
      <c r="P16" s="126"/>
      <c r="Q16" s="126"/>
      <c r="R16" s="126"/>
      <c r="S16" s="126"/>
      <c r="T16" s="126"/>
      <c r="U16" s="127"/>
      <c r="V16" s="126"/>
      <c r="W16" s="126"/>
      <c r="X16" s="126"/>
      <c r="Y16" s="126"/>
      <c r="Z16" s="126"/>
      <c r="AA16" s="115"/>
    </row>
    <row r="17" spans="1:27" x14ac:dyDescent="0.25">
      <c r="A17" s="135"/>
      <c r="B17" s="136"/>
      <c r="C17" s="136"/>
      <c r="D17" s="136"/>
      <c r="E17" s="136"/>
      <c r="F17" s="127"/>
      <c r="G17" s="137" t="s">
        <v>722</v>
      </c>
      <c r="H17" s="183">
        <f>Dc_max_IC*100</f>
        <v>94.72727272727272</v>
      </c>
      <c r="I17" s="134" t="s">
        <v>8</v>
      </c>
      <c r="J17" s="126"/>
      <c r="K17" s="126"/>
      <c r="L17" s="126"/>
      <c r="M17" s="126"/>
      <c r="N17" s="126"/>
      <c r="O17" s="126"/>
      <c r="P17" s="126"/>
      <c r="Q17" s="126"/>
      <c r="R17" s="126"/>
      <c r="S17" s="126"/>
      <c r="T17" s="126"/>
      <c r="U17" s="127"/>
      <c r="V17" s="126"/>
      <c r="W17" s="126"/>
      <c r="X17" s="126"/>
      <c r="Y17" s="126"/>
      <c r="Z17" s="126"/>
      <c r="AA17" s="115"/>
    </row>
    <row r="18" spans="1:27" ht="15.75" thickBot="1" x14ac:dyDescent="0.3">
      <c r="A18" s="181"/>
      <c r="B18" s="182"/>
      <c r="C18" s="182"/>
      <c r="D18" s="182"/>
      <c r="E18" s="182"/>
      <c r="F18" s="138"/>
      <c r="G18" s="227" t="s">
        <v>723</v>
      </c>
      <c r="H18" s="228">
        <f>Variable_Management!B24*100</f>
        <v>80</v>
      </c>
      <c r="I18" s="139" t="s">
        <v>8</v>
      </c>
      <c r="J18" s="126"/>
      <c r="K18" s="126"/>
      <c r="L18" s="126"/>
      <c r="M18" s="126"/>
      <c r="N18" s="126"/>
      <c r="O18" s="126"/>
      <c r="P18" s="126"/>
      <c r="Q18" s="126"/>
      <c r="R18" s="126"/>
      <c r="S18" s="126"/>
      <c r="T18" s="126"/>
      <c r="U18" s="127"/>
      <c r="V18" s="126"/>
      <c r="W18" s="126"/>
      <c r="X18" s="126"/>
      <c r="Y18" s="126"/>
      <c r="Z18" s="126"/>
      <c r="AA18" s="115"/>
    </row>
    <row r="19" spans="1:27" x14ac:dyDescent="0.25">
      <c r="A19" s="136"/>
      <c r="B19" s="140"/>
      <c r="C19" s="140"/>
      <c r="D19" s="140"/>
      <c r="E19" s="136"/>
      <c r="F19" s="126"/>
      <c r="G19" s="282"/>
      <c r="H19" s="126"/>
      <c r="I19" s="126"/>
      <c r="J19" s="126"/>
      <c r="K19" s="126"/>
      <c r="L19" s="126"/>
      <c r="M19" s="126"/>
      <c r="N19" s="126"/>
      <c r="O19" s="126"/>
      <c r="P19" s="126"/>
      <c r="Q19" s="126"/>
      <c r="R19" s="126"/>
      <c r="S19" s="126"/>
      <c r="T19" s="126"/>
      <c r="U19" s="127"/>
      <c r="V19" s="126"/>
      <c r="W19" s="126"/>
      <c r="X19" s="126"/>
      <c r="Y19" s="126"/>
      <c r="Z19" s="126"/>
      <c r="AA19" s="115"/>
    </row>
    <row r="20" spans="1:27" ht="15.75" thickBot="1" x14ac:dyDescent="0.3">
      <c r="A20" s="141" t="s">
        <v>617</v>
      </c>
      <c r="B20" s="140"/>
      <c r="C20" s="140"/>
      <c r="D20" s="140"/>
      <c r="E20" s="136"/>
      <c r="F20" s="126"/>
      <c r="G20" s="282"/>
      <c r="H20" s="126"/>
      <c r="I20" s="126"/>
      <c r="J20" s="126"/>
      <c r="K20" s="126"/>
      <c r="L20" s="126"/>
      <c r="M20" s="126"/>
      <c r="N20" s="126"/>
      <c r="O20" s="126"/>
      <c r="P20" s="126"/>
      <c r="Q20" s="126"/>
      <c r="R20" s="126"/>
      <c r="S20" s="126"/>
      <c r="T20" s="126"/>
      <c r="U20" s="127"/>
      <c r="V20" s="126"/>
      <c r="W20" s="126"/>
      <c r="X20" s="126"/>
      <c r="Y20" s="126"/>
      <c r="Z20" s="126"/>
      <c r="AA20" s="115"/>
    </row>
    <row r="21" spans="1:27" x14ac:dyDescent="0.25">
      <c r="A21" s="148"/>
      <c r="B21" s="142"/>
      <c r="C21" s="142"/>
      <c r="D21" s="142"/>
      <c r="E21" s="142"/>
      <c r="F21" s="129"/>
      <c r="G21" s="278" t="s">
        <v>724</v>
      </c>
      <c r="H21" s="174" t="str">
        <f>CHOOSE(Variable_Management!B27, "DCM","CCM")</f>
        <v>CCM</v>
      </c>
      <c r="I21" s="131"/>
      <c r="J21" s="126"/>
      <c r="K21" s="126"/>
      <c r="L21" s="126"/>
      <c r="M21" s="126"/>
      <c r="N21" s="126"/>
      <c r="O21" s="126"/>
      <c r="P21" s="126"/>
      <c r="Q21" s="126"/>
      <c r="R21" s="126"/>
      <c r="S21" s="126"/>
      <c r="T21" s="126"/>
      <c r="U21" s="127"/>
      <c r="V21" s="126"/>
      <c r="W21" s="126"/>
      <c r="X21" s="126"/>
      <c r="Y21" s="126"/>
      <c r="Z21" s="126"/>
      <c r="AA21" s="115"/>
    </row>
    <row r="22" spans="1:27" x14ac:dyDescent="0.25">
      <c r="A22" s="135"/>
      <c r="B22" s="136"/>
      <c r="C22" s="136"/>
      <c r="D22" s="136"/>
      <c r="E22" s="136"/>
      <c r="F22" s="127"/>
      <c r="G22" s="133" t="str">
        <f>CHOOSE(Variable_Management!B27,"Maximum duty cycle at the minimum supply voltage","Select Maximum Inductor Current Ripple Ratio, RR")</f>
        <v>Select Maximum Inductor Current Ripple Ratio, RR</v>
      </c>
      <c r="H22" s="153">
        <v>30</v>
      </c>
      <c r="I22" s="134" t="s">
        <v>8</v>
      </c>
      <c r="J22" s="126"/>
      <c r="K22" s="126"/>
      <c r="L22" s="126"/>
      <c r="M22" s="126"/>
      <c r="N22" s="126"/>
      <c r="O22" s="126"/>
      <c r="P22" s="126"/>
      <c r="Q22" s="126"/>
      <c r="R22" s="126"/>
      <c r="S22" s="126"/>
      <c r="T22" s="126"/>
      <c r="U22" s="127"/>
      <c r="V22" s="126"/>
      <c r="W22" s="126"/>
      <c r="X22" s="126"/>
      <c r="Y22" s="126"/>
      <c r="Z22" s="126"/>
      <c r="AA22" s="115"/>
    </row>
    <row r="23" spans="1:27" x14ac:dyDescent="0.25">
      <c r="A23" s="132"/>
      <c r="B23" s="127"/>
      <c r="C23" s="127"/>
      <c r="D23" s="127"/>
      <c r="E23" s="127"/>
      <c r="F23" s="127"/>
      <c r="G23" s="133" t="s">
        <v>725</v>
      </c>
      <c r="H23" s="156">
        <f>CHOOSE(Variable_Management!B27,Variable_Management!B47*10^9,Variable_Management!B47*10^6)</f>
        <v>2.7774036662925563</v>
      </c>
      <c r="I23" s="134" t="str">
        <f>CHOOSE(Variable_Management!B27,"nH","uH")</f>
        <v>uH</v>
      </c>
      <c r="J23" s="126"/>
      <c r="K23" s="126"/>
      <c r="L23" s="126"/>
      <c r="M23" s="126"/>
      <c r="N23" s="126"/>
      <c r="O23" s="126"/>
      <c r="P23" s="126"/>
      <c r="Q23" s="126"/>
      <c r="R23" s="126"/>
      <c r="S23" s="126"/>
      <c r="T23" s="126"/>
      <c r="U23" s="127"/>
      <c r="V23" s="126"/>
      <c r="W23" s="126"/>
      <c r="X23" s="126"/>
      <c r="Y23" s="126"/>
      <c r="Z23" s="126"/>
      <c r="AA23" s="115"/>
    </row>
    <row r="24" spans="1:27" x14ac:dyDescent="0.25">
      <c r="A24" s="132"/>
      <c r="B24" s="127"/>
      <c r="C24" s="127"/>
      <c r="D24" s="127"/>
      <c r="E24" s="127"/>
      <c r="F24" s="127"/>
      <c r="G24" s="133" t="s">
        <v>726</v>
      </c>
      <c r="H24" s="153">
        <v>3.3</v>
      </c>
      <c r="I24" s="134" t="str">
        <f>CHOOSE(Variable_Management!B27,"nH","uH")</f>
        <v>uH</v>
      </c>
      <c r="J24" s="126"/>
      <c r="K24" s="126"/>
      <c r="L24" s="126"/>
      <c r="M24" s="126"/>
      <c r="N24" s="126"/>
      <c r="O24" s="126"/>
      <c r="P24" s="126"/>
      <c r="Q24" s="126"/>
      <c r="R24" s="126"/>
      <c r="S24" s="126"/>
      <c r="T24" s="126"/>
      <c r="U24" s="127"/>
      <c r="V24" s="126"/>
      <c r="W24" s="126"/>
      <c r="X24" s="126"/>
      <c r="Y24" s="126"/>
      <c r="Z24" s="126"/>
      <c r="AA24" s="115"/>
    </row>
    <row r="25" spans="1:27" x14ac:dyDescent="0.25">
      <c r="A25" s="132"/>
      <c r="B25" s="127"/>
      <c r="C25" s="127"/>
      <c r="D25" s="127"/>
      <c r="E25" s="127"/>
      <c r="F25" s="127"/>
      <c r="G25" s="133" t="s">
        <v>626</v>
      </c>
      <c r="H25" s="153">
        <v>6</v>
      </c>
      <c r="I25" s="134" t="s">
        <v>81</v>
      </c>
      <c r="J25" s="126"/>
      <c r="K25" s="126"/>
      <c r="L25" s="126"/>
      <c r="M25" s="126"/>
      <c r="N25" s="126"/>
      <c r="O25" s="126"/>
      <c r="P25" s="126"/>
      <c r="Q25" s="126"/>
      <c r="R25" s="126"/>
      <c r="S25" s="126"/>
      <c r="T25" s="126"/>
      <c r="U25" s="127"/>
      <c r="V25" s="126"/>
      <c r="W25" s="126"/>
      <c r="X25" s="126"/>
      <c r="Y25" s="126"/>
      <c r="Z25" s="126"/>
      <c r="AA25" s="115"/>
    </row>
    <row r="26" spans="1:27" ht="15.75" thickBot="1" x14ac:dyDescent="0.3">
      <c r="A26" s="143"/>
      <c r="B26" s="138"/>
      <c r="C26" s="138"/>
      <c r="D26" s="138"/>
      <c r="E26" s="138"/>
      <c r="F26" s="138"/>
      <c r="G26" s="144" t="s">
        <v>622</v>
      </c>
      <c r="H26" s="157">
        <f>ILp_VINmin</f>
        <v>57.727272727272727</v>
      </c>
      <c r="I26" s="139" t="s">
        <v>6</v>
      </c>
      <c r="J26" s="126"/>
      <c r="K26" s="126"/>
      <c r="L26" s="126"/>
      <c r="M26" s="126"/>
      <c r="N26" s="126"/>
      <c r="O26" s="126"/>
      <c r="P26" s="126"/>
      <c r="Q26" s="126"/>
      <c r="R26" s="126"/>
      <c r="S26" s="126"/>
      <c r="T26" s="126"/>
      <c r="U26" s="127"/>
      <c r="V26" s="126"/>
      <c r="W26" s="126"/>
      <c r="X26" s="126"/>
      <c r="Y26" s="126"/>
      <c r="Z26" s="126"/>
      <c r="AA26" s="115"/>
    </row>
    <row r="27" spans="1:27" x14ac:dyDescent="0.25">
      <c r="A27" s="126"/>
      <c r="B27" s="126"/>
      <c r="C27" s="126"/>
      <c r="D27" s="126"/>
      <c r="E27" s="126"/>
      <c r="F27" s="126"/>
      <c r="G27" s="282"/>
      <c r="H27" s="126"/>
      <c r="I27" s="126"/>
      <c r="J27" s="126"/>
      <c r="K27" s="126"/>
      <c r="L27" s="126"/>
      <c r="M27" s="126"/>
      <c r="N27" s="126"/>
      <c r="O27" s="126"/>
      <c r="P27" s="126"/>
      <c r="Q27" s="126"/>
      <c r="R27" s="126"/>
      <c r="S27" s="126"/>
      <c r="T27" s="126"/>
      <c r="U27" s="127"/>
      <c r="V27" s="126"/>
      <c r="W27" s="126"/>
      <c r="X27" s="126"/>
      <c r="Y27" s="126"/>
      <c r="Z27" s="126"/>
      <c r="AA27" s="115"/>
    </row>
    <row r="28" spans="1:27" ht="15.75" thickBot="1" x14ac:dyDescent="0.3">
      <c r="A28" s="141" t="s">
        <v>619</v>
      </c>
      <c r="B28" s="126"/>
      <c r="C28" s="126"/>
      <c r="D28" s="126"/>
      <c r="E28" s="126"/>
      <c r="F28" s="126"/>
      <c r="G28" s="282"/>
      <c r="H28" s="126"/>
      <c r="I28" s="126"/>
      <c r="J28" s="126"/>
      <c r="K28" s="126"/>
      <c r="L28" s="126"/>
      <c r="M28" s="126"/>
      <c r="N28" s="126"/>
      <c r="O28" s="126"/>
      <c r="P28" s="126"/>
      <c r="Q28" s="126"/>
      <c r="R28" s="126"/>
      <c r="S28" s="126"/>
      <c r="T28" s="126"/>
      <c r="U28" s="127"/>
      <c r="V28" s="126"/>
      <c r="W28" s="126"/>
      <c r="X28" s="126"/>
      <c r="Y28" s="126"/>
      <c r="Z28" s="126"/>
      <c r="AA28" s="115"/>
    </row>
    <row r="29" spans="1:27" x14ac:dyDescent="0.25">
      <c r="A29" s="128"/>
      <c r="B29" s="129"/>
      <c r="C29" s="129"/>
      <c r="D29" s="129"/>
      <c r="E29" s="129"/>
      <c r="F29" s="129"/>
      <c r="G29" s="130" t="s">
        <v>596</v>
      </c>
      <c r="H29" s="152">
        <v>40</v>
      </c>
      <c r="I29" s="239" t="s">
        <v>6</v>
      </c>
      <c r="J29" s="126"/>
      <c r="K29" s="126"/>
      <c r="L29" s="126"/>
      <c r="M29" s="126"/>
      <c r="N29" s="126"/>
      <c r="O29" s="126"/>
      <c r="P29" s="126"/>
      <c r="Q29" s="126"/>
      <c r="R29" s="126"/>
      <c r="S29" s="126"/>
      <c r="T29" s="126"/>
      <c r="U29" s="127"/>
      <c r="V29" s="126"/>
      <c r="W29" s="126"/>
      <c r="X29" s="126"/>
      <c r="Y29" s="126"/>
      <c r="Z29" s="126"/>
      <c r="AA29" s="115"/>
    </row>
    <row r="30" spans="1:27" x14ac:dyDescent="0.25">
      <c r="A30" s="132"/>
      <c r="B30" s="127"/>
      <c r="C30" s="127"/>
      <c r="D30" s="127"/>
      <c r="E30" s="127"/>
      <c r="F30" s="127"/>
      <c r="G30" s="137" t="s">
        <v>727</v>
      </c>
      <c r="H30" s="154">
        <f>Variable_Management!B89*1000</f>
        <v>1.5</v>
      </c>
      <c r="I30" s="155" t="s">
        <v>81</v>
      </c>
      <c r="J30" s="126"/>
      <c r="K30" s="126"/>
      <c r="L30" s="126"/>
      <c r="M30" s="126"/>
      <c r="N30" s="126"/>
      <c r="O30" s="126"/>
      <c r="P30" s="126"/>
      <c r="Q30" s="126"/>
      <c r="R30" s="126"/>
      <c r="S30" s="126"/>
      <c r="T30" s="126"/>
      <c r="U30" s="127"/>
      <c r="V30" s="126"/>
      <c r="W30" s="126"/>
      <c r="X30" s="126"/>
      <c r="Y30" s="126"/>
      <c r="Z30" s="126"/>
      <c r="AA30" s="115"/>
    </row>
    <row r="31" spans="1:27" x14ac:dyDescent="0.25">
      <c r="A31" s="132"/>
      <c r="B31" s="127"/>
      <c r="C31" s="127"/>
      <c r="D31" s="127"/>
      <c r="E31" s="127"/>
      <c r="F31" s="127"/>
      <c r="G31" s="137" t="s">
        <v>728</v>
      </c>
      <c r="H31" s="153">
        <v>1.5</v>
      </c>
      <c r="I31" s="155" t="s">
        <v>81</v>
      </c>
      <c r="J31" s="126"/>
      <c r="K31" s="126"/>
      <c r="L31" s="126"/>
      <c r="M31" s="126"/>
      <c r="N31" s="126"/>
      <c r="O31" s="126"/>
      <c r="P31" s="126"/>
      <c r="Q31" s="126"/>
      <c r="R31" s="126"/>
      <c r="S31" s="126"/>
      <c r="T31" s="126"/>
      <c r="U31" s="127"/>
      <c r="V31" s="126"/>
      <c r="W31" s="126"/>
      <c r="X31" s="126"/>
      <c r="Y31" s="126"/>
      <c r="Z31" s="126"/>
      <c r="AA31" s="115"/>
    </row>
    <row r="32" spans="1:27" ht="15.75" thickBot="1" x14ac:dyDescent="0.3">
      <c r="A32" s="138"/>
      <c r="B32" s="138"/>
      <c r="C32" s="138"/>
      <c r="D32" s="138"/>
      <c r="E32" s="138"/>
      <c r="F32" s="138"/>
      <c r="G32" s="227" t="s">
        <v>627</v>
      </c>
      <c r="H32" s="158">
        <f>IL_pk_max</f>
        <v>40</v>
      </c>
      <c r="I32" s="258" t="s">
        <v>6</v>
      </c>
      <c r="J32" s="126"/>
      <c r="K32" s="126"/>
      <c r="L32" s="126"/>
      <c r="M32" s="126"/>
      <c r="N32" s="126"/>
      <c r="O32" s="126"/>
      <c r="P32" s="126"/>
      <c r="Q32" s="126"/>
      <c r="R32" s="126"/>
      <c r="S32" s="126"/>
      <c r="T32" s="126"/>
      <c r="U32" s="127"/>
      <c r="V32" s="126"/>
      <c r="W32" s="126"/>
      <c r="X32" s="126"/>
      <c r="Y32" s="126"/>
      <c r="Z32" s="126"/>
      <c r="AA32" s="115"/>
    </row>
    <row r="33" spans="1:27" x14ac:dyDescent="0.25">
      <c r="A33" s="127"/>
      <c r="B33" s="127"/>
      <c r="C33" s="127"/>
      <c r="D33" s="127"/>
      <c r="E33" s="127"/>
      <c r="F33" s="127"/>
      <c r="G33" s="137"/>
      <c r="H33" s="257"/>
      <c r="I33" s="259"/>
      <c r="J33" s="126"/>
      <c r="K33" s="126"/>
      <c r="L33" s="126"/>
      <c r="M33" s="126"/>
      <c r="N33" s="126"/>
      <c r="O33" s="126"/>
      <c r="P33" s="126"/>
      <c r="Q33" s="126"/>
      <c r="R33" s="126"/>
      <c r="S33" s="126"/>
      <c r="T33" s="126"/>
      <c r="U33" s="127"/>
      <c r="V33" s="126"/>
      <c r="W33" s="126"/>
      <c r="X33" s="126"/>
      <c r="Y33" s="126"/>
      <c r="Z33" s="126"/>
      <c r="AA33" s="115"/>
    </row>
    <row r="34" spans="1:27" ht="15.75" thickBot="1" x14ac:dyDescent="0.3">
      <c r="A34" s="141" t="s">
        <v>136</v>
      </c>
      <c r="B34" s="126"/>
      <c r="C34" s="126"/>
      <c r="D34" s="126"/>
      <c r="E34" s="126"/>
      <c r="F34" s="126"/>
      <c r="G34" s="282"/>
      <c r="H34" s="126"/>
      <c r="I34" s="126"/>
      <c r="J34" s="126"/>
      <c r="K34" s="126"/>
      <c r="L34" s="126"/>
      <c r="M34" s="126"/>
      <c r="N34" s="126"/>
      <c r="O34" s="126"/>
      <c r="P34" s="126"/>
      <c r="Q34" s="126"/>
      <c r="R34" s="126"/>
      <c r="S34" s="126"/>
      <c r="T34" s="126"/>
      <c r="U34" s="127"/>
      <c r="V34" s="126"/>
      <c r="W34" s="126"/>
      <c r="X34" s="126"/>
      <c r="Y34" s="126"/>
      <c r="Z34" s="126"/>
      <c r="AA34" s="115"/>
    </row>
    <row r="35" spans="1:27" x14ac:dyDescent="0.25">
      <c r="A35" s="128"/>
      <c r="B35" s="129"/>
      <c r="C35" s="129"/>
      <c r="D35" s="129"/>
      <c r="E35" s="129"/>
      <c r="F35" s="129"/>
      <c r="G35" s="278" t="s">
        <v>618</v>
      </c>
      <c r="H35" s="152">
        <v>1200</v>
      </c>
      <c r="I35" s="131" t="s">
        <v>137</v>
      </c>
      <c r="J35" s="126"/>
      <c r="K35" s="126"/>
      <c r="L35" s="126"/>
      <c r="M35" s="126"/>
      <c r="N35" s="126"/>
      <c r="O35" s="126"/>
      <c r="P35" s="126"/>
      <c r="Q35" s="126"/>
      <c r="R35" s="126"/>
      <c r="S35" s="126"/>
      <c r="T35" s="126"/>
      <c r="U35" s="127"/>
      <c r="V35" s="126"/>
      <c r="W35" s="126"/>
      <c r="X35" s="126"/>
      <c r="Y35" s="126"/>
      <c r="Z35" s="126"/>
      <c r="AA35" s="115"/>
    </row>
    <row r="36" spans="1:27" x14ac:dyDescent="0.25">
      <c r="A36" s="132"/>
      <c r="B36" s="127"/>
      <c r="C36" s="127"/>
      <c r="D36" s="127"/>
      <c r="E36" s="127"/>
      <c r="F36" s="127"/>
      <c r="G36" s="137" t="s">
        <v>631</v>
      </c>
      <c r="H36" s="154">
        <f>Cout_min*Np*10^6</f>
        <v>924.30555555555566</v>
      </c>
      <c r="I36" s="134" t="s">
        <v>138</v>
      </c>
      <c r="J36" s="126"/>
      <c r="K36" s="126"/>
      <c r="L36" s="126"/>
      <c r="M36" s="126"/>
      <c r="N36" s="126"/>
      <c r="O36" s="126"/>
      <c r="P36" s="126"/>
      <c r="Q36" s="126"/>
      <c r="R36" s="126"/>
      <c r="S36" s="126"/>
      <c r="T36" s="126"/>
      <c r="U36" s="127"/>
      <c r="V36" s="126"/>
      <c r="W36" s="126"/>
      <c r="X36" s="126"/>
      <c r="Y36" s="126"/>
      <c r="Z36" s="126"/>
      <c r="AA36" s="115"/>
    </row>
    <row r="37" spans="1:27" x14ac:dyDescent="0.25">
      <c r="A37" s="132"/>
      <c r="B37" s="127"/>
      <c r="C37" s="127"/>
      <c r="D37" s="127"/>
      <c r="E37" s="127"/>
      <c r="F37" s="127"/>
      <c r="G37" s="285" t="s">
        <v>623</v>
      </c>
      <c r="H37" s="153">
        <v>900</v>
      </c>
      <c r="I37" s="134" t="s">
        <v>138</v>
      </c>
      <c r="J37" s="126"/>
      <c r="K37" s="126"/>
      <c r="L37" s="126"/>
      <c r="M37" s="126"/>
      <c r="N37" s="126"/>
      <c r="O37" s="126"/>
      <c r="P37" s="126"/>
      <c r="Q37" s="126"/>
      <c r="R37" s="126"/>
      <c r="S37" s="126"/>
      <c r="T37" s="126"/>
      <c r="U37" s="127"/>
      <c r="V37" s="126"/>
      <c r="W37" s="126"/>
      <c r="X37" s="126"/>
      <c r="Y37" s="126"/>
      <c r="Z37" s="126"/>
      <c r="AA37" s="115"/>
    </row>
    <row r="38" spans="1:27" ht="15.75" thickBot="1" x14ac:dyDescent="0.3">
      <c r="A38" s="143"/>
      <c r="B38" s="138"/>
      <c r="C38" s="138"/>
      <c r="D38" s="138"/>
      <c r="E38" s="138"/>
      <c r="F38" s="138"/>
      <c r="G38" s="227" t="s">
        <v>624</v>
      </c>
      <c r="H38" s="159">
        <v>2</v>
      </c>
      <c r="I38" s="139" t="s">
        <v>81</v>
      </c>
      <c r="J38" s="126"/>
      <c r="K38" s="126"/>
      <c r="L38" s="126"/>
      <c r="M38" s="126"/>
      <c r="N38" s="126"/>
      <c r="O38" s="126"/>
      <c r="P38" s="126"/>
      <c r="Q38" s="126"/>
      <c r="R38" s="126"/>
      <c r="S38" s="126"/>
      <c r="T38" s="126"/>
      <c r="U38" s="127"/>
      <c r="V38" s="126"/>
      <c r="W38" s="126"/>
      <c r="X38" s="126"/>
      <c r="Y38" s="126"/>
      <c r="Z38" s="126"/>
      <c r="AA38" s="115"/>
    </row>
    <row r="39" spans="1:27" x14ac:dyDescent="0.25">
      <c r="A39" s="127"/>
      <c r="B39" s="127"/>
      <c r="C39" s="127"/>
      <c r="D39" s="127"/>
      <c r="E39" s="127"/>
      <c r="F39" s="127"/>
      <c r="G39" s="137"/>
      <c r="H39" s="257"/>
      <c r="I39" s="127"/>
      <c r="J39" s="126"/>
      <c r="K39" s="126"/>
      <c r="L39" s="126"/>
      <c r="M39" s="126"/>
      <c r="N39" s="126"/>
      <c r="O39" s="126"/>
      <c r="P39" s="126"/>
      <c r="Q39" s="126"/>
      <c r="R39" s="126"/>
      <c r="S39" s="126"/>
      <c r="T39" s="126"/>
      <c r="U39" s="127"/>
      <c r="V39" s="126"/>
      <c r="W39" s="126"/>
      <c r="X39" s="126"/>
      <c r="Y39" s="126"/>
      <c r="Z39" s="126"/>
      <c r="AA39" s="115"/>
    </row>
    <row r="40" spans="1:27" ht="15.75" thickBot="1" x14ac:dyDescent="0.3">
      <c r="A40" s="141" t="s">
        <v>636</v>
      </c>
      <c r="B40" s="126"/>
      <c r="C40" s="126"/>
      <c r="D40" s="126"/>
      <c r="E40" s="126"/>
      <c r="F40" s="126"/>
      <c r="G40" s="282"/>
      <c r="H40" s="126"/>
      <c r="I40" s="126"/>
      <c r="J40" s="126"/>
      <c r="K40" s="126"/>
      <c r="L40" s="126"/>
      <c r="M40" s="126"/>
      <c r="N40" s="126"/>
      <c r="O40" s="126"/>
      <c r="P40" s="126"/>
      <c r="Q40" s="126"/>
      <c r="R40" s="126"/>
      <c r="S40" s="126"/>
      <c r="T40" s="126"/>
      <c r="U40" s="127"/>
      <c r="V40" s="126"/>
      <c r="W40" s="126"/>
      <c r="X40" s="126"/>
      <c r="Y40" s="126"/>
      <c r="Z40" s="126"/>
      <c r="AA40" s="115"/>
    </row>
    <row r="41" spans="1:27" x14ac:dyDescent="0.25">
      <c r="A41" s="128"/>
      <c r="B41" s="129"/>
      <c r="C41" s="129"/>
      <c r="D41" s="129"/>
      <c r="E41" s="129"/>
      <c r="F41" s="129"/>
      <c r="G41" s="278" t="s">
        <v>729</v>
      </c>
      <c r="H41" s="239">
        <f>V_ATRK</f>
        <v>1.5</v>
      </c>
      <c r="I41" s="131" t="s">
        <v>5</v>
      </c>
      <c r="J41" s="126"/>
      <c r="K41" s="126"/>
      <c r="L41" s="126"/>
      <c r="M41" s="126"/>
      <c r="N41" s="126"/>
      <c r="O41" s="126"/>
      <c r="P41" s="126"/>
      <c r="Q41" s="126"/>
      <c r="R41" s="126"/>
      <c r="S41" s="126"/>
      <c r="T41" s="126"/>
      <c r="U41" s="127"/>
      <c r="V41" s="126"/>
      <c r="W41" s="126"/>
      <c r="X41" s="126"/>
      <c r="Y41" s="126"/>
      <c r="Z41" s="126"/>
      <c r="AA41" s="115"/>
    </row>
    <row r="42" spans="1:27" x14ac:dyDescent="0.25">
      <c r="A42" s="132"/>
      <c r="B42" s="127"/>
      <c r="C42" s="127"/>
      <c r="D42" s="127"/>
      <c r="E42" s="127"/>
      <c r="F42" s="127"/>
      <c r="G42" s="133" t="s">
        <v>575</v>
      </c>
      <c r="H42" s="154">
        <f>R_ATRK/1000</f>
        <v>75</v>
      </c>
      <c r="I42" s="134" t="s">
        <v>63</v>
      </c>
      <c r="J42" s="126"/>
      <c r="K42" s="126"/>
      <c r="L42" s="126"/>
      <c r="M42" s="126"/>
      <c r="N42" s="126"/>
      <c r="O42" s="126"/>
      <c r="P42" s="126"/>
      <c r="Q42" s="126"/>
      <c r="R42" s="126"/>
      <c r="S42" s="126"/>
      <c r="T42" s="126"/>
      <c r="U42" s="127"/>
      <c r="V42" s="126"/>
      <c r="W42" s="126"/>
      <c r="X42" s="126"/>
      <c r="Y42" s="126"/>
      <c r="Z42" s="126"/>
      <c r="AA42" s="115"/>
    </row>
    <row r="43" spans="1:27" ht="15.75" thickBot="1" x14ac:dyDescent="0.3">
      <c r="A43" s="143"/>
      <c r="B43" s="138"/>
      <c r="C43" s="138"/>
      <c r="D43" s="138"/>
      <c r="E43" s="138"/>
      <c r="F43" s="138"/>
      <c r="G43" s="227" t="s">
        <v>630</v>
      </c>
      <c r="H43" s="158">
        <f>Variable_Management!B20</f>
        <v>60</v>
      </c>
      <c r="I43" s="139" t="s">
        <v>8</v>
      </c>
      <c r="J43" s="126"/>
      <c r="K43" s="126"/>
      <c r="L43" s="126"/>
      <c r="M43" s="126"/>
      <c r="N43" s="126"/>
      <c r="O43" s="126"/>
      <c r="P43" s="126"/>
      <c r="Q43" s="126"/>
      <c r="R43" s="126"/>
      <c r="S43" s="126"/>
      <c r="T43" s="126"/>
      <c r="U43" s="127"/>
      <c r="V43" s="126"/>
      <c r="W43" s="126"/>
      <c r="X43" s="126"/>
      <c r="Y43" s="126"/>
      <c r="Z43" s="126"/>
      <c r="AA43" s="115"/>
    </row>
    <row r="44" spans="1:27" x14ac:dyDescent="0.25">
      <c r="A44" s="127"/>
      <c r="B44" s="127"/>
      <c r="C44" s="127"/>
      <c r="D44" s="127"/>
      <c r="E44" s="127"/>
      <c r="F44" s="127"/>
      <c r="G44" s="137"/>
      <c r="H44" s="257"/>
      <c r="I44" s="259"/>
      <c r="J44" s="126"/>
      <c r="K44" s="126"/>
      <c r="L44" s="126"/>
      <c r="M44" s="126"/>
      <c r="N44" s="126"/>
      <c r="O44" s="126"/>
      <c r="P44" s="126"/>
      <c r="Q44" s="126"/>
      <c r="R44" s="126"/>
      <c r="S44" s="126"/>
      <c r="T44" s="126"/>
      <c r="U44" s="127"/>
      <c r="V44" s="126"/>
      <c r="W44" s="126"/>
      <c r="X44" s="126"/>
      <c r="Y44" s="126"/>
      <c r="Z44" s="126"/>
      <c r="AA44" s="115"/>
    </row>
    <row r="45" spans="1:27" ht="15.75" thickBot="1" x14ac:dyDescent="0.3">
      <c r="A45" s="141" t="s">
        <v>637</v>
      </c>
      <c r="B45" s="127"/>
      <c r="C45" s="127"/>
      <c r="D45" s="127"/>
      <c r="E45" s="127"/>
      <c r="F45" s="127"/>
      <c r="G45" s="137"/>
      <c r="H45" s="257"/>
      <c r="I45" s="259"/>
      <c r="J45" s="126"/>
      <c r="K45" s="126"/>
      <c r="L45" s="126"/>
      <c r="M45" s="126"/>
      <c r="N45" s="126"/>
      <c r="O45" s="126"/>
      <c r="P45" s="126"/>
      <c r="Q45" s="126"/>
      <c r="R45" s="126"/>
      <c r="S45" s="126"/>
      <c r="T45" s="126"/>
      <c r="U45" s="127"/>
      <c r="V45" s="126"/>
      <c r="W45" s="126"/>
      <c r="X45" s="126"/>
      <c r="Y45" s="126"/>
      <c r="Z45" s="126"/>
      <c r="AA45" s="115"/>
    </row>
    <row r="46" spans="1:27" x14ac:dyDescent="0.25">
      <c r="A46" s="128"/>
      <c r="B46" s="129"/>
      <c r="C46" s="129"/>
      <c r="D46" s="129"/>
      <c r="E46" s="129"/>
      <c r="F46" s="129"/>
      <c r="G46" s="278" t="s">
        <v>632</v>
      </c>
      <c r="H46" s="266">
        <v>26</v>
      </c>
      <c r="I46" s="260" t="s">
        <v>6</v>
      </c>
      <c r="J46" s="126"/>
      <c r="K46" s="126"/>
      <c r="L46" s="126"/>
      <c r="M46" s="126"/>
      <c r="N46" s="126"/>
      <c r="O46" s="126"/>
      <c r="P46" s="126"/>
      <c r="Q46" s="126"/>
      <c r="R46" s="126"/>
      <c r="S46" s="126"/>
      <c r="T46" s="126"/>
      <c r="U46" s="127"/>
      <c r="V46" s="126"/>
      <c r="W46" s="126"/>
      <c r="X46" s="126"/>
      <c r="Y46" s="126"/>
      <c r="Z46" s="126"/>
      <c r="AA46" s="115"/>
    </row>
    <row r="47" spans="1:27" x14ac:dyDescent="0.25">
      <c r="A47" s="132"/>
      <c r="B47" s="127"/>
      <c r="C47" s="127"/>
      <c r="D47" s="127"/>
      <c r="E47" s="127"/>
      <c r="F47" s="127"/>
      <c r="G47" s="137" t="s">
        <v>754</v>
      </c>
      <c r="H47" s="154">
        <f>Variable_Management!B122</f>
        <v>47.648544336970502</v>
      </c>
      <c r="I47" s="262" t="s">
        <v>156</v>
      </c>
      <c r="J47" s="126"/>
      <c r="K47" s="126"/>
      <c r="L47" s="126"/>
      <c r="M47" s="126"/>
      <c r="N47" s="126"/>
      <c r="O47" s="126"/>
      <c r="P47" s="126"/>
      <c r="Q47" s="126"/>
      <c r="R47" s="126"/>
      <c r="S47" s="126"/>
      <c r="T47" s="126"/>
      <c r="U47" s="127"/>
      <c r="V47" s="126"/>
      <c r="W47" s="126"/>
      <c r="X47" s="126"/>
      <c r="Y47" s="126"/>
      <c r="Z47" s="126"/>
      <c r="AA47" s="115"/>
    </row>
    <row r="48" spans="1:27" x14ac:dyDescent="0.25">
      <c r="A48" s="132"/>
      <c r="B48" s="127"/>
      <c r="C48" s="127"/>
      <c r="D48" s="127"/>
      <c r="E48" s="127"/>
      <c r="F48" s="127"/>
      <c r="G48" s="137" t="s">
        <v>577</v>
      </c>
      <c r="H48" s="153">
        <v>47.5</v>
      </c>
      <c r="I48" s="134" t="s">
        <v>156</v>
      </c>
      <c r="J48" s="126"/>
      <c r="K48" s="126"/>
      <c r="L48" s="126"/>
      <c r="M48" s="126"/>
      <c r="N48" s="126"/>
      <c r="O48" s="126"/>
      <c r="P48" s="126"/>
      <c r="Q48" s="126"/>
      <c r="R48" s="126"/>
      <c r="S48" s="126"/>
      <c r="T48" s="126"/>
      <c r="U48" s="127"/>
      <c r="V48" s="126"/>
      <c r="W48" s="126"/>
      <c r="X48" s="126"/>
      <c r="Y48" s="126"/>
      <c r="Z48" s="126"/>
      <c r="AA48" s="115"/>
    </row>
    <row r="49" spans="1:27" x14ac:dyDescent="0.25">
      <c r="A49" s="132"/>
      <c r="B49" s="127"/>
      <c r="C49" s="127"/>
      <c r="D49" s="127"/>
      <c r="E49" s="127"/>
      <c r="F49" s="127"/>
      <c r="G49" s="137" t="s">
        <v>753</v>
      </c>
      <c r="H49" s="328">
        <f>Variable_Management!B124</f>
        <v>0.99688250000000012</v>
      </c>
      <c r="I49" s="134" t="s">
        <v>5</v>
      </c>
      <c r="J49" s="126"/>
      <c r="K49" s="126"/>
      <c r="L49" s="126"/>
      <c r="M49" s="126"/>
      <c r="N49" s="126"/>
      <c r="O49" s="126"/>
      <c r="P49" s="126"/>
      <c r="Q49" s="126"/>
      <c r="R49" s="126"/>
      <c r="S49" s="126"/>
      <c r="T49" s="126"/>
      <c r="U49" s="127"/>
      <c r="V49" s="126"/>
      <c r="W49" s="126"/>
      <c r="X49" s="126"/>
      <c r="Y49" s="126"/>
      <c r="Z49" s="126"/>
      <c r="AA49" s="115"/>
    </row>
    <row r="50" spans="1:27" x14ac:dyDescent="0.25">
      <c r="A50" s="132"/>
      <c r="B50" s="127"/>
      <c r="C50" s="127"/>
      <c r="D50" s="127"/>
      <c r="E50" s="127"/>
      <c r="F50" s="127"/>
      <c r="G50" s="137" t="s">
        <v>633</v>
      </c>
      <c r="H50" s="183">
        <f>Variable_Management!B125</f>
        <v>26.131394552447183</v>
      </c>
      <c r="I50" s="134" t="s">
        <v>6</v>
      </c>
      <c r="J50" s="126"/>
      <c r="K50" s="126"/>
      <c r="L50" s="126"/>
      <c r="M50" s="126"/>
      <c r="N50" s="126"/>
      <c r="O50" s="126"/>
      <c r="P50" s="126"/>
      <c r="Q50" s="126"/>
      <c r="R50" s="126"/>
      <c r="S50" s="126"/>
      <c r="T50" s="126"/>
      <c r="U50" s="127"/>
      <c r="V50" s="126"/>
      <c r="W50" s="126"/>
      <c r="X50" s="126"/>
      <c r="Y50" s="126"/>
      <c r="Z50" s="126"/>
      <c r="AA50" s="115"/>
    </row>
    <row r="51" spans="1:27" x14ac:dyDescent="0.25">
      <c r="A51" s="132"/>
      <c r="B51" s="127"/>
      <c r="C51" s="127"/>
      <c r="D51" s="127"/>
      <c r="E51" s="127"/>
      <c r="F51" s="127"/>
      <c r="G51" s="137" t="s">
        <v>703</v>
      </c>
      <c r="H51" s="320">
        <v>52</v>
      </c>
      <c r="I51" s="134" t="s">
        <v>6</v>
      </c>
      <c r="J51" s="126"/>
      <c r="K51" s="126"/>
      <c r="L51" s="126"/>
      <c r="M51" s="126"/>
      <c r="N51" s="126"/>
      <c r="O51" s="126"/>
      <c r="P51" s="126"/>
      <c r="Q51" s="126"/>
      <c r="R51" s="126"/>
      <c r="S51" s="126"/>
      <c r="T51" s="126"/>
      <c r="U51" s="127"/>
      <c r="V51" s="126"/>
      <c r="W51" s="126"/>
      <c r="X51" s="126"/>
      <c r="Y51" s="126"/>
      <c r="Z51" s="126"/>
      <c r="AA51" s="115"/>
    </row>
    <row r="52" spans="1:27" x14ac:dyDescent="0.25">
      <c r="A52" s="132"/>
      <c r="B52" s="127"/>
      <c r="C52" s="127"/>
      <c r="D52" s="127"/>
      <c r="E52" s="127"/>
      <c r="F52" s="127"/>
      <c r="G52" s="137" t="s">
        <v>635</v>
      </c>
      <c r="H52" s="153">
        <v>100</v>
      </c>
      <c r="I52" s="134" t="s">
        <v>257</v>
      </c>
      <c r="J52" s="126"/>
      <c r="K52" s="126"/>
      <c r="L52" s="126"/>
      <c r="M52" s="126"/>
      <c r="N52" s="126"/>
      <c r="O52" s="126"/>
      <c r="P52" s="126"/>
      <c r="Q52" s="126"/>
      <c r="R52" s="126"/>
      <c r="S52" s="126"/>
      <c r="T52" s="126"/>
      <c r="U52" s="127"/>
      <c r="V52" s="126"/>
      <c r="W52" s="126"/>
      <c r="X52" s="126"/>
      <c r="Y52" s="126"/>
      <c r="Z52" s="126"/>
      <c r="AA52" s="115"/>
    </row>
    <row r="53" spans="1:27" x14ac:dyDescent="0.25">
      <c r="A53" s="132"/>
      <c r="B53" s="127"/>
      <c r="C53" s="127"/>
      <c r="D53" s="127"/>
      <c r="E53" s="127"/>
      <c r="F53" s="127"/>
      <c r="G53" s="137" t="s">
        <v>578</v>
      </c>
      <c r="H53" s="270">
        <f>Variable_Management!B131</f>
        <v>3.015213492602685</v>
      </c>
      <c r="I53" s="134" t="s">
        <v>138</v>
      </c>
      <c r="J53" s="126"/>
      <c r="K53" s="126"/>
      <c r="L53" s="126"/>
      <c r="M53" s="126"/>
      <c r="N53" s="126"/>
      <c r="O53" s="126"/>
      <c r="P53" s="126"/>
      <c r="Q53" s="126"/>
      <c r="R53" s="126"/>
      <c r="S53" s="126"/>
      <c r="T53" s="126"/>
      <c r="U53" s="127"/>
      <c r="V53" s="126"/>
      <c r="W53" s="126"/>
      <c r="X53" s="126"/>
      <c r="Y53" s="126"/>
      <c r="Z53" s="126"/>
      <c r="AA53" s="115"/>
    </row>
    <row r="54" spans="1:27" x14ac:dyDescent="0.25">
      <c r="A54" s="132"/>
      <c r="B54" s="127"/>
      <c r="C54" s="127"/>
      <c r="D54" s="127"/>
      <c r="E54" s="127"/>
      <c r="F54" s="127"/>
      <c r="G54" s="137" t="s">
        <v>579</v>
      </c>
      <c r="H54" s="321">
        <v>3.3</v>
      </c>
      <c r="I54" s="134" t="s">
        <v>138</v>
      </c>
      <c r="J54" s="126"/>
      <c r="K54" s="126"/>
      <c r="L54" s="126"/>
      <c r="M54" s="126"/>
      <c r="N54" s="126"/>
      <c r="O54" s="126"/>
      <c r="P54" s="126"/>
      <c r="Q54" s="126"/>
      <c r="R54" s="126"/>
      <c r="S54" s="126"/>
      <c r="T54" s="126"/>
      <c r="U54" s="127"/>
      <c r="V54" s="126"/>
      <c r="W54" s="126"/>
      <c r="X54" s="126"/>
      <c r="Y54" s="126"/>
      <c r="Z54" s="126"/>
      <c r="AA54" s="115"/>
    </row>
    <row r="55" spans="1:27" x14ac:dyDescent="0.25">
      <c r="A55" s="132"/>
      <c r="B55" s="127"/>
      <c r="C55" s="127"/>
      <c r="D55" s="127"/>
      <c r="E55" s="127"/>
      <c r="F55" s="127"/>
      <c r="G55" s="137" t="s">
        <v>715</v>
      </c>
      <c r="H55" s="270">
        <f>Variable_Management!B133</f>
        <v>4.8253232966608763</v>
      </c>
      <c r="I55" s="134" t="s">
        <v>156</v>
      </c>
      <c r="J55" s="126"/>
      <c r="K55" s="126"/>
      <c r="L55" s="126"/>
      <c r="M55" s="126"/>
      <c r="N55" s="126"/>
      <c r="O55" s="126"/>
      <c r="P55" s="126"/>
      <c r="Q55" s="126"/>
      <c r="R55" s="126"/>
      <c r="S55" s="126"/>
      <c r="T55" s="126"/>
      <c r="U55" s="127"/>
      <c r="V55" s="126"/>
      <c r="W55" s="126"/>
      <c r="X55" s="126"/>
      <c r="Y55" s="126"/>
      <c r="Z55" s="126"/>
      <c r="AA55" s="115"/>
    </row>
    <row r="56" spans="1:27" x14ac:dyDescent="0.25">
      <c r="A56" s="132"/>
      <c r="B56" s="127"/>
      <c r="C56" s="127"/>
      <c r="D56" s="127"/>
      <c r="E56" s="127"/>
      <c r="F56" s="127"/>
      <c r="G56" s="137" t="s">
        <v>730</v>
      </c>
      <c r="H56" s="321">
        <v>10</v>
      </c>
      <c r="I56" s="134" t="s">
        <v>157</v>
      </c>
      <c r="J56" s="126"/>
      <c r="K56" s="126"/>
      <c r="L56" s="126"/>
      <c r="M56" s="126"/>
      <c r="N56" s="126"/>
      <c r="O56" s="126"/>
      <c r="P56" s="126"/>
      <c r="Q56" s="126"/>
      <c r="R56" s="126"/>
      <c r="S56" s="126"/>
      <c r="T56" s="126"/>
      <c r="U56" s="127"/>
      <c r="V56" s="126"/>
      <c r="W56" s="126"/>
      <c r="X56" s="126"/>
      <c r="Y56" s="126"/>
      <c r="Z56" s="126"/>
      <c r="AA56" s="115"/>
    </row>
    <row r="57" spans="1:27" ht="15.75" thickBot="1" x14ac:dyDescent="0.3">
      <c r="A57" s="143"/>
      <c r="B57" s="138"/>
      <c r="C57" s="138"/>
      <c r="D57" s="138"/>
      <c r="E57" s="138"/>
      <c r="F57" s="138"/>
      <c r="G57" s="227" t="s">
        <v>706</v>
      </c>
      <c r="H57" s="322">
        <f>Variable_Management!B137</f>
        <v>109.45018650248116</v>
      </c>
      <c r="I57" s="139" t="s">
        <v>257</v>
      </c>
      <c r="J57" s="126"/>
      <c r="K57" s="126"/>
      <c r="L57" s="126"/>
      <c r="M57" s="126"/>
      <c r="N57" s="126"/>
      <c r="O57" s="126"/>
      <c r="P57" s="126"/>
      <c r="Q57" s="126"/>
      <c r="R57" s="126"/>
      <c r="S57" s="126"/>
      <c r="T57" s="126"/>
      <c r="U57" s="127"/>
      <c r="V57" s="126"/>
      <c r="W57" s="126"/>
      <c r="X57" s="126"/>
      <c r="Y57" s="126"/>
      <c r="Z57" s="126"/>
      <c r="AA57" s="115"/>
    </row>
    <row r="58" spans="1:27" x14ac:dyDescent="0.25">
      <c r="A58" s="127"/>
      <c r="B58" s="127"/>
      <c r="C58" s="127"/>
      <c r="D58" s="127"/>
      <c r="E58" s="127"/>
      <c r="F58" s="127"/>
      <c r="G58" s="137"/>
      <c r="H58" s="323"/>
      <c r="I58" s="127"/>
      <c r="J58" s="126"/>
      <c r="K58" s="126"/>
      <c r="L58" s="126"/>
      <c r="M58" s="126"/>
      <c r="N58" s="126"/>
      <c r="O58" s="126"/>
      <c r="P58" s="126"/>
      <c r="Q58" s="126"/>
      <c r="R58" s="126"/>
      <c r="S58" s="126"/>
      <c r="T58" s="126"/>
      <c r="U58" s="127"/>
      <c r="V58" s="126"/>
      <c r="W58" s="126"/>
      <c r="X58" s="126"/>
      <c r="Y58" s="126"/>
      <c r="Z58" s="126"/>
      <c r="AA58" s="115"/>
    </row>
    <row r="59" spans="1:27" ht="15.75" thickBot="1" x14ac:dyDescent="0.3">
      <c r="A59" s="141" t="s">
        <v>638</v>
      </c>
      <c r="B59" s="127"/>
      <c r="C59" s="127"/>
      <c r="D59" s="127"/>
      <c r="E59" s="127"/>
      <c r="F59" s="127"/>
      <c r="G59" s="137"/>
      <c r="H59" s="257"/>
      <c r="I59" s="259"/>
      <c r="J59" s="126"/>
      <c r="K59" s="126"/>
      <c r="L59" s="126"/>
      <c r="M59" s="126"/>
      <c r="N59" s="126"/>
      <c r="O59" s="126"/>
      <c r="P59" s="126"/>
      <c r="Q59" s="126"/>
      <c r="R59" s="126"/>
      <c r="S59" s="126"/>
      <c r="T59" s="126"/>
      <c r="U59" s="127"/>
      <c r="V59" s="126"/>
      <c r="W59" s="126"/>
      <c r="X59" s="126"/>
      <c r="Y59" s="126"/>
      <c r="Z59" s="126"/>
      <c r="AA59" s="115"/>
    </row>
    <row r="60" spans="1:27" x14ac:dyDescent="0.25">
      <c r="A60" s="128"/>
      <c r="B60" s="129"/>
      <c r="C60" s="129"/>
      <c r="D60" s="129"/>
      <c r="E60" s="129"/>
      <c r="F60" s="129"/>
      <c r="G60" s="278" t="s">
        <v>576</v>
      </c>
      <c r="H60" s="152">
        <v>1800</v>
      </c>
      <c r="I60" s="131" t="s">
        <v>157</v>
      </c>
      <c r="J60" s="126"/>
      <c r="K60" s="126"/>
      <c r="L60" s="126"/>
      <c r="M60" s="126"/>
      <c r="N60" s="126"/>
      <c r="O60" s="126"/>
      <c r="P60" s="126"/>
      <c r="Q60" s="126"/>
      <c r="R60" s="126"/>
      <c r="S60" s="126"/>
      <c r="T60" s="126"/>
      <c r="U60" s="127"/>
      <c r="V60" s="126"/>
      <c r="W60" s="126"/>
      <c r="X60" s="126"/>
      <c r="Y60" s="126"/>
      <c r="Z60" s="126"/>
      <c r="AA60" s="115"/>
    </row>
    <row r="61" spans="1:27" x14ac:dyDescent="0.25">
      <c r="A61" s="132"/>
      <c r="B61" s="127"/>
      <c r="C61" s="127"/>
      <c r="D61" s="127"/>
      <c r="E61" s="127"/>
      <c r="F61" s="127"/>
      <c r="G61" s="285" t="s">
        <v>615</v>
      </c>
      <c r="H61" s="234">
        <v>11.2</v>
      </c>
      <c r="I61" s="262" t="s">
        <v>29</v>
      </c>
      <c r="J61" s="126"/>
      <c r="K61" s="126"/>
      <c r="L61" s="126"/>
      <c r="M61" s="126"/>
      <c r="N61" s="126"/>
      <c r="O61" s="126"/>
      <c r="P61" s="126"/>
      <c r="Q61" s="126"/>
      <c r="R61" s="126"/>
      <c r="S61" s="126"/>
      <c r="T61" s="126"/>
      <c r="U61" s="127"/>
      <c r="V61" s="126"/>
      <c r="W61" s="126"/>
      <c r="X61" s="126"/>
      <c r="Y61" s="126"/>
      <c r="Z61" s="126"/>
      <c r="AA61" s="115"/>
    </row>
    <row r="62" spans="1:27" ht="15.75" x14ac:dyDescent="0.3">
      <c r="A62" s="132"/>
      <c r="B62" s="127"/>
      <c r="C62" s="127"/>
      <c r="D62" s="127"/>
      <c r="E62" s="127"/>
      <c r="F62" s="127"/>
      <c r="G62" s="137" t="s">
        <v>553</v>
      </c>
      <c r="H62" s="153">
        <v>1.1000000000000001</v>
      </c>
      <c r="I62" s="134" t="s">
        <v>5</v>
      </c>
      <c r="J62" s="126"/>
      <c r="K62" s="126"/>
      <c r="L62" s="126"/>
      <c r="M62" s="126"/>
      <c r="N62" s="126"/>
      <c r="O62" s="126"/>
      <c r="P62" s="126"/>
      <c r="Q62" s="126"/>
      <c r="R62" s="126"/>
      <c r="S62" s="126"/>
      <c r="T62" s="126"/>
      <c r="U62" s="127"/>
      <c r="V62" s="126"/>
      <c r="W62" s="126"/>
      <c r="X62" s="126"/>
      <c r="Y62" s="126"/>
      <c r="Z62" s="126"/>
      <c r="AA62" s="115"/>
    </row>
    <row r="63" spans="1:27" ht="15.75" thickBot="1" x14ac:dyDescent="0.3">
      <c r="A63" s="143"/>
      <c r="B63" s="138"/>
      <c r="C63" s="138"/>
      <c r="D63" s="138"/>
      <c r="E63" s="138"/>
      <c r="F63" s="138"/>
      <c r="G63" s="227" t="s">
        <v>642</v>
      </c>
      <c r="H63" s="306">
        <f>Variable_Management!B143</f>
        <v>33.795330992296584</v>
      </c>
      <c r="I63" s="139" t="s">
        <v>569</v>
      </c>
      <c r="J63" s="126"/>
      <c r="K63" s="126"/>
      <c r="L63" s="126"/>
      <c r="M63" s="126"/>
      <c r="N63" s="126"/>
      <c r="O63" s="126"/>
      <c r="P63" s="126"/>
      <c r="Q63" s="126"/>
      <c r="R63" s="126"/>
      <c r="S63" s="126"/>
      <c r="T63" s="126"/>
      <c r="U63" s="127"/>
      <c r="V63" s="126"/>
      <c r="W63" s="126"/>
      <c r="X63" s="126"/>
      <c r="Y63" s="126"/>
      <c r="Z63" s="126"/>
      <c r="AA63" s="115"/>
    </row>
    <row r="64" spans="1:27" x14ac:dyDescent="0.25">
      <c r="A64" s="126"/>
      <c r="B64" s="126"/>
      <c r="C64" s="126"/>
      <c r="D64" s="126"/>
      <c r="E64" s="126"/>
      <c r="F64" s="126"/>
      <c r="G64" s="282"/>
      <c r="H64" s="126"/>
      <c r="I64" s="126"/>
      <c r="J64" s="126"/>
      <c r="K64" s="126"/>
      <c r="L64" s="126"/>
      <c r="M64" s="126"/>
      <c r="N64" s="126"/>
      <c r="O64" s="126"/>
      <c r="P64" s="126"/>
      <c r="Q64" s="126"/>
      <c r="R64" s="126"/>
      <c r="S64" s="126"/>
      <c r="T64" s="126"/>
      <c r="U64" s="127"/>
      <c r="V64" s="126"/>
      <c r="W64" s="126"/>
      <c r="X64" s="126"/>
      <c r="Y64" s="126"/>
      <c r="Z64" s="126"/>
      <c r="AA64" s="115"/>
    </row>
    <row r="65" spans="1:27" ht="15.75" thickBot="1" x14ac:dyDescent="0.3">
      <c r="A65" s="141" t="s">
        <v>643</v>
      </c>
      <c r="B65" s="127"/>
      <c r="C65" s="127"/>
      <c r="D65" s="127"/>
      <c r="E65" s="127"/>
      <c r="F65" s="127"/>
      <c r="G65" s="137"/>
      <c r="H65" s="257"/>
      <c r="I65" s="259"/>
      <c r="J65" s="126"/>
      <c r="K65" s="126"/>
      <c r="L65" s="126"/>
      <c r="M65" s="126"/>
      <c r="N65" s="126"/>
      <c r="O65" s="126"/>
      <c r="P65" s="126"/>
      <c r="Q65" s="126"/>
      <c r="R65" s="126"/>
      <c r="S65" s="126"/>
      <c r="T65" s="126"/>
      <c r="U65" s="127"/>
      <c r="V65" s="126"/>
      <c r="W65" s="126"/>
      <c r="X65" s="126"/>
      <c r="Y65" s="126"/>
      <c r="Z65" s="126"/>
      <c r="AA65" s="115"/>
    </row>
    <row r="66" spans="1:27" x14ac:dyDescent="0.25">
      <c r="A66" s="349" t="s">
        <v>580</v>
      </c>
      <c r="B66" s="350"/>
      <c r="C66" s="351"/>
      <c r="D66" s="347" t="s">
        <v>584</v>
      </c>
      <c r="E66" s="352"/>
      <c r="F66" s="348"/>
      <c r="G66" s="347" t="s">
        <v>589</v>
      </c>
      <c r="H66" s="348"/>
      <c r="I66" s="127"/>
      <c r="J66" s="127"/>
      <c r="K66" s="126"/>
      <c r="L66" s="126"/>
      <c r="M66" s="126"/>
      <c r="N66" s="126"/>
      <c r="O66" s="126"/>
      <c r="P66" s="126"/>
      <c r="Q66" s="126"/>
      <c r="R66" s="126"/>
      <c r="S66" s="126"/>
      <c r="T66" s="126"/>
      <c r="U66" s="127"/>
      <c r="V66" s="126"/>
      <c r="W66" s="126"/>
      <c r="X66" s="126"/>
      <c r="Y66" s="126"/>
      <c r="Z66" s="126"/>
      <c r="AA66" s="115"/>
    </row>
    <row r="67" spans="1:27" x14ac:dyDescent="0.25">
      <c r="A67" s="132"/>
      <c r="B67" s="127"/>
      <c r="C67" s="127"/>
      <c r="D67" s="132"/>
      <c r="E67" s="127"/>
      <c r="F67" s="134"/>
      <c r="G67" s="307"/>
      <c r="H67" s="299"/>
      <c r="I67" s="127"/>
      <c r="J67" s="127"/>
      <c r="K67" s="126"/>
      <c r="L67" s="126"/>
      <c r="M67" s="126"/>
      <c r="N67" s="126"/>
      <c r="O67" s="126"/>
      <c r="P67" s="126"/>
      <c r="Q67" s="126"/>
      <c r="R67" s="126"/>
      <c r="S67" s="126"/>
      <c r="T67" s="126"/>
      <c r="U67" s="127"/>
      <c r="V67" s="126"/>
      <c r="W67" s="126"/>
      <c r="X67" s="126"/>
      <c r="Y67" s="126"/>
      <c r="Z67" s="126"/>
      <c r="AA67" s="115"/>
    </row>
    <row r="68" spans="1:27" x14ac:dyDescent="0.25">
      <c r="A68" s="132"/>
      <c r="B68" s="127"/>
      <c r="C68" s="127"/>
      <c r="D68" s="132"/>
      <c r="E68" s="127"/>
      <c r="F68" s="134"/>
      <c r="G68" s="307"/>
      <c r="H68" s="299"/>
      <c r="I68" s="127"/>
      <c r="J68" s="127"/>
      <c r="K68" s="126"/>
      <c r="L68" s="126"/>
      <c r="M68" s="126"/>
      <c r="N68" s="126"/>
      <c r="O68" s="126"/>
      <c r="P68" s="126"/>
      <c r="Q68" s="126"/>
      <c r="R68" s="126"/>
      <c r="S68" s="126"/>
      <c r="T68" s="126"/>
      <c r="U68" s="127"/>
      <c r="V68" s="126"/>
      <c r="W68" s="126"/>
      <c r="X68" s="126"/>
      <c r="Y68" s="126"/>
      <c r="Z68" s="126"/>
      <c r="AA68" s="115"/>
    </row>
    <row r="69" spans="1:27" x14ac:dyDescent="0.25">
      <c r="A69" s="132"/>
      <c r="B69" s="127"/>
      <c r="C69" s="127"/>
      <c r="D69" s="132"/>
      <c r="E69" s="127"/>
      <c r="F69" s="134"/>
      <c r="G69" s="307"/>
      <c r="H69" s="299"/>
      <c r="I69" s="127"/>
      <c r="J69" s="127"/>
      <c r="K69" s="126"/>
      <c r="L69" s="126"/>
      <c r="M69" s="126"/>
      <c r="N69" s="126"/>
      <c r="O69" s="126"/>
      <c r="P69" s="126"/>
      <c r="Q69" s="126"/>
      <c r="R69" s="126"/>
      <c r="S69" s="126"/>
      <c r="T69" s="126"/>
      <c r="U69" s="127"/>
      <c r="V69" s="126"/>
      <c r="W69" s="126"/>
      <c r="X69" s="126"/>
      <c r="Y69" s="126"/>
      <c r="Z69" s="126"/>
      <c r="AA69" s="115"/>
    </row>
    <row r="70" spans="1:27" x14ac:dyDescent="0.25">
      <c r="A70" s="132"/>
      <c r="B70" s="127"/>
      <c r="C70" s="127"/>
      <c r="D70" s="132"/>
      <c r="E70" s="127"/>
      <c r="F70" s="134"/>
      <c r="G70" s="307"/>
      <c r="H70" s="299"/>
      <c r="I70" s="313"/>
      <c r="J70" s="127"/>
      <c r="K70" s="126"/>
      <c r="L70" s="126"/>
      <c r="M70" s="126"/>
      <c r="N70" s="126"/>
      <c r="O70" s="126"/>
      <c r="P70" s="126"/>
      <c r="Q70" s="126"/>
      <c r="R70" s="126"/>
      <c r="S70" s="126"/>
      <c r="T70" s="126"/>
      <c r="U70" s="127"/>
      <c r="V70" s="126"/>
      <c r="W70" s="126"/>
      <c r="X70" s="126"/>
      <c r="Y70" s="126"/>
      <c r="Z70" s="126"/>
      <c r="AA70" s="115"/>
    </row>
    <row r="71" spans="1:27" x14ac:dyDescent="0.25">
      <c r="A71" s="132"/>
      <c r="B71" s="127"/>
      <c r="C71" s="127"/>
      <c r="D71" s="132"/>
      <c r="E71" s="127"/>
      <c r="F71" s="134"/>
      <c r="G71" s="353" t="str">
        <f>"SYNCIN: "&amp;Variable_Management!B163&amp;", SYNCOUT: "&amp;Variable_Management!B164</f>
        <v>SYNCIN: OFF, SYNCOUT: OFF</v>
      </c>
      <c r="H71" s="354"/>
      <c r="I71" s="127"/>
      <c r="J71" s="127"/>
      <c r="K71" s="126"/>
      <c r="L71" s="126"/>
      <c r="M71" s="126"/>
      <c r="N71" s="126"/>
      <c r="O71" s="126"/>
      <c r="P71" s="126"/>
      <c r="Q71" s="126"/>
      <c r="R71" s="126"/>
      <c r="S71" s="126"/>
      <c r="T71" s="126"/>
      <c r="U71" s="127"/>
      <c r="V71" s="126"/>
      <c r="W71" s="126"/>
      <c r="X71" s="126"/>
      <c r="Y71" s="126"/>
      <c r="Z71" s="126"/>
      <c r="AA71" s="115"/>
    </row>
    <row r="72" spans="1:27" x14ac:dyDescent="0.25">
      <c r="A72" s="132"/>
      <c r="B72" s="127"/>
      <c r="C72" s="127"/>
      <c r="D72" s="132"/>
      <c r="E72" s="127"/>
      <c r="F72" s="134"/>
      <c r="G72" s="355" t="str">
        <f>"Phase shift of phase 2: "&amp;Variable_Management!B165</f>
        <v>Phase shift of phase 2: 180°</v>
      </c>
      <c r="H72" s="356"/>
      <c r="I72" s="314"/>
      <c r="J72" s="127"/>
      <c r="K72" s="126"/>
      <c r="L72" s="126"/>
      <c r="M72" s="126"/>
      <c r="N72" s="126"/>
      <c r="O72" s="126"/>
      <c r="P72" s="126"/>
      <c r="Q72" s="126"/>
      <c r="R72" s="126"/>
      <c r="S72" s="126"/>
      <c r="T72" s="126"/>
      <c r="U72" s="127"/>
      <c r="V72" s="126"/>
      <c r="W72" s="126"/>
      <c r="X72" s="126"/>
      <c r="Y72" s="126"/>
      <c r="Z72" s="126"/>
      <c r="AA72" s="115"/>
    </row>
    <row r="73" spans="1:27" x14ac:dyDescent="0.25">
      <c r="A73" s="132"/>
      <c r="B73" s="127"/>
      <c r="C73" s="127"/>
      <c r="D73" s="132"/>
      <c r="E73" s="127"/>
      <c r="F73" s="134"/>
      <c r="G73" s="318" t="s">
        <v>699</v>
      </c>
      <c r="H73" s="319" t="str">
        <f>Variable_Management!B167</f>
        <v>OFF</v>
      </c>
      <c r="I73" s="314"/>
      <c r="J73" s="127"/>
      <c r="K73" s="126"/>
      <c r="L73" s="126"/>
      <c r="M73" s="126"/>
      <c r="N73" s="126"/>
      <c r="O73" s="126"/>
      <c r="P73" s="126"/>
      <c r="Q73" s="126"/>
      <c r="R73" s="126"/>
      <c r="S73" s="126"/>
      <c r="T73" s="126"/>
      <c r="U73" s="127"/>
      <c r="V73" s="126"/>
      <c r="W73" s="126"/>
      <c r="X73" s="126"/>
      <c r="Y73" s="126"/>
      <c r="Z73" s="126"/>
      <c r="AA73" s="115"/>
    </row>
    <row r="74" spans="1:27" ht="15.75" thickBot="1" x14ac:dyDescent="0.3">
      <c r="A74" s="310" t="str">
        <f>"Lv"&amp;Variable_Management!B148</f>
        <v>Lv3</v>
      </c>
      <c r="B74" s="345" t="str">
        <f>Variable_Management!B149&amp;"kΩ"</f>
        <v>1.00~1.30kΩ</v>
      </c>
      <c r="C74" s="346"/>
      <c r="D74" s="310" t="str">
        <f>"Lv"&amp;Variable_Management!B155</f>
        <v>Lv10</v>
      </c>
      <c r="E74" s="345" t="str">
        <f>Variable_Management!B156&amp;"kΩ"</f>
        <v>9.98~11.03kΩ</v>
      </c>
      <c r="F74" s="346"/>
      <c r="G74" s="311" t="str">
        <f>"Lv"&amp;Variable_Management!B161</f>
        <v>Lv1</v>
      </c>
      <c r="H74" s="312" t="str">
        <f>Variable_Management!B162&amp;"kΩ"</f>
        <v>&lt;0.1kΩ</v>
      </c>
      <c r="I74" s="127"/>
      <c r="J74" s="127"/>
      <c r="K74" s="126"/>
      <c r="L74" s="126"/>
      <c r="M74" s="126"/>
      <c r="N74" s="126"/>
      <c r="O74" s="126"/>
      <c r="P74" s="126"/>
      <c r="Q74" s="126"/>
      <c r="R74" s="126"/>
      <c r="S74" s="126"/>
      <c r="T74" s="126"/>
      <c r="U74" s="127"/>
      <c r="V74" s="126"/>
      <c r="W74" s="126"/>
      <c r="X74" s="126"/>
      <c r="Y74" s="126"/>
      <c r="Z74" s="126"/>
      <c r="AA74" s="115"/>
    </row>
    <row r="75" spans="1:27" x14ac:dyDescent="0.25">
      <c r="A75" s="126"/>
      <c r="B75" s="126"/>
      <c r="C75" s="126"/>
      <c r="D75" s="126"/>
      <c r="E75" s="126"/>
      <c r="F75" s="126"/>
      <c r="G75" s="282"/>
      <c r="H75" s="126"/>
      <c r="I75" s="127"/>
      <c r="J75" s="126"/>
      <c r="K75" s="126"/>
      <c r="L75" s="126"/>
      <c r="M75" s="126"/>
      <c r="N75" s="126"/>
      <c r="O75" s="126"/>
      <c r="P75" s="126"/>
      <c r="Q75" s="126"/>
      <c r="R75" s="126"/>
      <c r="S75" s="126"/>
      <c r="T75" s="126"/>
      <c r="U75" s="127"/>
      <c r="V75" s="126"/>
      <c r="W75" s="126"/>
      <c r="X75" s="126"/>
      <c r="Y75" s="126"/>
      <c r="Z75" s="126"/>
      <c r="AA75" s="115"/>
    </row>
    <row r="76" spans="1:27" ht="15.75" thickBot="1" x14ac:dyDescent="0.3">
      <c r="A76" s="241" t="s">
        <v>639</v>
      </c>
      <c r="B76" s="126"/>
      <c r="C76" s="126"/>
      <c r="D76" s="126"/>
      <c r="E76" s="126"/>
      <c r="F76" s="126"/>
      <c r="G76" s="282"/>
      <c r="H76" s="126"/>
      <c r="I76" s="126"/>
      <c r="J76" s="126"/>
      <c r="K76" s="126"/>
      <c r="L76" s="126"/>
      <c r="M76" s="126"/>
      <c r="N76" s="126"/>
      <c r="O76" s="126"/>
      <c r="P76" s="126"/>
      <c r="Q76" s="126"/>
      <c r="R76" s="126"/>
      <c r="S76" s="126"/>
      <c r="T76" s="126"/>
      <c r="U76" s="127"/>
      <c r="V76" s="126"/>
      <c r="W76" s="126"/>
      <c r="X76" s="126"/>
      <c r="Y76" s="126"/>
      <c r="Z76" s="126"/>
      <c r="AA76" s="115"/>
    </row>
    <row r="77" spans="1:27" x14ac:dyDescent="0.25">
      <c r="A77" s="128"/>
      <c r="B77" s="129"/>
      <c r="C77" s="129"/>
      <c r="D77" s="129"/>
      <c r="E77" s="129"/>
      <c r="F77" s="129"/>
      <c r="G77" s="278" t="s">
        <v>731</v>
      </c>
      <c r="H77" s="274">
        <v>7.7</v>
      </c>
      <c r="I77" s="239" t="s">
        <v>5</v>
      </c>
      <c r="J77" s="126"/>
      <c r="K77" s="126"/>
      <c r="L77" s="126"/>
      <c r="M77" s="126"/>
      <c r="N77" s="126"/>
      <c r="O77" s="126"/>
      <c r="P77" s="126"/>
      <c r="Q77" s="126"/>
      <c r="R77" s="126"/>
      <c r="S77" s="126"/>
      <c r="T77" s="126"/>
      <c r="U77" s="127"/>
      <c r="V77" s="126"/>
      <c r="W77" s="126"/>
      <c r="X77" s="126"/>
      <c r="Y77" s="126"/>
      <c r="Z77" s="126"/>
      <c r="AA77" s="115"/>
    </row>
    <row r="78" spans="1:27" x14ac:dyDescent="0.25">
      <c r="A78" s="132"/>
      <c r="B78" s="127"/>
      <c r="C78" s="127"/>
      <c r="D78" s="127"/>
      <c r="E78" s="127"/>
      <c r="F78" s="127"/>
      <c r="G78" s="137" t="s">
        <v>732</v>
      </c>
      <c r="H78" s="273">
        <v>5.7</v>
      </c>
      <c r="I78" s="155" t="s">
        <v>5</v>
      </c>
      <c r="J78" s="126"/>
      <c r="K78" s="126"/>
      <c r="L78" s="126"/>
      <c r="M78" s="126"/>
      <c r="N78" s="126"/>
      <c r="O78" s="126"/>
      <c r="P78" s="126"/>
      <c r="Q78" s="126"/>
      <c r="R78" s="126"/>
      <c r="S78" s="126"/>
      <c r="T78" s="126"/>
      <c r="U78" s="127"/>
      <c r="V78" s="126"/>
      <c r="W78" s="126"/>
      <c r="X78" s="126"/>
      <c r="Y78" s="126"/>
      <c r="Z78" s="126"/>
      <c r="AA78" s="115"/>
    </row>
    <row r="79" spans="1:27" x14ac:dyDescent="0.25">
      <c r="A79" s="132"/>
      <c r="B79" s="127"/>
      <c r="C79" s="127"/>
      <c r="D79" s="127"/>
      <c r="E79" s="127"/>
      <c r="F79" s="127"/>
      <c r="G79" s="137" t="s">
        <v>733</v>
      </c>
      <c r="H79" s="275">
        <f>Variable_Management!B175/1000</f>
        <v>186.74418604651166</v>
      </c>
      <c r="I79" s="272" t="s">
        <v>156</v>
      </c>
      <c r="J79" s="126"/>
      <c r="K79" s="126"/>
      <c r="L79" s="126"/>
      <c r="M79" s="126"/>
      <c r="N79" s="126"/>
      <c r="O79" s="126"/>
      <c r="P79" s="126"/>
      <c r="Q79" s="126"/>
      <c r="R79" s="126"/>
      <c r="S79" s="126"/>
      <c r="T79" s="126"/>
      <c r="U79" s="127"/>
      <c r="V79" s="126"/>
      <c r="W79" s="126"/>
      <c r="X79" s="126"/>
      <c r="Y79" s="126"/>
      <c r="Z79" s="126"/>
      <c r="AA79" s="115"/>
    </row>
    <row r="80" spans="1:27" x14ac:dyDescent="0.25">
      <c r="A80" s="132"/>
      <c r="B80" s="127"/>
      <c r="C80" s="127"/>
      <c r="D80" s="127"/>
      <c r="E80" s="127"/>
      <c r="F80" s="127"/>
      <c r="G80" s="137" t="s">
        <v>734</v>
      </c>
      <c r="H80" s="273">
        <v>180</v>
      </c>
      <c r="I80" s="272" t="s">
        <v>156</v>
      </c>
      <c r="J80" s="126"/>
      <c r="K80" s="126"/>
      <c r="L80" s="126"/>
      <c r="M80" s="126"/>
      <c r="N80" s="126"/>
      <c r="O80" s="126"/>
      <c r="P80" s="126"/>
      <c r="Q80" s="126"/>
      <c r="R80" s="126"/>
      <c r="S80" s="126"/>
      <c r="T80" s="126"/>
      <c r="U80" s="127"/>
      <c r="V80" s="126"/>
      <c r="W80" s="126"/>
      <c r="X80" s="126"/>
      <c r="Y80" s="126"/>
      <c r="Z80" s="126"/>
      <c r="AA80" s="115"/>
    </row>
    <row r="81" spans="1:27" x14ac:dyDescent="0.25">
      <c r="A81" s="127"/>
      <c r="B81" s="127"/>
      <c r="C81" s="127"/>
      <c r="D81" s="127"/>
      <c r="E81" s="127"/>
      <c r="F81" s="127"/>
      <c r="G81" s="137" t="s">
        <v>735</v>
      </c>
      <c r="H81" s="276">
        <f>Ruvlo_bottom_calc/1000</f>
        <v>41.837837837837839</v>
      </c>
      <c r="I81" s="272" t="s">
        <v>156</v>
      </c>
      <c r="J81" s="126"/>
      <c r="K81" s="126"/>
      <c r="L81" s="126"/>
      <c r="M81" s="126"/>
      <c r="N81" s="126"/>
      <c r="O81" s="126"/>
      <c r="P81" s="126"/>
      <c r="Q81" s="126"/>
      <c r="R81" s="126"/>
      <c r="S81" s="126"/>
      <c r="T81" s="126"/>
      <c r="U81" s="127"/>
      <c r="V81" s="126"/>
      <c r="W81" s="126"/>
      <c r="X81" s="126"/>
      <c r="Y81" s="126"/>
      <c r="Z81" s="126"/>
      <c r="AA81" s="115"/>
    </row>
    <row r="82" spans="1:27" x14ac:dyDescent="0.25">
      <c r="A82" s="132"/>
      <c r="B82" s="127"/>
      <c r="C82" s="127"/>
      <c r="D82" s="127"/>
      <c r="E82" s="127"/>
      <c r="F82" s="127"/>
      <c r="G82" s="137" t="s">
        <v>734</v>
      </c>
      <c r="H82" s="273">
        <v>42.2</v>
      </c>
      <c r="I82" s="272" t="s">
        <v>156</v>
      </c>
      <c r="J82" s="126"/>
      <c r="K82" s="126"/>
      <c r="L82" s="126"/>
      <c r="M82" s="126"/>
      <c r="N82" s="126"/>
      <c r="O82" s="126"/>
      <c r="P82" s="126"/>
      <c r="Q82" s="126"/>
      <c r="R82" s="126"/>
      <c r="S82" s="126"/>
      <c r="T82" s="126"/>
      <c r="U82" s="127"/>
      <c r="V82" s="126"/>
      <c r="W82" s="126"/>
      <c r="X82" s="126"/>
      <c r="Y82" s="126"/>
      <c r="Z82" s="126"/>
      <c r="AA82" s="115"/>
    </row>
    <row r="83" spans="1:27" x14ac:dyDescent="0.25">
      <c r="A83" s="132"/>
      <c r="B83" s="127"/>
      <c r="C83" s="127"/>
      <c r="D83" s="127"/>
      <c r="E83" s="127"/>
      <c r="F83" s="127"/>
      <c r="G83" s="137" t="s">
        <v>736</v>
      </c>
      <c r="H83" s="325">
        <f>Variable_Management!B179</f>
        <v>7.591943127962085</v>
      </c>
      <c r="I83" s="155" t="s">
        <v>5</v>
      </c>
      <c r="J83" s="126"/>
      <c r="K83" s="126"/>
      <c r="L83" s="126"/>
      <c r="M83" s="126"/>
      <c r="N83" s="126"/>
      <c r="O83" s="126"/>
      <c r="P83" s="126"/>
      <c r="Q83" s="126"/>
      <c r="R83" s="126"/>
      <c r="S83" s="126"/>
      <c r="T83" s="126"/>
      <c r="U83" s="127"/>
      <c r="V83" s="126"/>
      <c r="W83" s="126"/>
      <c r="X83" s="126"/>
      <c r="Y83" s="126"/>
      <c r="Z83" s="126"/>
      <c r="AA83" s="115"/>
    </row>
    <row r="84" spans="1:27" ht="15.75" thickBot="1" x14ac:dyDescent="0.3">
      <c r="A84" s="143"/>
      <c r="B84" s="138"/>
      <c r="C84" s="138"/>
      <c r="D84" s="138"/>
      <c r="E84" s="138"/>
      <c r="F84" s="138"/>
      <c r="G84" s="227" t="s">
        <v>737</v>
      </c>
      <c r="H84" s="326">
        <f>Variable_Management!B180</f>
        <v>5.6603080568720374</v>
      </c>
      <c r="I84" s="261" t="s">
        <v>5</v>
      </c>
      <c r="J84" s="126"/>
      <c r="K84" s="126"/>
      <c r="L84" s="126"/>
      <c r="M84" s="126"/>
      <c r="N84" s="126"/>
      <c r="O84" s="126"/>
      <c r="P84" s="126"/>
      <c r="Q84" s="126"/>
      <c r="R84" s="126"/>
      <c r="S84" s="126"/>
      <c r="T84" s="126"/>
      <c r="U84" s="127"/>
      <c r="V84" s="126"/>
      <c r="W84" s="126"/>
      <c r="X84" s="126"/>
      <c r="Y84" s="126"/>
      <c r="Z84" s="126"/>
      <c r="AA84" s="115"/>
    </row>
    <row r="85" spans="1:27" x14ac:dyDescent="0.25">
      <c r="A85" s="127"/>
      <c r="B85" s="127"/>
      <c r="C85" s="127"/>
      <c r="D85" s="127"/>
      <c r="E85" s="127"/>
      <c r="F85" s="127"/>
      <c r="G85" s="137"/>
      <c r="H85" s="271"/>
      <c r="I85" s="259"/>
      <c r="J85" s="126"/>
      <c r="K85" s="126"/>
      <c r="L85" s="126"/>
      <c r="M85" s="126"/>
      <c r="N85" s="126"/>
      <c r="O85" s="126"/>
      <c r="P85" s="126"/>
      <c r="Q85" s="126"/>
      <c r="R85" s="126"/>
      <c r="S85" s="126"/>
      <c r="T85" s="126"/>
      <c r="U85" s="127"/>
      <c r="V85" s="126"/>
      <c r="W85" s="126"/>
      <c r="X85" s="126"/>
      <c r="Y85" s="126"/>
      <c r="Z85" s="126"/>
      <c r="AA85" s="115"/>
    </row>
    <row r="86" spans="1:27" ht="15.75" thickBot="1" x14ac:dyDescent="0.3">
      <c r="A86" s="141" t="s">
        <v>640</v>
      </c>
      <c r="B86" s="126"/>
      <c r="C86" s="126"/>
      <c r="D86" s="126"/>
      <c r="E86" s="126"/>
      <c r="F86" s="126"/>
      <c r="G86" s="282"/>
      <c r="H86" s="126"/>
      <c r="I86" s="126"/>
      <c r="J86" s="126"/>
      <c r="K86" s="126"/>
      <c r="L86" s="126"/>
      <c r="M86" s="126"/>
      <c r="N86" s="126"/>
      <c r="O86" s="126"/>
      <c r="P86" s="126"/>
      <c r="Q86" s="126"/>
      <c r="R86" s="126"/>
      <c r="S86" s="126"/>
      <c r="T86" s="126"/>
      <c r="U86" s="127"/>
      <c r="V86" s="126"/>
      <c r="W86" s="126"/>
      <c r="X86" s="126"/>
      <c r="Y86" s="126"/>
      <c r="Z86" s="126"/>
      <c r="AA86" s="115"/>
    </row>
    <row r="87" spans="1:27" x14ac:dyDescent="0.25">
      <c r="A87" s="128"/>
      <c r="B87" s="129"/>
      <c r="C87" s="129"/>
      <c r="D87" s="129"/>
      <c r="E87" s="129"/>
      <c r="F87" s="129"/>
      <c r="G87" s="278" t="s">
        <v>738</v>
      </c>
      <c r="H87" s="160">
        <f>Variable_Management!B184*(10^9)</f>
        <v>92.045454545454533</v>
      </c>
      <c r="I87" s="131" t="s">
        <v>158</v>
      </c>
      <c r="J87" s="126"/>
      <c r="K87" s="126"/>
      <c r="L87" s="126"/>
      <c r="M87" s="126"/>
      <c r="N87" s="126"/>
      <c r="O87" s="126"/>
      <c r="P87" s="126"/>
      <c r="Q87" s="126"/>
      <c r="R87" s="126"/>
      <c r="S87" s="126"/>
      <c r="T87" s="126"/>
      <c r="U87" s="127"/>
      <c r="V87" s="126"/>
      <c r="W87" s="126"/>
      <c r="X87" s="126"/>
      <c r="Y87" s="126"/>
      <c r="Z87" s="126"/>
      <c r="AA87" s="115"/>
    </row>
    <row r="88" spans="1:27" x14ac:dyDescent="0.25">
      <c r="A88" s="132"/>
      <c r="B88" s="127"/>
      <c r="C88" s="127"/>
      <c r="D88" s="127"/>
      <c r="E88" s="127"/>
      <c r="F88" s="127"/>
      <c r="G88" s="137" t="s">
        <v>739</v>
      </c>
      <c r="H88" s="153">
        <v>10</v>
      </c>
      <c r="I88" s="134" t="s">
        <v>257</v>
      </c>
      <c r="J88" s="126"/>
      <c r="K88" s="126"/>
      <c r="L88" s="126"/>
      <c r="M88" s="126"/>
      <c r="N88" s="126"/>
      <c r="O88" s="126"/>
      <c r="P88" s="126"/>
      <c r="Q88" s="126"/>
      <c r="R88" s="126"/>
      <c r="S88" s="126"/>
      <c r="T88" s="126"/>
      <c r="U88" s="127"/>
      <c r="V88" s="126"/>
      <c r="W88" s="126"/>
      <c r="X88" s="126"/>
      <c r="Y88" s="126"/>
      <c r="Z88" s="126"/>
      <c r="AA88" s="115"/>
    </row>
    <row r="89" spans="1:27" ht="15.75" thickBot="1" x14ac:dyDescent="0.3">
      <c r="A89" s="143"/>
      <c r="B89" s="138"/>
      <c r="C89" s="138"/>
      <c r="D89" s="138"/>
      <c r="E89" s="138"/>
      <c r="F89" s="138"/>
      <c r="G89" s="227" t="s">
        <v>740</v>
      </c>
      <c r="H89" s="161">
        <f>Variable_Management!B186*(10^9)</f>
        <v>416.66666666666663</v>
      </c>
      <c r="I89" s="139" t="s">
        <v>158</v>
      </c>
      <c r="J89" s="126"/>
      <c r="K89" s="126"/>
      <c r="L89" s="126"/>
      <c r="M89" s="126"/>
      <c r="N89" s="126"/>
      <c r="O89" s="126"/>
      <c r="P89" s="126"/>
      <c r="Q89" s="126"/>
      <c r="R89" s="126"/>
      <c r="S89" s="126"/>
      <c r="T89" s="126"/>
      <c r="U89" s="127"/>
      <c r="V89" s="126"/>
      <c r="W89" s="126"/>
      <c r="X89" s="126"/>
      <c r="Y89" s="126"/>
      <c r="Z89" s="126"/>
      <c r="AA89" s="115"/>
    </row>
    <row r="90" spans="1:27" x14ac:dyDescent="0.25">
      <c r="A90" s="126"/>
      <c r="B90" s="126"/>
      <c r="C90" s="126"/>
      <c r="D90" s="126"/>
      <c r="E90" s="126"/>
      <c r="F90" s="126"/>
      <c r="G90" s="140"/>
      <c r="H90" s="126"/>
      <c r="I90" s="126"/>
      <c r="J90" s="126"/>
      <c r="K90" s="126"/>
      <c r="L90" s="126"/>
      <c r="M90" s="126"/>
      <c r="N90" s="126"/>
      <c r="O90" s="126"/>
      <c r="P90" s="126"/>
      <c r="Q90" s="126"/>
      <c r="R90" s="126"/>
      <c r="S90" s="126"/>
      <c r="T90" s="126"/>
      <c r="U90" s="127"/>
      <c r="V90" s="126"/>
      <c r="W90" s="126"/>
      <c r="X90" s="126"/>
      <c r="Y90" s="126"/>
      <c r="Z90" s="126"/>
      <c r="AA90" s="115"/>
    </row>
    <row r="91" spans="1:27" ht="15.75" thickBot="1" x14ac:dyDescent="0.3">
      <c r="A91" s="141" t="s">
        <v>641</v>
      </c>
      <c r="B91" s="126"/>
      <c r="C91" s="126"/>
      <c r="D91" s="126"/>
      <c r="E91" s="126"/>
      <c r="F91" s="126"/>
      <c r="G91" s="140"/>
      <c r="H91" s="126"/>
      <c r="I91" s="126"/>
      <c r="J91" s="126"/>
      <c r="K91" s="126"/>
      <c r="L91" s="126"/>
      <c r="M91" s="126"/>
      <c r="N91" s="126"/>
      <c r="O91" s="126"/>
      <c r="P91" s="126"/>
      <c r="Q91" s="126"/>
      <c r="R91" s="126"/>
      <c r="S91" s="126"/>
      <c r="T91" s="126"/>
      <c r="U91" s="127"/>
      <c r="V91" s="126"/>
      <c r="W91" s="126"/>
      <c r="X91" s="126"/>
      <c r="Y91" s="126"/>
      <c r="Z91" s="126"/>
      <c r="AA91" s="115"/>
    </row>
    <row r="92" spans="1:27" ht="15" customHeight="1" x14ac:dyDescent="0.25">
      <c r="A92" s="148"/>
      <c r="B92" s="129"/>
      <c r="C92" s="129"/>
      <c r="D92" s="129"/>
      <c r="E92" s="129"/>
      <c r="F92" s="129"/>
      <c r="G92" s="283" t="s">
        <v>741</v>
      </c>
      <c r="H92" s="331">
        <f>VIN_nom</f>
        <v>9</v>
      </c>
      <c r="I92" s="131" t="s">
        <v>5</v>
      </c>
      <c r="J92" s="126"/>
      <c r="K92" s="126"/>
      <c r="L92" s="126"/>
      <c r="M92" s="126"/>
      <c r="N92" s="126"/>
      <c r="O92" s="126"/>
      <c r="P92" s="126"/>
      <c r="Q92" s="126"/>
      <c r="R92" s="126"/>
      <c r="S92" s="126"/>
      <c r="T92" s="126"/>
      <c r="U92" s="127"/>
      <c r="V92" s="126"/>
      <c r="W92" s="126"/>
      <c r="X92" s="126"/>
      <c r="Y92" s="126"/>
      <c r="Z92" s="126"/>
      <c r="AA92" s="115"/>
    </row>
    <row r="93" spans="1:27" ht="6" customHeight="1" x14ac:dyDescent="0.25">
      <c r="A93" s="132"/>
      <c r="B93" s="127"/>
      <c r="C93" s="127"/>
      <c r="D93" s="127"/>
      <c r="E93" s="127"/>
      <c r="F93" s="127"/>
      <c r="G93" s="284"/>
      <c r="H93" s="332"/>
      <c r="I93" s="134"/>
      <c r="J93" s="126"/>
      <c r="K93" s="126"/>
      <c r="L93" s="126"/>
      <c r="M93" s="126"/>
      <c r="N93" s="126"/>
      <c r="O93" s="126"/>
      <c r="P93" s="126"/>
      <c r="Q93" s="126"/>
      <c r="R93" s="126"/>
      <c r="S93" s="126"/>
      <c r="T93" s="126"/>
      <c r="U93" s="127"/>
      <c r="V93" s="126"/>
      <c r="W93" s="126"/>
      <c r="X93" s="126"/>
      <c r="Y93" s="126"/>
      <c r="Z93" s="126"/>
      <c r="AA93" s="115"/>
    </row>
    <row r="94" spans="1:27" ht="15" customHeight="1" x14ac:dyDescent="0.25">
      <c r="A94" s="132"/>
      <c r="B94" s="127"/>
      <c r="C94" s="127"/>
      <c r="D94" s="127"/>
      <c r="E94" s="127"/>
      <c r="F94" s="127"/>
      <c r="G94" s="285" t="s">
        <v>742</v>
      </c>
      <c r="H94" s="333">
        <f>VOUT</f>
        <v>45</v>
      </c>
      <c r="I94" s="134" t="s">
        <v>5</v>
      </c>
      <c r="J94" s="126"/>
      <c r="K94" s="126"/>
      <c r="L94" s="126"/>
      <c r="M94" s="126"/>
      <c r="N94" s="126"/>
      <c r="O94" s="126"/>
      <c r="P94" s="126"/>
      <c r="Q94" s="126"/>
      <c r="R94" s="126"/>
      <c r="S94" s="126"/>
      <c r="T94" s="126"/>
      <c r="U94" s="127"/>
      <c r="V94" s="126"/>
      <c r="W94" s="126"/>
      <c r="X94" s="126"/>
      <c r="Y94" s="126"/>
      <c r="Z94" s="126"/>
      <c r="AA94" s="115"/>
    </row>
    <row r="95" spans="1:27" hidden="1" x14ac:dyDescent="0.25">
      <c r="A95" s="132"/>
      <c r="B95" s="127"/>
      <c r="C95" s="127"/>
      <c r="D95" s="127"/>
      <c r="E95" s="127"/>
      <c r="F95" s="127"/>
      <c r="G95" s="284"/>
      <c r="H95" s="332"/>
      <c r="I95" s="134"/>
      <c r="J95" s="126"/>
      <c r="K95" s="126"/>
      <c r="L95" s="126"/>
      <c r="M95" s="126"/>
      <c r="N95" s="126"/>
      <c r="O95" s="126"/>
      <c r="P95" s="126"/>
      <c r="Q95" s="126"/>
      <c r="R95" s="126"/>
      <c r="S95" s="126"/>
      <c r="T95" s="126"/>
      <c r="U95" s="127"/>
      <c r="V95" s="126"/>
      <c r="W95" s="126"/>
      <c r="X95" s="126"/>
      <c r="Y95" s="126"/>
      <c r="Z95" s="126"/>
      <c r="AA95" s="115"/>
    </row>
    <row r="96" spans="1:27" ht="6" customHeight="1" x14ac:dyDescent="0.25">
      <c r="A96" s="132"/>
      <c r="B96" s="127"/>
      <c r="C96" s="127"/>
      <c r="D96" s="127"/>
      <c r="E96" s="127"/>
      <c r="F96" s="127"/>
      <c r="G96" s="284"/>
      <c r="H96" s="332"/>
      <c r="I96" s="134"/>
      <c r="J96" s="126"/>
      <c r="K96" s="126"/>
      <c r="L96" s="126"/>
      <c r="M96" s="126"/>
      <c r="N96" s="126"/>
      <c r="O96" s="126"/>
      <c r="P96" s="126"/>
      <c r="Q96" s="126"/>
      <c r="R96" s="126"/>
      <c r="S96" s="126"/>
      <c r="T96" s="126"/>
      <c r="U96" s="127"/>
      <c r="V96" s="126"/>
      <c r="W96" s="126"/>
      <c r="X96" s="126"/>
      <c r="Y96" s="126"/>
      <c r="Z96" s="126"/>
      <c r="AA96" s="115"/>
    </row>
    <row r="97" spans="1:27" x14ac:dyDescent="0.25">
      <c r="A97" s="132"/>
      <c r="B97" s="127"/>
      <c r="C97" s="127"/>
      <c r="D97" s="127"/>
      <c r="E97" s="127"/>
      <c r="F97" s="127"/>
      <c r="G97" s="285" t="s">
        <v>743</v>
      </c>
      <c r="H97" s="334">
        <f>IOUT*Np</f>
        <v>22</v>
      </c>
      <c r="I97" s="134" t="s">
        <v>6</v>
      </c>
      <c r="J97" s="126"/>
      <c r="K97" s="126"/>
      <c r="L97" s="126"/>
      <c r="M97" s="126"/>
      <c r="N97" s="126"/>
      <c r="O97" s="126"/>
      <c r="P97" s="126"/>
      <c r="Q97" s="126"/>
      <c r="R97" s="126"/>
      <c r="S97" s="126"/>
      <c r="T97" s="126"/>
      <c r="U97" s="127"/>
      <c r="V97" s="126"/>
      <c r="W97" s="126"/>
      <c r="X97" s="126"/>
      <c r="Y97" s="126"/>
      <c r="Z97" s="126"/>
      <c r="AA97" s="115"/>
    </row>
    <row r="98" spans="1:27" hidden="1" x14ac:dyDescent="0.25">
      <c r="A98" s="132"/>
      <c r="B98" s="127"/>
      <c r="C98" s="127"/>
      <c r="D98" s="127"/>
      <c r="E98" s="127"/>
      <c r="F98" s="127"/>
      <c r="G98" s="284"/>
      <c r="H98" s="332"/>
      <c r="I98" s="134"/>
      <c r="J98" s="126"/>
      <c r="K98" s="126"/>
      <c r="L98" s="126"/>
      <c r="M98" s="126"/>
      <c r="N98" s="126"/>
      <c r="O98" s="126"/>
      <c r="P98" s="126"/>
      <c r="Q98" s="126"/>
      <c r="R98" s="126"/>
      <c r="S98" s="126"/>
      <c r="T98" s="126"/>
      <c r="U98" s="127"/>
      <c r="V98" s="126"/>
      <c r="W98" s="126"/>
      <c r="X98" s="126"/>
      <c r="Y98" s="126"/>
      <c r="Z98" s="126"/>
      <c r="AA98" s="115"/>
    </row>
    <row r="99" spans="1:27" ht="6" customHeight="1" x14ac:dyDescent="0.25">
      <c r="A99" s="132"/>
      <c r="B99" s="127"/>
      <c r="C99" s="127"/>
      <c r="D99" s="127"/>
      <c r="E99" s="127"/>
      <c r="F99" s="127"/>
      <c r="G99" s="284"/>
      <c r="H99" s="332"/>
      <c r="I99" s="134"/>
      <c r="J99" s="126"/>
      <c r="K99" s="126"/>
      <c r="L99" s="126"/>
      <c r="M99" s="126"/>
      <c r="N99" s="126"/>
      <c r="O99" s="126"/>
      <c r="P99" s="126"/>
      <c r="Q99" s="126"/>
      <c r="R99" s="126"/>
      <c r="S99" s="126"/>
      <c r="T99" s="126"/>
      <c r="U99" s="127"/>
      <c r="V99" s="126"/>
      <c r="W99" s="126"/>
      <c r="X99" s="126"/>
      <c r="Y99" s="126"/>
      <c r="Z99" s="126"/>
      <c r="AA99" s="115"/>
    </row>
    <row r="100" spans="1:27" ht="15" customHeight="1" x14ac:dyDescent="0.25">
      <c r="A100" s="132"/>
      <c r="B100" s="127"/>
      <c r="C100" s="127"/>
      <c r="D100" s="127"/>
      <c r="E100" s="127"/>
      <c r="F100" s="127"/>
      <c r="G100" s="285" t="s">
        <v>491</v>
      </c>
      <c r="H100" s="335">
        <f>H14</f>
        <v>2</v>
      </c>
      <c r="I100" s="134" t="s">
        <v>714</v>
      </c>
      <c r="J100" s="126"/>
      <c r="K100" s="126"/>
      <c r="L100" s="126"/>
      <c r="M100" s="126"/>
      <c r="N100" s="126"/>
      <c r="O100" s="126"/>
      <c r="P100" s="126"/>
      <c r="Q100" s="126"/>
      <c r="R100" s="126"/>
      <c r="S100" s="126"/>
      <c r="T100" s="126"/>
      <c r="U100" s="127"/>
      <c r="V100" s="126"/>
      <c r="W100" s="126"/>
      <c r="X100" s="126"/>
      <c r="Y100" s="126"/>
      <c r="Z100" s="126"/>
      <c r="AA100" s="115"/>
    </row>
    <row r="101" spans="1:27" hidden="1" x14ac:dyDescent="0.25">
      <c r="A101" s="132"/>
      <c r="B101" s="127"/>
      <c r="C101" s="127"/>
      <c r="D101" s="127"/>
      <c r="E101" s="127"/>
      <c r="F101" s="127"/>
      <c r="G101" s="284"/>
      <c r="H101" s="162"/>
      <c r="I101" s="134"/>
      <c r="J101" s="126"/>
      <c r="K101" s="126"/>
      <c r="L101" s="126"/>
      <c r="M101" s="126"/>
      <c r="N101" s="126"/>
      <c r="O101" s="126"/>
      <c r="P101" s="126"/>
      <c r="Q101" s="126"/>
      <c r="R101" s="126"/>
      <c r="S101" s="126"/>
      <c r="T101" s="126"/>
      <c r="U101" s="127"/>
      <c r="V101" s="126"/>
      <c r="W101" s="126"/>
      <c r="X101" s="126"/>
      <c r="Y101" s="126"/>
      <c r="Z101" s="126"/>
      <c r="AA101" s="115"/>
    </row>
    <row r="102" spans="1:27" x14ac:dyDescent="0.25">
      <c r="A102" s="132"/>
      <c r="B102" s="127"/>
      <c r="C102" s="127"/>
      <c r="D102" s="127"/>
      <c r="E102" s="127"/>
      <c r="F102" s="127"/>
      <c r="G102" s="284"/>
      <c r="H102" s="162"/>
      <c r="I102" s="134"/>
      <c r="J102" s="126"/>
      <c r="K102" s="126"/>
      <c r="L102" s="126"/>
      <c r="M102" s="126"/>
      <c r="N102" s="126"/>
      <c r="O102" s="126"/>
      <c r="P102" s="126"/>
      <c r="Q102" s="126"/>
      <c r="R102" s="126"/>
      <c r="S102" s="126"/>
      <c r="T102" s="126"/>
      <c r="U102" s="127"/>
      <c r="V102" s="126"/>
      <c r="W102" s="126"/>
      <c r="X102" s="126"/>
      <c r="Y102" s="126"/>
      <c r="Z102" s="126"/>
      <c r="AA102" s="115"/>
    </row>
    <row r="103" spans="1:27" x14ac:dyDescent="0.25">
      <c r="A103" s="132"/>
      <c r="B103" s="127"/>
      <c r="C103" s="127"/>
      <c r="D103" s="127"/>
      <c r="E103" s="127"/>
      <c r="F103" s="127"/>
      <c r="G103" s="137" t="s">
        <v>776</v>
      </c>
      <c r="H103" s="183">
        <f>fcross_est/1000</f>
        <v>1.5783961298369791</v>
      </c>
      <c r="I103" s="134" t="s">
        <v>7</v>
      </c>
      <c r="J103" s="126"/>
      <c r="K103" s="126"/>
      <c r="L103" s="126"/>
      <c r="M103" s="126"/>
      <c r="N103" s="126"/>
      <c r="O103" s="126"/>
      <c r="P103" s="126"/>
      <c r="Q103" s="126"/>
      <c r="R103" s="126"/>
      <c r="S103" s="126"/>
      <c r="T103" s="126"/>
      <c r="U103" s="127"/>
      <c r="V103" s="126"/>
      <c r="W103" s="126"/>
      <c r="X103" s="126"/>
      <c r="Y103" s="126"/>
      <c r="Z103" s="126"/>
      <c r="AA103" s="115"/>
    </row>
    <row r="104" spans="1:27" x14ac:dyDescent="0.25">
      <c r="A104" s="132"/>
      <c r="B104" s="127"/>
      <c r="C104" s="127"/>
      <c r="D104" s="127"/>
      <c r="E104" s="127"/>
      <c r="F104" s="127"/>
      <c r="G104" s="137" t="s">
        <v>777</v>
      </c>
      <c r="H104" s="153">
        <v>1.6</v>
      </c>
      <c r="I104" s="134" t="s">
        <v>7</v>
      </c>
      <c r="J104" s="126"/>
      <c r="K104" s="126"/>
      <c r="L104" s="126"/>
      <c r="M104" s="126"/>
      <c r="N104" s="126"/>
      <c r="O104" s="126"/>
      <c r="P104" s="126"/>
      <c r="Q104" s="126"/>
      <c r="R104" s="126"/>
      <c r="S104" s="126"/>
      <c r="T104" s="126"/>
      <c r="U104" s="127"/>
      <c r="V104" s="126"/>
      <c r="W104" s="126"/>
      <c r="X104" s="126"/>
      <c r="Y104" s="126"/>
      <c r="Z104" s="126"/>
      <c r="AA104" s="115"/>
    </row>
    <row r="105" spans="1:27" x14ac:dyDescent="0.25">
      <c r="A105" s="132"/>
      <c r="B105" s="127"/>
      <c r="C105" s="127"/>
      <c r="D105" s="127"/>
      <c r="E105" s="127"/>
      <c r="F105" s="127"/>
      <c r="G105" s="137"/>
      <c r="H105" s="155"/>
      <c r="I105" s="134"/>
      <c r="J105" s="126"/>
      <c r="K105" s="126"/>
      <c r="L105" s="126"/>
      <c r="M105" s="126"/>
      <c r="N105" s="126"/>
      <c r="O105" s="126"/>
      <c r="P105" s="126"/>
      <c r="Q105" s="126"/>
      <c r="R105" s="126"/>
      <c r="S105" s="126"/>
      <c r="T105" s="126"/>
      <c r="U105" s="127"/>
      <c r="V105" s="126"/>
      <c r="W105" s="126"/>
      <c r="X105" s="126"/>
      <c r="Y105" s="126"/>
      <c r="Z105" s="126"/>
      <c r="AA105" s="115"/>
    </row>
    <row r="106" spans="1:27" ht="15.75" thickBot="1" x14ac:dyDescent="0.3">
      <c r="A106" s="132"/>
      <c r="B106" s="127"/>
      <c r="C106" s="127"/>
      <c r="D106" s="127"/>
      <c r="E106" s="127"/>
      <c r="F106" s="149" t="s">
        <v>239</v>
      </c>
      <c r="G106" s="286"/>
      <c r="H106" s="163" t="s">
        <v>240</v>
      </c>
      <c r="I106" s="150"/>
      <c r="J106" s="126"/>
      <c r="K106" s="126"/>
      <c r="L106" s="126"/>
      <c r="M106" s="126"/>
      <c r="N106" s="126"/>
      <c r="O106" s="126"/>
      <c r="P106" s="126"/>
      <c r="Q106" s="126"/>
      <c r="R106" s="126"/>
      <c r="S106" s="126"/>
      <c r="T106" s="126"/>
      <c r="U106" s="127"/>
      <c r="V106" s="126"/>
      <c r="W106" s="126"/>
      <c r="X106" s="126"/>
      <c r="Y106" s="126"/>
      <c r="Z106" s="126"/>
      <c r="AA106" s="115"/>
    </row>
    <row r="107" spans="1:27" ht="18.75" thickBot="1" x14ac:dyDescent="0.4">
      <c r="A107" s="132"/>
      <c r="B107" s="127"/>
      <c r="C107" s="127"/>
      <c r="D107" s="127"/>
      <c r="E107" s="145" t="s">
        <v>238</v>
      </c>
      <c r="F107" s="317">
        <f>RCOMP_Calc/1000</f>
        <v>19.964223071437814</v>
      </c>
      <c r="G107" s="287" t="s">
        <v>156</v>
      </c>
      <c r="H107" s="165">
        <v>20</v>
      </c>
      <c r="I107" s="146" t="s">
        <v>156</v>
      </c>
      <c r="J107" s="126"/>
      <c r="K107" s="126"/>
      <c r="L107" s="126"/>
      <c r="M107" s="126"/>
      <c r="N107" s="126"/>
      <c r="O107" s="126"/>
      <c r="P107" s="126"/>
      <c r="Q107" s="126"/>
      <c r="R107" s="126"/>
      <c r="S107" s="126"/>
      <c r="T107" s="126"/>
      <c r="U107" s="127"/>
      <c r="V107" s="126"/>
      <c r="W107" s="126"/>
      <c r="X107" s="126"/>
      <c r="Y107" s="126"/>
      <c r="Z107" s="126"/>
      <c r="AA107" s="115"/>
    </row>
    <row r="108" spans="1:27" ht="18.75" thickBot="1" x14ac:dyDescent="0.4">
      <c r="A108" s="132"/>
      <c r="B108" s="127"/>
      <c r="C108" s="127"/>
      <c r="D108" s="127"/>
      <c r="E108" s="145" t="s">
        <v>325</v>
      </c>
      <c r="F108" s="208">
        <f>CCOMP_Calc*(10^9)</f>
        <v>43.31648024165036</v>
      </c>
      <c r="G108" s="287" t="s">
        <v>158</v>
      </c>
      <c r="H108" s="165">
        <v>47</v>
      </c>
      <c r="I108" s="134" t="s">
        <v>158</v>
      </c>
      <c r="J108" s="126"/>
      <c r="K108" s="126"/>
      <c r="L108" s="126"/>
      <c r="M108" s="126"/>
      <c r="N108" s="126"/>
      <c r="O108" s="126"/>
      <c r="P108" s="126"/>
      <c r="Q108" s="126"/>
      <c r="R108" s="126"/>
      <c r="S108" s="126"/>
      <c r="T108" s="126"/>
      <c r="U108" s="127"/>
      <c r="V108" s="126"/>
      <c r="W108" s="126"/>
      <c r="X108" s="126"/>
      <c r="Y108" s="126"/>
      <c r="Z108" s="126"/>
      <c r="AA108" s="115"/>
    </row>
    <row r="109" spans="1:27" ht="18.75" thickBot="1" x14ac:dyDescent="0.4">
      <c r="A109" s="143"/>
      <c r="B109" s="138"/>
      <c r="C109" s="138"/>
      <c r="D109" s="138"/>
      <c r="E109" s="147" t="s">
        <v>326</v>
      </c>
      <c r="F109" s="164">
        <f>CHF_calc*(10^12)</f>
        <v>1010.1403192352866</v>
      </c>
      <c r="G109" s="288" t="s">
        <v>157</v>
      </c>
      <c r="H109" s="159">
        <v>1000</v>
      </c>
      <c r="I109" s="139" t="s">
        <v>157</v>
      </c>
      <c r="J109" s="126"/>
      <c r="K109" s="126"/>
      <c r="L109" s="126"/>
      <c r="M109" s="126"/>
      <c r="N109" s="126"/>
      <c r="O109" s="126"/>
      <c r="P109" s="126"/>
      <c r="Q109" s="126"/>
      <c r="R109" s="126"/>
      <c r="S109" s="126"/>
      <c r="T109" s="126"/>
      <c r="U109" s="127"/>
      <c r="V109" s="126"/>
      <c r="W109" s="126"/>
      <c r="X109" s="126"/>
      <c r="Y109" s="126"/>
      <c r="Z109" s="126"/>
      <c r="AA109" s="115"/>
    </row>
    <row r="110" spans="1:27" x14ac:dyDescent="0.25">
      <c r="A110" s="205"/>
      <c r="B110" s="205"/>
      <c r="C110" s="205"/>
      <c r="D110" s="205"/>
      <c r="E110" s="206"/>
      <c r="F110" s="207"/>
      <c r="G110" s="289"/>
      <c r="H110" s="205"/>
      <c r="I110" s="205"/>
      <c r="J110" s="205"/>
      <c r="K110" s="205"/>
      <c r="L110" s="205"/>
      <c r="M110" s="205"/>
      <c r="N110" s="205"/>
      <c r="O110" s="205"/>
      <c r="P110" s="205"/>
      <c r="Q110" s="205"/>
      <c r="R110" s="205"/>
      <c r="S110" s="205"/>
      <c r="T110" s="205"/>
      <c r="U110" s="117"/>
      <c r="V110" s="205"/>
      <c r="W110" s="205"/>
      <c r="X110" s="205"/>
      <c r="Y110" s="205"/>
      <c r="Z110" s="205"/>
      <c r="AA110" s="115"/>
    </row>
    <row r="111" spans="1:27" s="177" customFormat="1" ht="23.25" x14ac:dyDescent="0.35">
      <c r="A111" s="188" t="s">
        <v>237</v>
      </c>
      <c r="B111" s="189"/>
      <c r="C111" s="189"/>
      <c r="D111" s="189"/>
      <c r="E111" s="189"/>
      <c r="F111" s="189"/>
      <c r="G111" s="290"/>
      <c r="H111" s="189"/>
      <c r="I111" s="189"/>
      <c r="J111" s="189"/>
      <c r="K111" s="189"/>
      <c r="L111" s="189"/>
      <c r="M111" s="189"/>
      <c r="N111" s="189"/>
      <c r="O111" s="189"/>
      <c r="P111" s="189"/>
      <c r="Q111" s="189"/>
      <c r="R111" s="189"/>
      <c r="S111" s="189"/>
      <c r="T111" s="189"/>
      <c r="U111" s="189"/>
      <c r="V111" s="189"/>
      <c r="W111" s="189"/>
      <c r="X111" s="190"/>
      <c r="Y111" s="190"/>
      <c r="Z111" s="190"/>
      <c r="AA111" s="212"/>
    </row>
    <row r="112" spans="1:27" s="177" customFormat="1" x14ac:dyDescent="0.25">
      <c r="A112" s="189"/>
      <c r="B112" s="189"/>
      <c r="C112" s="189"/>
      <c r="D112" s="189"/>
      <c r="E112" s="189"/>
      <c r="F112" s="189"/>
      <c r="G112" s="291"/>
      <c r="H112" s="189"/>
      <c r="I112" s="189"/>
      <c r="J112" s="189"/>
      <c r="K112" s="189"/>
      <c r="L112" s="189"/>
      <c r="M112" s="189"/>
      <c r="N112" s="189"/>
      <c r="O112" s="189"/>
      <c r="P112" s="189"/>
      <c r="Q112" s="189"/>
      <c r="R112" s="189"/>
      <c r="S112" s="189"/>
      <c r="T112" s="189"/>
      <c r="U112" s="189"/>
      <c r="V112" s="189"/>
      <c r="W112" s="189"/>
      <c r="X112" s="190"/>
      <c r="Y112" s="190"/>
      <c r="Z112" s="190"/>
      <c r="AA112" s="212"/>
    </row>
    <row r="113" spans="1:27" s="177" customFormat="1" ht="18.75" thickBot="1" x14ac:dyDescent="0.4">
      <c r="A113" s="191" t="s">
        <v>485</v>
      </c>
      <c r="B113" s="189"/>
      <c r="C113" s="189"/>
      <c r="D113" s="189"/>
      <c r="E113" s="189"/>
      <c r="F113" s="189"/>
      <c r="G113" s="291"/>
      <c r="H113" s="189"/>
      <c r="I113" s="189"/>
      <c r="J113" s="189"/>
      <c r="K113" s="189"/>
      <c r="L113" s="189"/>
      <c r="M113" s="189"/>
      <c r="N113" s="189"/>
      <c r="O113" s="189"/>
      <c r="P113" s="189"/>
      <c r="Q113" s="189"/>
      <c r="R113" s="189"/>
      <c r="S113" s="189"/>
      <c r="T113" s="189"/>
      <c r="U113" s="189"/>
      <c r="V113" s="189"/>
      <c r="W113" s="189"/>
      <c r="X113" s="190"/>
      <c r="Y113" s="190"/>
      <c r="Z113" s="190"/>
      <c r="AA113" s="212"/>
    </row>
    <row r="114" spans="1:27" s="177" customFormat="1" ht="15.75" x14ac:dyDescent="0.3">
      <c r="A114" s="214"/>
      <c r="B114" s="215"/>
      <c r="C114" s="215"/>
      <c r="D114" s="215"/>
      <c r="E114" s="215"/>
      <c r="F114" s="215"/>
      <c r="G114" s="216" t="s">
        <v>437</v>
      </c>
      <c r="H114" s="231">
        <v>7</v>
      </c>
      <c r="I114" s="217" t="s">
        <v>279</v>
      </c>
      <c r="J114" s="189"/>
      <c r="K114" s="189"/>
      <c r="L114" s="189"/>
      <c r="M114" s="189"/>
      <c r="N114" s="189"/>
      <c r="O114" s="189"/>
      <c r="P114" s="189"/>
      <c r="Q114" s="189"/>
      <c r="R114" s="189"/>
      <c r="S114" s="189"/>
      <c r="T114" s="189"/>
      <c r="U114" s="189"/>
      <c r="V114" s="189"/>
      <c r="W114" s="189"/>
      <c r="X114" s="190"/>
      <c r="Y114" s="190"/>
      <c r="Z114" s="190"/>
      <c r="AA114" s="212"/>
    </row>
    <row r="115" spans="1:27" s="177" customFormat="1" ht="15.75" x14ac:dyDescent="0.3">
      <c r="A115" s="218"/>
      <c r="B115" s="189"/>
      <c r="C115" s="189"/>
      <c r="D115" s="189"/>
      <c r="E115" s="189"/>
      <c r="F115" s="189"/>
      <c r="G115" s="192" t="s">
        <v>438</v>
      </c>
      <c r="H115" s="232">
        <v>9</v>
      </c>
      <c r="I115" s="219" t="s">
        <v>280</v>
      </c>
      <c r="J115" s="189"/>
      <c r="K115" s="189"/>
      <c r="L115" s="189"/>
      <c r="M115" s="189"/>
      <c r="N115" s="189"/>
      <c r="O115" s="189"/>
      <c r="P115" s="189"/>
      <c r="Q115" s="189"/>
      <c r="R115" s="189"/>
      <c r="S115" s="189"/>
      <c r="T115" s="189"/>
      <c r="U115" s="189"/>
      <c r="V115" s="189"/>
      <c r="W115" s="189"/>
      <c r="X115" s="190"/>
      <c r="Y115" s="190"/>
      <c r="Z115" s="190"/>
      <c r="AA115" s="212"/>
    </row>
    <row r="116" spans="1:27" s="177" customFormat="1" ht="15.75" x14ac:dyDescent="0.3">
      <c r="A116" s="218"/>
      <c r="B116" s="189"/>
      <c r="C116" s="189"/>
      <c r="D116" s="189"/>
      <c r="E116" s="189"/>
      <c r="F116" s="189"/>
      <c r="G116" s="192" t="s">
        <v>439</v>
      </c>
      <c r="H116" s="232">
        <v>2</v>
      </c>
      <c r="I116" s="219" t="s">
        <v>280</v>
      </c>
      <c r="J116" s="189"/>
      <c r="K116" s="189"/>
      <c r="L116" s="189"/>
      <c r="M116" s="189"/>
      <c r="N116" s="189"/>
      <c r="O116" s="189"/>
      <c r="P116" s="189"/>
      <c r="Q116" s="189"/>
      <c r="R116" s="189"/>
      <c r="S116" s="189"/>
      <c r="T116" s="189"/>
      <c r="U116" s="189"/>
      <c r="V116" s="189"/>
      <c r="W116" s="189"/>
      <c r="X116" s="190"/>
      <c r="Y116" s="190"/>
      <c r="Z116" s="190"/>
      <c r="AA116" s="212"/>
    </row>
    <row r="117" spans="1:27" s="177" customFormat="1" ht="15.75" x14ac:dyDescent="0.3">
      <c r="A117" s="220"/>
      <c r="B117" s="189"/>
      <c r="C117" s="189"/>
      <c r="D117" s="189"/>
      <c r="E117" s="189"/>
      <c r="F117" s="189"/>
      <c r="G117" s="192" t="s">
        <v>440</v>
      </c>
      <c r="H117" s="232">
        <v>4.5</v>
      </c>
      <c r="I117" s="219" t="s">
        <v>280</v>
      </c>
      <c r="J117" s="189"/>
      <c r="K117" s="189"/>
      <c r="L117" s="189"/>
      <c r="M117" s="189"/>
      <c r="N117" s="189"/>
      <c r="O117" s="189"/>
      <c r="P117" s="189"/>
      <c r="Q117" s="189"/>
      <c r="R117" s="189"/>
      <c r="S117" s="189"/>
      <c r="T117" s="189"/>
      <c r="U117" s="189"/>
      <c r="V117" s="189"/>
      <c r="W117" s="189"/>
      <c r="X117" s="190"/>
      <c r="Y117" s="190"/>
      <c r="Z117" s="190"/>
      <c r="AA117" s="212"/>
    </row>
    <row r="118" spans="1:27" s="177" customFormat="1" ht="15.75" x14ac:dyDescent="0.3">
      <c r="A118" s="220"/>
      <c r="B118" s="189"/>
      <c r="C118" s="189"/>
      <c r="D118" s="189"/>
      <c r="E118" s="189"/>
      <c r="F118" s="189"/>
      <c r="G118" s="192" t="s">
        <v>441</v>
      </c>
      <c r="H118" s="232">
        <v>10</v>
      </c>
      <c r="I118" s="219" t="s">
        <v>281</v>
      </c>
      <c r="J118" s="189"/>
      <c r="K118" s="189"/>
      <c r="L118" s="189"/>
      <c r="M118" s="189"/>
      <c r="N118" s="189"/>
      <c r="O118" s="189"/>
      <c r="P118" s="189"/>
      <c r="Q118" s="189"/>
      <c r="R118" s="189"/>
      <c r="S118" s="189"/>
      <c r="T118" s="189"/>
      <c r="U118" s="189"/>
      <c r="V118" s="189"/>
      <c r="W118" s="189"/>
      <c r="X118" s="190"/>
      <c r="Y118" s="190"/>
      <c r="Z118" s="190"/>
      <c r="AA118" s="212"/>
    </row>
    <row r="119" spans="1:27" s="177" customFormat="1" ht="16.5" thickBot="1" x14ac:dyDescent="0.35">
      <c r="A119" s="221"/>
      <c r="B119" s="222"/>
      <c r="C119" s="222"/>
      <c r="D119" s="222"/>
      <c r="E119" s="222"/>
      <c r="F119" s="222"/>
      <c r="G119" s="223" t="s">
        <v>442</v>
      </c>
      <c r="H119" s="233">
        <v>1.7</v>
      </c>
      <c r="I119" s="224" t="s">
        <v>5</v>
      </c>
      <c r="J119" s="189"/>
      <c r="K119" s="189"/>
      <c r="L119" s="189"/>
      <c r="M119" s="189"/>
      <c r="N119" s="189"/>
      <c r="O119" s="189"/>
      <c r="P119" s="189"/>
      <c r="Q119" s="189"/>
      <c r="R119" s="189"/>
      <c r="S119" s="189"/>
      <c r="T119" s="189"/>
      <c r="U119" s="189"/>
      <c r="V119" s="189"/>
      <c r="W119" s="189"/>
      <c r="X119" s="190"/>
      <c r="Y119" s="190"/>
      <c r="Z119" s="190"/>
      <c r="AA119" s="212"/>
    </row>
    <row r="120" spans="1:27" s="177" customFormat="1" x14ac:dyDescent="0.25">
      <c r="A120" s="189"/>
      <c r="B120" s="189"/>
      <c r="C120" s="189"/>
      <c r="D120" s="189"/>
      <c r="E120" s="189"/>
      <c r="F120" s="189"/>
      <c r="G120" s="290"/>
      <c r="H120" s="189"/>
      <c r="I120" s="189"/>
      <c r="J120" s="189"/>
      <c r="K120" s="189"/>
      <c r="L120" s="189"/>
      <c r="M120" s="189"/>
      <c r="N120" s="189"/>
      <c r="O120" s="189"/>
      <c r="P120" s="189"/>
      <c r="Q120" s="189"/>
      <c r="R120" s="189"/>
      <c r="S120" s="189"/>
      <c r="T120" s="189"/>
      <c r="U120" s="189"/>
      <c r="V120" s="189"/>
      <c r="W120" s="189"/>
      <c r="X120" s="190"/>
      <c r="Y120" s="190"/>
      <c r="Z120" s="190"/>
      <c r="AA120" s="212"/>
    </row>
    <row r="121" spans="1:27" s="177" customFormat="1" ht="18.75" thickBot="1" x14ac:dyDescent="0.4">
      <c r="A121" s="191" t="s">
        <v>486</v>
      </c>
      <c r="B121" s="189"/>
      <c r="C121" s="189"/>
      <c r="D121" s="189"/>
      <c r="E121" s="189"/>
      <c r="F121" s="189"/>
      <c r="G121" s="290"/>
      <c r="H121" s="189"/>
      <c r="I121" s="189"/>
      <c r="J121" s="189"/>
      <c r="K121" s="189"/>
      <c r="L121" s="189"/>
      <c r="M121" s="189"/>
      <c r="N121" s="189"/>
      <c r="O121" s="189"/>
      <c r="P121" s="189"/>
      <c r="Q121" s="189"/>
      <c r="R121" s="189"/>
      <c r="S121" s="189"/>
      <c r="T121" s="189"/>
      <c r="U121" s="189"/>
      <c r="V121" s="189"/>
      <c r="W121" s="189"/>
      <c r="X121" s="190"/>
      <c r="Y121" s="190"/>
      <c r="Z121" s="190"/>
      <c r="AA121" s="212"/>
    </row>
    <row r="122" spans="1:27" s="177" customFormat="1" ht="15.75" x14ac:dyDescent="0.3">
      <c r="A122" s="214"/>
      <c r="B122" s="215"/>
      <c r="C122" s="215"/>
      <c r="D122" s="215"/>
      <c r="E122" s="215"/>
      <c r="F122" s="215"/>
      <c r="G122" s="216" t="s">
        <v>744</v>
      </c>
      <c r="H122" s="231">
        <v>7</v>
      </c>
      <c r="I122" s="217" t="s">
        <v>279</v>
      </c>
      <c r="J122" s="189"/>
      <c r="K122" s="189"/>
      <c r="L122" s="189"/>
      <c r="M122" s="189"/>
      <c r="N122" s="189"/>
      <c r="O122" s="189"/>
      <c r="P122" s="189"/>
      <c r="Q122" s="189"/>
      <c r="R122" s="189"/>
      <c r="S122" s="189"/>
      <c r="T122" s="189"/>
      <c r="U122" s="189"/>
      <c r="V122" s="189"/>
      <c r="W122" s="189"/>
      <c r="X122" s="190"/>
      <c r="Y122" s="190"/>
      <c r="Z122" s="190"/>
      <c r="AA122" s="212"/>
    </row>
    <row r="123" spans="1:27" s="177" customFormat="1" ht="15.75" x14ac:dyDescent="0.3">
      <c r="A123" s="220"/>
      <c r="B123" s="189"/>
      <c r="C123" s="189"/>
      <c r="D123" s="189"/>
      <c r="E123" s="189"/>
      <c r="F123" s="189"/>
      <c r="G123" s="192" t="s">
        <v>745</v>
      </c>
      <c r="H123" s="232">
        <v>9</v>
      </c>
      <c r="I123" s="219" t="s">
        <v>280</v>
      </c>
      <c r="J123" s="189"/>
      <c r="K123" s="189"/>
      <c r="L123" s="189"/>
      <c r="M123" s="189"/>
      <c r="N123" s="189"/>
      <c r="O123" s="189"/>
      <c r="P123" s="189"/>
      <c r="Q123" s="189"/>
      <c r="R123" s="189"/>
      <c r="S123" s="189"/>
      <c r="T123" s="189"/>
      <c r="U123" s="189"/>
      <c r="V123" s="189"/>
      <c r="W123" s="189"/>
      <c r="X123" s="190"/>
      <c r="Y123" s="190"/>
      <c r="Z123" s="190"/>
      <c r="AA123" s="212"/>
    </row>
    <row r="124" spans="1:27" s="177" customFormat="1" ht="15.75" x14ac:dyDescent="0.3">
      <c r="A124" s="220"/>
      <c r="B124" s="189"/>
      <c r="C124" s="189"/>
      <c r="D124" s="189"/>
      <c r="E124" s="189"/>
      <c r="F124" s="189"/>
      <c r="G124" s="192" t="s">
        <v>746</v>
      </c>
      <c r="H124" s="232">
        <v>2</v>
      </c>
      <c r="I124" s="219" t="s">
        <v>280</v>
      </c>
      <c r="J124" s="189"/>
      <c r="K124" s="189"/>
      <c r="L124" s="189"/>
      <c r="M124" s="189"/>
      <c r="N124" s="189"/>
      <c r="O124" s="189"/>
      <c r="P124" s="189"/>
      <c r="Q124" s="189"/>
      <c r="R124" s="189"/>
      <c r="S124" s="189"/>
      <c r="T124" s="189"/>
      <c r="U124" s="189"/>
      <c r="V124" s="189"/>
      <c r="W124" s="189"/>
      <c r="X124" s="190"/>
      <c r="Y124" s="190"/>
      <c r="Z124" s="190"/>
      <c r="AA124" s="212"/>
    </row>
    <row r="125" spans="1:27" s="177" customFormat="1" ht="15.75" x14ac:dyDescent="0.3">
      <c r="A125" s="220"/>
      <c r="B125" s="189"/>
      <c r="C125" s="189"/>
      <c r="D125" s="189"/>
      <c r="E125" s="189"/>
      <c r="F125" s="189"/>
      <c r="G125" s="192" t="s">
        <v>747</v>
      </c>
      <c r="H125" s="232">
        <v>4.5</v>
      </c>
      <c r="I125" s="219" t="s">
        <v>280</v>
      </c>
      <c r="J125" s="189"/>
      <c r="K125" s="189"/>
      <c r="L125" s="189"/>
      <c r="M125" s="189"/>
      <c r="N125" s="189"/>
      <c r="O125" s="189"/>
      <c r="P125" s="189"/>
      <c r="Q125" s="189"/>
      <c r="R125" s="189"/>
      <c r="S125" s="189"/>
      <c r="T125" s="189"/>
      <c r="U125" s="189"/>
      <c r="V125" s="189"/>
      <c r="W125" s="189"/>
      <c r="X125" s="190"/>
      <c r="Y125" s="190"/>
      <c r="Z125" s="190"/>
      <c r="AA125" s="212"/>
    </row>
    <row r="126" spans="1:27" s="177" customFormat="1" ht="15.75" x14ac:dyDescent="0.3">
      <c r="A126" s="220"/>
      <c r="B126" s="189"/>
      <c r="C126" s="189"/>
      <c r="D126" s="189"/>
      <c r="E126" s="189"/>
      <c r="F126" s="189"/>
      <c r="G126" s="192" t="s">
        <v>748</v>
      </c>
      <c r="H126" s="232">
        <v>2</v>
      </c>
      <c r="I126" s="219" t="s">
        <v>281</v>
      </c>
      <c r="J126" s="189"/>
      <c r="K126" s="189"/>
      <c r="L126" s="189"/>
      <c r="M126" s="189"/>
      <c r="N126" s="189"/>
      <c r="O126" s="189"/>
      <c r="P126" s="189"/>
      <c r="Q126" s="189"/>
      <c r="R126" s="189"/>
      <c r="S126" s="189"/>
      <c r="T126" s="189"/>
      <c r="U126" s="189"/>
      <c r="V126" s="189"/>
      <c r="W126" s="189"/>
      <c r="X126" s="190"/>
      <c r="Y126" s="190"/>
      <c r="Z126" s="190"/>
      <c r="AA126" s="212"/>
    </row>
    <row r="127" spans="1:27" s="177" customFormat="1" ht="15.75" x14ac:dyDescent="0.3">
      <c r="A127" s="220"/>
      <c r="B127" s="189"/>
      <c r="C127" s="189"/>
      <c r="D127" s="189"/>
      <c r="E127" s="189"/>
      <c r="F127" s="189"/>
      <c r="G127" s="192" t="s">
        <v>749</v>
      </c>
      <c r="H127" s="232">
        <v>1.7</v>
      </c>
      <c r="I127" s="219" t="s">
        <v>5</v>
      </c>
      <c r="J127" s="189"/>
      <c r="K127" s="189"/>
      <c r="L127" s="189"/>
      <c r="M127" s="189"/>
      <c r="N127" s="189"/>
      <c r="O127" s="189"/>
      <c r="P127" s="189"/>
      <c r="Q127" s="189"/>
      <c r="R127" s="189"/>
      <c r="S127" s="189"/>
      <c r="T127" s="189"/>
      <c r="U127" s="189"/>
      <c r="V127" s="189"/>
      <c r="W127" s="189"/>
      <c r="X127" s="190"/>
      <c r="Y127" s="190"/>
      <c r="Z127" s="190"/>
      <c r="AA127" s="212"/>
    </row>
    <row r="128" spans="1:27" s="177" customFormat="1" ht="15.75" x14ac:dyDescent="0.3">
      <c r="A128" s="220"/>
      <c r="B128" s="189"/>
      <c r="C128" s="189"/>
      <c r="D128" s="189"/>
      <c r="E128" s="189"/>
      <c r="F128" s="189"/>
      <c r="G128" s="302" t="s">
        <v>750</v>
      </c>
      <c r="H128" s="232">
        <v>19</v>
      </c>
      <c r="I128" s="225" t="s">
        <v>280</v>
      </c>
      <c r="J128" s="189"/>
      <c r="K128" s="189"/>
      <c r="L128" s="189"/>
      <c r="M128" s="189"/>
      <c r="N128" s="189"/>
      <c r="O128" s="189"/>
      <c r="P128" s="189"/>
      <c r="Q128" s="189"/>
      <c r="R128" s="189"/>
      <c r="S128" s="189"/>
      <c r="T128" s="189"/>
      <c r="U128" s="189"/>
      <c r="V128" s="189"/>
      <c r="W128" s="189"/>
      <c r="X128" s="190"/>
      <c r="Y128" s="190"/>
      <c r="Z128" s="190"/>
      <c r="AA128" s="212"/>
    </row>
    <row r="129" spans="1:27" s="177" customFormat="1" ht="16.5" thickBot="1" x14ac:dyDescent="0.35">
      <c r="A129" s="221"/>
      <c r="B129" s="222"/>
      <c r="C129" s="222"/>
      <c r="D129" s="222"/>
      <c r="E129" s="222"/>
      <c r="F129" s="222"/>
      <c r="G129" s="303" t="s">
        <v>751</v>
      </c>
      <c r="H129" s="233">
        <v>0.85</v>
      </c>
      <c r="I129" s="226" t="s">
        <v>5</v>
      </c>
      <c r="J129" s="189"/>
      <c r="K129" s="189"/>
      <c r="L129" s="189"/>
      <c r="M129" s="189"/>
      <c r="N129" s="189"/>
      <c r="O129" s="189"/>
      <c r="P129" s="189"/>
      <c r="Q129" s="189"/>
      <c r="R129" s="189"/>
      <c r="S129" s="189"/>
      <c r="T129" s="189"/>
      <c r="U129" s="189"/>
      <c r="V129" s="189"/>
      <c r="W129" s="189"/>
      <c r="X129" s="190"/>
      <c r="Y129" s="190"/>
      <c r="Z129" s="190"/>
      <c r="AA129" s="212"/>
    </row>
    <row r="130" spans="1:27" s="176" customFormat="1" x14ac:dyDescent="0.25">
      <c r="A130" s="193"/>
      <c r="B130" s="193"/>
      <c r="C130" s="193"/>
      <c r="D130" s="193"/>
      <c r="E130" s="193"/>
      <c r="F130" s="193"/>
      <c r="G130" s="292"/>
      <c r="H130" s="193"/>
      <c r="I130" s="193"/>
      <c r="J130" s="193"/>
      <c r="K130" s="193"/>
      <c r="L130" s="193"/>
      <c r="M130" s="193"/>
      <c r="N130" s="193"/>
      <c r="O130" s="193"/>
      <c r="P130" s="193"/>
      <c r="Q130" s="193"/>
      <c r="R130" s="193"/>
      <c r="S130" s="193"/>
      <c r="T130" s="193"/>
      <c r="U130" s="189"/>
      <c r="V130" s="193"/>
      <c r="W130" s="193"/>
      <c r="X130" s="194"/>
      <c r="Y130" s="194"/>
      <c r="Z130" s="194"/>
      <c r="AA130" s="213"/>
    </row>
    <row r="131" spans="1:27" s="176" customFormat="1" x14ac:dyDescent="0.25">
      <c r="A131" s="193"/>
      <c r="B131" s="193"/>
      <c r="C131" s="193"/>
      <c r="D131" s="193"/>
      <c r="E131" s="193"/>
      <c r="F131" s="193"/>
      <c r="G131" s="292"/>
      <c r="H131" s="193"/>
      <c r="I131" s="193"/>
      <c r="J131" s="193"/>
      <c r="K131" s="193"/>
      <c r="L131" s="193"/>
      <c r="M131" s="193"/>
      <c r="N131" s="193"/>
      <c r="O131" s="193"/>
      <c r="P131" s="193"/>
      <c r="Q131" s="193"/>
      <c r="R131" s="193"/>
      <c r="S131" s="193"/>
      <c r="T131" s="193"/>
      <c r="U131" s="189"/>
      <c r="V131" s="193"/>
      <c r="W131" s="193"/>
      <c r="X131" s="194"/>
      <c r="Y131" s="194"/>
      <c r="Z131" s="194"/>
      <c r="AA131" s="213"/>
    </row>
    <row r="132" spans="1:27" s="176" customFormat="1" x14ac:dyDescent="0.25">
      <c r="A132" s="193"/>
      <c r="B132" s="193"/>
      <c r="C132" s="193"/>
      <c r="D132" s="193"/>
      <c r="E132" s="193"/>
      <c r="F132" s="193"/>
      <c r="G132" s="292"/>
      <c r="H132" s="193"/>
      <c r="I132" s="193"/>
      <c r="J132" s="193"/>
      <c r="K132" s="193"/>
      <c r="L132" s="193"/>
      <c r="M132" s="193"/>
      <c r="N132" s="193"/>
      <c r="O132" s="193"/>
      <c r="P132" s="193"/>
      <c r="Q132" s="193"/>
      <c r="R132" s="193"/>
      <c r="S132" s="193"/>
      <c r="T132" s="193"/>
      <c r="U132" s="189"/>
      <c r="V132" s="193"/>
      <c r="W132" s="193"/>
      <c r="X132" s="194"/>
      <c r="Y132" s="194"/>
      <c r="Z132" s="194"/>
      <c r="AA132" s="213"/>
    </row>
    <row r="133" spans="1:27" s="176" customFormat="1" x14ac:dyDescent="0.25">
      <c r="A133" s="193"/>
      <c r="B133" s="193"/>
      <c r="C133" s="193"/>
      <c r="D133" s="193"/>
      <c r="E133" s="193"/>
      <c r="F133" s="193"/>
      <c r="G133" s="292"/>
      <c r="H133" s="193"/>
      <c r="I133" s="193"/>
      <c r="J133" s="193"/>
      <c r="K133" s="193"/>
      <c r="L133" s="193"/>
      <c r="M133" s="193"/>
      <c r="N133" s="193"/>
      <c r="O133" s="193"/>
      <c r="P133" s="193"/>
      <c r="Q133" s="193"/>
      <c r="R133" s="193"/>
      <c r="S133" s="193"/>
      <c r="T133" s="193"/>
      <c r="U133" s="189"/>
      <c r="V133" s="193"/>
      <c r="W133" s="193"/>
      <c r="X133" s="194"/>
      <c r="Y133" s="194"/>
      <c r="Z133" s="194"/>
      <c r="AA133" s="213"/>
    </row>
    <row r="134" spans="1:27" s="176" customFormat="1" x14ac:dyDescent="0.25">
      <c r="A134" s="193"/>
      <c r="B134" s="193"/>
      <c r="C134" s="193"/>
      <c r="D134" s="193"/>
      <c r="E134" s="193"/>
      <c r="F134" s="193"/>
      <c r="G134" s="292"/>
      <c r="H134" s="193"/>
      <c r="I134" s="193"/>
      <c r="J134" s="193"/>
      <c r="K134" s="193"/>
      <c r="L134" s="193"/>
      <c r="M134" s="193"/>
      <c r="N134" s="193"/>
      <c r="O134" s="193"/>
      <c r="P134" s="193"/>
      <c r="Q134" s="193"/>
      <c r="R134" s="193"/>
      <c r="S134" s="193"/>
      <c r="T134" s="193"/>
      <c r="U134" s="189"/>
      <c r="V134" s="193"/>
      <c r="W134" s="193"/>
      <c r="X134" s="194"/>
      <c r="Y134" s="194"/>
      <c r="Z134" s="194"/>
      <c r="AA134" s="213"/>
    </row>
    <row r="135" spans="1:27" s="176" customFormat="1" x14ac:dyDescent="0.25">
      <c r="A135" s="194"/>
      <c r="B135" s="194"/>
      <c r="C135" s="194"/>
      <c r="D135" s="194"/>
      <c r="E135" s="194"/>
      <c r="F135" s="194"/>
      <c r="G135" s="282"/>
      <c r="H135" s="194"/>
      <c r="I135" s="194"/>
      <c r="J135" s="194"/>
      <c r="K135" s="194"/>
      <c r="L135" s="194"/>
      <c r="M135" s="194"/>
      <c r="N135" s="194"/>
      <c r="O135" s="194"/>
      <c r="P135" s="194"/>
      <c r="Q135" s="194"/>
      <c r="R135" s="194"/>
      <c r="S135" s="194"/>
      <c r="T135" s="194"/>
      <c r="U135" s="195"/>
      <c r="V135" s="194"/>
      <c r="W135" s="194"/>
      <c r="X135" s="194"/>
      <c r="Y135" s="194"/>
      <c r="Z135" s="194"/>
      <c r="AA135" s="213"/>
    </row>
    <row r="136" spans="1:27" s="176" customFormat="1" x14ac:dyDescent="0.25">
      <c r="A136" s="194"/>
      <c r="B136" s="194"/>
      <c r="C136" s="194"/>
      <c r="D136" s="194"/>
      <c r="E136" s="194"/>
      <c r="F136" s="194"/>
      <c r="G136" s="282"/>
      <c r="H136" s="194"/>
      <c r="I136" s="194"/>
      <c r="J136" s="194"/>
      <c r="K136" s="194"/>
      <c r="L136" s="194"/>
      <c r="M136" s="194"/>
      <c r="N136" s="194"/>
      <c r="O136" s="194"/>
      <c r="P136" s="194"/>
      <c r="Q136" s="194"/>
      <c r="R136" s="194"/>
      <c r="S136" s="194"/>
      <c r="T136" s="194"/>
      <c r="U136" s="195"/>
      <c r="V136" s="194"/>
      <c r="W136" s="194"/>
      <c r="X136" s="194"/>
      <c r="Y136" s="194"/>
      <c r="Z136" s="194"/>
      <c r="AA136" s="213"/>
    </row>
    <row r="137" spans="1:27" x14ac:dyDescent="0.25">
      <c r="A137" s="205"/>
      <c r="B137" s="205"/>
      <c r="C137" s="205"/>
      <c r="D137" s="205"/>
      <c r="E137" s="205"/>
      <c r="F137" s="205"/>
      <c r="G137" s="289"/>
      <c r="H137" s="205"/>
      <c r="I137" s="205"/>
      <c r="J137" s="205"/>
      <c r="K137" s="205"/>
      <c r="L137" s="205"/>
      <c r="M137" s="205"/>
      <c r="N137" s="205"/>
      <c r="O137" s="205"/>
      <c r="P137" s="205"/>
      <c r="Q137" s="205"/>
      <c r="R137" s="205"/>
      <c r="S137" s="205"/>
      <c r="T137" s="205"/>
      <c r="U137" s="117"/>
      <c r="V137" s="205"/>
      <c r="W137" s="205"/>
      <c r="X137" s="205"/>
      <c r="Y137" s="205"/>
      <c r="Z137" s="205"/>
      <c r="AA137" s="115"/>
    </row>
  </sheetData>
  <sheetProtection algorithmName="SHA-512" hashValue="vInoKPrN/usuHUT7p5hyqG9eIO2uaJSh2viGaj8sJb3L7ulJhg4nPw0Br4xcXU2jsy2HxUpVw4bhGBeueGOPjQ==" saltValue="nEMKV8axOHaRkd+74BnGDw==" spinCount="100000" sheet="1" objects="1" scenarios="1" selectLockedCells="1"/>
  <mergeCells count="7">
    <mergeCell ref="B74:C74"/>
    <mergeCell ref="E74:F74"/>
    <mergeCell ref="G66:H66"/>
    <mergeCell ref="A66:C66"/>
    <mergeCell ref="D66:F66"/>
    <mergeCell ref="G71:H71"/>
    <mergeCell ref="G72:H72"/>
  </mergeCells>
  <conditionalFormatting sqref="H49">
    <cfRule type="cellIs" dxfId="12" priority="14" operator="greaterThan">
      <formula>2.999</formula>
    </cfRule>
  </conditionalFormatting>
  <conditionalFormatting sqref="H7">
    <cfRule type="cellIs" dxfId="11" priority="8" operator="lessThan">
      <formula>$H$6</formula>
    </cfRule>
    <cfRule type="cellIs" dxfId="10" priority="9" operator="greaterThan">
      <formula>$H$8</formula>
    </cfRule>
  </conditionalFormatting>
  <conditionalFormatting sqref="H51">
    <cfRule type="cellIs" dxfId="9" priority="4" operator="lessThan">
      <formula>$H$50</formula>
    </cfRule>
    <cfRule type="cellIs" dxfId="8" priority="5" operator="greaterThan">
      <formula>$H$29*Np</formula>
    </cfRule>
  </conditionalFormatting>
  <conditionalFormatting sqref="H46">
    <cfRule type="cellIs" dxfId="7" priority="3" operator="greaterThan">
      <formula>Np*$H$29</formula>
    </cfRule>
  </conditionalFormatting>
  <conditionalFormatting sqref="H50">
    <cfRule type="cellIs" dxfId="6" priority="1" operator="lessThan">
      <formula>0</formula>
    </cfRule>
    <cfRule type="cellIs" dxfId="5" priority="2" operator="greaterThan">
      <formula>$H$29*Np</formula>
    </cfRule>
  </conditionalFormatting>
  <dataValidations count="1">
    <dataValidation type="whole" allowBlank="1" showInputMessage="1" showErrorMessage="1" error="Fill in an integer between 1 and 8." sqref="H14" xr:uid="{C222998B-D293-47FA-B514-C63573CE920C}">
      <formula1>1</formula1>
      <formula2>8</formula2>
    </dataValidation>
  </dataValidations>
  <hyperlinks>
    <hyperlink ref="O3" location="Licenses!A1" display="TERMS OF USE" xr:uid="{9DB2D881-97D5-4720-9D4E-508B57391166}"/>
  </hyperlinks>
  <pageMargins left="0.2" right="0.2" top="0.25" bottom="0.25" header="0" footer="0"/>
  <pageSetup paperSize="9" scale="44" orientation="portrait" r:id="rId1"/>
  <drawing r:id="rId2"/>
  <legacyDrawing r:id="rId3"/>
  <oleObjects>
    <mc:AlternateContent xmlns:mc="http://schemas.openxmlformats.org/markup-compatibility/2006">
      <mc:Choice Requires="x14">
        <oleObject progId="Visio.Drawing.15" shapeId="1094" r:id="rId4">
          <objectPr defaultSize="0" autoPict="0" r:id="rId5">
            <anchor moveWithCells="1">
              <from>
                <xdr:col>10</xdr:col>
                <xdr:colOff>342900</xdr:colOff>
                <xdr:row>5</xdr:row>
                <xdr:rowOff>180975</xdr:rowOff>
              </from>
              <to>
                <xdr:col>25</xdr:col>
                <xdr:colOff>219075</xdr:colOff>
                <xdr:row>37</xdr:row>
                <xdr:rowOff>85725</xdr:rowOff>
              </to>
            </anchor>
          </objectPr>
        </oleObject>
      </mc:Choice>
      <mc:Fallback>
        <oleObject progId="Visio.Drawing.15" shapeId="1094" r:id="rId4"/>
      </mc:Fallback>
    </mc:AlternateContent>
    <mc:AlternateContent xmlns:mc="http://schemas.openxmlformats.org/markup-compatibility/2006">
      <mc:Choice Requires="x14">
        <oleObject progId="Visio.Drawing.15" shapeId="1112" r:id="rId6">
          <objectPr defaultSize="0" autoPict="0" r:id="rId7">
            <anchor moveWithCells="1">
              <from>
                <xdr:col>10</xdr:col>
                <xdr:colOff>238125</xdr:colOff>
                <xdr:row>44</xdr:row>
                <xdr:rowOff>95250</xdr:rowOff>
              </from>
              <to>
                <xdr:col>18</xdr:col>
                <xdr:colOff>19050</xdr:colOff>
                <xdr:row>57</xdr:row>
                <xdr:rowOff>95250</xdr:rowOff>
              </to>
            </anchor>
          </objectPr>
        </oleObject>
      </mc:Choice>
      <mc:Fallback>
        <oleObject progId="Visio.Drawing.15" shapeId="1112" r:id="rId6"/>
      </mc:Fallback>
    </mc:AlternateContent>
  </oleObjects>
  <mc:AlternateContent xmlns:mc="http://schemas.openxmlformats.org/markup-compatibility/2006">
    <mc:Choice Requires="x14">
      <controls>
        <mc:AlternateContent xmlns:mc="http://schemas.openxmlformats.org/markup-compatibility/2006">
          <mc:Choice Requires="x14">
            <control shapeId="1095" r:id="rId8" name="Drop Down 71">
              <controlPr defaultSize="0" autoLine="0" autoPict="0">
                <anchor moveWithCells="1">
                  <from>
                    <xdr:col>16</xdr:col>
                    <xdr:colOff>200025</xdr:colOff>
                    <xdr:row>13</xdr:row>
                    <xdr:rowOff>38100</xdr:rowOff>
                  </from>
                  <to>
                    <xdr:col>18</xdr:col>
                    <xdr:colOff>219075</xdr:colOff>
                    <xdr:row>15</xdr:row>
                    <xdr:rowOff>114300</xdr:rowOff>
                  </to>
                </anchor>
              </controlPr>
            </control>
          </mc:Choice>
        </mc:AlternateContent>
        <mc:AlternateContent xmlns:mc="http://schemas.openxmlformats.org/markup-compatibility/2006">
          <mc:Choice Requires="x14">
            <control shapeId="1060" r:id="rId9" name="Spinner 36">
              <controlPr defaultSize="0" autoPict="0">
                <anchor moveWithCells="1" sizeWithCells="1">
                  <from>
                    <xdr:col>7</xdr:col>
                    <xdr:colOff>561975</xdr:colOff>
                    <xdr:row>91</xdr:row>
                    <xdr:rowOff>0</xdr:rowOff>
                  </from>
                  <to>
                    <xdr:col>7</xdr:col>
                    <xdr:colOff>781050</xdr:colOff>
                    <xdr:row>91</xdr:row>
                    <xdr:rowOff>228600</xdr:rowOff>
                  </to>
                </anchor>
              </controlPr>
            </control>
          </mc:Choice>
        </mc:AlternateContent>
        <mc:AlternateContent xmlns:mc="http://schemas.openxmlformats.org/markup-compatibility/2006">
          <mc:Choice Requires="x14">
            <control shapeId="1079" r:id="rId10" name="Spinner 55">
              <controlPr defaultSize="0" autoPict="0">
                <anchor moveWithCells="1" sizeWithCells="1">
                  <from>
                    <xdr:col>7</xdr:col>
                    <xdr:colOff>561975</xdr:colOff>
                    <xdr:row>93</xdr:row>
                    <xdr:rowOff>0</xdr:rowOff>
                  </from>
                  <to>
                    <xdr:col>7</xdr:col>
                    <xdr:colOff>781050</xdr:colOff>
                    <xdr:row>95</xdr:row>
                    <xdr:rowOff>0</xdr:rowOff>
                  </to>
                </anchor>
              </controlPr>
            </control>
          </mc:Choice>
        </mc:AlternateContent>
        <mc:AlternateContent xmlns:mc="http://schemas.openxmlformats.org/markup-compatibility/2006">
          <mc:Choice Requires="x14">
            <control shapeId="1080" r:id="rId11" name="Spinner 56">
              <controlPr defaultSize="0" autoPict="0">
                <anchor moveWithCells="1" sizeWithCells="1">
                  <from>
                    <xdr:col>7</xdr:col>
                    <xdr:colOff>561975</xdr:colOff>
                    <xdr:row>96</xdr:row>
                    <xdr:rowOff>0</xdr:rowOff>
                  </from>
                  <to>
                    <xdr:col>7</xdr:col>
                    <xdr:colOff>781050</xdr:colOff>
                    <xdr:row>96</xdr:row>
                    <xdr:rowOff>219075</xdr:rowOff>
                  </to>
                </anchor>
              </controlPr>
            </control>
          </mc:Choice>
        </mc:AlternateContent>
        <mc:AlternateContent xmlns:mc="http://schemas.openxmlformats.org/markup-compatibility/2006">
          <mc:Choice Requires="x14">
            <control shapeId="1082" r:id="rId12" name="Spinner 58">
              <controlPr defaultSize="0" autoPict="0">
                <anchor moveWithCells="1" sizeWithCells="1">
                  <from>
                    <xdr:col>7</xdr:col>
                    <xdr:colOff>561975</xdr:colOff>
                    <xdr:row>99</xdr:row>
                    <xdr:rowOff>9525</xdr:rowOff>
                  </from>
                  <to>
                    <xdr:col>7</xdr:col>
                    <xdr:colOff>781050</xdr:colOff>
                    <xdr:row>101</xdr:row>
                    <xdr:rowOff>0</xdr:rowOff>
                  </to>
                </anchor>
              </controlPr>
            </control>
          </mc:Choice>
        </mc:AlternateContent>
        <mc:AlternateContent xmlns:mc="http://schemas.openxmlformats.org/markup-compatibility/2006">
          <mc:Choice Requires="x14">
            <control shapeId="1100" r:id="rId13" name="Spinner 76">
              <controlPr defaultSize="0" autoPict="0">
                <anchor moveWithCells="1" sizeWithCells="1">
                  <from>
                    <xdr:col>7</xdr:col>
                    <xdr:colOff>542925</xdr:colOff>
                    <xdr:row>13</xdr:row>
                    <xdr:rowOff>0</xdr:rowOff>
                  </from>
                  <to>
                    <xdr:col>7</xdr:col>
                    <xdr:colOff>781050</xdr:colOff>
                    <xdr:row>13</xdr:row>
                    <xdr:rowOff>180975</xdr:rowOff>
                  </to>
                </anchor>
              </controlPr>
            </control>
          </mc:Choice>
        </mc:AlternateContent>
        <mc:AlternateContent xmlns:mc="http://schemas.openxmlformats.org/markup-compatibility/2006">
          <mc:Choice Requires="x14">
            <control shapeId="1132" r:id="rId14" name="Drop Down 108">
              <controlPr defaultSize="0" autoLine="0" autoPict="0">
                <anchor moveWithCells="1">
                  <from>
                    <xdr:col>0</xdr:col>
                    <xdr:colOff>57150</xdr:colOff>
                    <xdr:row>67</xdr:row>
                    <xdr:rowOff>57150</xdr:rowOff>
                  </from>
                  <to>
                    <xdr:col>2</xdr:col>
                    <xdr:colOff>523875</xdr:colOff>
                    <xdr:row>68</xdr:row>
                    <xdr:rowOff>66675</xdr:rowOff>
                  </to>
                </anchor>
              </controlPr>
            </control>
          </mc:Choice>
        </mc:AlternateContent>
        <mc:AlternateContent xmlns:mc="http://schemas.openxmlformats.org/markup-compatibility/2006">
          <mc:Choice Requires="x14">
            <control shapeId="1133" r:id="rId15" name="Drop Down 109">
              <controlPr defaultSize="0" autoLine="0" autoPict="0">
                <anchor moveWithCells="1">
                  <from>
                    <xdr:col>0</xdr:col>
                    <xdr:colOff>57150</xdr:colOff>
                    <xdr:row>66</xdr:row>
                    <xdr:rowOff>9525</xdr:rowOff>
                  </from>
                  <to>
                    <xdr:col>2</xdr:col>
                    <xdr:colOff>523875</xdr:colOff>
                    <xdr:row>67</xdr:row>
                    <xdr:rowOff>19050</xdr:rowOff>
                  </to>
                </anchor>
              </controlPr>
            </control>
          </mc:Choice>
        </mc:AlternateContent>
        <mc:AlternateContent xmlns:mc="http://schemas.openxmlformats.org/markup-compatibility/2006">
          <mc:Choice Requires="x14">
            <control shapeId="1138" r:id="rId16" name="Drop Down 114">
              <controlPr defaultSize="0" autoLine="0" autoPict="0">
                <anchor moveWithCells="1">
                  <from>
                    <xdr:col>3</xdr:col>
                    <xdr:colOff>57150</xdr:colOff>
                    <xdr:row>66</xdr:row>
                    <xdr:rowOff>9525</xdr:rowOff>
                  </from>
                  <to>
                    <xdr:col>7</xdr:col>
                    <xdr:colOff>1114425</xdr:colOff>
                    <xdr:row>67</xdr:row>
                    <xdr:rowOff>19050</xdr:rowOff>
                  </to>
                </anchor>
              </controlPr>
            </control>
          </mc:Choice>
        </mc:AlternateContent>
        <mc:AlternateContent xmlns:mc="http://schemas.openxmlformats.org/markup-compatibility/2006">
          <mc:Choice Requires="x14">
            <control shapeId="1139" r:id="rId17" name="Drop Down 115">
              <controlPr defaultSize="0" autoLine="0" autoPict="0">
                <anchor moveWithCells="1">
                  <from>
                    <xdr:col>3</xdr:col>
                    <xdr:colOff>57150</xdr:colOff>
                    <xdr:row>67</xdr:row>
                    <xdr:rowOff>57150</xdr:rowOff>
                  </from>
                  <to>
                    <xdr:col>5</xdr:col>
                    <xdr:colOff>542925</xdr:colOff>
                    <xdr:row>68</xdr:row>
                    <xdr:rowOff>66675</xdr:rowOff>
                  </to>
                </anchor>
              </controlPr>
            </control>
          </mc:Choice>
        </mc:AlternateContent>
        <mc:AlternateContent xmlns:mc="http://schemas.openxmlformats.org/markup-compatibility/2006">
          <mc:Choice Requires="x14">
            <control shapeId="1140" r:id="rId18" name="Drop Down 116">
              <controlPr defaultSize="0" autoLine="0" autoPict="0">
                <anchor moveWithCells="1">
                  <from>
                    <xdr:col>3</xdr:col>
                    <xdr:colOff>57150</xdr:colOff>
                    <xdr:row>68</xdr:row>
                    <xdr:rowOff>104775</xdr:rowOff>
                  </from>
                  <to>
                    <xdr:col>5</xdr:col>
                    <xdr:colOff>542925</xdr:colOff>
                    <xdr:row>69</xdr:row>
                    <xdr:rowOff>114300</xdr:rowOff>
                  </to>
                </anchor>
              </controlPr>
            </control>
          </mc:Choice>
        </mc:AlternateContent>
        <mc:AlternateContent xmlns:mc="http://schemas.openxmlformats.org/markup-compatibility/2006">
          <mc:Choice Requires="x14">
            <control shapeId="1141" r:id="rId19" name="Drop Down 117">
              <controlPr defaultSize="0" autoLine="0" autoPict="0">
                <anchor moveWithCells="1">
                  <from>
                    <xdr:col>3</xdr:col>
                    <xdr:colOff>57150</xdr:colOff>
                    <xdr:row>69</xdr:row>
                    <xdr:rowOff>152400</xdr:rowOff>
                  </from>
                  <to>
                    <xdr:col>5</xdr:col>
                    <xdr:colOff>542925</xdr:colOff>
                    <xdr:row>70</xdr:row>
                    <xdr:rowOff>161925</xdr:rowOff>
                  </to>
                </anchor>
              </controlPr>
            </control>
          </mc:Choice>
        </mc:AlternateContent>
        <mc:AlternateContent xmlns:mc="http://schemas.openxmlformats.org/markup-compatibility/2006">
          <mc:Choice Requires="x14">
            <control shapeId="1144" r:id="rId20" name="Drop Down 120">
              <controlPr defaultSize="0" autoLine="0" autoPict="0">
                <anchor moveWithCells="1">
                  <from>
                    <xdr:col>6</xdr:col>
                    <xdr:colOff>38100</xdr:colOff>
                    <xdr:row>67</xdr:row>
                    <xdr:rowOff>57150</xdr:rowOff>
                  </from>
                  <to>
                    <xdr:col>7</xdr:col>
                    <xdr:colOff>1114425</xdr:colOff>
                    <xdr:row>68</xdr:row>
                    <xdr:rowOff>66675</xdr:rowOff>
                  </to>
                </anchor>
              </controlPr>
            </control>
          </mc:Choice>
        </mc:AlternateContent>
        <mc:AlternateContent xmlns:mc="http://schemas.openxmlformats.org/markup-compatibility/2006">
          <mc:Choice Requires="x14">
            <control shapeId="1145" r:id="rId21" name="Drop Down 121">
              <controlPr defaultSize="0" autoLine="0" autoPict="0">
                <anchor moveWithCells="1">
                  <from>
                    <xdr:col>6</xdr:col>
                    <xdr:colOff>38100</xdr:colOff>
                    <xdr:row>68</xdr:row>
                    <xdr:rowOff>104775</xdr:rowOff>
                  </from>
                  <to>
                    <xdr:col>7</xdr:col>
                    <xdr:colOff>1114425</xdr:colOff>
                    <xdr:row>69</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9A5ECA69-78AD-45C1-9264-9281F75AEB24}">
            <xm:f>Variable_Management!$B$168</xm:f>
            <x14:dxf>
              <font>
                <b val="0"/>
                <i val="0"/>
                <strike val="0"/>
                <color auto="1"/>
              </font>
              <fill>
                <patternFill>
                  <bgColor rgb="FFFF0000"/>
                </patternFill>
              </fill>
            </x14:dxf>
          </x14:cfRule>
          <xm:sqref>H73</xm:sqref>
        </x14:conditionalFormatting>
        <x14:conditionalFormatting xmlns:xm="http://schemas.microsoft.com/office/excel/2006/main">
          <x14:cfRule type="cellIs" priority="13" operator="lessThan" id="{8542B508-5CF6-490D-B153-BA595CA92FB8}">
            <xm:f>Constants!$B$8</xm:f>
            <x14:dxf>
              <font>
                <color theme="1"/>
              </font>
              <fill>
                <patternFill>
                  <bgColor rgb="FFFF0000"/>
                </patternFill>
              </fill>
            </x14:dxf>
          </x14:cfRule>
          <xm:sqref>H6</xm:sqref>
        </x14:conditionalFormatting>
        <x14:conditionalFormatting xmlns:xm="http://schemas.microsoft.com/office/excel/2006/main">
          <x14:cfRule type="cellIs" priority="12" operator="greaterThan" id="{A8886CEB-EF70-4EC7-BCFA-BF8E5120D096}">
            <xm:f>Constants!$B$9</xm:f>
            <x14:dxf>
              <font>
                <color auto="1"/>
              </font>
              <fill>
                <patternFill>
                  <bgColor rgb="FFFF0000"/>
                </patternFill>
              </fill>
            </x14:dxf>
          </x14:cfRule>
          <xm:sqref>H8</xm:sqref>
        </x14:conditionalFormatting>
        <x14:conditionalFormatting xmlns:xm="http://schemas.microsoft.com/office/excel/2006/main">
          <x14:cfRule type="cellIs" priority="6" operator="lessThan" id="{93F65992-E419-4ADB-A355-40FB3E0412F5}">
            <xm:f>Constants!$B$10</xm:f>
            <x14:dxf>
              <font>
                <color auto="1"/>
              </font>
              <fill>
                <patternFill>
                  <bgColor rgb="FFFF0000"/>
                </patternFill>
              </fill>
            </x14:dxf>
          </x14:cfRule>
          <x14:cfRule type="cellIs" priority="7" operator="greaterThan" id="{97FC8B21-7015-4A04-8805-0B08090C0D73}">
            <xm:f>Constants!$B$11</xm:f>
            <x14:dxf>
              <font>
                <color auto="1"/>
              </font>
              <fill>
                <patternFill>
                  <bgColor rgb="FFFF0000"/>
                </patternFill>
              </fill>
            </x14:dxf>
          </x14:cfRule>
          <xm:sqref>H9</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D371B2D-F4D0-466D-ADFD-CA688F4B647C}">
          <x14:formula1>
            <xm:f>Lists!$U$3:$U$4</xm:f>
          </x14:formula1>
          <xm:sqref>H11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321"/>
  <sheetViews>
    <sheetView zoomScaleNormal="100" workbookViewId="0">
      <pane ySplit="5" topLeftCell="A147" activePane="bottomLeft" state="frozen"/>
      <selection pane="bottomLeft" activeCell="B161" sqref="B161"/>
    </sheetView>
  </sheetViews>
  <sheetFormatPr defaultRowHeight="15" x14ac:dyDescent="0.25"/>
  <cols>
    <col min="1" max="1" width="28.7109375" customWidth="1"/>
    <col min="2" max="2" width="19.5703125" customWidth="1"/>
    <col min="3" max="3" width="10.7109375" customWidth="1"/>
    <col min="4" max="4" width="10" bestFit="1" customWidth="1"/>
    <col min="5" max="5" width="18.5703125" customWidth="1"/>
    <col min="6" max="6" width="14.7109375" customWidth="1"/>
    <col min="7" max="7" width="15.28515625" customWidth="1"/>
    <col min="8" max="8" width="12.5703125" customWidth="1"/>
    <col min="9" max="9" width="12.5703125" style="4" customWidth="1"/>
    <col min="10" max="10" width="35.85546875" customWidth="1"/>
    <col min="12" max="12" width="12.28515625" bestFit="1" customWidth="1"/>
  </cols>
  <sheetData>
    <row r="1" spans="1:17" ht="27.75" x14ac:dyDescent="0.4">
      <c r="A1" s="357" t="s">
        <v>9</v>
      </c>
      <c r="B1" s="357"/>
      <c r="C1" s="357"/>
      <c r="D1" s="357"/>
      <c r="E1" s="357"/>
      <c r="F1" s="357"/>
      <c r="G1" s="357"/>
      <c r="H1" s="357"/>
      <c r="I1" s="357"/>
      <c r="J1" s="357"/>
    </row>
    <row r="2" spans="1:17" x14ac:dyDescent="0.25">
      <c r="A2" s="6"/>
      <c r="B2" s="6" t="s">
        <v>10</v>
      </c>
      <c r="C2" s="7"/>
      <c r="D2" s="5"/>
      <c r="E2" s="6"/>
      <c r="F2" s="6"/>
      <c r="G2" s="6"/>
      <c r="H2" s="6"/>
      <c r="I2" s="12"/>
      <c r="J2" s="6"/>
    </row>
    <row r="3" spans="1:17" x14ac:dyDescent="0.25">
      <c r="A3" s="6"/>
      <c r="B3" s="6" t="s">
        <v>11</v>
      </c>
      <c r="C3" s="8"/>
      <c r="D3" s="5"/>
      <c r="E3" s="6"/>
      <c r="F3" s="24" t="s">
        <v>53</v>
      </c>
      <c r="G3" s="25" t="s">
        <v>54</v>
      </c>
      <c r="H3" s="39" t="s">
        <v>453</v>
      </c>
      <c r="I3" s="12"/>
      <c r="J3" s="6"/>
    </row>
    <row r="4" spans="1:17" x14ac:dyDescent="0.25">
      <c r="A4" s="6"/>
      <c r="B4" s="6" t="s">
        <v>12</v>
      </c>
      <c r="C4" s="9"/>
      <c r="D4" s="5"/>
      <c r="E4" s="6"/>
      <c r="F4" s="6"/>
      <c r="G4" s="6"/>
      <c r="H4" s="6"/>
      <c r="I4" s="12"/>
      <c r="J4" s="6"/>
    </row>
    <row r="5" spans="1:17" x14ac:dyDescent="0.25">
      <c r="A5" s="11" t="s">
        <v>13</v>
      </c>
      <c r="B5" s="11" t="s">
        <v>14</v>
      </c>
      <c r="C5" s="11" t="s">
        <v>15</v>
      </c>
      <c r="D5" s="10"/>
      <c r="E5" s="358" t="s">
        <v>16</v>
      </c>
      <c r="F5" s="358"/>
      <c r="G5" s="358"/>
      <c r="H5" s="358"/>
      <c r="I5" s="20"/>
      <c r="J5" s="26" t="s">
        <v>17</v>
      </c>
      <c r="K5" s="11" t="s">
        <v>60</v>
      </c>
      <c r="L5" s="10"/>
      <c r="M5" s="10"/>
      <c r="N5" s="10"/>
      <c r="O5" s="10"/>
      <c r="P5" s="10"/>
      <c r="Q5" s="10"/>
    </row>
    <row r="6" spans="1:17" ht="15.75" x14ac:dyDescent="0.25">
      <c r="A6" s="19" t="s">
        <v>18</v>
      </c>
      <c r="B6" s="16"/>
      <c r="C6" s="16"/>
      <c r="D6" s="16"/>
      <c r="E6" s="17"/>
      <c r="F6" s="17"/>
      <c r="G6" s="17"/>
      <c r="H6" s="17"/>
      <c r="I6" s="17"/>
      <c r="J6" s="16"/>
      <c r="K6" s="10"/>
      <c r="L6" s="10"/>
      <c r="M6" s="10"/>
      <c r="N6" s="10"/>
      <c r="O6" s="10"/>
      <c r="P6" s="10"/>
      <c r="Q6" s="10"/>
    </row>
    <row r="7" spans="1:17" x14ac:dyDescent="0.25">
      <c r="A7" t="s">
        <v>19</v>
      </c>
      <c r="B7" s="3">
        <f>'Design Converter'!H6</f>
        <v>9</v>
      </c>
      <c r="C7" t="s">
        <v>5</v>
      </c>
      <c r="E7" t="s">
        <v>22</v>
      </c>
    </row>
    <row r="8" spans="1:17" x14ac:dyDescent="0.25">
      <c r="A8" t="s">
        <v>20</v>
      </c>
      <c r="B8" s="3">
        <f>'Design Converter'!H7</f>
        <v>9</v>
      </c>
      <c r="C8" t="s">
        <v>5</v>
      </c>
      <c r="E8" t="s">
        <v>23</v>
      </c>
      <c r="K8">
        <f>IF(VIN_min&lt;VIN_min,1,IF(VIN_nom&gt;VIN_max,1,0))</f>
        <v>0</v>
      </c>
    </row>
    <row r="9" spans="1:17" x14ac:dyDescent="0.25">
      <c r="A9" t="s">
        <v>21</v>
      </c>
      <c r="B9" s="3">
        <f>'Design Converter'!H8</f>
        <v>16</v>
      </c>
      <c r="C9" t="s">
        <v>5</v>
      </c>
      <c r="E9" t="s">
        <v>24</v>
      </c>
    </row>
    <row r="10" spans="1:17" s="4" customFormat="1" x14ac:dyDescent="0.25">
      <c r="A10" s="4" t="s">
        <v>57</v>
      </c>
      <c r="B10" s="3">
        <f>'Design Converter'!H12*1000</f>
        <v>400000</v>
      </c>
      <c r="C10" s="4" t="s">
        <v>58</v>
      </c>
      <c r="E10" s="4" t="s">
        <v>59</v>
      </c>
    </row>
    <row r="11" spans="1:17" s="4" customFormat="1" x14ac:dyDescent="0.25">
      <c r="A11" s="4" t="s">
        <v>61</v>
      </c>
      <c r="B11" s="30">
        <f>((1/Fsw)-0.000000018)*31500000000</f>
        <v>78183</v>
      </c>
      <c r="C11" s="2" t="s">
        <v>29</v>
      </c>
      <c r="E11" s="4" t="s">
        <v>62</v>
      </c>
    </row>
    <row r="12" spans="1:17" x14ac:dyDescent="0.25">
      <c r="A12" t="s">
        <v>25</v>
      </c>
      <c r="B12" s="3">
        <f>'Design Converter'!H9</f>
        <v>45</v>
      </c>
      <c r="C12" t="s">
        <v>5</v>
      </c>
      <c r="E12" t="s">
        <v>487</v>
      </c>
    </row>
    <row r="13" spans="1:17" x14ac:dyDescent="0.25">
      <c r="A13" t="s">
        <v>26</v>
      </c>
      <c r="B13" s="3">
        <f>'Design Converter'!H10/Np</f>
        <v>11</v>
      </c>
      <c r="C13" t="s">
        <v>6</v>
      </c>
      <c r="E13" t="s">
        <v>27</v>
      </c>
    </row>
    <row r="14" spans="1:17" x14ac:dyDescent="0.25">
      <c r="A14" t="s">
        <v>28</v>
      </c>
      <c r="B14" s="29">
        <f>VOUT/IOUT</f>
        <v>4.0909090909090908</v>
      </c>
      <c r="C14" s="2" t="s">
        <v>29</v>
      </c>
      <c r="E14" t="s">
        <v>34</v>
      </c>
    </row>
    <row r="15" spans="1:17" x14ac:dyDescent="0.25">
      <c r="A15" t="s">
        <v>30</v>
      </c>
      <c r="B15" s="1">
        <f>VOUT*IOUT</f>
        <v>495</v>
      </c>
      <c r="C15" s="2" t="s">
        <v>31</v>
      </c>
      <c r="E15" t="s">
        <v>33</v>
      </c>
    </row>
    <row r="16" spans="1:17" x14ac:dyDescent="0.25">
      <c r="A16" t="s">
        <v>32</v>
      </c>
      <c r="B16" s="21">
        <v>1</v>
      </c>
      <c r="E16" t="s">
        <v>446</v>
      </c>
    </row>
    <row r="17" spans="1:11" x14ac:dyDescent="0.25">
      <c r="A17" t="s">
        <v>452</v>
      </c>
      <c r="B17" s="3">
        <f>Np</f>
        <v>2</v>
      </c>
      <c r="E17" t="s">
        <v>483</v>
      </c>
    </row>
    <row r="18" spans="1:11" s="32" customFormat="1" x14ac:dyDescent="0.25">
      <c r="A18" s="32" t="s">
        <v>522</v>
      </c>
      <c r="B18" s="32">
        <f>VOUT*10000/6</f>
        <v>75000</v>
      </c>
      <c r="C18" s="2" t="s">
        <v>29</v>
      </c>
    </row>
    <row r="19" spans="1:11" s="32" customFormat="1" x14ac:dyDescent="0.25">
      <c r="A19" s="32" t="s">
        <v>523</v>
      </c>
      <c r="B19" s="32">
        <f>VOUT/30</f>
        <v>1.5</v>
      </c>
      <c r="C19" s="2" t="s">
        <v>5</v>
      </c>
    </row>
    <row r="20" spans="1:11" s="32" customFormat="1" x14ac:dyDescent="0.25">
      <c r="A20" s="32" t="s">
        <v>625</v>
      </c>
      <c r="B20" s="32">
        <f>VOUT/0.75</f>
        <v>60</v>
      </c>
      <c r="C20" s="2" t="s">
        <v>8</v>
      </c>
    </row>
    <row r="21" spans="1:11" s="32" customFormat="1" x14ac:dyDescent="0.25">
      <c r="A21" s="32" t="s">
        <v>443</v>
      </c>
      <c r="B21" s="32">
        <f>IF(VOUT&lt;=20,1,2)</f>
        <v>2</v>
      </c>
      <c r="E21" s="32" t="s">
        <v>444</v>
      </c>
    </row>
    <row r="22" spans="1:11" s="32" customFormat="1" x14ac:dyDescent="0.25">
      <c r="A22" s="32" t="s">
        <v>445</v>
      </c>
      <c r="B22" s="32">
        <f>IF('Design Converter'!H11="FPWM",3,2)</f>
        <v>2</v>
      </c>
      <c r="E22" s="32" t="s">
        <v>526</v>
      </c>
    </row>
    <row r="23" spans="1:11" s="32" customFormat="1" x14ac:dyDescent="0.25"/>
    <row r="24" spans="1:11" x14ac:dyDescent="0.25">
      <c r="A24" t="s">
        <v>35</v>
      </c>
      <c r="B24" s="1">
        <f>1-VIN_min*EFF_est/VOUT</f>
        <v>0.8</v>
      </c>
      <c r="E24" t="s">
        <v>353</v>
      </c>
    </row>
    <row r="25" spans="1:11" s="4" customFormat="1" x14ac:dyDescent="0.25">
      <c r="A25" t="s">
        <v>36</v>
      </c>
      <c r="B25" s="22">
        <f>Constants!B26-0.02</f>
        <v>0.94727272727272727</v>
      </c>
      <c r="C25"/>
      <c r="D25"/>
      <c r="E25" t="s">
        <v>449</v>
      </c>
    </row>
    <row r="26" spans="1:11" s="32" customFormat="1" x14ac:dyDescent="0.25">
      <c r="B26" s="179"/>
    </row>
    <row r="27" spans="1:11" s="32" customFormat="1" x14ac:dyDescent="0.25">
      <c r="A27" s="32" t="s">
        <v>357</v>
      </c>
      <c r="B27" s="166">
        <f>IF(B24&gt;Dc_max_IC,1,2)</f>
        <v>2</v>
      </c>
      <c r="E27" s="178" t="s">
        <v>447</v>
      </c>
      <c r="K27" s="32">
        <f>IF(B27=1,1,0)</f>
        <v>0</v>
      </c>
    </row>
    <row r="28" spans="1:11" s="32" customFormat="1" x14ac:dyDescent="0.25">
      <c r="E28" s="32" t="s">
        <v>448</v>
      </c>
    </row>
    <row r="30" spans="1:11" x14ac:dyDescent="0.25">
      <c r="A30" s="31" t="s">
        <v>64</v>
      </c>
      <c r="E30" s="32" t="b">
        <f>AND((1-(VIN_max/VOUT))&lt;Dc_rip_max,(1-(VIN_min/VOUT))&lt;Dc_rip_max)</f>
        <v>0</v>
      </c>
    </row>
    <row r="31" spans="1:11" s="32" customFormat="1" x14ac:dyDescent="0.25">
      <c r="A31" s="167" t="s">
        <v>359</v>
      </c>
    </row>
    <row r="32" spans="1:11" x14ac:dyDescent="0.25">
      <c r="A32" t="s">
        <v>77</v>
      </c>
      <c r="B32" s="3">
        <f>'Design Converter'!H22/100</f>
        <v>0.3</v>
      </c>
      <c r="E32" t="s">
        <v>95</v>
      </c>
    </row>
    <row r="33" spans="1:5" s="32" customFormat="1" x14ac:dyDescent="0.25">
      <c r="A33" s="38" t="s">
        <v>105</v>
      </c>
      <c r="B33" s="22">
        <v>0.33</v>
      </c>
      <c r="E33" s="32" t="s">
        <v>104</v>
      </c>
    </row>
    <row r="34" spans="1:5" s="32" customFormat="1" x14ac:dyDescent="0.25">
      <c r="A34" s="32" t="s">
        <v>358</v>
      </c>
      <c r="B34" s="28">
        <f>IF(AND((1-(VIN_max/VOUT))&lt;Dc_rip_max,(1-(VIN_min/VOUT))&gt;=Dc_rip_max),Dc_rip_max,IF((1-(VIN_max/VOUT))&gt;Dc_rip_max,(1-(VIN_max/VOUT)),IF((1-(VIN_min/VOUT))&lt;Dc_rip_max,(1-(VIN_min/VOUT)),0.33)))</f>
        <v>0.64444444444444438</v>
      </c>
    </row>
    <row r="35" spans="1:5" s="32" customFormat="1" x14ac:dyDescent="0.25">
      <c r="A35" s="32" t="s">
        <v>82</v>
      </c>
      <c r="B35" s="1">
        <f>VOUT*(1-DC_rip)</f>
        <v>16.000000000000004</v>
      </c>
      <c r="C35" s="32" t="s">
        <v>5</v>
      </c>
      <c r="E35" s="32" t="s">
        <v>107</v>
      </c>
    </row>
    <row r="36" spans="1:5" s="32" customFormat="1" x14ac:dyDescent="0.25"/>
    <row r="37" spans="1:5" s="32" customFormat="1" x14ac:dyDescent="0.25">
      <c r="A37" s="32" t="s">
        <v>83</v>
      </c>
      <c r="B37" s="28">
        <f>(VOUT*IOUT)/(VIN_33)</f>
        <v>30.937499999999993</v>
      </c>
      <c r="C37" s="32" t="s">
        <v>6</v>
      </c>
      <c r="E37" s="32" t="s">
        <v>106</v>
      </c>
    </row>
    <row r="38" spans="1:5" s="32" customFormat="1" x14ac:dyDescent="0.25">
      <c r="A38" s="32" t="s">
        <v>84</v>
      </c>
      <c r="B38" s="37">
        <f>(VIN_33*DC_rip)/(IIN_33*ILrip*Fsw)</f>
        <v>2.7774036662925561E-6</v>
      </c>
      <c r="C38" s="32" t="s">
        <v>76</v>
      </c>
      <c r="E38" s="32" t="s">
        <v>373</v>
      </c>
    </row>
    <row r="40" spans="1:5" s="32" customFormat="1" x14ac:dyDescent="0.25">
      <c r="A40" s="167" t="s">
        <v>450</v>
      </c>
    </row>
    <row r="41" spans="1:5" s="32" customFormat="1" x14ac:dyDescent="0.25">
      <c r="A41" s="38" t="s">
        <v>362</v>
      </c>
      <c r="B41" s="180">
        <f>'Design Converter'!H22/100</f>
        <v>0.3</v>
      </c>
      <c r="E41" s="32" t="s">
        <v>363</v>
      </c>
    </row>
    <row r="42" spans="1:5" s="32" customFormat="1" x14ac:dyDescent="0.25">
      <c r="A42" s="32" t="s">
        <v>361</v>
      </c>
      <c r="B42" s="37">
        <f>((DC_DCM_max^2)*(VIN_min^2))/(2*IOUT*VOUT*Fsw-2*IOUT*VIN_min*Fsw)</f>
        <v>2.3011363636363637E-8</v>
      </c>
      <c r="C42" s="32" t="s">
        <v>76</v>
      </c>
      <c r="E42" s="32" t="s">
        <v>360</v>
      </c>
    </row>
    <row r="43" spans="1:5" s="32" customFormat="1" x14ac:dyDescent="0.25">
      <c r="A43" s="32" t="s">
        <v>364</v>
      </c>
      <c r="B43" s="22">
        <v>0.2</v>
      </c>
      <c r="E43" s="32" t="s">
        <v>365</v>
      </c>
    </row>
    <row r="44" spans="1:5" s="32" customFormat="1" x14ac:dyDescent="0.25">
      <c r="A44" s="32" t="s">
        <v>366</v>
      </c>
      <c r="B44" s="37">
        <f>(1-M_L_DCM)*((VIN_min^2)*(1-(VIN_min/VOUT)))/(2*IOUT*VOUT*Fsw)</f>
        <v>1.3090909090909093E-7</v>
      </c>
      <c r="C44" s="32" t="s">
        <v>76</v>
      </c>
      <c r="E44" s="32" t="s">
        <v>367</v>
      </c>
    </row>
    <row r="45" spans="1:5" s="32" customFormat="1" x14ac:dyDescent="0.25">
      <c r="A45" s="32" t="s">
        <v>368</v>
      </c>
      <c r="B45" s="37">
        <f>MIN(B42,B44)</f>
        <v>2.3011363636363637E-8</v>
      </c>
      <c r="C45" s="32" t="s">
        <v>76</v>
      </c>
      <c r="E45" s="32" t="s">
        <v>369</v>
      </c>
    </row>
    <row r="46" spans="1:5" s="32" customFormat="1" x14ac:dyDescent="0.25">
      <c r="B46" s="170"/>
    </row>
    <row r="47" spans="1:5" s="32" customFormat="1" x14ac:dyDescent="0.25">
      <c r="A47" s="32" t="s">
        <v>372</v>
      </c>
      <c r="B47" s="37">
        <f>IF(B27=1,B45,Lopt_2)</f>
        <v>2.7774036662925561E-6</v>
      </c>
      <c r="E47" s="32" t="s">
        <v>370</v>
      </c>
    </row>
    <row r="48" spans="1:5" s="32" customFormat="1" x14ac:dyDescent="0.25"/>
    <row r="49" spans="1:9" x14ac:dyDescent="0.25">
      <c r="A49" t="s">
        <v>78</v>
      </c>
      <c r="B49" s="34">
        <f>CHOOSE(B27,'Design Converter'!H24*10^-9,'Design Converter'!H24*10^-6)</f>
        <v>3.2999999999999997E-6</v>
      </c>
      <c r="C49" t="s">
        <v>76</v>
      </c>
      <c r="E49" t="s">
        <v>79</v>
      </c>
    </row>
    <row r="50" spans="1:9" x14ac:dyDescent="0.25">
      <c r="A50" t="s">
        <v>80</v>
      </c>
      <c r="B50" s="3">
        <f>'Design Converter'!H25*10^-3</f>
        <v>6.0000000000000001E-3</v>
      </c>
      <c r="C50" s="2" t="s">
        <v>29</v>
      </c>
      <c r="E50" t="s">
        <v>108</v>
      </c>
    </row>
    <row r="51" spans="1:9" s="32" customFormat="1" x14ac:dyDescent="0.25">
      <c r="A51" s="32" t="s">
        <v>109</v>
      </c>
      <c r="B51" s="22">
        <v>0.2</v>
      </c>
      <c r="C51" s="2"/>
      <c r="E51" s="32" t="s">
        <v>110</v>
      </c>
    </row>
    <row r="52" spans="1:9" x14ac:dyDescent="0.25">
      <c r="B52" t="s">
        <v>85</v>
      </c>
    </row>
    <row r="53" spans="1:9" s="32" customFormat="1" x14ac:dyDescent="0.25">
      <c r="A53" s="47" t="s">
        <v>374</v>
      </c>
    </row>
    <row r="54" spans="1:9" s="32" customFormat="1" x14ac:dyDescent="0.25"/>
    <row r="55" spans="1:9" s="32" customFormat="1" x14ac:dyDescent="0.25">
      <c r="A55" s="35" t="s">
        <v>375</v>
      </c>
    </row>
    <row r="56" spans="1:9" s="32" customFormat="1" x14ac:dyDescent="0.25">
      <c r="A56" s="32" t="s">
        <v>376</v>
      </c>
      <c r="B56" s="32">
        <f>IF(B22=3,1,IF((VOUT*IOUT)/(VIN_min*Np)&lt;((VIN_min*(1-(VIN_min/VOUT)))/(2*Lm*Fsw)),0,1))</f>
        <v>1</v>
      </c>
      <c r="E56" s="32" t="s">
        <v>454</v>
      </c>
      <c r="I56" s="47"/>
    </row>
    <row r="57" spans="1:9" s="32" customFormat="1" x14ac:dyDescent="0.25">
      <c r="A57" s="32" t="s">
        <v>67</v>
      </c>
      <c r="B57" s="1">
        <f>IF(B56=0,SQRT((2*(IOUT/Np)*Lm*Fsw*(VOUT-VIN_min)/(VIN_min^2))),(1-VIN_min/VOUT))</f>
        <v>0.8</v>
      </c>
      <c r="E57" s="32" t="s">
        <v>354</v>
      </c>
    </row>
    <row r="58" spans="1:9" s="32" customFormat="1" x14ac:dyDescent="0.25">
      <c r="B58" s="23">
        <f>B57/Fsw</f>
        <v>1.9999999999999999E-6</v>
      </c>
      <c r="C58" s="32" t="s">
        <v>44</v>
      </c>
      <c r="E58" s="32" t="s">
        <v>249</v>
      </c>
    </row>
    <row r="59" spans="1:9" s="32" customFormat="1" x14ac:dyDescent="0.25">
      <c r="A59" s="32" t="s">
        <v>71</v>
      </c>
      <c r="B59" s="29">
        <f>(VOUT*IOUT)/(VIN_min)</f>
        <v>55</v>
      </c>
      <c r="C59" s="32" t="s">
        <v>6</v>
      </c>
      <c r="E59" s="32" t="s">
        <v>73</v>
      </c>
    </row>
    <row r="60" spans="1:9" s="32" customFormat="1" x14ac:dyDescent="0.25">
      <c r="A60" s="32" t="s">
        <v>88</v>
      </c>
      <c r="B60" s="28">
        <f>(VIN_min*Dc_VIN_min)/(Lm*Fsw)</f>
        <v>5.454545454545455</v>
      </c>
      <c r="C60" s="32" t="s">
        <v>6</v>
      </c>
      <c r="E60" s="32" t="s">
        <v>89</v>
      </c>
    </row>
    <row r="61" spans="1:9" x14ac:dyDescent="0.25">
      <c r="A61" t="s">
        <v>86</v>
      </c>
      <c r="B61" s="28">
        <f>IF(B56=0,(VIN_min*Dc_VIN_min)/(Lm*Fsw),(IL_avg_VIN_min/EFF_est)+(ILrip_VINmin/2))</f>
        <v>57.727272727272727</v>
      </c>
      <c r="C61" t="s">
        <v>6</v>
      </c>
      <c r="E61" t="s">
        <v>87</v>
      </c>
    </row>
    <row r="62" spans="1:9" s="32" customFormat="1" x14ac:dyDescent="0.25">
      <c r="B62" s="27"/>
    </row>
    <row r="63" spans="1:9" s="32" customFormat="1" x14ac:dyDescent="0.25">
      <c r="A63" s="35" t="s">
        <v>23</v>
      </c>
      <c r="B63" s="27"/>
    </row>
    <row r="64" spans="1:9" s="32" customFormat="1" x14ac:dyDescent="0.25">
      <c r="A64" s="32" t="s">
        <v>377</v>
      </c>
      <c r="B64" s="32">
        <f>IF(B22=3,1,IF((VOUT*IOUT)/(VIN_nom*Np)&lt;((VIN_nom*(1-(VIN_nom/VOUT)))/(2*Lm*Fsw)),0,1))</f>
        <v>1</v>
      </c>
      <c r="E64" s="32" t="s">
        <v>451</v>
      </c>
    </row>
    <row r="65" spans="1:5" s="32" customFormat="1" x14ac:dyDescent="0.25">
      <c r="A65" s="32" t="s">
        <v>68</v>
      </c>
      <c r="B65" s="1">
        <f>IF(B64=0,SQRT((2*(IOUT/Np)*Lm*Fsw*(VOUT-VIN_nom)/(VIN_nom^2))),(1-VIN_nom/VOUT))</f>
        <v>0.8</v>
      </c>
      <c r="E65" s="32" t="s">
        <v>355</v>
      </c>
    </row>
    <row r="66" spans="1:5" s="32" customFormat="1" x14ac:dyDescent="0.25">
      <c r="B66" s="23">
        <f>B65/Fsw</f>
        <v>1.9999999999999999E-6</v>
      </c>
      <c r="C66" s="32" t="s">
        <v>44</v>
      </c>
      <c r="E66" s="32" t="s">
        <v>249</v>
      </c>
    </row>
    <row r="67" spans="1:5" s="32" customFormat="1" x14ac:dyDescent="0.25">
      <c r="A67" s="32" t="s">
        <v>72</v>
      </c>
      <c r="B67" s="29">
        <f>(VOUT*IOUT)/(VIN_nom)</f>
        <v>55</v>
      </c>
      <c r="C67" s="32" t="s">
        <v>6</v>
      </c>
      <c r="E67" s="32" t="s">
        <v>74</v>
      </c>
    </row>
    <row r="68" spans="1:5" x14ac:dyDescent="0.25">
      <c r="A68" s="32" t="s">
        <v>90</v>
      </c>
      <c r="B68" s="28">
        <f>(VIN_nom*Dc_VIN_nom)/(Lm*Fsw)</f>
        <v>5.454545454545455</v>
      </c>
      <c r="C68" s="32" t="s">
        <v>6</v>
      </c>
      <c r="E68" s="32" t="s">
        <v>96</v>
      </c>
    </row>
    <row r="69" spans="1:5" x14ac:dyDescent="0.25">
      <c r="A69" s="32" t="s">
        <v>91</v>
      </c>
      <c r="B69" s="28">
        <f>IF(B64=0,(VIN_nom*Dc_VIN_nom)/(Lm*Fsw),(IL_avg_VIN_nom/EFF_est)+(ILrip_VINnom/2))</f>
        <v>57.727272727272727</v>
      </c>
      <c r="C69" s="32" t="s">
        <v>6</v>
      </c>
      <c r="E69" s="32" t="s">
        <v>97</v>
      </c>
    </row>
    <row r="70" spans="1:5" s="32" customFormat="1" x14ac:dyDescent="0.25">
      <c r="B70" s="27"/>
    </row>
    <row r="71" spans="1:5" s="32" customFormat="1" x14ac:dyDescent="0.25">
      <c r="A71" s="35" t="s">
        <v>24</v>
      </c>
      <c r="B71" s="27"/>
    </row>
    <row r="72" spans="1:5" s="32" customFormat="1" x14ac:dyDescent="0.25">
      <c r="A72" s="32" t="s">
        <v>378</v>
      </c>
      <c r="B72" s="27">
        <f>IF(B22=3,1,IF((VOUT*IOUT)/(VIN_max*Np)&lt;((VIN_max*(1-(VIN_max/VOUT)))/(2*Lm*Fsw)),0,1))</f>
        <v>1</v>
      </c>
      <c r="E72" s="32" t="s">
        <v>451</v>
      </c>
    </row>
    <row r="73" spans="1:5" s="32" customFormat="1" x14ac:dyDescent="0.25">
      <c r="A73" s="32" t="s">
        <v>69</v>
      </c>
      <c r="B73" s="1">
        <f>IF(B72=0,SQRT((2*(IOUT/Np)*Lm*Fsw*(VOUT-VIN_max)/(VIN_max^2))),(1-VIN_max/VOUT))</f>
        <v>0.64444444444444438</v>
      </c>
      <c r="E73" s="32" t="s">
        <v>356</v>
      </c>
    </row>
    <row r="74" spans="1:5" s="32" customFormat="1" x14ac:dyDescent="0.25">
      <c r="B74" s="23">
        <f>B73/Fsw</f>
        <v>1.6111111111111109E-6</v>
      </c>
      <c r="C74" s="32" t="s">
        <v>44</v>
      </c>
      <c r="E74" s="32" t="s">
        <v>249</v>
      </c>
    </row>
    <row r="75" spans="1:5" s="32" customFormat="1" x14ac:dyDescent="0.25">
      <c r="A75" s="32" t="s">
        <v>379</v>
      </c>
      <c r="B75" s="29">
        <f>(VOUT*IOUT)/(VIN_max)</f>
        <v>30.9375</v>
      </c>
      <c r="C75" s="32" t="s">
        <v>6</v>
      </c>
      <c r="E75" s="32" t="s">
        <v>75</v>
      </c>
    </row>
    <row r="76" spans="1:5" x14ac:dyDescent="0.25">
      <c r="A76" s="32" t="s">
        <v>92</v>
      </c>
      <c r="B76" s="28">
        <f>(VIN_max*Dc_VIN_max)/(Lm*Fsw)</f>
        <v>7.8114478114478114</v>
      </c>
      <c r="C76" s="32" t="s">
        <v>6</v>
      </c>
      <c r="E76" s="32" t="s">
        <v>98</v>
      </c>
    </row>
    <row r="77" spans="1:5" x14ac:dyDescent="0.25">
      <c r="A77" s="32" t="s">
        <v>93</v>
      </c>
      <c r="B77" s="28">
        <f>IF(B72=0,(VIN_max*Dc_VIN_max)/(Lm*Fsw),(IL_avg_VIN_max/EFF_est)+(ILrip_VINmax/2))</f>
        <v>34.843223905723903</v>
      </c>
      <c r="C77" s="32" t="s">
        <v>6</v>
      </c>
      <c r="E77" s="32" t="s">
        <v>99</v>
      </c>
    </row>
    <row r="79" spans="1:5" x14ac:dyDescent="0.25">
      <c r="A79" s="31" t="s">
        <v>94</v>
      </c>
    </row>
    <row r="80" spans="1:5" x14ac:dyDescent="0.25">
      <c r="A80" t="s">
        <v>100</v>
      </c>
      <c r="B80" s="3">
        <f>'Design Converter'!H29/100</f>
        <v>0.4</v>
      </c>
      <c r="E80" t="s">
        <v>101</v>
      </c>
    </row>
    <row r="81" spans="1:11" s="32" customFormat="1" x14ac:dyDescent="0.25">
      <c r="A81" s="32" t="s">
        <v>481</v>
      </c>
      <c r="B81" s="22">
        <v>0.95</v>
      </c>
      <c r="E81" s="32" t="s">
        <v>482</v>
      </c>
    </row>
    <row r="82" spans="1:11" x14ac:dyDescent="0.25">
      <c r="A82" t="s">
        <v>102</v>
      </c>
      <c r="B82" s="21">
        <f>'Design Converter'!H29</f>
        <v>40</v>
      </c>
      <c r="C82" t="s">
        <v>6</v>
      </c>
      <c r="E82" t="s">
        <v>103</v>
      </c>
    </row>
    <row r="83" spans="1:11" s="32" customFormat="1" x14ac:dyDescent="0.25">
      <c r="B83" s="175"/>
    </row>
    <row r="84" spans="1:11" s="32" customFormat="1" x14ac:dyDescent="0.25">
      <c r="A84" s="32" t="s">
        <v>113</v>
      </c>
      <c r="B84" s="22">
        <v>0.66600000000000004</v>
      </c>
      <c r="E84" s="32" t="s">
        <v>455</v>
      </c>
    </row>
    <row r="85" spans="1:11" x14ac:dyDescent="0.25">
      <c r="A85" t="s">
        <v>111</v>
      </c>
      <c r="B85" s="37">
        <f>IF(OR(Dc_VIN_min&lt;0.5,B56=0),1000,(Lm*Vsl*Fsw)/(B84*(VOUT-VIN_min)))</f>
        <v>2.6426426426426424E-3</v>
      </c>
      <c r="C85" s="2" t="s">
        <v>29</v>
      </c>
      <c r="E85" t="s">
        <v>112</v>
      </c>
    </row>
    <row r="86" spans="1:11" x14ac:dyDescent="0.25">
      <c r="A86" t="s">
        <v>114</v>
      </c>
      <c r="B86" s="37">
        <f>Vcl/Ipk_selected</f>
        <v>1.5E-3</v>
      </c>
      <c r="C86" s="2" t="s">
        <v>29</v>
      </c>
      <c r="E86" t="s">
        <v>532</v>
      </c>
    </row>
    <row r="87" spans="1:11" s="32" customFormat="1" x14ac:dyDescent="0.25">
      <c r="B87" s="27"/>
    </row>
    <row r="88" spans="1:11" x14ac:dyDescent="0.25">
      <c r="A88" t="s">
        <v>117</v>
      </c>
      <c r="B88" s="1">
        <f>IF(Rcs_wo_sl&gt;Rcs_max,1,0)</f>
        <v>0</v>
      </c>
      <c r="E88" t="s">
        <v>381</v>
      </c>
    </row>
    <row r="89" spans="1:11" x14ac:dyDescent="0.25">
      <c r="A89" t="s">
        <v>118</v>
      </c>
      <c r="B89" s="40">
        <f>IF(B56=0,Rcs_wo_sl,IF(B88=0,Rcs_wo_sl,Rcs_w_sl))</f>
        <v>1.5E-3</v>
      </c>
      <c r="C89" s="2" t="s">
        <v>29</v>
      </c>
      <c r="E89" t="s">
        <v>380</v>
      </c>
    </row>
    <row r="90" spans="1:11" x14ac:dyDescent="0.25">
      <c r="A90" t="s">
        <v>119</v>
      </c>
      <c r="B90" s="1">
        <v>0</v>
      </c>
      <c r="C90" s="2" t="s">
        <v>29</v>
      </c>
      <c r="E90" t="s">
        <v>533</v>
      </c>
    </row>
    <row r="92" spans="1:11" x14ac:dyDescent="0.25">
      <c r="A92" t="s">
        <v>120</v>
      </c>
      <c r="B92" s="41">
        <f>'Design Converter'!H31/1000</f>
        <v>1.5E-3</v>
      </c>
      <c r="C92" s="2" t="s">
        <v>29</v>
      </c>
      <c r="E92" t="s">
        <v>122</v>
      </c>
    </row>
    <row r="93" spans="1:11" x14ac:dyDescent="0.25">
      <c r="A93" t="s">
        <v>121</v>
      </c>
      <c r="B93" s="3">
        <v>0</v>
      </c>
      <c r="C93" s="2" t="s">
        <v>29</v>
      </c>
      <c r="E93" t="s">
        <v>456</v>
      </c>
    </row>
    <row r="95" spans="1:11" x14ac:dyDescent="0.25">
      <c r="A95" t="s">
        <v>125</v>
      </c>
      <c r="B95" s="27">
        <f>(Vsl*Fsw)/(((VOUT-VIN_min)/Lm)*R_cs)</f>
        <v>1.1733333333333331</v>
      </c>
      <c r="C95" t="s">
        <v>132</v>
      </c>
      <c r="E95" t="s">
        <v>123</v>
      </c>
      <c r="K95">
        <f>IF(B64=0,0,IF(B95&lt;0.5,1,0))</f>
        <v>0</v>
      </c>
    </row>
    <row r="96" spans="1:11" s="32" customFormat="1" x14ac:dyDescent="0.25">
      <c r="A96" s="32" t="s">
        <v>126</v>
      </c>
      <c r="B96" s="29">
        <f>Vcl/R_cs</f>
        <v>40</v>
      </c>
      <c r="C96" s="32" t="s">
        <v>6</v>
      </c>
      <c r="E96" s="32" t="s">
        <v>128</v>
      </c>
      <c r="K96">
        <f>IF(IL_pk&lt;Ipk_selected,1,0)</f>
        <v>0</v>
      </c>
    </row>
    <row r="97" spans="1:9" x14ac:dyDescent="0.25">
      <c r="A97" t="s">
        <v>127</v>
      </c>
      <c r="B97" s="29">
        <f>Vcl/R_cs</f>
        <v>40</v>
      </c>
      <c r="C97" t="s">
        <v>6</v>
      </c>
      <c r="E97" t="s">
        <v>129</v>
      </c>
    </row>
    <row r="98" spans="1:9" x14ac:dyDescent="0.25">
      <c r="A98" t="s">
        <v>130</v>
      </c>
      <c r="B98" s="22">
        <f>0.15</f>
        <v>0.15</v>
      </c>
      <c r="E98" t="s">
        <v>131</v>
      </c>
    </row>
    <row r="99" spans="1:9" x14ac:dyDescent="0.25">
      <c r="A99" t="s">
        <v>133</v>
      </c>
      <c r="B99" s="184">
        <f>(1+B98)*B97</f>
        <v>46</v>
      </c>
      <c r="C99" t="s">
        <v>6</v>
      </c>
      <c r="E99" t="s">
        <v>134</v>
      </c>
    </row>
    <row r="100" spans="1:9" x14ac:dyDescent="0.25">
      <c r="I100"/>
    </row>
    <row r="102" spans="1:9" x14ac:dyDescent="0.25">
      <c r="A102" s="35" t="s">
        <v>135</v>
      </c>
      <c r="E102" t="s">
        <v>457</v>
      </c>
    </row>
    <row r="103" spans="1:9" s="32" customFormat="1" x14ac:dyDescent="0.25">
      <c r="A103"/>
      <c r="B103"/>
      <c r="C103"/>
      <c r="D103"/>
      <c r="E103"/>
      <c r="F103"/>
      <c r="G103"/>
    </row>
    <row r="104" spans="1:9" s="32" customFormat="1" x14ac:dyDescent="0.25">
      <c r="A104"/>
      <c r="B104"/>
      <c r="C104"/>
      <c r="D104"/>
      <c r="E104"/>
      <c r="F104"/>
      <c r="G104"/>
    </row>
    <row r="105" spans="1:9" x14ac:dyDescent="0.25">
      <c r="A105" s="43" t="s">
        <v>136</v>
      </c>
      <c r="E105" t="s">
        <v>460</v>
      </c>
    </row>
    <row r="106" spans="1:9" s="32" customFormat="1" x14ac:dyDescent="0.25">
      <c r="A106"/>
      <c r="B106"/>
      <c r="C106"/>
      <c r="D106"/>
      <c r="E106"/>
      <c r="F106"/>
      <c r="G106"/>
    </row>
    <row r="107" spans="1:9" x14ac:dyDescent="0.25">
      <c r="A107" s="32" t="s">
        <v>382</v>
      </c>
      <c r="B107" s="1">
        <f>IF(B56=0,2*Fsw/(Dc_VIN_min*5),(VOUT/IOUT)*((VIN_min^2)/VOUT^2)/(Lm*5))</f>
        <v>9917.3553719008269</v>
      </c>
      <c r="C107" s="32" t="s">
        <v>419</v>
      </c>
      <c r="D107" s="32"/>
      <c r="E107" s="32" t="s">
        <v>621</v>
      </c>
      <c r="F107" s="32"/>
      <c r="G107" s="32"/>
      <c r="I107"/>
    </row>
    <row r="108" spans="1:9" x14ac:dyDescent="0.25">
      <c r="A108" s="32"/>
      <c r="B108" s="27">
        <f>B107/(2*PI())</f>
        <v>1578.3961298369786</v>
      </c>
      <c r="C108" s="32" t="s">
        <v>58</v>
      </c>
      <c r="D108" s="32"/>
      <c r="E108" s="32"/>
      <c r="F108" s="32"/>
      <c r="G108" s="32"/>
      <c r="I108"/>
    </row>
    <row r="109" spans="1:9" x14ac:dyDescent="0.25">
      <c r="A109" t="s">
        <v>140</v>
      </c>
      <c r="B109" s="44">
        <f>'Design Converter'!H35/1000</f>
        <v>1.2</v>
      </c>
      <c r="C109" t="s">
        <v>5</v>
      </c>
      <c r="E109" t="s">
        <v>139</v>
      </c>
      <c r="I109"/>
    </row>
    <row r="110" spans="1:9" x14ac:dyDescent="0.25">
      <c r="A110" s="32" t="s">
        <v>383</v>
      </c>
      <c r="B110" s="1">
        <f>IOUT-0.5*IOUT</f>
        <v>5.5</v>
      </c>
      <c r="C110" s="32" t="s">
        <v>6</v>
      </c>
      <c r="D110" s="32"/>
      <c r="E110" s="32"/>
      <c r="F110" s="32"/>
      <c r="G110" s="32"/>
      <c r="I110"/>
    </row>
    <row r="111" spans="1:9" x14ac:dyDescent="0.25">
      <c r="A111" t="s">
        <v>141</v>
      </c>
      <c r="B111" s="1">
        <f>B110/(Vout_rip_sel*B107)</f>
        <v>4.621527777777778E-4</v>
      </c>
      <c r="C111" t="s">
        <v>142</v>
      </c>
      <c r="E111" t="s">
        <v>143</v>
      </c>
      <c r="I111"/>
    </row>
    <row r="112" spans="1:9" s="32" customFormat="1" x14ac:dyDescent="0.25">
      <c r="A112" t="s">
        <v>144</v>
      </c>
      <c r="B112" s="186">
        <f>SQRT((1-Dc_VIN_min)*((IOUT^2)*(Dc_VIN_min/((1-Dc_VIN_min)^2))+((ILrip_VINmin^2)/3)))</f>
        <v>22.045032798215118</v>
      </c>
      <c r="C112" t="s">
        <v>6</v>
      </c>
      <c r="D112"/>
      <c r="E112" s="47" t="s">
        <v>459</v>
      </c>
      <c r="F112"/>
      <c r="G112"/>
    </row>
    <row r="113" spans="1:12" s="32" customFormat="1" x14ac:dyDescent="0.25">
      <c r="A113" t="s">
        <v>148</v>
      </c>
      <c r="B113" s="3">
        <f>'Design Converter'!H37*(10^-6)/Np</f>
        <v>4.4999999999999999E-4</v>
      </c>
      <c r="C113" t="s">
        <v>142</v>
      </c>
      <c r="D113"/>
      <c r="E113" t="s">
        <v>146</v>
      </c>
      <c r="F113"/>
      <c r="G113"/>
    </row>
    <row r="114" spans="1:12" s="32" customFormat="1" x14ac:dyDescent="0.25">
      <c r="A114" t="s">
        <v>145</v>
      </c>
      <c r="B114" s="3">
        <f>'Design Converter'!H38/1000</f>
        <v>2E-3</v>
      </c>
      <c r="C114" s="2" t="s">
        <v>29</v>
      </c>
      <c r="D114"/>
      <c r="E114" t="s">
        <v>147</v>
      </c>
      <c r="F114"/>
      <c r="G114"/>
    </row>
    <row r="115" spans="1:12" s="32" customFormat="1" x14ac:dyDescent="0.25">
      <c r="A115" t="s">
        <v>247</v>
      </c>
      <c r="B115" s="187">
        <f>SQRT((IOUT^2)+(IL_avg_VIN_min^2)-(2*IOUT*IL_avg_VIN_min)-(2*Dc_VIN_min*(IOUT^2))-(Dc_VIN_min*(IL_avg_VIN_min^2))+(2*Dc_VIN_min*IOUT*IL_avg_VIN_min))</f>
        <v>17.04112672331264</v>
      </c>
      <c r="C115"/>
      <c r="D115"/>
      <c r="E115" s="185" t="s">
        <v>248</v>
      </c>
      <c r="F115"/>
      <c r="G115"/>
    </row>
    <row r="116" spans="1:12" s="32" customFormat="1" x14ac:dyDescent="0.25"/>
    <row r="117" spans="1:12" s="32" customFormat="1" x14ac:dyDescent="0.25">
      <c r="A117" s="43" t="s">
        <v>550</v>
      </c>
    </row>
    <row r="118" spans="1:12" s="32" customFormat="1" x14ac:dyDescent="0.25">
      <c r="A118" s="43"/>
    </row>
    <row r="119" spans="1:12" x14ac:dyDescent="0.25">
      <c r="A119" s="32" t="s">
        <v>540</v>
      </c>
      <c r="B119" s="41">
        <f>'Design Converter'!H46</f>
        <v>26</v>
      </c>
      <c r="C119" s="2" t="s">
        <v>6</v>
      </c>
      <c r="D119" s="32"/>
      <c r="E119" s="32" t="s">
        <v>539</v>
      </c>
      <c r="F119" s="32"/>
      <c r="G119" s="32"/>
      <c r="J119" s="27"/>
      <c r="K119" s="27"/>
      <c r="L119" s="27"/>
    </row>
    <row r="120" spans="1:12" x14ac:dyDescent="0.25">
      <c r="A120" s="32" t="s">
        <v>496</v>
      </c>
      <c r="B120" s="184">
        <f>B119/Np</f>
        <v>13</v>
      </c>
      <c r="C120" s="2" t="s">
        <v>6</v>
      </c>
      <c r="D120" s="32"/>
      <c r="E120" s="32" t="s">
        <v>554</v>
      </c>
      <c r="F120" s="32"/>
      <c r="G120" s="32"/>
      <c r="J120" s="27"/>
      <c r="K120" s="27"/>
      <c r="L120" s="27"/>
    </row>
    <row r="121" spans="1:12" x14ac:dyDescent="0.25">
      <c r="A121" s="32" t="s">
        <v>494</v>
      </c>
      <c r="B121" s="184">
        <f>((B120*R_cs*GIMON)+I_offset)*Np*1000000</f>
        <v>20.987000000000002</v>
      </c>
      <c r="C121" s="2" t="s">
        <v>493</v>
      </c>
      <c r="D121" s="32"/>
      <c r="E121" s="32" t="s">
        <v>555</v>
      </c>
      <c r="F121" s="32"/>
      <c r="G121" s="32"/>
    </row>
    <row r="122" spans="1:12" x14ac:dyDescent="0.25">
      <c r="A122" s="32" t="s">
        <v>495</v>
      </c>
      <c r="B122" s="268">
        <f>V_ILIM/B121*1000</f>
        <v>47.648544336970502</v>
      </c>
      <c r="C122" s="2" t="s">
        <v>156</v>
      </c>
      <c r="D122" s="32"/>
      <c r="E122" s="32" t="s">
        <v>558</v>
      </c>
      <c r="F122" s="32"/>
      <c r="G122" s="32"/>
    </row>
    <row r="123" spans="1:12" s="32" customFormat="1" x14ac:dyDescent="0.25">
      <c r="A123" s="32" t="s">
        <v>545</v>
      </c>
      <c r="B123" s="41">
        <f>'Design Converter'!H48</f>
        <v>47.5</v>
      </c>
      <c r="C123" s="2" t="s">
        <v>156</v>
      </c>
      <c r="E123" s="267" t="s">
        <v>557</v>
      </c>
    </row>
    <row r="124" spans="1:12" s="32" customFormat="1" x14ac:dyDescent="0.25">
      <c r="A124" s="32" t="s">
        <v>752</v>
      </c>
      <c r="B124" s="327">
        <f>MIN(((B120*R_cs*GIMON)+I_offset)*Np*B123*1000,3)</f>
        <v>0.99688250000000012</v>
      </c>
      <c r="C124" s="2" t="s">
        <v>5</v>
      </c>
      <c r="E124" s="267" t="s">
        <v>755</v>
      </c>
    </row>
    <row r="125" spans="1:12" s="32" customFormat="1" x14ac:dyDescent="0.25">
      <c r="A125" s="32" t="s">
        <v>544</v>
      </c>
      <c r="B125" s="268">
        <f>(V_ILIM/B123/1000-I_offset*Np)/GIMON/R_cs</f>
        <v>26.131394552447183</v>
      </c>
      <c r="C125" s="2" t="s">
        <v>6</v>
      </c>
      <c r="E125" s="267"/>
    </row>
    <row r="126" spans="1:12" s="32" customFormat="1" x14ac:dyDescent="0.25">
      <c r="A126" s="32" t="s">
        <v>634</v>
      </c>
      <c r="B126" s="41">
        <f>'Design Converter'!H51</f>
        <v>52</v>
      </c>
      <c r="C126" s="2"/>
      <c r="E126" s="267"/>
    </row>
    <row r="127" spans="1:12" s="32" customFormat="1" x14ac:dyDescent="0.25">
      <c r="A127" s="32" t="s">
        <v>496</v>
      </c>
      <c r="B127" s="184">
        <f>B126/Np</f>
        <v>26</v>
      </c>
      <c r="C127" s="2" t="s">
        <v>6</v>
      </c>
      <c r="E127" s="267"/>
    </row>
    <row r="128" spans="1:12" s="32" customFormat="1" x14ac:dyDescent="0.25">
      <c r="A128" s="32" t="s">
        <v>704</v>
      </c>
      <c r="B128" s="184">
        <f>((B127*R_cs*GIMON)+I_offset)*Np*1000000</f>
        <v>33.974000000000004</v>
      </c>
      <c r="C128" s="2" t="s">
        <v>493</v>
      </c>
      <c r="E128" s="267"/>
    </row>
    <row r="129" spans="1:5" s="32" customFormat="1" x14ac:dyDescent="0.25">
      <c r="A129" s="32" t="s">
        <v>541</v>
      </c>
      <c r="B129" s="41">
        <f>'Design Converter'!H52/1000</f>
        <v>0.1</v>
      </c>
      <c r="C129" s="2" t="s">
        <v>44</v>
      </c>
      <c r="E129" s="267" t="s">
        <v>559</v>
      </c>
    </row>
    <row r="130" spans="1:5" s="32" customFormat="1" x14ac:dyDescent="0.25">
      <c r="A130" s="32" t="s">
        <v>705</v>
      </c>
      <c r="B130" s="316">
        <f>I_offset*B123*Np*1000</f>
        <v>0.37999999999999995</v>
      </c>
      <c r="C130" s="2" t="s">
        <v>5</v>
      </c>
      <c r="E130" s="267"/>
    </row>
    <row r="131" spans="1:5" s="32" customFormat="1" x14ac:dyDescent="0.25">
      <c r="A131" s="32" t="s">
        <v>542</v>
      </c>
      <c r="B131" s="268">
        <f>B129/(B123*1000*LN((B123*B128/1000-B130)/(B123*B128/1000-V_ILIM)))*1000000</f>
        <v>3.015213492602685</v>
      </c>
      <c r="C131" s="2" t="s">
        <v>138</v>
      </c>
      <c r="E131" s="267" t="s">
        <v>560</v>
      </c>
    </row>
    <row r="132" spans="1:5" s="32" customFormat="1" x14ac:dyDescent="0.25">
      <c r="A132" s="32" t="s">
        <v>546</v>
      </c>
      <c r="B132" s="269">
        <f>'Design Converter'!H54</f>
        <v>3.3</v>
      </c>
      <c r="C132" s="2"/>
      <c r="E132" s="267" t="s">
        <v>561</v>
      </c>
    </row>
    <row r="133" spans="1:5" s="32" customFormat="1" x14ac:dyDescent="0.25">
      <c r="A133" s="32" t="s">
        <v>543</v>
      </c>
      <c r="B133" s="268">
        <f>1/6.28/10/B132*1000</f>
        <v>4.8253232966608763</v>
      </c>
      <c r="C133" s="2" t="s">
        <v>156</v>
      </c>
      <c r="E133" s="267" t="s">
        <v>562</v>
      </c>
    </row>
    <row r="134" spans="1:5" s="32" customFormat="1" x14ac:dyDescent="0.25">
      <c r="A134" s="32" t="s">
        <v>707</v>
      </c>
      <c r="B134" s="268">
        <f>(B123*1000*LN((B123*B128/1000-B130)/(B123*B128/1000-V_ILIM)))*B132*0.000001</f>
        <v>0.10944498650248116</v>
      </c>
      <c r="C134" s="2" t="s">
        <v>44</v>
      </c>
      <c r="E134" s="267" t="s">
        <v>712</v>
      </c>
    </row>
    <row r="135" spans="1:5" s="32" customFormat="1" x14ac:dyDescent="0.25">
      <c r="A135" s="32" t="s">
        <v>710</v>
      </c>
      <c r="B135" s="41">
        <f>'Design Converter'!H56</f>
        <v>10</v>
      </c>
      <c r="C135" s="2" t="s">
        <v>157</v>
      </c>
      <c r="E135" s="267" t="s">
        <v>709</v>
      </c>
    </row>
    <row r="136" spans="1:5" s="32" customFormat="1" x14ac:dyDescent="0.25">
      <c r="A136" s="32" t="s">
        <v>708</v>
      </c>
      <c r="B136" s="316">
        <f>B135*2.6/0.000005/1000000000000</f>
        <v>5.2000000000000002E-6</v>
      </c>
      <c r="C136" s="2" t="s">
        <v>44</v>
      </c>
      <c r="E136" s="267" t="s">
        <v>711</v>
      </c>
    </row>
    <row r="137" spans="1:5" s="32" customFormat="1" x14ac:dyDescent="0.25">
      <c r="A137" s="32" t="s">
        <v>616</v>
      </c>
      <c r="B137" s="268">
        <f>(B136+B134)*1000</f>
        <v>109.45018650248116</v>
      </c>
      <c r="C137" s="2" t="s">
        <v>257</v>
      </c>
      <c r="E137" s="267"/>
    </row>
    <row r="138" spans="1:5" s="32" customFormat="1" x14ac:dyDescent="0.25">
      <c r="C138" s="2"/>
      <c r="E138" s="267"/>
    </row>
    <row r="139" spans="1:5" s="32" customFormat="1" x14ac:dyDescent="0.25">
      <c r="A139" s="43" t="s">
        <v>552</v>
      </c>
      <c r="C139" s="2"/>
      <c r="E139" s="267"/>
    </row>
    <row r="140" spans="1:5" s="32" customFormat="1" ht="18" x14ac:dyDescent="0.35">
      <c r="A140" s="32" t="s">
        <v>565</v>
      </c>
      <c r="B140" s="32">
        <f>'Design Converter'!H60</f>
        <v>1800</v>
      </c>
      <c r="C140" s="2" t="s">
        <v>157</v>
      </c>
      <c r="E140" s="267" t="s">
        <v>563</v>
      </c>
    </row>
    <row r="141" spans="1:5" s="32" customFormat="1" ht="18" x14ac:dyDescent="0.35">
      <c r="A141" s="32" t="s">
        <v>566</v>
      </c>
      <c r="B141" s="32">
        <f>'Design Converter'!H61</f>
        <v>11.2</v>
      </c>
      <c r="C141" s="2" t="s">
        <v>29</v>
      </c>
      <c r="E141" s="277" t="s">
        <v>564</v>
      </c>
    </row>
    <row r="142" spans="1:5" s="32" customFormat="1" ht="15.75" x14ac:dyDescent="0.3">
      <c r="A142" s="32" t="s">
        <v>567</v>
      </c>
      <c r="B142" s="32">
        <f>'Design Converter'!H62</f>
        <v>1.1000000000000001</v>
      </c>
      <c r="C142" s="2" t="s">
        <v>5</v>
      </c>
      <c r="E142" s="267" t="s">
        <v>553</v>
      </c>
    </row>
    <row r="143" spans="1:5" s="32" customFormat="1" x14ac:dyDescent="0.25">
      <c r="A143" s="32" t="s">
        <v>568</v>
      </c>
      <c r="B143" s="32">
        <f>-LN(Vgsth/Vcc)*(Rg_int+Rg)*CISS/1000</f>
        <v>33.795330992296584</v>
      </c>
      <c r="C143" s="2" t="s">
        <v>569</v>
      </c>
      <c r="E143" s="267" t="s">
        <v>602</v>
      </c>
    </row>
    <row r="145" spans="1:5" s="32" customFormat="1" x14ac:dyDescent="0.25">
      <c r="A145" s="43" t="s">
        <v>551</v>
      </c>
      <c r="C145" s="2"/>
      <c r="E145" s="267"/>
    </row>
    <row r="146" spans="1:5" s="32" customFormat="1" x14ac:dyDescent="0.25">
      <c r="A146" s="32" t="s">
        <v>669</v>
      </c>
      <c r="B146" s="32">
        <v>3</v>
      </c>
      <c r="C146" s="2"/>
      <c r="E146" s="267"/>
    </row>
    <row r="147" spans="1:5" s="32" customFormat="1" x14ac:dyDescent="0.25">
      <c r="A147" s="267" t="s">
        <v>683</v>
      </c>
      <c r="B147" s="294">
        <v>1</v>
      </c>
      <c r="C147" s="2"/>
      <c r="E147" s="267"/>
    </row>
    <row r="148" spans="1:5" s="32" customFormat="1" x14ac:dyDescent="0.25">
      <c r="A148" s="315" t="s">
        <v>670</v>
      </c>
      <c r="B148" s="294">
        <f>8*(B147-1)+B146</f>
        <v>3</v>
      </c>
      <c r="C148" s="2"/>
      <c r="E148" s="267" t="s">
        <v>580</v>
      </c>
    </row>
    <row r="149" spans="1:5" s="32" customFormat="1" x14ac:dyDescent="0.25">
      <c r="A149" s="267" t="s">
        <v>580</v>
      </c>
      <c r="B149" s="294" t="str">
        <f>INDEX(Lists!B3:B18,Variable_Management!B148,1)</f>
        <v>1.00~1.30</v>
      </c>
      <c r="C149" s="2" t="s">
        <v>156</v>
      </c>
      <c r="E149" s="267"/>
    </row>
    <row r="150" spans="1:5" s="32" customFormat="1" x14ac:dyDescent="0.25">
      <c r="A150" s="32" t="s">
        <v>583</v>
      </c>
      <c r="B150" s="32">
        <v>2</v>
      </c>
      <c r="C150" s="2"/>
      <c r="E150" s="267"/>
    </row>
    <row r="151" spans="1:5" s="32" customFormat="1" x14ac:dyDescent="0.25">
      <c r="A151" s="32" t="s">
        <v>600</v>
      </c>
      <c r="B151" s="32">
        <f>MOD(B150-1,2)</f>
        <v>1</v>
      </c>
      <c r="C151" s="2"/>
      <c r="E151" s="267"/>
    </row>
    <row r="152" spans="1:5" s="32" customFormat="1" x14ac:dyDescent="0.25">
      <c r="A152" s="32" t="s">
        <v>595</v>
      </c>
      <c r="B152" s="294">
        <v>2</v>
      </c>
      <c r="C152" s="2"/>
      <c r="E152" s="267" t="s">
        <v>701</v>
      </c>
    </row>
    <row r="153" spans="1:5" s="32" customFormat="1" x14ac:dyDescent="0.25">
      <c r="A153" s="32" t="s">
        <v>620</v>
      </c>
      <c r="B153" s="294">
        <v>1</v>
      </c>
      <c r="C153" s="2"/>
      <c r="E153" s="267"/>
    </row>
    <row r="154" spans="1:5" s="32" customFormat="1" x14ac:dyDescent="0.25">
      <c r="A154" s="32" t="s">
        <v>599</v>
      </c>
      <c r="B154" s="294">
        <v>1</v>
      </c>
      <c r="C154" s="2"/>
      <c r="E154" s="267"/>
    </row>
    <row r="155" spans="1:5" s="32" customFormat="1" x14ac:dyDescent="0.25">
      <c r="A155" s="267" t="s">
        <v>686</v>
      </c>
      <c r="B155" s="294">
        <f>8*(B152-1)+4*(B153-1)+2*(B154-1)+B151+1</f>
        <v>10</v>
      </c>
      <c r="C155" s="2"/>
      <c r="E155" s="267" t="s">
        <v>584</v>
      </c>
    </row>
    <row r="156" spans="1:5" s="32" customFormat="1" x14ac:dyDescent="0.25">
      <c r="A156" s="32" t="s">
        <v>584</v>
      </c>
      <c r="B156" s="294" t="str">
        <f>INDEX(Lists!B3:B18,Variable_Management!B155,1)</f>
        <v>9.98~11.03</v>
      </c>
      <c r="C156" s="2" t="s">
        <v>156</v>
      </c>
      <c r="E156" s="267"/>
    </row>
    <row r="157" spans="1:5" s="32" customFormat="1" x14ac:dyDescent="0.25">
      <c r="A157" s="32" t="s">
        <v>601</v>
      </c>
      <c r="B157" s="32">
        <f>IF(B150&gt;2,1,0)</f>
        <v>0</v>
      </c>
      <c r="C157" s="2"/>
      <c r="E157" s="267"/>
    </row>
    <row r="158" spans="1:5" s="32" customFormat="1" x14ac:dyDescent="0.25">
      <c r="A158" s="32" t="s">
        <v>696</v>
      </c>
      <c r="B158" s="32">
        <v>1</v>
      </c>
    </row>
    <row r="159" spans="1:5" s="32" customFormat="1" x14ac:dyDescent="0.25">
      <c r="A159" s="32" t="s">
        <v>692</v>
      </c>
      <c r="B159" s="32">
        <v>1</v>
      </c>
    </row>
    <row r="160" spans="1:5" s="32" customFormat="1" x14ac:dyDescent="0.25">
      <c r="A160" s="32" t="s">
        <v>697</v>
      </c>
      <c r="B160" s="32">
        <f>IF(B158=4,1,B159)</f>
        <v>1</v>
      </c>
    </row>
    <row r="161" spans="1:7" s="32" customFormat="1" x14ac:dyDescent="0.25">
      <c r="A161" s="267" t="s">
        <v>689</v>
      </c>
      <c r="B161" s="294">
        <f>IF(B159=1,1+B157+(B159-1)*3,2+B157*(-1)+(B159-1)*3)</f>
        <v>1</v>
      </c>
      <c r="C161" s="344" t="s">
        <v>782</v>
      </c>
      <c r="E161" s="267">
        <f>IF(B158=1,1,IF(B158=2,7,IF(B158=3,9,15)))+4*(B160-1)+B157</f>
        <v>1</v>
      </c>
      <c r="F161" s="338" t="s">
        <v>781</v>
      </c>
    </row>
    <row r="162" spans="1:7" s="32" customFormat="1" x14ac:dyDescent="0.25">
      <c r="A162" s="32" t="s">
        <v>589</v>
      </c>
      <c r="B162" s="294" t="str">
        <f>INDEX(Lists!B3:B18,Variable_Management!B161,1)</f>
        <v>&lt;0.1</v>
      </c>
      <c r="C162" s="2" t="s">
        <v>156</v>
      </c>
      <c r="E162" s="267"/>
    </row>
    <row r="163" spans="1:7" s="32" customFormat="1" x14ac:dyDescent="0.25">
      <c r="A163" s="32" t="s">
        <v>593</v>
      </c>
      <c r="B163" s="301" t="str">
        <f>INDEX(Lists!N3:N18,Variable_Management!B161,1)</f>
        <v>OFF</v>
      </c>
      <c r="C163" s="2"/>
      <c r="E163" s="267"/>
    </row>
    <row r="164" spans="1:7" s="32" customFormat="1" x14ac:dyDescent="0.25">
      <c r="A164" s="32" t="s">
        <v>609</v>
      </c>
      <c r="B164" s="294" t="str">
        <f>INDEX(Lists!O3:O18,Variable_Management!B161,1)</f>
        <v>OFF</v>
      </c>
    </row>
    <row r="165" spans="1:7" s="32" customFormat="1" x14ac:dyDescent="0.25">
      <c r="A165" s="32" t="s">
        <v>613</v>
      </c>
      <c r="B165" s="294" t="str">
        <f>INDEX(Lists!M3:M18,Variable_Management!B161,1)</f>
        <v>180°</v>
      </c>
    </row>
    <row r="166" spans="1:7" s="32" customFormat="1" x14ac:dyDescent="0.25">
      <c r="A166" s="32" t="s">
        <v>702</v>
      </c>
      <c r="B166" s="111">
        <f>INDEX(Lists!P3:P18,Variable_Management!B161,1)</f>
        <v>1</v>
      </c>
      <c r="E166" s="32" t="s">
        <v>644</v>
      </c>
    </row>
    <row r="167" spans="1:7" s="32" customFormat="1" x14ac:dyDescent="0.25">
      <c r="A167" s="32" t="s">
        <v>698</v>
      </c>
      <c r="B167" s="111" t="str">
        <f>IF(B166=1,IF(B152=1,"ON","OFF"),"OFF")</f>
        <v>OFF</v>
      </c>
    </row>
    <row r="168" spans="1:7" s="32" customFormat="1" x14ac:dyDescent="0.25">
      <c r="A168" s="32" t="s">
        <v>700</v>
      </c>
      <c r="B168" s="111">
        <f>IF(AND(B152=1,B166=0),1,0)</f>
        <v>0</v>
      </c>
    </row>
    <row r="169" spans="1:7" s="32" customFormat="1" x14ac:dyDescent="0.25">
      <c r="A169" s="43" t="s">
        <v>556</v>
      </c>
    </row>
    <row r="170" spans="1:7" s="32" customFormat="1" x14ac:dyDescent="0.25">
      <c r="A170" s="32" t="s">
        <v>500</v>
      </c>
      <c r="B170" s="3">
        <f>'Design Converter'!H77</f>
        <v>7.7</v>
      </c>
      <c r="C170" s="32" t="s">
        <v>5</v>
      </c>
      <c r="E170" s="32" t="s">
        <v>501</v>
      </c>
      <c r="G170" s="47"/>
    </row>
    <row r="171" spans="1:7" s="32" customFormat="1" x14ac:dyDescent="0.25">
      <c r="A171" s="32" t="s">
        <v>502</v>
      </c>
      <c r="B171" s="3">
        <f>'Design Converter'!H78</f>
        <v>5.7</v>
      </c>
      <c r="C171" s="32" t="s">
        <v>5</v>
      </c>
      <c r="E171" s="32" t="s">
        <v>503</v>
      </c>
    </row>
    <row r="172" spans="1:7" s="32" customFormat="1" x14ac:dyDescent="0.25">
      <c r="A172" s="32" t="s">
        <v>504</v>
      </c>
      <c r="B172" s="22">
        <f>UV_rise</f>
        <v>1.1000000000000001</v>
      </c>
      <c r="C172" s="32" t="s">
        <v>5</v>
      </c>
      <c r="E172" s="32" t="s">
        <v>505</v>
      </c>
    </row>
    <row r="173" spans="1:7" s="32" customFormat="1" x14ac:dyDescent="0.25">
      <c r="A173" s="32" t="s">
        <v>506</v>
      </c>
      <c r="B173" s="22">
        <f>UV_fall</f>
        <v>1.075</v>
      </c>
      <c r="C173" s="32" t="s">
        <v>5</v>
      </c>
      <c r="E173" s="32" t="s">
        <v>507</v>
      </c>
    </row>
    <row r="174" spans="1:7" s="32" customFormat="1" x14ac:dyDescent="0.25">
      <c r="A174" s="32" t="s">
        <v>508</v>
      </c>
      <c r="B174" s="22">
        <f>UV_I_hyst</f>
        <v>9.9999999999999991E-6</v>
      </c>
      <c r="C174" s="32" t="s">
        <v>6</v>
      </c>
      <c r="E174" s="32" t="s">
        <v>509</v>
      </c>
      <c r="G174" s="240">
        <f>(Vuvlo_on*0.977)-Vuvlo_off</f>
        <v>1.8228999999999997</v>
      </c>
    </row>
    <row r="175" spans="1:7" s="32" customFormat="1" x14ac:dyDescent="0.25">
      <c r="A175" s="32" t="s">
        <v>510</v>
      </c>
      <c r="B175" s="28">
        <f>(Vuvlo_on-UV_rise/UV_fall*Vuvlo_off)/UV_I_hyst</f>
        <v>186744.18604651166</v>
      </c>
      <c r="C175" s="2" t="s">
        <v>29</v>
      </c>
      <c r="E175" s="32" t="s">
        <v>511</v>
      </c>
      <c r="G175" s="33">
        <f>B173/B172</f>
        <v>0.97727272727272718</v>
      </c>
    </row>
    <row r="176" spans="1:7" s="32" customFormat="1" x14ac:dyDescent="0.25">
      <c r="A176" s="32" t="s">
        <v>547</v>
      </c>
      <c r="B176" s="3">
        <f>'Design Converter'!H80*1000</f>
        <v>180000</v>
      </c>
      <c r="C176" s="2" t="s">
        <v>29</v>
      </c>
      <c r="E176" s="32" t="s">
        <v>512</v>
      </c>
    </row>
    <row r="177" spans="1:12" s="32" customFormat="1" x14ac:dyDescent="0.25">
      <c r="A177" s="32" t="s">
        <v>513</v>
      </c>
      <c r="B177" s="30">
        <f>UV_fall*Ruvlo_top_sel/(Vuvlo_off-UV_fall)</f>
        <v>41837.83783783784</v>
      </c>
      <c r="C177" s="2" t="s">
        <v>29</v>
      </c>
      <c r="E177" s="32" t="s">
        <v>772</v>
      </c>
    </row>
    <row r="178" spans="1:12" s="32" customFormat="1" x14ac:dyDescent="0.25">
      <c r="A178" s="32" t="s">
        <v>548</v>
      </c>
      <c r="B178" s="3">
        <f>'Design Converter'!H82*1000</f>
        <v>42200</v>
      </c>
      <c r="C178" s="2" t="s">
        <v>29</v>
      </c>
    </row>
    <row r="179" spans="1:12" s="32" customFormat="1" x14ac:dyDescent="0.25">
      <c r="A179" s="32" t="s">
        <v>514</v>
      </c>
      <c r="B179" s="28">
        <f>Ruvlo_top_sel*UV_I_hyst+B172/B173*B180</f>
        <v>7.591943127962085</v>
      </c>
      <c r="E179" s="32" t="s">
        <v>515</v>
      </c>
    </row>
    <row r="180" spans="1:12" s="32" customFormat="1" x14ac:dyDescent="0.25">
      <c r="A180" s="32" t="s">
        <v>516</v>
      </c>
      <c r="B180" s="28">
        <f>(Ruvlo_top_sel+Ruvlo_bottom_sel)/Ruvlo_bottom_sel*UV_fall</f>
        <v>5.6603080568720374</v>
      </c>
      <c r="E180" s="32" t="s">
        <v>517</v>
      </c>
      <c r="G180" s="47"/>
    </row>
    <row r="181" spans="1:12" s="32" customFormat="1" x14ac:dyDescent="0.25">
      <c r="E181" s="93"/>
    </row>
    <row r="182" spans="1:12" x14ac:dyDescent="0.25">
      <c r="A182" s="43" t="s">
        <v>497</v>
      </c>
      <c r="B182" s="32"/>
      <c r="C182" s="32"/>
      <c r="D182" s="32"/>
      <c r="E182" s="32"/>
      <c r="F182" s="32"/>
      <c r="G182" s="32"/>
      <c r="I182"/>
    </row>
    <row r="183" spans="1:12" x14ac:dyDescent="0.25">
      <c r="A183" s="32" t="s">
        <v>251</v>
      </c>
      <c r="B183" s="22">
        <f>Iss</f>
        <v>4.9999999999999996E-5</v>
      </c>
      <c r="C183" s="32" t="s">
        <v>6</v>
      </c>
      <c r="D183" s="32"/>
      <c r="E183" s="32" t="s">
        <v>253</v>
      </c>
      <c r="F183" s="32"/>
      <c r="G183" s="32"/>
    </row>
    <row r="184" spans="1:12" s="32" customFormat="1" x14ac:dyDescent="0.25">
      <c r="A184" s="32" t="s">
        <v>254</v>
      </c>
      <c r="B184" s="1">
        <f>Iss*VOUT*Cout/(Vref*IOUT)</f>
        <v>9.2045454545454536E-8</v>
      </c>
      <c r="C184" s="32" t="s">
        <v>142</v>
      </c>
      <c r="E184" s="32" t="s">
        <v>255</v>
      </c>
    </row>
    <row r="185" spans="1:12" s="32" customFormat="1" x14ac:dyDescent="0.25">
      <c r="A185" s="32" t="s">
        <v>256</v>
      </c>
      <c r="B185" s="3">
        <f>'Design Converter'!H88*(10^-3)</f>
        <v>0.01</v>
      </c>
      <c r="C185" s="32" t="s">
        <v>44</v>
      </c>
      <c r="E185" s="32" t="s">
        <v>549</v>
      </c>
      <c r="J185" s="27"/>
      <c r="K185" s="27"/>
      <c r="L185" s="27"/>
    </row>
    <row r="186" spans="1:12" s="32" customFormat="1" x14ac:dyDescent="0.25">
      <c r="A186" s="32" t="s">
        <v>258</v>
      </c>
      <c r="B186" s="1">
        <f>(tss*Iss)/(V_ATRK*(1-(VIN_min/VOUT)))</f>
        <v>4.1666666666666661E-7</v>
      </c>
      <c r="C186" s="32" t="s">
        <v>142</v>
      </c>
      <c r="E186" s="32" t="s">
        <v>259</v>
      </c>
      <c r="J186" s="27"/>
      <c r="K186" s="27"/>
      <c r="L186" s="27"/>
    </row>
    <row r="187" spans="1:12" s="32" customFormat="1" x14ac:dyDescent="0.25">
      <c r="J187" s="27"/>
      <c r="K187" s="27"/>
      <c r="L187" s="27"/>
    </row>
    <row r="188" spans="1:12" s="32" customFormat="1" ht="15.75" customHeight="1" x14ac:dyDescent="0.25">
      <c r="J188" s="27"/>
      <c r="K188" s="27"/>
      <c r="L188" s="27"/>
    </row>
    <row r="189" spans="1:12" s="32" customFormat="1" x14ac:dyDescent="0.25">
      <c r="J189" s="27"/>
      <c r="K189" s="27"/>
      <c r="L189" s="27"/>
    </row>
    <row r="190" spans="1:12" s="32" customFormat="1" x14ac:dyDescent="0.25">
      <c r="A190" s="43" t="s">
        <v>498</v>
      </c>
      <c r="B190"/>
      <c r="C190"/>
      <c r="D190"/>
      <c r="E190"/>
      <c r="F190"/>
      <c r="G190"/>
    </row>
    <row r="191" spans="1:12" s="32" customFormat="1" x14ac:dyDescent="0.25">
      <c r="A191" s="48" t="s">
        <v>172</v>
      </c>
      <c r="B191" s="3">
        <f>'Design Converter'!H92</f>
        <v>9</v>
      </c>
      <c r="C191" s="32" t="s">
        <v>5</v>
      </c>
      <c r="E191" s="32" t="s">
        <v>213</v>
      </c>
    </row>
    <row r="192" spans="1:12" s="32" customFormat="1" x14ac:dyDescent="0.25">
      <c r="A192" s="48"/>
      <c r="B192" s="27"/>
    </row>
    <row r="193" spans="1:7" s="32" customFormat="1" x14ac:dyDescent="0.25">
      <c r="A193" s="47" t="s">
        <v>225</v>
      </c>
      <c r="B193"/>
      <c r="C193"/>
      <c r="D193"/>
      <c r="E193"/>
      <c r="F193"/>
      <c r="G193"/>
    </row>
    <row r="194" spans="1:7" s="32" customFormat="1" x14ac:dyDescent="0.25">
      <c r="A194" s="38" t="s">
        <v>461</v>
      </c>
      <c r="B194" s="236">
        <v>30</v>
      </c>
      <c r="C194" s="32" t="s">
        <v>132</v>
      </c>
    </row>
    <row r="195" spans="1:7" s="32" customFormat="1" x14ac:dyDescent="0.25">
      <c r="A195" s="38" t="s">
        <v>462</v>
      </c>
      <c r="B195" s="1">
        <f>VOUT/Kfb</f>
        <v>1.5</v>
      </c>
      <c r="C195" s="32" t="s">
        <v>5</v>
      </c>
      <c r="E195" s="32" t="s">
        <v>463</v>
      </c>
    </row>
    <row r="196" spans="1:7" s="32" customFormat="1" x14ac:dyDescent="0.25">
      <c r="A196" s="32" t="s">
        <v>164</v>
      </c>
      <c r="B196" s="15">
        <v>290000</v>
      </c>
      <c r="C196" s="2" t="s">
        <v>29</v>
      </c>
      <c r="E196" s="32" t="s">
        <v>214</v>
      </c>
    </row>
    <row r="197" spans="1:7" s="32" customFormat="1" x14ac:dyDescent="0.25">
      <c r="A197" t="s">
        <v>165</v>
      </c>
      <c r="B197" s="15">
        <v>10000</v>
      </c>
      <c r="C197" s="2" t="s">
        <v>29</v>
      </c>
      <c r="D197"/>
      <c r="E197" t="s">
        <v>220</v>
      </c>
      <c r="F197"/>
      <c r="G197"/>
    </row>
    <row r="198" spans="1:7" s="32" customFormat="1" x14ac:dyDescent="0.25">
      <c r="A198" t="s">
        <v>221</v>
      </c>
      <c r="B198" s="237">
        <f>VOUT/(RFBB+RFBT)</f>
        <v>1.4999999999999999E-4</v>
      </c>
      <c r="C198" s="2" t="s">
        <v>6</v>
      </c>
      <c r="D198"/>
      <c r="E198"/>
      <c r="F198"/>
      <c r="G198"/>
    </row>
    <row r="199" spans="1:7" s="32" customFormat="1" x14ac:dyDescent="0.25">
      <c r="B199" s="237"/>
      <c r="C199" s="2"/>
    </row>
    <row r="200" spans="1:7" s="32" customFormat="1" x14ac:dyDescent="0.25">
      <c r="B200" s="237"/>
      <c r="C200" s="2"/>
    </row>
    <row r="201" spans="1:7" s="32" customFormat="1" x14ac:dyDescent="0.25">
      <c r="B201" s="27"/>
      <c r="C201" s="2"/>
    </row>
    <row r="202" spans="1:7" s="32" customFormat="1" x14ac:dyDescent="0.25">
      <c r="A202" s="47" t="s">
        <v>226</v>
      </c>
      <c r="E202" s="32" t="s">
        <v>333</v>
      </c>
    </row>
    <row r="203" spans="1:7" s="32" customFormat="1" x14ac:dyDescent="0.25"/>
    <row r="204" spans="1:7" s="32" customFormat="1" x14ac:dyDescent="0.25">
      <c r="A204" s="35" t="s">
        <v>384</v>
      </c>
      <c r="E204" s="32" t="s">
        <v>432</v>
      </c>
    </row>
    <row r="205" spans="1:7" s="32" customFormat="1" x14ac:dyDescent="0.25">
      <c r="A205" s="35"/>
    </row>
    <row r="206" spans="1:7" s="32" customFormat="1" x14ac:dyDescent="0.25">
      <c r="A206" s="32" t="s">
        <v>429</v>
      </c>
      <c r="B206" s="33">
        <f>(R_cs*Acs/(2*Lm*Fsw))*(1-(VIN_min/VOUT))*(VIN_min/VOUT)</f>
        <v>9.0909090909090931E-4</v>
      </c>
      <c r="E206" s="32" t="s">
        <v>425</v>
      </c>
    </row>
    <row r="207" spans="1:7" s="32" customFormat="1" x14ac:dyDescent="0.25">
      <c r="A207" s="32" t="s">
        <v>430</v>
      </c>
      <c r="B207" s="33">
        <f>1/((0.5-(1-(VIN_min/VOUT)))*(R_cs*Acs/(Lm*Fsw))+(Vsl*Acs/VOUT))</f>
        <v>137.78705636743217</v>
      </c>
      <c r="E207" s="32" t="s">
        <v>425</v>
      </c>
    </row>
    <row r="208" spans="1:7" s="32" customFormat="1" x14ac:dyDescent="0.25">
      <c r="A208" s="32" t="s">
        <v>431</v>
      </c>
      <c r="B208" s="33">
        <f>2+((VOUT*((VIN_min/VOUT)^2))/(IOUT*R_cs*Acs))*((1/Km_VINmin)+(Kex_VINmin/(VIN_min/VOUT)))</f>
        <v>2.1287603305785123</v>
      </c>
      <c r="E208" s="32" t="s">
        <v>425</v>
      </c>
    </row>
    <row r="209" spans="1:5" s="32" customFormat="1" x14ac:dyDescent="0.25">
      <c r="A209" s="35"/>
      <c r="B209" s="33"/>
    </row>
    <row r="210" spans="1:5" s="32" customFormat="1" x14ac:dyDescent="0.25">
      <c r="A210" s="35"/>
      <c r="B210" s="33"/>
    </row>
    <row r="211" spans="1:5" s="32" customFormat="1" x14ac:dyDescent="0.25">
      <c r="A211" s="35"/>
      <c r="B211" s="33"/>
    </row>
    <row r="212" spans="1:5" s="32" customFormat="1" x14ac:dyDescent="0.25">
      <c r="A212" s="32" t="s">
        <v>337</v>
      </c>
      <c r="B212" s="33">
        <f>(Gcomp*(VIN_min/VOUT)*(VOUT/IOUT))/(Kd_VINmin*R_cs*Acs/Np)</f>
        <v>51.246214768227354</v>
      </c>
    </row>
    <row r="213" spans="1:5" s="32" customFormat="1" x14ac:dyDescent="0.25">
      <c r="B213" s="33"/>
    </row>
    <row r="214" spans="1:5" s="32" customFormat="1" x14ac:dyDescent="0.25">
      <c r="A214" s="32" t="s">
        <v>338</v>
      </c>
      <c r="B214" s="184">
        <f>Kd_VINmin/(Cout*(VOUT/IOUT))</f>
        <v>1156.3636363636365</v>
      </c>
      <c r="C214" s="32" t="s">
        <v>330</v>
      </c>
      <c r="E214" s="32" t="s">
        <v>329</v>
      </c>
    </row>
    <row r="215" spans="1:5" s="32" customFormat="1" x14ac:dyDescent="0.25">
      <c r="A215" s="32" t="s">
        <v>339</v>
      </c>
      <c r="B215" s="184">
        <f>B214/(2*PI())</f>
        <v>184.04098873899173</v>
      </c>
      <c r="C215" s="32" t="s">
        <v>58</v>
      </c>
      <c r="E215" s="32" t="s">
        <v>222</v>
      </c>
    </row>
    <row r="216" spans="1:5" s="32" customFormat="1" x14ac:dyDescent="0.25">
      <c r="B216" s="184"/>
    </row>
    <row r="217" spans="1:5" s="32" customFormat="1" x14ac:dyDescent="0.25">
      <c r="A217" s="32" t="s">
        <v>340</v>
      </c>
      <c r="B217" s="184">
        <f>1/(Cout*Resr)</f>
        <v>1111111.1111111112</v>
      </c>
      <c r="C217" s="32" t="s">
        <v>331</v>
      </c>
      <c r="E217" s="32" t="s">
        <v>332</v>
      </c>
    </row>
    <row r="218" spans="1:5" s="32" customFormat="1" x14ac:dyDescent="0.25">
      <c r="A218" s="32" t="s">
        <v>341</v>
      </c>
      <c r="B218" s="184">
        <f>B217/(2*PI())</f>
        <v>176838.82565766151</v>
      </c>
      <c r="C218" s="32" t="s">
        <v>58</v>
      </c>
      <c r="E218" s="32" t="s">
        <v>224</v>
      </c>
    </row>
    <row r="219" spans="1:5" s="32" customFormat="1" x14ac:dyDescent="0.25">
      <c r="B219" s="184"/>
    </row>
    <row r="220" spans="1:5" s="32" customFormat="1" x14ac:dyDescent="0.25">
      <c r="A220" s="32" t="s">
        <v>342</v>
      </c>
      <c r="B220" s="184">
        <f>((VOUT/IOUT)*((VIN_min/VOUT)^2))/(Lm)</f>
        <v>49586.776859504142</v>
      </c>
      <c r="E220" s="32" t="s">
        <v>328</v>
      </c>
    </row>
    <row r="221" spans="1:5" s="32" customFormat="1" x14ac:dyDescent="0.25">
      <c r="A221" s="32" t="s">
        <v>343</v>
      </c>
      <c r="B221" s="184">
        <f>B220/(2*PI())</f>
        <v>7891.9806491848949</v>
      </c>
      <c r="C221" s="32" t="s">
        <v>58</v>
      </c>
      <c r="E221" s="32" t="s">
        <v>223</v>
      </c>
    </row>
    <row r="222" spans="1:5" s="32" customFormat="1" x14ac:dyDescent="0.25">
      <c r="B222" s="184">
        <f>Fsw/10</f>
        <v>40000</v>
      </c>
      <c r="C222" s="32" t="s">
        <v>58</v>
      </c>
      <c r="E222" s="32" t="s">
        <v>229</v>
      </c>
    </row>
    <row r="223" spans="1:5" s="32" customFormat="1" x14ac:dyDescent="0.25">
      <c r="B223" s="45">
        <f>IF((B221/5)&lt;(B222),0,1)</f>
        <v>0</v>
      </c>
      <c r="E223" s="32" t="s">
        <v>230</v>
      </c>
    </row>
    <row r="224" spans="1:5" s="32" customFormat="1" x14ac:dyDescent="0.25">
      <c r="B224" s="33"/>
    </row>
    <row r="225" spans="1:9" s="32" customFormat="1" x14ac:dyDescent="0.25">
      <c r="A225" s="32" t="s">
        <v>344</v>
      </c>
      <c r="B225" s="184">
        <f>(Vsl*Fsw)</f>
        <v>19200</v>
      </c>
      <c r="C225" s="32" t="s">
        <v>132</v>
      </c>
      <c r="E225" s="32" t="s">
        <v>433</v>
      </c>
    </row>
    <row r="226" spans="1:9" s="32" customFormat="1" x14ac:dyDescent="0.25">
      <c r="A226" s="32" t="s">
        <v>345</v>
      </c>
      <c r="B226" s="184">
        <f>(R_cs*VIN_min)/Lm</f>
        <v>4090.909090909091</v>
      </c>
      <c r="C226" s="32" t="s">
        <v>132</v>
      </c>
      <c r="E226" s="32" t="s">
        <v>189</v>
      </c>
    </row>
    <row r="227" spans="1:9" s="32" customFormat="1" x14ac:dyDescent="0.25">
      <c r="B227" s="184"/>
    </row>
    <row r="228" spans="1:9" s="32" customFormat="1" x14ac:dyDescent="0.25">
      <c r="A228" s="32" t="s">
        <v>346</v>
      </c>
      <c r="B228" s="184">
        <f>2*PI()*Fsw</f>
        <v>2513274.1228718343</v>
      </c>
      <c r="C228" s="32" t="s">
        <v>191</v>
      </c>
      <c r="E228" s="32" t="s">
        <v>426</v>
      </c>
    </row>
    <row r="229" spans="1:9" s="32" customFormat="1" x14ac:dyDescent="0.25">
      <c r="A229" s="32" t="s">
        <v>347</v>
      </c>
      <c r="B229" s="184">
        <f>1/(PI()*(((VIN_min/VOUT)*(1+(B225/B226)))-0.5))</f>
        <v>0.49839752533996456</v>
      </c>
      <c r="E229" s="32" t="s">
        <v>427</v>
      </c>
    </row>
    <row r="230" spans="1:9" s="32" customFormat="1" x14ac:dyDescent="0.25">
      <c r="B230" s="33"/>
    </row>
    <row r="231" spans="1:9" s="32" customFormat="1" x14ac:dyDescent="0.25">
      <c r="A231" s="32" t="s">
        <v>227</v>
      </c>
      <c r="B231" s="184">
        <f>IF(B223=0,fz_rhp/5,Fsw/10)</f>
        <v>1578.3961298369791</v>
      </c>
      <c r="C231" s="32" t="s">
        <v>58</v>
      </c>
      <c r="E231" s="32" t="s">
        <v>395</v>
      </c>
    </row>
    <row r="232" spans="1:9" x14ac:dyDescent="0.25">
      <c r="A232" s="32"/>
      <c r="B232" s="44">
        <f>fcross</f>
        <v>1600</v>
      </c>
      <c r="C232" s="32" t="s">
        <v>458</v>
      </c>
      <c r="D232" s="32"/>
      <c r="E232" s="32" t="s">
        <v>466</v>
      </c>
      <c r="F232" s="32"/>
      <c r="G232" s="32"/>
      <c r="I232"/>
    </row>
    <row r="233" spans="1:9" x14ac:dyDescent="0.25">
      <c r="A233" s="32" t="s">
        <v>234</v>
      </c>
      <c r="B233" s="70">
        <f>B215</f>
        <v>184.04098873899173</v>
      </c>
      <c r="C233" s="32" t="s">
        <v>58</v>
      </c>
      <c r="D233" s="32"/>
      <c r="E233" s="32" t="s">
        <v>762</v>
      </c>
      <c r="F233" s="32"/>
      <c r="G233" s="32"/>
      <c r="I233"/>
    </row>
    <row r="234" spans="1:9" x14ac:dyDescent="0.25">
      <c r="A234" s="32" t="s">
        <v>236</v>
      </c>
      <c r="B234" s="45">
        <f>MIN(fz_rhp,B218)</f>
        <v>7891.9806491848949</v>
      </c>
      <c r="C234" s="32" t="s">
        <v>58</v>
      </c>
      <c r="D234" s="32"/>
      <c r="E234" s="32" t="s">
        <v>352</v>
      </c>
      <c r="F234" s="32"/>
      <c r="G234" s="32"/>
      <c r="I234"/>
    </row>
    <row r="235" spans="1:9" s="32" customFormat="1" x14ac:dyDescent="0.25"/>
    <row r="236" spans="1:9" s="32" customFormat="1" x14ac:dyDescent="0.25">
      <c r="A236" s="32" t="s">
        <v>436</v>
      </c>
      <c r="B236" s="33">
        <f>10^(-Loop_Modeling!AG7/20)</f>
        <v>0.33452485555974554</v>
      </c>
    </row>
    <row r="237" spans="1:9" s="32" customFormat="1" x14ac:dyDescent="0.25">
      <c r="A237" s="32" t="s">
        <v>434</v>
      </c>
      <c r="B237" s="33">
        <f>SQRT(1+((B231/fp_ea_est)^2))</f>
        <v>1.019803902718557</v>
      </c>
    </row>
    <row r="238" spans="1:9" s="32" customFormat="1" x14ac:dyDescent="0.25">
      <c r="A238" s="32" t="s">
        <v>435</v>
      </c>
      <c r="B238" s="33">
        <f>SQRT(1+(fz_ea_est/B231)^2)</f>
        <v>1.0067748308335882</v>
      </c>
    </row>
    <row r="239" spans="1:9" s="32" customFormat="1" x14ac:dyDescent="0.25"/>
    <row r="240" spans="1:9" s="32" customFormat="1" x14ac:dyDescent="0.25">
      <c r="A240" s="32" t="s">
        <v>403</v>
      </c>
      <c r="B240" s="29">
        <f>2*PI()*fcross*Cout*Acs*R_cs*(6.28*Constants!$B$71*Constants!$B$72*fcross+2)/((6.28*Constants!$B$71*Constants!$B$72*fcross+1))*B194/((1-B24)*gm_ea)</f>
        <v>19964.223071437813</v>
      </c>
      <c r="C240" s="2" t="s">
        <v>29</v>
      </c>
      <c r="E240" s="338" t="s">
        <v>778</v>
      </c>
    </row>
    <row r="241" spans="1:7" s="32" customFormat="1" x14ac:dyDescent="0.25">
      <c r="A241" s="32" t="s">
        <v>404</v>
      </c>
      <c r="B241" s="171">
        <f>1/(2*PI()*fz_ea_est*Rcomp_calc_CCM)</f>
        <v>4.3316480241650363E-8</v>
      </c>
      <c r="C241" s="2" t="s">
        <v>142</v>
      </c>
    </row>
    <row r="242" spans="1:7" s="32" customFormat="1" x14ac:dyDescent="0.25">
      <c r="A242" s="32" t="s">
        <v>405</v>
      </c>
      <c r="B242" s="171">
        <f>1/Rcomp_calc_CCM/(2*PI()*fp_ea_est)</f>
        <v>1.0101403192352866E-9</v>
      </c>
      <c r="C242" s="32" t="s">
        <v>142</v>
      </c>
    </row>
    <row r="243" spans="1:7" s="32" customFormat="1" x14ac:dyDescent="0.25">
      <c r="A243"/>
      <c r="B243"/>
      <c r="C243"/>
      <c r="D243"/>
      <c r="E243"/>
      <c r="F243"/>
      <c r="G243"/>
    </row>
    <row r="244" spans="1:7" s="32" customFormat="1" x14ac:dyDescent="0.25">
      <c r="A244"/>
      <c r="B244"/>
      <c r="C244"/>
      <c r="D244"/>
      <c r="E244"/>
      <c r="F244"/>
      <c r="G244"/>
    </row>
    <row r="245" spans="1:7" s="32" customFormat="1" x14ac:dyDescent="0.25">
      <c r="A245" s="35" t="s">
        <v>385</v>
      </c>
      <c r="B245"/>
      <c r="C245"/>
      <c r="D245"/>
      <c r="E245" s="47"/>
      <c r="F245"/>
      <c r="G245"/>
    </row>
    <row r="246" spans="1:7" s="32" customFormat="1" x14ac:dyDescent="0.25"/>
    <row r="247" spans="1:7" s="32" customFormat="1" x14ac:dyDescent="0.25">
      <c r="A247" s="32" t="s">
        <v>390</v>
      </c>
      <c r="B247" s="32">
        <f>Fsw/((R_cs*Acs*(VIN_min/Lm))+Vsl)</f>
        <v>9.7777663051986448</v>
      </c>
      <c r="C247" s="32" t="s">
        <v>132</v>
      </c>
      <c r="E247" s="32" t="s">
        <v>409</v>
      </c>
    </row>
    <row r="248" spans="1:7" s="32" customFormat="1" x14ac:dyDescent="0.25">
      <c r="A248" s="32" t="s">
        <v>389</v>
      </c>
      <c r="B248" s="32">
        <f>(B247*2*VOUT/Dc_VIN_min)*(((VOUT/VIN_min)-1)/((2*VOUT/VIN_min)-1))</f>
        <v>488.8883152599322</v>
      </c>
      <c r="C248" s="32" t="s">
        <v>132</v>
      </c>
    </row>
    <row r="249" spans="1:7" s="32" customFormat="1" x14ac:dyDescent="0.25">
      <c r="A249" s="32" t="s">
        <v>391</v>
      </c>
      <c r="B249" s="32">
        <f>(IOUT*((2*VOUT)-VIN_min))/(Cout*VOUT*(VOUT-VIN_min))</f>
        <v>1222.2222222222222</v>
      </c>
      <c r="C249" s="32" t="s">
        <v>330</v>
      </c>
    </row>
    <row r="250" spans="1:7" s="32" customFormat="1" x14ac:dyDescent="0.25">
      <c r="B250" s="32">
        <f>B249/(2*PI())</f>
        <v>194.52270822342763</v>
      </c>
      <c r="C250" s="32" t="s">
        <v>58</v>
      </c>
    </row>
    <row r="251" spans="1:7" s="32" customFormat="1" x14ac:dyDescent="0.25">
      <c r="A251" s="32" t="s">
        <v>392</v>
      </c>
      <c r="B251" s="32">
        <f>1/(Cout*Resr)</f>
        <v>1111111.1111111112</v>
      </c>
      <c r="C251" s="32" t="s">
        <v>330</v>
      </c>
    </row>
    <row r="252" spans="1:7" s="32" customFormat="1" x14ac:dyDescent="0.25">
      <c r="B252" s="32">
        <f>B251/(2*PI())</f>
        <v>176838.82565766151</v>
      </c>
      <c r="C252" s="32" t="s">
        <v>58</v>
      </c>
    </row>
    <row r="253" spans="1:7" s="32" customFormat="1" x14ac:dyDescent="0.25">
      <c r="A253" s="32" t="s">
        <v>393</v>
      </c>
      <c r="B253" s="32">
        <f>2*Fsw/(Dc_VIN_min)</f>
        <v>1000000</v>
      </c>
      <c r="C253" s="32" t="s">
        <v>330</v>
      </c>
      <c r="E253" s="32" t="s">
        <v>408</v>
      </c>
    </row>
    <row r="254" spans="1:7" s="32" customFormat="1" x14ac:dyDescent="0.25">
      <c r="B254" s="32">
        <f>B253/(2*PI())</f>
        <v>159154.94309189534</v>
      </c>
      <c r="C254" s="32" t="s">
        <v>58</v>
      </c>
    </row>
    <row r="255" spans="1:7" s="32" customFormat="1" x14ac:dyDescent="0.25"/>
    <row r="256" spans="1:7" s="32" customFormat="1" x14ac:dyDescent="0.25">
      <c r="A256" s="32" t="s">
        <v>394</v>
      </c>
      <c r="B256" s="32">
        <f>IF(2*Fsw/(2*PI()*Dc_VIN_min*5)&lt;Fsw/10,2*Fsw/(2*PI()*Dc_VIN_min*5),Fsw/10)</f>
        <v>31830.98861837907</v>
      </c>
      <c r="C256" s="32" t="s">
        <v>58</v>
      </c>
      <c r="E256" s="32" t="s">
        <v>465</v>
      </c>
    </row>
    <row r="257" spans="1:9" s="32" customFormat="1" x14ac:dyDescent="0.25">
      <c r="B257" s="44">
        <f>fcross</f>
        <v>1600</v>
      </c>
      <c r="C257" s="32" t="s">
        <v>458</v>
      </c>
      <c r="E257" s="32" t="s">
        <v>466</v>
      </c>
    </row>
    <row r="258" spans="1:9" s="32" customFormat="1" ht="16.5" customHeight="1" x14ac:dyDescent="0.25">
      <c r="A258" s="32" t="s">
        <v>234</v>
      </c>
      <c r="B258" s="70">
        <f>SQRT(B250*fcross)</f>
        <v>557.88559145893362</v>
      </c>
      <c r="C258" s="32" t="s">
        <v>58</v>
      </c>
    </row>
    <row r="259" spans="1:9" s="32" customFormat="1" ht="16.5" customHeight="1" x14ac:dyDescent="0.25">
      <c r="A259" s="32" t="s">
        <v>236</v>
      </c>
      <c r="B259" s="45">
        <f>Fsw/2</f>
        <v>200000</v>
      </c>
      <c r="C259" s="32" t="s">
        <v>58</v>
      </c>
    </row>
    <row r="260" spans="1:9" s="32" customFormat="1" x14ac:dyDescent="0.25"/>
    <row r="261" spans="1:9" s="32" customFormat="1" x14ac:dyDescent="0.25">
      <c r="A261" s="32" t="s">
        <v>436</v>
      </c>
      <c r="B261" s="33">
        <f>10^(-Loop_Modeling!AT7/20)</f>
        <v>7.6029707025747142E-2</v>
      </c>
    </row>
    <row r="262" spans="1:9" s="32" customFormat="1" x14ac:dyDescent="0.25">
      <c r="A262" s="32" t="s">
        <v>434</v>
      </c>
      <c r="B262" s="33">
        <f>SQRT(1+((fcross/B259)^2))</f>
        <v>1.0000319994880165</v>
      </c>
    </row>
    <row r="263" spans="1:9" s="32" customFormat="1" x14ac:dyDescent="0.25">
      <c r="A263" s="32" t="s">
        <v>435</v>
      </c>
      <c r="B263" s="33">
        <f>SQRT(1+(B258/fcross)^2)</f>
        <v>1.0590451796970903</v>
      </c>
    </row>
    <row r="264" spans="1:9" s="32" customFormat="1" x14ac:dyDescent="0.25"/>
    <row r="265" spans="1:9" s="32" customFormat="1" x14ac:dyDescent="0.25">
      <c r="B265" s="27"/>
    </row>
    <row r="266" spans="1:9" s="32" customFormat="1" x14ac:dyDescent="0.25">
      <c r="A266" s="32" t="s">
        <v>397</v>
      </c>
      <c r="B266" s="32">
        <f>(B259*B261*Kfb)/((B259-B258)*gm_ea)*(B262/B263)</f>
        <v>2159.8177536674543</v>
      </c>
      <c r="C266" s="32" t="s">
        <v>400</v>
      </c>
      <c r="E266" s="32" t="s">
        <v>233</v>
      </c>
    </row>
    <row r="267" spans="1:9" s="32" customFormat="1" x14ac:dyDescent="0.25">
      <c r="A267" s="32" t="s">
        <v>401</v>
      </c>
      <c r="B267" s="32">
        <f>1/(2*PI()*B258*RCOMP_CALC_DCM)</f>
        <v>1.3208633193189463E-7</v>
      </c>
      <c r="C267" s="32" t="s">
        <v>142</v>
      </c>
      <c r="E267" s="32" t="s">
        <v>398</v>
      </c>
    </row>
    <row r="268" spans="1:9" s="32" customFormat="1" x14ac:dyDescent="0.25">
      <c r="A268" s="32" t="s">
        <v>402</v>
      </c>
      <c r="B268" s="32">
        <f>((gm_ea)/(2*PI()*B259*Kfb))*(B263/B262)</f>
        <v>2.8091146982084861E-11</v>
      </c>
      <c r="C268" s="32" t="s">
        <v>142</v>
      </c>
      <c r="E268" s="32" t="s">
        <v>399</v>
      </c>
    </row>
    <row r="269" spans="1:9" s="32" customFormat="1" x14ac:dyDescent="0.25"/>
    <row r="270" spans="1:9" x14ac:dyDescent="0.25">
      <c r="A270" s="168" t="s">
        <v>396</v>
      </c>
      <c r="B270" s="32"/>
      <c r="C270" s="32"/>
      <c r="D270" s="32"/>
      <c r="E270" s="32"/>
      <c r="F270" s="32"/>
      <c r="G270" s="32"/>
      <c r="I270"/>
    </row>
    <row r="271" spans="1:9" s="32" customFormat="1" x14ac:dyDescent="0.25">
      <c r="B271" s="32">
        <f>IF(B56=0,B256,B231)</f>
        <v>1578.3961298369791</v>
      </c>
      <c r="C271" s="32" t="s">
        <v>58</v>
      </c>
      <c r="E271" s="32" t="s">
        <v>464</v>
      </c>
    </row>
    <row r="272" spans="1:9" s="32" customFormat="1" x14ac:dyDescent="0.25">
      <c r="A272" s="32" t="s">
        <v>227</v>
      </c>
      <c r="B272" s="3">
        <f>'Design Converter'!H104*1000</f>
        <v>1600</v>
      </c>
      <c r="C272" s="32" t="s">
        <v>58</v>
      </c>
      <c r="E272" s="32" t="s">
        <v>228</v>
      </c>
    </row>
    <row r="273" spans="1:9" x14ac:dyDescent="0.25">
      <c r="A273" s="32"/>
      <c r="B273" s="32"/>
      <c r="C273" s="32"/>
      <c r="D273" s="32"/>
      <c r="E273" s="32"/>
      <c r="F273" s="32"/>
      <c r="G273" s="32"/>
      <c r="I273"/>
    </row>
    <row r="274" spans="1:9" x14ac:dyDescent="0.25">
      <c r="A274" s="32" t="s">
        <v>232</v>
      </c>
      <c r="B274" s="32">
        <f>IF(B56=0,RCOMP_CALC_DCM,Rcomp_calc_CCM)</f>
        <v>19964.223071437813</v>
      </c>
      <c r="C274" s="32"/>
      <c r="D274" s="32"/>
      <c r="E274" s="32"/>
      <c r="F274" s="32"/>
      <c r="G274" s="32"/>
      <c r="I274"/>
    </row>
    <row r="275" spans="1:9" x14ac:dyDescent="0.25">
      <c r="A275" t="s">
        <v>155</v>
      </c>
      <c r="B275" s="3">
        <f>'Design Converter'!H107*1000</f>
        <v>20000</v>
      </c>
      <c r="C275" s="2" t="s">
        <v>29</v>
      </c>
      <c r="E275" t="s">
        <v>161</v>
      </c>
      <c r="F275" s="32"/>
      <c r="G275" s="32"/>
      <c r="I275"/>
    </row>
    <row r="276" spans="1:9" s="32" customFormat="1" x14ac:dyDescent="0.25">
      <c r="A276" s="32" t="s">
        <v>235</v>
      </c>
      <c r="B276" s="32">
        <f>IF(B56=0,CCOMP_CALC_DCM,CCOMP_calc_CCM)</f>
        <v>4.3316480241650363E-8</v>
      </c>
    </row>
    <row r="277" spans="1:9" x14ac:dyDescent="0.25">
      <c r="A277" t="s">
        <v>159</v>
      </c>
      <c r="B277" s="3">
        <f>'Design Converter'!H108*(10^-9)</f>
        <v>4.7000000000000004E-8</v>
      </c>
      <c r="C277" t="s">
        <v>142</v>
      </c>
      <c r="E277" t="s">
        <v>162</v>
      </c>
      <c r="F277" s="32"/>
      <c r="G277" s="32"/>
      <c r="I277"/>
    </row>
    <row r="278" spans="1:9" x14ac:dyDescent="0.25">
      <c r="A278" s="32" t="s">
        <v>406</v>
      </c>
      <c r="B278" s="32">
        <f>IF(B56=0,CHF_CALC_DCM,CHF_CALC_CCM)</f>
        <v>1.0101403192352866E-9</v>
      </c>
      <c r="C278" s="32"/>
      <c r="D278" s="32"/>
      <c r="E278" s="32"/>
      <c r="F278" s="32"/>
      <c r="G278" s="32"/>
      <c r="I278"/>
    </row>
    <row r="279" spans="1:9" x14ac:dyDescent="0.25">
      <c r="A279" t="s">
        <v>160</v>
      </c>
      <c r="B279" s="3">
        <f>'Design Converter'!H109*(10^-12)</f>
        <v>1.0000000000000001E-9</v>
      </c>
      <c r="C279" t="s">
        <v>142</v>
      </c>
      <c r="E279" t="s">
        <v>163</v>
      </c>
      <c r="F279" s="32"/>
      <c r="G279" s="32"/>
      <c r="I279"/>
    </row>
    <row r="280" spans="1:9" x14ac:dyDescent="0.25">
      <c r="A280" s="32"/>
      <c r="B280" s="32"/>
      <c r="C280" s="32"/>
      <c r="D280" s="32"/>
      <c r="E280" s="32"/>
      <c r="F280" s="32"/>
      <c r="G280" s="32"/>
      <c r="I280"/>
    </row>
    <row r="281" spans="1:9" x14ac:dyDescent="0.25">
      <c r="A281" s="43" t="s">
        <v>499</v>
      </c>
      <c r="I281"/>
    </row>
    <row r="282" spans="1:9" x14ac:dyDescent="0.25">
      <c r="A282" s="43" t="s">
        <v>283</v>
      </c>
      <c r="B282" s="32"/>
      <c r="C282" s="32"/>
      <c r="D282" s="32"/>
      <c r="E282" s="32"/>
      <c r="F282" s="32"/>
      <c r="G282" s="32"/>
      <c r="I282"/>
    </row>
    <row r="283" spans="1:9" s="32" customFormat="1" x14ac:dyDescent="0.25">
      <c r="A283" s="111" t="s">
        <v>334</v>
      </c>
      <c r="E283" s="32" t="s">
        <v>335</v>
      </c>
      <c r="H283" s="32" t="s">
        <v>303</v>
      </c>
    </row>
    <row r="284" spans="1:9" x14ac:dyDescent="0.25">
      <c r="I284"/>
    </row>
    <row r="286" spans="1:9" s="32" customFormat="1" x14ac:dyDescent="0.25">
      <c r="A286"/>
      <c r="B286"/>
      <c r="C286"/>
      <c r="D286"/>
      <c r="E286"/>
      <c r="F286"/>
      <c r="G286"/>
    </row>
    <row r="287" spans="1:9" s="32" customFormat="1" x14ac:dyDescent="0.25"/>
    <row r="288" spans="1:9" s="32" customFormat="1" x14ac:dyDescent="0.25">
      <c r="A288" s="43" t="s">
        <v>471</v>
      </c>
      <c r="B288"/>
      <c r="C288"/>
      <c r="D288"/>
      <c r="E288"/>
      <c r="F288"/>
      <c r="G288"/>
    </row>
    <row r="289" spans="1:9" ht="15.75" x14ac:dyDescent="0.3">
      <c r="A289" t="s">
        <v>292</v>
      </c>
      <c r="B289" s="3">
        <f>'Design Converter'!H114*(10^-3)</f>
        <v>7.0000000000000001E-3</v>
      </c>
      <c r="C289" s="2" t="s">
        <v>29</v>
      </c>
      <c r="E289" s="99" t="s">
        <v>272</v>
      </c>
      <c r="I289"/>
    </row>
    <row r="290" spans="1:9" ht="15.75" x14ac:dyDescent="0.3">
      <c r="A290" t="s">
        <v>284</v>
      </c>
      <c r="B290" s="3">
        <f>'Design Converter'!H115*(10^-9)</f>
        <v>9.0000000000000012E-9</v>
      </c>
      <c r="C290" t="s">
        <v>142</v>
      </c>
      <c r="E290" s="99" t="s">
        <v>273</v>
      </c>
      <c r="I290"/>
    </row>
    <row r="291" spans="1:9" ht="15.75" x14ac:dyDescent="0.3">
      <c r="A291" t="s">
        <v>286</v>
      </c>
      <c r="B291" s="3">
        <f>'Design Converter'!H116*(10^-9)</f>
        <v>2.0000000000000001E-9</v>
      </c>
      <c r="C291" t="s">
        <v>142</v>
      </c>
      <c r="E291" s="99" t="s">
        <v>274</v>
      </c>
      <c r="I291"/>
    </row>
    <row r="292" spans="1:9" ht="15.75" x14ac:dyDescent="0.3">
      <c r="A292" t="s">
        <v>285</v>
      </c>
      <c r="B292" s="3">
        <f>'Design Converter'!H117*(10^-9)</f>
        <v>4.5000000000000006E-9</v>
      </c>
      <c r="C292" t="s">
        <v>142</v>
      </c>
      <c r="E292" s="99" t="s">
        <v>275</v>
      </c>
      <c r="I292"/>
    </row>
    <row r="293" spans="1:9" ht="15.75" x14ac:dyDescent="0.3">
      <c r="A293" t="s">
        <v>287</v>
      </c>
      <c r="B293" s="3">
        <f>'Design Converter'!H118</f>
        <v>10</v>
      </c>
      <c r="C293" s="2" t="s">
        <v>29</v>
      </c>
      <c r="E293" s="99" t="s">
        <v>276</v>
      </c>
      <c r="I293"/>
    </row>
    <row r="294" spans="1:9" x14ac:dyDescent="0.25">
      <c r="A294" s="32" t="s">
        <v>293</v>
      </c>
      <c r="B294" s="22">
        <v>5</v>
      </c>
      <c r="C294" s="2"/>
      <c r="D294" s="32"/>
      <c r="E294" s="99" t="s">
        <v>294</v>
      </c>
      <c r="F294" s="32"/>
      <c r="G294" s="32"/>
      <c r="I294"/>
    </row>
    <row r="295" spans="1:9" ht="15.75" x14ac:dyDescent="0.3">
      <c r="A295" t="s">
        <v>288</v>
      </c>
      <c r="B295" s="209">
        <v>50</v>
      </c>
      <c r="C295" s="2" t="s">
        <v>282</v>
      </c>
      <c r="E295" s="99" t="s">
        <v>277</v>
      </c>
      <c r="I295"/>
    </row>
    <row r="296" spans="1:9" ht="15.75" x14ac:dyDescent="0.3">
      <c r="A296" t="s">
        <v>289</v>
      </c>
      <c r="B296" s="3">
        <f>'Design Converter'!H119</f>
        <v>1.7</v>
      </c>
      <c r="C296" s="2" t="s">
        <v>5</v>
      </c>
      <c r="E296" s="99" t="s">
        <v>278</v>
      </c>
      <c r="I296"/>
    </row>
    <row r="297" spans="1:9" x14ac:dyDescent="0.25">
      <c r="A297" s="32" t="s">
        <v>299</v>
      </c>
      <c r="B297" s="22">
        <f>Vcc</f>
        <v>5</v>
      </c>
      <c r="C297" s="2" t="s">
        <v>5</v>
      </c>
      <c r="D297" s="32"/>
      <c r="E297" s="99" t="s">
        <v>304</v>
      </c>
      <c r="F297" s="32"/>
      <c r="G297" s="32"/>
      <c r="I297"/>
    </row>
    <row r="298" spans="1:9" x14ac:dyDescent="0.25">
      <c r="A298" s="32"/>
      <c r="B298" s="27"/>
      <c r="C298" s="2"/>
      <c r="D298" s="32"/>
      <c r="E298" s="99"/>
      <c r="F298" s="32"/>
      <c r="G298" s="32"/>
      <c r="I298"/>
    </row>
    <row r="299" spans="1:9" x14ac:dyDescent="0.25">
      <c r="A299" s="32"/>
      <c r="B299" s="27"/>
      <c r="C299" s="2"/>
      <c r="D299" s="32"/>
      <c r="E299" s="99"/>
      <c r="F299" s="32"/>
      <c r="G299" s="32"/>
      <c r="I299"/>
    </row>
    <row r="300" spans="1:9" x14ac:dyDescent="0.25">
      <c r="A300" t="s">
        <v>295</v>
      </c>
      <c r="B300" s="40">
        <f>Vth+(((VOUT*IOUT)/VIN_min)/gfs)</f>
        <v>2.8</v>
      </c>
      <c r="C300" s="2" t="s">
        <v>5</v>
      </c>
      <c r="E300" s="99" t="s">
        <v>296</v>
      </c>
      <c r="I300"/>
    </row>
    <row r="301" spans="1:9" x14ac:dyDescent="0.25">
      <c r="A301" t="s">
        <v>305</v>
      </c>
      <c r="B301" s="1">
        <f>(Qgd+(Qgs/2))*((Rgate+B294)/(Vcc-B300))</f>
        <v>2.8977272727272725E-8</v>
      </c>
      <c r="C301" s="2" t="s">
        <v>44</v>
      </c>
      <c r="E301" s="99" t="s">
        <v>297</v>
      </c>
      <c r="I301"/>
    </row>
    <row r="302" spans="1:9" ht="15.75" thickBot="1" x14ac:dyDescent="0.3">
      <c r="A302" t="s">
        <v>306</v>
      </c>
      <c r="B302" s="1">
        <f>(Qgd+(Qgs/2))*((B294+Rgate)/B300)</f>
        <v>2.2767857142857146E-8</v>
      </c>
      <c r="C302" t="s">
        <v>44</v>
      </c>
      <c r="E302" s="100" t="s">
        <v>298</v>
      </c>
      <c r="I302"/>
    </row>
    <row r="303" spans="1:9" x14ac:dyDescent="0.25">
      <c r="I303"/>
    </row>
    <row r="305" spans="1:9" x14ac:dyDescent="0.25">
      <c r="A305" s="43" t="s">
        <v>472</v>
      </c>
      <c r="B305" s="32"/>
      <c r="C305" s="32"/>
      <c r="I305"/>
    </row>
    <row r="306" spans="1:9" s="32" customFormat="1" ht="15.75" x14ac:dyDescent="0.3">
      <c r="A306" s="32" t="s">
        <v>292</v>
      </c>
      <c r="B306" s="3">
        <f>'Design Converter'!H122*(10^-3)</f>
        <v>7.0000000000000001E-3</v>
      </c>
      <c r="C306" s="2" t="s">
        <v>29</v>
      </c>
      <c r="D306"/>
      <c r="E306" s="99" t="s">
        <v>272</v>
      </c>
      <c r="F306"/>
      <c r="G306"/>
    </row>
    <row r="307" spans="1:9" ht="15.75" x14ac:dyDescent="0.3">
      <c r="A307" s="32" t="s">
        <v>284</v>
      </c>
      <c r="B307" s="3">
        <f>'Design Converter'!H123*(10^-9)</f>
        <v>9.0000000000000012E-9</v>
      </c>
      <c r="C307" s="32" t="s">
        <v>142</v>
      </c>
      <c r="E307" s="99" t="s">
        <v>273</v>
      </c>
      <c r="I307"/>
    </row>
    <row r="308" spans="1:9" ht="15.75" x14ac:dyDescent="0.3">
      <c r="A308" s="32" t="s">
        <v>286</v>
      </c>
      <c r="B308" s="3">
        <f>'Design Converter'!H124*(10^-9)</f>
        <v>2.0000000000000001E-9</v>
      </c>
      <c r="C308" s="32" t="s">
        <v>142</v>
      </c>
      <c r="E308" s="99" t="s">
        <v>274</v>
      </c>
      <c r="I308"/>
    </row>
    <row r="309" spans="1:9" ht="15.75" x14ac:dyDescent="0.3">
      <c r="A309" s="32" t="s">
        <v>285</v>
      </c>
      <c r="B309" s="3">
        <f>'Design Converter'!H125*(10^-9)</f>
        <v>4.5000000000000006E-9</v>
      </c>
      <c r="C309" s="32" t="s">
        <v>142</v>
      </c>
      <c r="E309" s="99" t="s">
        <v>275</v>
      </c>
      <c r="I309"/>
    </row>
    <row r="310" spans="1:9" ht="15.75" x14ac:dyDescent="0.3">
      <c r="A310" s="32" t="s">
        <v>287</v>
      </c>
      <c r="B310" s="3">
        <f>'Design Converter'!H126</f>
        <v>2</v>
      </c>
      <c r="C310" s="2" t="s">
        <v>29</v>
      </c>
      <c r="E310" s="99" t="s">
        <v>276</v>
      </c>
      <c r="I310"/>
    </row>
    <row r="311" spans="1:9" x14ac:dyDescent="0.25">
      <c r="A311" s="32" t="s">
        <v>293</v>
      </c>
      <c r="B311" s="22">
        <v>5</v>
      </c>
      <c r="C311" s="2"/>
      <c r="E311" s="99" t="s">
        <v>294</v>
      </c>
      <c r="I311"/>
    </row>
    <row r="312" spans="1:9" ht="15.75" x14ac:dyDescent="0.3">
      <c r="A312" s="32" t="s">
        <v>288</v>
      </c>
      <c r="B312" s="209">
        <v>50</v>
      </c>
      <c r="C312" s="2" t="s">
        <v>282</v>
      </c>
      <c r="E312" s="99" t="s">
        <v>277</v>
      </c>
      <c r="I312"/>
    </row>
    <row r="313" spans="1:9" ht="15.75" x14ac:dyDescent="0.3">
      <c r="A313" s="32" t="s">
        <v>289</v>
      </c>
      <c r="B313" s="3">
        <f>'Design Converter'!H127</f>
        <v>1.7</v>
      </c>
      <c r="C313" s="2" t="s">
        <v>5</v>
      </c>
      <c r="E313" s="99" t="s">
        <v>278</v>
      </c>
      <c r="I313"/>
    </row>
    <row r="314" spans="1:9" x14ac:dyDescent="0.25">
      <c r="A314" s="32" t="s">
        <v>299</v>
      </c>
      <c r="B314" s="22">
        <f>Vcc</f>
        <v>5</v>
      </c>
      <c r="C314" s="2" t="s">
        <v>5</v>
      </c>
      <c r="E314" s="99" t="s">
        <v>304</v>
      </c>
      <c r="I314"/>
    </row>
    <row r="315" spans="1:9" x14ac:dyDescent="0.25">
      <c r="A315" t="s">
        <v>291</v>
      </c>
      <c r="B315" s="3">
        <f>'Design Converter'!H128*10^-9</f>
        <v>1.9000000000000001E-8</v>
      </c>
      <c r="C315" t="s">
        <v>290</v>
      </c>
      <c r="E315" t="s">
        <v>473</v>
      </c>
      <c r="I315"/>
    </row>
    <row r="316" spans="1:9" x14ac:dyDescent="0.25">
      <c r="A316" t="s">
        <v>266</v>
      </c>
      <c r="B316" s="3">
        <f>'Design Converter'!H129</f>
        <v>0.85</v>
      </c>
      <c r="C316" t="s">
        <v>5</v>
      </c>
      <c r="E316" t="s">
        <v>474</v>
      </c>
      <c r="I316"/>
    </row>
    <row r="317" spans="1:9" x14ac:dyDescent="0.25">
      <c r="A317" s="32"/>
      <c r="B317" s="27"/>
      <c r="C317" s="2"/>
      <c r="D317" s="32"/>
      <c r="E317" s="99"/>
      <c r="F317" s="32"/>
      <c r="G317" s="32"/>
      <c r="I317"/>
    </row>
    <row r="318" spans="1:9" x14ac:dyDescent="0.25">
      <c r="A318" s="32" t="s">
        <v>295</v>
      </c>
      <c r="B318" s="40">
        <f>Vth+(((VOUT*IOUT)/VIN_min)/B312)</f>
        <v>2.8</v>
      </c>
      <c r="C318" s="2" t="s">
        <v>5</v>
      </c>
      <c r="E318" s="99" t="s">
        <v>296</v>
      </c>
      <c r="I318"/>
    </row>
    <row r="319" spans="1:9" x14ac:dyDescent="0.25">
      <c r="A319" s="32" t="s">
        <v>305</v>
      </c>
      <c r="B319" s="1">
        <f>(B308+(B309/2))*((B310+B311)/(Vcc-B318))</f>
        <v>1.3522727272727272E-8</v>
      </c>
      <c r="C319" s="2" t="s">
        <v>44</v>
      </c>
      <c r="E319" s="99" t="s">
        <v>297</v>
      </c>
      <c r="I319"/>
    </row>
    <row r="320" spans="1:9" ht="15.75" thickBot="1" x14ac:dyDescent="0.3">
      <c r="A320" s="32" t="s">
        <v>306</v>
      </c>
      <c r="B320" s="1">
        <f>(Qgd+(Qgs/2))*((B311+Rgate)/B318)</f>
        <v>2.2767857142857146E-8</v>
      </c>
      <c r="C320" s="32" t="s">
        <v>44</v>
      </c>
      <c r="E320" s="100" t="s">
        <v>298</v>
      </c>
      <c r="I320"/>
    </row>
    <row r="321" spans="9:9" x14ac:dyDescent="0.25">
      <c r="I321"/>
    </row>
  </sheetData>
  <mergeCells count="2">
    <mergeCell ref="A1:J1"/>
    <mergeCell ref="E5:H5"/>
  </mergeCells>
  <pageMargins left="0.7" right="0.7" top="0.75" bottom="0.75" header="0.3" footer="0.3"/>
  <pageSetup orientation="portrait" r:id="rId1"/>
  <ignoredErrors>
    <ignoredError sqref="B251 B253" formula="1"/>
  </ignoredErrors>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600075</xdr:colOff>
                <xdr:row>107</xdr:row>
                <xdr:rowOff>152400</xdr:rowOff>
              </from>
              <to>
                <xdr:col>11</xdr:col>
                <xdr:colOff>209550</xdr:colOff>
                <xdr:row>109</xdr:row>
                <xdr:rowOff>180975</xdr:rowOff>
              </to>
            </anchor>
          </objectPr>
        </oleObject>
      </mc:Choice>
      <mc:Fallback>
        <oleObject progId="Mathcad" shapeId="205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P708"/>
  <sheetViews>
    <sheetView zoomScaleNormal="100" workbookViewId="0">
      <selection activeCell="B71" sqref="B71"/>
    </sheetView>
  </sheetViews>
  <sheetFormatPr defaultRowHeight="15" x14ac:dyDescent="0.25"/>
  <cols>
    <col min="1" max="1" width="18.7109375" customWidth="1"/>
    <col min="2" max="2" width="25" customWidth="1"/>
    <col min="8" max="9" width="8.7109375" style="32"/>
    <col min="10" max="10" width="12.7109375" style="32" bestFit="1" customWidth="1"/>
    <col min="14" max="14" width="17.85546875" customWidth="1"/>
    <col min="15" max="15" width="16.5703125" style="51" bestFit="1" customWidth="1"/>
    <col min="16" max="16" width="16.5703125" customWidth="1"/>
    <col min="29" max="31" width="9.140625" style="32"/>
    <col min="32" max="32" width="8.7109375" style="32"/>
    <col min="35" max="40" width="8.7109375" style="32"/>
    <col min="41" max="41" width="11.28515625" style="32" bestFit="1" customWidth="1"/>
    <col min="42" max="43" width="8.7109375" style="32"/>
    <col min="44" max="44" width="13.28515625" style="32" bestFit="1" customWidth="1"/>
    <col min="45" max="47" width="8.7109375" style="32"/>
    <col min="49" max="49" width="10.28515625" customWidth="1"/>
    <col min="50" max="50" width="12" bestFit="1" customWidth="1"/>
    <col min="58" max="58" width="8.7109375" style="32"/>
    <col min="61" max="61" width="8.7109375" style="32"/>
  </cols>
  <sheetData>
    <row r="1" spans="1:68" s="32" customFormat="1" ht="27.75" x14ac:dyDescent="0.4">
      <c r="A1" s="357" t="s">
        <v>9</v>
      </c>
      <c r="B1" s="357"/>
      <c r="C1" s="357"/>
      <c r="D1" s="357"/>
      <c r="E1" s="357"/>
      <c r="F1" s="357"/>
      <c r="G1" s="357"/>
      <c r="H1" s="357"/>
      <c r="I1" s="357"/>
      <c r="J1" s="357"/>
      <c r="K1" s="357"/>
      <c r="L1" s="357"/>
      <c r="M1" s="357"/>
      <c r="N1" s="357" t="s">
        <v>169</v>
      </c>
      <c r="O1" s="357"/>
      <c r="P1" s="357"/>
      <c r="Q1" s="357"/>
      <c r="R1" s="357"/>
      <c r="S1" s="357"/>
      <c r="T1" s="357"/>
      <c r="U1" s="357"/>
      <c r="V1" s="357"/>
      <c r="W1" s="357"/>
      <c r="X1" s="357"/>
    </row>
    <row r="2" spans="1:68" s="32" customFormat="1" x14ac:dyDescent="0.25">
      <c r="A2" s="12"/>
      <c r="B2" s="12" t="s">
        <v>10</v>
      </c>
      <c r="C2" s="13"/>
      <c r="D2" s="18"/>
      <c r="E2" s="12"/>
      <c r="F2" s="12"/>
      <c r="G2" s="12"/>
      <c r="H2" s="12"/>
      <c r="I2" s="12"/>
      <c r="J2" s="12"/>
      <c r="K2" s="12"/>
      <c r="L2" s="12"/>
      <c r="M2" s="12"/>
    </row>
    <row r="3" spans="1:68" s="32" customFormat="1" ht="15.75" thickBot="1" x14ac:dyDescent="0.3">
      <c r="A3" s="12"/>
      <c r="B3" s="12" t="s">
        <v>11</v>
      </c>
      <c r="C3" s="14"/>
      <c r="D3" s="18"/>
      <c r="E3" s="12"/>
      <c r="F3" s="24"/>
      <c r="G3" s="25"/>
      <c r="H3" s="25"/>
      <c r="I3" s="25"/>
      <c r="J3" s="25"/>
      <c r="K3" s="39"/>
      <c r="L3" s="12"/>
      <c r="M3" s="12"/>
      <c r="O3" s="32" t="s">
        <v>411</v>
      </c>
    </row>
    <row r="4" spans="1:68" s="32" customFormat="1" ht="15.75" thickBot="1" x14ac:dyDescent="0.3">
      <c r="A4" s="12"/>
      <c r="B4" s="12" t="s">
        <v>12</v>
      </c>
      <c r="C4" s="15"/>
      <c r="D4" s="18"/>
      <c r="E4" s="12"/>
      <c r="F4" s="24"/>
      <c r="G4" s="25"/>
      <c r="H4" s="25"/>
      <c r="I4" s="25"/>
      <c r="J4" s="25"/>
      <c r="K4" s="39"/>
      <c r="L4" s="12"/>
      <c r="M4" s="12"/>
      <c r="N4" s="196"/>
      <c r="O4" s="88"/>
      <c r="P4" s="363" t="s">
        <v>386</v>
      </c>
      <c r="Q4" s="363"/>
      <c r="R4" s="363"/>
      <c r="S4" s="363"/>
      <c r="T4" s="363"/>
      <c r="U4" s="363"/>
      <c r="V4" s="363"/>
      <c r="W4" s="363"/>
      <c r="X4" s="363"/>
      <c r="Y4" s="363"/>
      <c r="Z4" s="363"/>
      <c r="AA4" s="363"/>
      <c r="AB4" s="363"/>
      <c r="AC4" s="363"/>
      <c r="AD4" s="363"/>
      <c r="AE4" s="363"/>
      <c r="AF4" s="363"/>
      <c r="AG4" s="363"/>
      <c r="AH4" s="364"/>
      <c r="AI4" s="367" t="s">
        <v>467</v>
      </c>
      <c r="AJ4" s="363"/>
      <c r="AK4" s="363"/>
      <c r="AL4" s="363"/>
      <c r="AM4" s="363"/>
      <c r="AN4" s="363"/>
      <c r="AO4" s="363"/>
      <c r="AP4" s="363"/>
      <c r="AQ4" s="363"/>
      <c r="AR4" s="363"/>
      <c r="AS4" s="363"/>
      <c r="AT4" s="363"/>
      <c r="AU4" s="364"/>
      <c r="AV4" s="367" t="s">
        <v>200</v>
      </c>
      <c r="AW4" s="363"/>
      <c r="AX4" s="363"/>
      <c r="AY4" s="363"/>
      <c r="AZ4" s="363"/>
      <c r="BA4" s="363"/>
      <c r="BB4" s="363"/>
      <c r="BC4" s="363"/>
      <c r="BD4" s="363"/>
      <c r="BE4" s="363"/>
      <c r="BF4" s="363"/>
      <c r="BG4" s="363"/>
      <c r="BH4" s="364"/>
      <c r="BI4" s="367" t="s">
        <v>414</v>
      </c>
      <c r="BJ4" s="363"/>
      <c r="BK4" s="364"/>
      <c r="BL4" s="367" t="s">
        <v>415</v>
      </c>
      <c r="BM4" s="363"/>
      <c r="BN4" s="364"/>
      <c r="BO4" s="371" t="s">
        <v>416</v>
      </c>
      <c r="BP4" s="372"/>
    </row>
    <row r="5" spans="1:68" s="32" customFormat="1" ht="15.75" thickBot="1" x14ac:dyDescent="0.3">
      <c r="A5" s="12"/>
      <c r="D5" s="18"/>
      <c r="E5" s="12"/>
      <c r="F5" s="12"/>
      <c r="G5" s="12"/>
      <c r="H5" s="12"/>
      <c r="I5" s="12"/>
      <c r="J5" s="12"/>
      <c r="K5" s="12"/>
      <c r="L5" s="12"/>
      <c r="M5" s="12"/>
      <c r="N5" s="197"/>
      <c r="O5" s="61"/>
      <c r="P5" s="50"/>
      <c r="Q5" s="362" t="s">
        <v>192</v>
      </c>
      <c r="R5" s="362"/>
      <c r="S5" s="362"/>
      <c r="T5" s="360" t="s">
        <v>194</v>
      </c>
      <c r="U5" s="360"/>
      <c r="V5" s="360"/>
      <c r="W5" s="360" t="s">
        <v>194</v>
      </c>
      <c r="X5" s="360"/>
      <c r="Y5" s="360"/>
      <c r="Z5" s="360" t="s">
        <v>197</v>
      </c>
      <c r="AA5" s="360"/>
      <c r="AB5" s="360"/>
      <c r="AC5" s="373" t="s">
        <v>775</v>
      </c>
      <c r="AD5" s="373"/>
      <c r="AE5" s="374"/>
      <c r="AF5" s="359" t="s">
        <v>199</v>
      </c>
      <c r="AG5" s="360"/>
      <c r="AH5" s="361"/>
      <c r="AI5" s="169"/>
      <c r="AJ5" s="362" t="s">
        <v>192</v>
      </c>
      <c r="AK5" s="362"/>
      <c r="AL5" s="362"/>
      <c r="AM5" s="368" t="s">
        <v>194</v>
      </c>
      <c r="AN5" s="368"/>
      <c r="AO5" s="368"/>
      <c r="AP5" s="360" t="s">
        <v>231</v>
      </c>
      <c r="AQ5" s="360"/>
      <c r="AR5" s="360"/>
      <c r="AS5" s="369" t="s">
        <v>199</v>
      </c>
      <c r="AT5" s="368"/>
      <c r="AU5" s="370"/>
      <c r="AV5" s="50"/>
      <c r="AW5" s="360" t="s">
        <v>206</v>
      </c>
      <c r="AX5" s="360"/>
      <c r="AY5" s="360"/>
      <c r="AZ5" s="360" t="s">
        <v>207</v>
      </c>
      <c r="BA5" s="360"/>
      <c r="BB5" s="360"/>
      <c r="BC5" s="360" t="s">
        <v>201</v>
      </c>
      <c r="BD5" s="360"/>
      <c r="BE5" s="360"/>
      <c r="BF5" s="359" t="s">
        <v>199</v>
      </c>
      <c r="BG5" s="360"/>
      <c r="BH5" s="361"/>
      <c r="BI5" s="359" t="s">
        <v>199</v>
      </c>
      <c r="BJ5" s="360"/>
      <c r="BK5" s="361"/>
      <c r="BL5" s="359" t="s">
        <v>199</v>
      </c>
      <c r="BM5" s="360"/>
      <c r="BN5" s="361"/>
      <c r="BO5" s="359" t="s">
        <v>199</v>
      </c>
      <c r="BP5" s="361"/>
    </row>
    <row r="6" spans="1:68" s="32" customFormat="1" ht="15.75" thickBot="1" x14ac:dyDescent="0.3">
      <c r="A6" s="11" t="s">
        <v>13</v>
      </c>
      <c r="B6" s="11" t="s">
        <v>14</v>
      </c>
      <c r="C6" s="11" t="s">
        <v>15</v>
      </c>
      <c r="D6" s="18"/>
      <c r="E6" s="358" t="s">
        <v>16</v>
      </c>
      <c r="F6" s="358"/>
      <c r="G6" s="358"/>
      <c r="H6" s="358"/>
      <c r="I6" s="358"/>
      <c r="J6" s="358"/>
      <c r="K6" s="358"/>
      <c r="L6" s="36"/>
      <c r="M6" s="26"/>
      <c r="N6" s="197"/>
      <c r="O6" s="61"/>
      <c r="P6" s="86" t="s">
        <v>175</v>
      </c>
      <c r="Q6" s="83" t="s">
        <v>198</v>
      </c>
      <c r="R6" s="85" t="s">
        <v>195</v>
      </c>
      <c r="S6" s="85" t="s">
        <v>196</v>
      </c>
      <c r="T6" s="85" t="s">
        <v>198</v>
      </c>
      <c r="U6" s="85" t="s">
        <v>195</v>
      </c>
      <c r="V6" s="85" t="s">
        <v>196</v>
      </c>
      <c r="W6" s="200" t="s">
        <v>198</v>
      </c>
      <c r="X6" s="85" t="s">
        <v>195</v>
      </c>
      <c r="Y6" s="85" t="s">
        <v>196</v>
      </c>
      <c r="Z6" s="200" t="s">
        <v>198</v>
      </c>
      <c r="AA6" s="200" t="s">
        <v>195</v>
      </c>
      <c r="AB6" s="200" t="s">
        <v>196</v>
      </c>
      <c r="AC6" s="57" t="s">
        <v>198</v>
      </c>
      <c r="AD6" s="57" t="s">
        <v>195</v>
      </c>
      <c r="AE6" s="57" t="s">
        <v>196</v>
      </c>
      <c r="AF6" s="201" t="s">
        <v>210</v>
      </c>
      <c r="AG6" s="200" t="s">
        <v>195</v>
      </c>
      <c r="AH6" s="202" t="s">
        <v>196</v>
      </c>
      <c r="AI6" s="203" t="s">
        <v>175</v>
      </c>
      <c r="AJ6" s="204" t="s">
        <v>198</v>
      </c>
      <c r="AK6" s="204" t="s">
        <v>209</v>
      </c>
      <c r="AL6" s="204" t="s">
        <v>196</v>
      </c>
      <c r="AM6" s="204" t="s">
        <v>198</v>
      </c>
      <c r="AN6" s="204" t="s">
        <v>209</v>
      </c>
      <c r="AO6" s="204" t="s">
        <v>196</v>
      </c>
      <c r="AP6" s="204" t="s">
        <v>198</v>
      </c>
      <c r="AQ6" s="204" t="s">
        <v>209</v>
      </c>
      <c r="AR6" s="204" t="s">
        <v>196</v>
      </c>
      <c r="AS6" s="201" t="s">
        <v>210</v>
      </c>
      <c r="AT6" s="200" t="s">
        <v>195</v>
      </c>
      <c r="AU6" s="202" t="s">
        <v>196</v>
      </c>
      <c r="AV6" s="86" t="s">
        <v>208</v>
      </c>
      <c r="AW6" s="200" t="s">
        <v>198</v>
      </c>
      <c r="AX6" s="200" t="s">
        <v>209</v>
      </c>
      <c r="AY6" s="200" t="s">
        <v>196</v>
      </c>
      <c r="AZ6" s="200" t="s">
        <v>198</v>
      </c>
      <c r="BA6" s="200" t="s">
        <v>209</v>
      </c>
      <c r="BB6" s="200" t="s">
        <v>196</v>
      </c>
      <c r="BC6" s="200" t="s">
        <v>198</v>
      </c>
      <c r="BD6" s="200" t="s">
        <v>209</v>
      </c>
      <c r="BE6" s="200" t="s">
        <v>196</v>
      </c>
      <c r="BF6" s="201" t="s">
        <v>210</v>
      </c>
      <c r="BG6" s="200" t="s">
        <v>195</v>
      </c>
      <c r="BH6" s="202" t="s">
        <v>196</v>
      </c>
      <c r="BI6" s="201" t="s">
        <v>210</v>
      </c>
      <c r="BJ6" s="200" t="s">
        <v>195</v>
      </c>
      <c r="BK6" s="202" t="s">
        <v>196</v>
      </c>
      <c r="BL6" s="201" t="s">
        <v>210</v>
      </c>
      <c r="BM6" s="200" t="s">
        <v>195</v>
      </c>
      <c r="BN6" s="202" t="s">
        <v>196</v>
      </c>
      <c r="BO6" s="201" t="s">
        <v>195</v>
      </c>
      <c r="BP6" s="202" t="s">
        <v>196</v>
      </c>
    </row>
    <row r="7" spans="1:68" s="32" customFormat="1" ht="15.75" thickBot="1" x14ac:dyDescent="0.3">
      <c r="A7" s="11"/>
      <c r="B7" s="11"/>
      <c r="C7" s="11"/>
      <c r="D7" s="18"/>
      <c r="E7" s="46"/>
      <c r="F7" s="46"/>
      <c r="G7" s="46"/>
      <c r="H7" s="46"/>
      <c r="I7" s="46"/>
      <c r="J7" s="46"/>
      <c r="K7" s="46"/>
      <c r="L7" s="46"/>
      <c r="M7" s="26"/>
      <c r="N7" s="197" t="s">
        <v>336</v>
      </c>
      <c r="O7" s="88">
        <f>fcross</f>
        <v>1600</v>
      </c>
      <c r="P7" s="84" t="str">
        <f>COMPLEX(ADC_VINmin,0)</f>
        <v>51.2462147682274</v>
      </c>
      <c r="Q7" s="85" t="str">
        <f>IMSUM(COMPLEX(1,0),IMDIV(COMPLEX(0,2*PI()*O7),COMPLEX(wp_lf_VINmin,0)))</f>
        <v>1+8.69371551936792i</v>
      </c>
      <c r="R7" s="85">
        <f t="shared" ref="R7:R13" si="0">IMABS(Q7)</f>
        <v>8.7510393400840467</v>
      </c>
      <c r="S7" s="85">
        <f t="shared" ref="S7:S13" si="1">IMARGUMENT(Q7)</f>
        <v>1.4562740165145265</v>
      </c>
      <c r="T7" s="85" t="str">
        <f>IMSUM(COMPLEX(1,0),IMDIV(COMPLEX(0,2*PI()*O7),COMPLEX(wz_esr_VINmin,0)))</f>
        <v>1+0.00904778684233858i</v>
      </c>
      <c r="U7" s="85">
        <f t="shared" ref="U7:U13" si="2">IMABS(T7)</f>
        <v>1.0000409303857241</v>
      </c>
      <c r="V7" s="85">
        <f t="shared" ref="V7:V13" si="3">IMARGUMENT(T7)</f>
        <v>9.0475399631417021E-3</v>
      </c>
      <c r="W7" s="83" t="str">
        <f>IMSUB(COMPLEX(1,0),IMDIV(COMPLEX(0,2*PI()*O7),COMPLEX(wz_RHP_VINmin,0)))</f>
        <v>1-0.202737445911661i</v>
      </c>
      <c r="X7" s="85">
        <f t="shared" ref="X7:X13" si="4">IMABS(W7)</f>
        <v>1.0203442909012543</v>
      </c>
      <c r="Y7" s="85">
        <f t="shared" ref="Y7:Y13" si="5">IMARGUMENT(W7)</f>
        <v>-0.20002632838748341</v>
      </c>
      <c r="Z7" s="83" t="str">
        <f>IMSUM(COMPLEX(1,0),IMDIV(COMPLEX(0,2*PI()*O7),COMPLEX(Q_VINmin*(wsl_VINmin/2),0)),IMDIV(IMPOWER(COMPLEX(0,2*PI()*O7),2),IMPOWER(COMPLEX(wsl_VINmin/2,0),2)))</f>
        <v>0.999936+0.0160514440647414i</v>
      </c>
      <c r="AA7" s="85">
        <f t="shared" ref="AA7:AA13" si="6">IMABS(Z7)</f>
        <v>1.000064824375182</v>
      </c>
      <c r="AB7" s="85">
        <f t="shared" ref="AB7:AB13" si="7">IMARGUMENT(Z7)</f>
        <v>1.6051092825932076E-2</v>
      </c>
      <c r="AC7" s="83" t="str">
        <f>IMDIV(IMSUM(COMPLEX(0,2*PI()*O7*Constants!$B$71*Constants!$B$72),COMPLEX(1,0)),IMSUM(COMPLEX(0,2*PI()*O7*Constants!$B$71*Constants!$B$72),COMPLEX(2,0)))</f>
        <v>0.500202047818486+0.0100490340790571i</v>
      </c>
      <c r="AD7" s="85">
        <f>IMABS(AC7)</f>
        <v>0.50030297993089046</v>
      </c>
      <c r="AE7" s="339">
        <f>IMARGUMENT(AC7)</f>
        <v>2.0087247742659475E-2</v>
      </c>
      <c r="AF7" s="86" t="str">
        <f>(IMDIV(IMPRODUCT(P7,T7,W7,AC7),IMPRODUCT(Q7,Z7)))</f>
        <v>-0.216297936529217-2.98147888785106i</v>
      </c>
      <c r="AG7" s="87">
        <f t="shared" ref="AG7:AG13" si="8">20*LOG(IMABS(AF7))</f>
        <v>9.5114321629213237</v>
      </c>
      <c r="AH7" s="88">
        <f t="shared" ref="AH7:AH13" si="9">(180/PI())*IMARGUMENT(AF7)</f>
        <v>-94.149378871894356</v>
      </c>
      <c r="AI7" s="71" t="str">
        <f t="shared" ref="AI7:AI13" si="10">COMPLEX($B$72,0)</f>
        <v>108.866083054159</v>
      </c>
      <c r="AJ7" s="74" t="str">
        <f t="shared" ref="AJ7:AJ13" si="11">IMSUM(COMPLEX(1,0),IMDIV(COMPLEX(0,2*PI()*O7),COMPLEX(wp_lf_DCM,0)))</f>
        <v>1+8.22526076576235i</v>
      </c>
      <c r="AK7" s="74">
        <f>IMABS(AJ7)</f>
        <v>8.2858261304947387</v>
      </c>
      <c r="AL7" s="74">
        <f>IMARGUMENT(AJ7)</f>
        <v>1.4498133813117604</v>
      </c>
      <c r="AM7" s="74" t="str">
        <f t="shared" ref="AM7:AM13" si="12">IMSUM(COMPLEX(1,0),IMDIV(COMPLEX(0,2*PI()*O7),COMPLEX(wz1_dcm,0)))</f>
        <v>1+0.00904778684233858i</v>
      </c>
      <c r="AN7" s="74">
        <f>IMABS(AM7)</f>
        <v>1.0000409303857241</v>
      </c>
      <c r="AO7" s="74">
        <f>IMARGUMENT(AM7)</f>
        <v>9.0475399631417021E-3</v>
      </c>
      <c r="AP7" s="74" t="str">
        <f t="shared" ref="AP7:AP13" si="13">IMSUB(COMPLEX(1,0),IMDIV(COMPLEX(0,2*PI()*O7),COMPLEX(wz2_dcm,0)))</f>
        <v>1-0.0451457540216974i</v>
      </c>
      <c r="AQ7" s="74">
        <f>IMABS(AP7)</f>
        <v>1.001018550830197</v>
      </c>
      <c r="AR7" s="74">
        <f>IMARGUMENT(AP7)</f>
        <v>-4.5115120365455591E-2</v>
      </c>
      <c r="AS7" s="71" t="str">
        <f>(IMDIV(IMPRODUCT(AI7,AM7,AP7),IMPRODUCT(AJ7)))</f>
        <v>1.11552913271334-13.1053623014064i</v>
      </c>
      <c r="AT7" s="74">
        <f>20*LOG(IMABS(AS7))</f>
        <v>22.380333660565206</v>
      </c>
      <c r="AU7" s="76">
        <f>(180/PI())*IMARGUMENT(AS7)</f>
        <v>-85.13470796505635</v>
      </c>
      <c r="AV7" s="56" t="str">
        <f t="shared" ref="AV7:AV13" si="14">COMPLEX(Adc_ea,0)</f>
        <v>-0.0000333333333333333</v>
      </c>
      <c r="AW7" s="56" t="str">
        <f t="shared" ref="AW7:AW13" si="15">COMPLEX(0,2*PI()*O7*wp0_ea)</f>
        <v>0.000482548631591392i</v>
      </c>
      <c r="AX7" s="56">
        <f t="shared" ref="AX7:AX13" si="16">IMABS(AW7)</f>
        <v>4.8254863159139199E-4</v>
      </c>
      <c r="AY7" s="56">
        <f t="shared" ref="AY7:AY13" si="17">IMARGUMENT(AW7)</f>
        <v>1.5707963267948966</v>
      </c>
      <c r="AZ7" s="56" t="str">
        <f t="shared" ref="AZ7:AZ13" si="18">IMSUM(COMPLEX(1,0),IMDIV(COMPLEX(0,2*PI()*O7),COMPLEX(wp1_ea,0)))</f>
        <v>1+0.19687313962496i</v>
      </c>
      <c r="BA7" s="56">
        <f t="shared" ref="BA7:BA13" si="19">IMABS(AZ7)</f>
        <v>1.0191952870307972</v>
      </c>
      <c r="BB7" s="56">
        <f t="shared" ref="BB7:BB13" si="20">IMARGUMENT(AZ7)</f>
        <v>0.19438716339891765</v>
      </c>
      <c r="BC7" s="56" t="str">
        <f t="shared" ref="BC7:BC13" si="21">IMSUM(COMPLEX(1,0),IMDIV(COMPLEX(0,2*PI()*O7),COMPLEX(wz_ea,0)))</f>
        <v>1+9.44991070199809i</v>
      </c>
      <c r="BD7" s="56">
        <f t="shared" ref="BD7:BD13" si="22">IMABS(BC7)</f>
        <v>9.5026739539846385</v>
      </c>
      <c r="BE7" s="56">
        <f t="shared" ref="BE7:BE13" si="23">IMARGUMENT(BC7)</f>
        <v>1.4653675867864666</v>
      </c>
      <c r="BF7" s="62" t="str">
        <f t="shared" ref="BF7:BF13" si="24">IMPRODUCT(AV7,IMDIV(BC7,IMPRODUCT(AW7,AZ7)))</f>
        <v>-0.615328695462373+0.190219358449532i</v>
      </c>
      <c r="BG7" s="56">
        <f t="shared" ref="BG7:BG13" si="25">20*LOG(IMABS(BF7))</f>
        <v>-3.8214784277011105</v>
      </c>
      <c r="BH7" s="63">
        <f t="shared" ref="BH7:BH13" si="26">(180/PI())*IMARGUMENT(BF7)</f>
        <v>162.82181410385706</v>
      </c>
      <c r="BI7" s="62" t="str">
        <f t="shared" ref="BI7:BI13" si="27">IMPRODUCT(AF7,BF7)</f>
        <v>0.700229328393579+1.79344545988945i</v>
      </c>
      <c r="BJ7" s="65">
        <f t="shared" ref="BJ7:BJ13" si="28">20*LOG(IMABS(BI7))</f>
        <v>5.6899537352201968</v>
      </c>
      <c r="BK7" s="63">
        <f t="shared" ref="BK7:BK13" si="29">(180/PI())*IMARGUMENT(BI7)</f>
        <v>68.672435231962666</v>
      </c>
      <c r="BL7" s="62" t="str">
        <f>IMPRODUCT(AS7,BF7)</f>
        <v>1.80647652323944+8.27630072444266i</v>
      </c>
      <c r="BM7" s="65">
        <f t="shared" ref="BM7:BM13" si="30">20*LOG(IMABS(BL7))</f>
        <v>18.558855232864101</v>
      </c>
      <c r="BN7" s="63">
        <f t="shared" ref="BN7:BN13" si="31">(180/PI())*IMARGUMENT(BL7)</f>
        <v>77.687106138800686</v>
      </c>
      <c r="BO7" s="59">
        <f>IF($B$31=0,BM7,BJ7)</f>
        <v>5.6899537352201968</v>
      </c>
      <c r="BP7" s="61">
        <f>IF($B$31=0,BN7,BK7)</f>
        <v>68.672435231962666</v>
      </c>
    </row>
    <row r="8" spans="1:68" s="32" customFormat="1" ht="15.75" thickBot="1" x14ac:dyDescent="0.3">
      <c r="A8" s="11"/>
      <c r="B8" s="11"/>
      <c r="C8" s="11"/>
      <c r="D8" s="18"/>
      <c r="E8" s="101"/>
      <c r="F8" s="101"/>
      <c r="G8" s="101"/>
      <c r="H8" s="101"/>
      <c r="I8" s="101"/>
      <c r="J8" s="101"/>
      <c r="K8" s="101"/>
      <c r="L8" s="101"/>
      <c r="M8" s="26"/>
      <c r="N8" s="196" t="s">
        <v>468</v>
      </c>
      <c r="O8" s="88">
        <f>fcross</f>
        <v>1600</v>
      </c>
      <c r="P8" s="84" t="str">
        <f t="shared" ref="P8:P13" si="32">COMPLEX(Adc,0)</f>
        <v>25.6231073841137</v>
      </c>
      <c r="Q8" s="85" t="str">
        <f t="shared" ref="Q8:Q13" si="33">IMSUM(COMPLEX(1,0),IMDIV(COMPLEX(0,2*PI()*O8),COMPLEX(wp_lf,0)))</f>
        <v>1+8.69371551936792i</v>
      </c>
      <c r="R8" s="85">
        <f t="shared" si="0"/>
        <v>8.7510393400840467</v>
      </c>
      <c r="S8" s="85">
        <f t="shared" si="1"/>
        <v>1.4562740165145265</v>
      </c>
      <c r="T8" s="85" t="str">
        <f t="shared" ref="T8:T13" si="34">IMSUM(COMPLEX(1,0),IMDIV(COMPLEX(0,2*PI()*O8),COMPLEX(wz_esr,0)))</f>
        <v>1+0.00904778684233858i</v>
      </c>
      <c r="U8" s="85">
        <f t="shared" si="2"/>
        <v>1.0000409303857241</v>
      </c>
      <c r="V8" s="85">
        <f t="shared" si="3"/>
        <v>9.0475399631417021E-3</v>
      </c>
      <c r="W8" s="83" t="str">
        <f t="shared" ref="W8:W13" si="35">IMSUB(COMPLEX(1,0),IMDIV(COMPLEX(0,2*PI()*O8),COMPLEX(wz_rhp,0)))</f>
        <v>1-0.202737445911661i</v>
      </c>
      <c r="X8" s="85">
        <f t="shared" si="4"/>
        <v>1.0203442909012543</v>
      </c>
      <c r="Y8" s="85">
        <f t="shared" si="5"/>
        <v>-0.20002632838748341</v>
      </c>
      <c r="Z8" s="83" t="str">
        <f t="shared" ref="Z8:Z13" si="36">IMSUM(COMPLEX(1,0),IMDIV(COMPLEX(0,2*PI()*O8),COMPLEX(Q*(wsl/2),0)),IMDIV(IMPOWER(COMPLEX(0,2*PI()*O8),2),IMPOWER(COMPLEX(wsl/2,0),2)))</f>
        <v>0.999936+0.0160514440647414i</v>
      </c>
      <c r="AA8" s="85">
        <f t="shared" si="6"/>
        <v>1.000064824375182</v>
      </c>
      <c r="AB8" s="85">
        <f t="shared" si="7"/>
        <v>1.6051092825932076E-2</v>
      </c>
      <c r="AC8" s="83" t="str">
        <f>IMDIV(IMSUM(COMPLEX(0,2*PI()*O8*Constants!$B$71*Constants!$B$72),COMPLEX(1,0)),IMSUM(COMPLEX(0,2*PI()*O8*Constants!$B$71*Constants!$B$72),COMPLEX(2,0)))</f>
        <v>0.500202047818486+0.0100490340790571i</v>
      </c>
      <c r="AD8" s="85">
        <f t="shared" ref="AD8:AD13" si="37">IMABS(AC8)</f>
        <v>0.50030297993089046</v>
      </c>
      <c r="AE8" s="339">
        <f t="shared" ref="AE8:AE13" si="38">IMARGUMENT(AC8)</f>
        <v>2.0087247742659475E-2</v>
      </c>
      <c r="AF8" s="86" t="str">
        <f t="shared" ref="AF8:AF13" si="39">(IMDIV(IMPRODUCT(P8,T8,W8,AC8),IMPRODUCT(Q8,Z8)))</f>
        <v>-0.108148968264608-1.49073944392553i</v>
      </c>
      <c r="AG8" s="87">
        <f t="shared" si="8"/>
        <v>3.4908322496416986</v>
      </c>
      <c r="AH8" s="88">
        <f t="shared" si="9"/>
        <v>-94.149378871894328</v>
      </c>
      <c r="AI8" s="59" t="str">
        <f t="shared" si="10"/>
        <v>108.866083054159</v>
      </c>
      <c r="AJ8" s="50" t="str">
        <f t="shared" si="11"/>
        <v>1+8.22526076576235i</v>
      </c>
      <c r="AK8" s="50">
        <f t="shared" ref="AK8:AK13" si="40">IMABS(AJ8)</f>
        <v>8.2858261304947387</v>
      </c>
      <c r="AL8" s="50">
        <f t="shared" ref="AL8:AL13" si="41">IMARGUMENT(AJ8)</f>
        <v>1.4498133813117604</v>
      </c>
      <c r="AM8" s="50" t="str">
        <f t="shared" si="12"/>
        <v>1+0.00904778684233858i</v>
      </c>
      <c r="AN8" s="50">
        <f t="shared" ref="AN8:AN13" si="42">IMABS(AM8)</f>
        <v>1.0000409303857241</v>
      </c>
      <c r="AO8" s="50">
        <f t="shared" ref="AO8:AO13" si="43">IMARGUMENT(AM8)</f>
        <v>9.0475399631417021E-3</v>
      </c>
      <c r="AP8" s="50" t="str">
        <f t="shared" si="13"/>
        <v>1-0.0451457540216974i</v>
      </c>
      <c r="AQ8" s="50">
        <f t="shared" ref="AQ8:AQ13" si="44">IMABS(AP8)</f>
        <v>1.001018550830197</v>
      </c>
      <c r="AR8" s="50">
        <f t="shared" ref="AR8:AR13" si="45">IMARGUMENT(AP8)</f>
        <v>-4.5115120365455591E-2</v>
      </c>
      <c r="AS8" s="59" t="str">
        <f t="shared" ref="AS8:AS13" si="46">(IMDIV(IMPRODUCT(AI8,AM8,AP8),IMPRODUCT(AJ8)))</f>
        <v>1.11552913271334-13.1053623014064i</v>
      </c>
      <c r="AT8" s="50">
        <f t="shared" ref="AT8:AT13" si="47">20*LOG(IMABS(AS8))</f>
        <v>22.380333660565206</v>
      </c>
      <c r="AU8" s="61">
        <f t="shared" ref="AU8:AU13" si="48">(180/PI())*IMARGUMENT(AS8)</f>
        <v>-85.13470796505635</v>
      </c>
      <c r="AV8" s="83" t="str">
        <f t="shared" si="14"/>
        <v>-0.0000333333333333333</v>
      </c>
      <c r="AW8" s="83" t="str">
        <f t="shared" si="15"/>
        <v>0.000482548631591392i</v>
      </c>
      <c r="AX8" s="83">
        <f t="shared" si="16"/>
        <v>4.8254863159139199E-4</v>
      </c>
      <c r="AY8" s="83">
        <f t="shared" si="17"/>
        <v>1.5707963267948966</v>
      </c>
      <c r="AZ8" s="83" t="str">
        <f t="shared" si="18"/>
        <v>1+0.19687313962496i</v>
      </c>
      <c r="BA8" s="83">
        <f t="shared" si="19"/>
        <v>1.0191952870307972</v>
      </c>
      <c r="BB8" s="83">
        <f t="shared" si="20"/>
        <v>0.19438716339891765</v>
      </c>
      <c r="BC8" s="83" t="str">
        <f t="shared" si="21"/>
        <v>1+9.44991070199809i</v>
      </c>
      <c r="BD8" s="83">
        <f t="shared" si="22"/>
        <v>9.5026739539846385</v>
      </c>
      <c r="BE8" s="83">
        <f t="shared" si="23"/>
        <v>1.4653675867864666</v>
      </c>
      <c r="BF8" s="82" t="str">
        <f t="shared" si="24"/>
        <v>-0.615328695462373+0.190219358449532i</v>
      </c>
      <c r="BG8" s="83">
        <f t="shared" si="25"/>
        <v>-3.8214784277011105</v>
      </c>
      <c r="BH8" s="88">
        <f t="shared" si="26"/>
        <v>162.82181410385706</v>
      </c>
      <c r="BI8" s="82" t="str">
        <f t="shared" si="27"/>
        <v>0.350114664196789+0.896722729944727i</v>
      </c>
      <c r="BJ8" s="87">
        <f t="shared" si="28"/>
        <v>-0.3306461780594121</v>
      </c>
      <c r="BK8" s="88">
        <f t="shared" si="29"/>
        <v>68.672435231962737</v>
      </c>
      <c r="BL8" s="82" t="str">
        <f t="shared" ref="BL8:BL13" si="49">IMPRODUCT(AS8,BF8)</f>
        <v>1.80647652323944+8.27630072444266i</v>
      </c>
      <c r="BM8" s="87">
        <f t="shared" si="30"/>
        <v>18.558855232864101</v>
      </c>
      <c r="BN8" s="88">
        <f t="shared" si="31"/>
        <v>77.687106138800686</v>
      </c>
      <c r="BO8" s="59">
        <f t="shared" ref="BO8:BO13" si="50">IF($B$31=0,BM8,BJ8)</f>
        <v>-0.3306461780594121</v>
      </c>
      <c r="BP8" s="61">
        <f t="shared" ref="BP8:BP13" si="51">IF($B$31=0,BN8,BK8)</f>
        <v>68.672435231962737</v>
      </c>
    </row>
    <row r="9" spans="1:68" s="32" customFormat="1" ht="15.75" thickBot="1" x14ac:dyDescent="0.3">
      <c r="A9" s="69" t="s">
        <v>149</v>
      </c>
      <c r="B9" s="11"/>
      <c r="C9" s="11"/>
      <c r="D9" s="18"/>
      <c r="E9" s="36"/>
      <c r="F9" s="36"/>
      <c r="G9" s="36"/>
      <c r="H9" s="46"/>
      <c r="I9" s="46"/>
      <c r="J9" s="46"/>
      <c r="K9" s="36"/>
      <c r="L9" s="36"/>
      <c r="M9" s="26"/>
      <c r="N9" s="198" t="s">
        <v>231</v>
      </c>
      <c r="O9" s="89">
        <f>IF($B$31=0,B78,wz_rhp/(2*PI()))</f>
        <v>7891.9806491848949</v>
      </c>
      <c r="P9" s="72" t="str">
        <f t="shared" si="32"/>
        <v>25.6231073841137</v>
      </c>
      <c r="Q9" s="73" t="str">
        <f t="shared" si="33"/>
        <v>1+42.8816466552314i</v>
      </c>
      <c r="R9" s="73">
        <f t="shared" si="0"/>
        <v>42.893305070420006</v>
      </c>
      <c r="S9" s="73">
        <f t="shared" si="1"/>
        <v>1.5474805527288771</v>
      </c>
      <c r="T9" s="73" t="str">
        <f t="shared" si="34"/>
        <v>1+0.0446280991735537i</v>
      </c>
      <c r="U9" s="73">
        <f t="shared" si="2"/>
        <v>1.0009953382687877</v>
      </c>
      <c r="V9" s="73">
        <f t="shared" si="3"/>
        <v>4.4598506421220985E-2</v>
      </c>
      <c r="W9" s="74" t="str">
        <f t="shared" si="35"/>
        <v>1-i</v>
      </c>
      <c r="X9" s="73">
        <f t="shared" si="4"/>
        <v>1.4142135623730951</v>
      </c>
      <c r="Y9" s="73">
        <f t="shared" si="5"/>
        <v>-0.78539816339744828</v>
      </c>
      <c r="Z9" s="74" t="str">
        <f t="shared" si="36"/>
        <v>0.998442916035822+0.0791735537190082i</v>
      </c>
      <c r="AA9" s="73">
        <f t="shared" si="6"/>
        <v>1.00157711045661</v>
      </c>
      <c r="AB9" s="73">
        <f t="shared" si="7"/>
        <v>7.9131443061311035E-2</v>
      </c>
      <c r="AC9" s="50" t="str">
        <f>IMDIV(IMSUM(COMPLEX(0,2*PI()*O9*Constants!$B$71*Constants!$B$72),COMPLEX(1,0)),IMSUM(COMPLEX(0,2*PI()*O9*Constants!$B$71*Constants!$B$72),COMPLEX(2,0)))</f>
        <v>0.504869800473453+0.0491038214406494i</v>
      </c>
      <c r="AD9" s="78">
        <f t="shared" si="37"/>
        <v>0.50725210764488637</v>
      </c>
      <c r="AE9" s="78">
        <f t="shared" si="38"/>
        <v>9.6955414001826515E-2</v>
      </c>
      <c r="AF9" s="340" t="str">
        <f t="shared" si="39"/>
        <v>-0.27579477725012-0.327661189833877i</v>
      </c>
      <c r="AG9" s="75">
        <f t="shared" si="8"/>
        <v>-7.3654238504372902</v>
      </c>
      <c r="AH9" s="76">
        <f t="shared" si="9"/>
        <v>-130.08756005035806</v>
      </c>
      <c r="AI9" s="59" t="str">
        <f t="shared" si="10"/>
        <v>108.866083054159</v>
      </c>
      <c r="AJ9" s="50" t="str">
        <f t="shared" si="11"/>
        <v>1+40.5709992486852i</v>
      </c>
      <c r="AK9" s="50">
        <f t="shared" si="40"/>
        <v>40.583321451512745</v>
      </c>
      <c r="AL9" s="50">
        <f t="shared" si="41"/>
        <v>1.5461531683344394</v>
      </c>
      <c r="AM9" s="50" t="str">
        <f t="shared" si="12"/>
        <v>1+0.0446280991735537i</v>
      </c>
      <c r="AN9" s="50">
        <f t="shared" si="42"/>
        <v>1.0009953382687877</v>
      </c>
      <c r="AO9" s="50">
        <f t="shared" si="43"/>
        <v>4.4598506421220985E-2</v>
      </c>
      <c r="AP9" s="50" t="str">
        <f t="shared" si="13"/>
        <v>1-0.222680885707561i</v>
      </c>
      <c r="AQ9" s="50">
        <f t="shared" si="44"/>
        <v>1.0244934245076949</v>
      </c>
      <c r="AR9" s="50">
        <f t="shared" si="45"/>
        <v>-0.21910598271860002</v>
      </c>
      <c r="AS9" s="59" t="str">
        <f t="shared" si="46"/>
        <v>-0.410731113733415-2.72013774014567i</v>
      </c>
      <c r="AT9" s="50">
        <f t="shared" si="47"/>
        <v>8.7897247949055544</v>
      </c>
      <c r="AU9" s="61">
        <f t="shared" si="48"/>
        <v>-98.586592911662805</v>
      </c>
      <c r="AV9" s="74" t="str">
        <f t="shared" si="14"/>
        <v>-0.0000333333333333333</v>
      </c>
      <c r="AW9" s="74" t="str">
        <f t="shared" si="15"/>
        <v>0.0023801652892562i</v>
      </c>
      <c r="AX9" s="74">
        <f t="shared" si="16"/>
        <v>2.3801652892562002E-3</v>
      </c>
      <c r="AY9" s="74">
        <f t="shared" si="17"/>
        <v>1.5707963267948966</v>
      </c>
      <c r="AZ9" s="74" t="str">
        <f t="shared" si="18"/>
        <v>1+0.971074380165289i</v>
      </c>
      <c r="BA9" s="74">
        <f t="shared" si="19"/>
        <v>1.3939101304651602</v>
      </c>
      <c r="BB9" s="74">
        <f t="shared" si="20"/>
        <v>0.77072416430966495</v>
      </c>
      <c r="BC9" s="74" t="str">
        <f t="shared" si="21"/>
        <v>1+46.611570247934i</v>
      </c>
      <c r="BD9" s="74">
        <f t="shared" si="22"/>
        <v>46.622295964249609</v>
      </c>
      <c r="BE9" s="74">
        <f t="shared" si="23"/>
        <v>1.5493457167049083</v>
      </c>
      <c r="BF9" s="71" t="str">
        <f t="shared" si="24"/>
        <v>-0.328967074943455+0.333456128025133i</v>
      </c>
      <c r="BG9" s="74">
        <f t="shared" si="25"/>
        <v>-6.5873897913424626</v>
      </c>
      <c r="BH9" s="76">
        <f t="shared" si="26"/>
        <v>134.61172879017175</v>
      </c>
      <c r="BI9" s="71" t="str">
        <f t="shared" si="27"/>
        <v>0.199988032822766+0.0158242846407636i</v>
      </c>
      <c r="BJ9" s="75">
        <f t="shared" si="28"/>
        <v>-13.952813641779771</v>
      </c>
      <c r="BK9" s="76">
        <f t="shared" si="29"/>
        <v>4.5241687398137023</v>
      </c>
      <c r="BL9" s="82" t="str">
        <f t="shared" si="49"/>
        <v>1.04216361159716+0.757874948974026i</v>
      </c>
      <c r="BM9" s="75">
        <f t="shared" si="30"/>
        <v>2.2023350035630935</v>
      </c>
      <c r="BN9" s="76">
        <f t="shared" si="31"/>
        <v>36.025135878508955</v>
      </c>
      <c r="BO9" s="59">
        <f t="shared" si="50"/>
        <v>-13.952813641779771</v>
      </c>
      <c r="BP9" s="61">
        <f t="shared" si="51"/>
        <v>4.5241687398137023</v>
      </c>
    </row>
    <row r="10" spans="1:68" s="32" customFormat="1" ht="15.75" thickBot="1" x14ac:dyDescent="0.3">
      <c r="A10" s="32" t="s">
        <v>19</v>
      </c>
      <c r="B10" s="3">
        <f>VIN_min</f>
        <v>9</v>
      </c>
      <c r="C10" s="32" t="s">
        <v>5</v>
      </c>
      <c r="E10" s="32" t="s">
        <v>22</v>
      </c>
      <c r="N10" s="197" t="s">
        <v>194</v>
      </c>
      <c r="O10" s="90">
        <f>IF(B31=0,B76,wz_esr/(2*PI()))</f>
        <v>176838.82565766151</v>
      </c>
      <c r="P10" s="77" t="str">
        <f t="shared" si="32"/>
        <v>25.6231073841137</v>
      </c>
      <c r="Q10" s="78" t="str">
        <f t="shared" si="33"/>
        <v>1+960.866526904259i</v>
      </c>
      <c r="R10" s="78">
        <f t="shared" si="0"/>
        <v>960.8670472677544</v>
      </c>
      <c r="S10" s="78">
        <f t="shared" si="1"/>
        <v>1.5697555998979109</v>
      </c>
      <c r="T10" s="78" t="str">
        <f t="shared" si="34"/>
        <v>1+i</v>
      </c>
      <c r="U10" s="78">
        <f t="shared" si="2"/>
        <v>1.4142135623730951</v>
      </c>
      <c r="V10" s="78">
        <f t="shared" si="3"/>
        <v>0.78539816339744828</v>
      </c>
      <c r="W10" s="50" t="str">
        <f t="shared" si="35"/>
        <v>1-22.4074074074074i</v>
      </c>
      <c r="X10" s="78">
        <f t="shared" si="4"/>
        <v>22.429710357504312</v>
      </c>
      <c r="Y10" s="78">
        <f t="shared" si="5"/>
        <v>-1.5261978203736757</v>
      </c>
      <c r="Z10" s="50" t="str">
        <f t="shared" si="36"/>
        <v>0.21820074350048+1.77407407407407i</v>
      </c>
      <c r="AA10" s="78">
        <f t="shared" si="6"/>
        <v>1.7874424143915604</v>
      </c>
      <c r="AB10" s="78">
        <f t="shared" si="7"/>
        <v>1.4484168021875179</v>
      </c>
      <c r="AC10" s="50" t="str">
        <f>IMDIV(IMSUM(COMPLEX(0,2*PI()*O10*Constants!$B$71*Constants!$B$72),COMPLEX(1,0)),IMSUM(COMPLEX(0,2*PI()*O10*Constants!$B$71*Constants!$B$72),COMPLEX(2,0)))</f>
        <v>0.915800415800416+0.187110187110187i</v>
      </c>
      <c r="AD10" s="78">
        <f t="shared" si="37"/>
        <v>0.93471954280448422</v>
      </c>
      <c r="AE10" s="78">
        <f t="shared" si="38"/>
        <v>0.20153948378514924</v>
      </c>
      <c r="AF10" s="341" t="str">
        <f t="shared" si="39"/>
        <v>-0.404642808994632+0.178687051495783i</v>
      </c>
      <c r="AG10" s="64">
        <f t="shared" si="8"/>
        <v>-7.0848715186294662</v>
      </c>
      <c r="AH10" s="61">
        <f t="shared" si="9"/>
        <v>156.17412753430062</v>
      </c>
      <c r="AI10" s="59" t="str">
        <f t="shared" si="10"/>
        <v>108.866083054159</v>
      </c>
      <c r="AJ10" s="50" t="str">
        <f t="shared" si="11"/>
        <v>1+909.09090909091i</v>
      </c>
      <c r="AK10" s="50">
        <f t="shared" si="40"/>
        <v>909.09145909074357</v>
      </c>
      <c r="AL10" s="50">
        <f t="shared" si="41"/>
        <v>1.5696963272385629</v>
      </c>
      <c r="AM10" s="50" t="str">
        <f t="shared" si="12"/>
        <v>1+i</v>
      </c>
      <c r="AN10" s="50">
        <f t="shared" si="42"/>
        <v>1.4142135623730951</v>
      </c>
      <c r="AO10" s="50">
        <f t="shared" si="43"/>
        <v>0.78539816339744828</v>
      </c>
      <c r="AP10" s="50" t="str">
        <f t="shared" si="13"/>
        <v>1-4.98970132789165i</v>
      </c>
      <c r="AQ10" s="50">
        <f t="shared" si="44"/>
        <v>5.0889212355433147</v>
      </c>
      <c r="AR10" s="50">
        <f t="shared" si="45"/>
        <v>-1.3730038781486511</v>
      </c>
      <c r="AS10" s="59" t="str">
        <f t="shared" si="46"/>
        <v>-0.476987883440655-0.717807541126829i</v>
      </c>
      <c r="AT10" s="50">
        <f t="shared" si="47"/>
        <v>-1.2914850634927308</v>
      </c>
      <c r="AU10" s="61">
        <f t="shared" si="48"/>
        <v>-123.60430214096786</v>
      </c>
      <c r="AV10" s="50" t="str">
        <f t="shared" si="14"/>
        <v>-0.0000333333333333333</v>
      </c>
      <c r="AW10" s="50" t="str">
        <f t="shared" si="15"/>
        <v>0.0533333333333333i</v>
      </c>
      <c r="AX10" s="50">
        <f t="shared" si="16"/>
        <v>5.3333333333333302E-2</v>
      </c>
      <c r="AY10" s="50">
        <f t="shared" si="17"/>
        <v>1.5707963267948966</v>
      </c>
      <c r="AZ10" s="50" t="str">
        <f t="shared" si="18"/>
        <v>1+21.7592592592593i</v>
      </c>
      <c r="BA10" s="50">
        <f t="shared" si="19"/>
        <v>21.78222586219465</v>
      </c>
      <c r="BB10" s="50">
        <f t="shared" si="20"/>
        <v>1.524871194419775</v>
      </c>
      <c r="BC10" s="50" t="str">
        <f t="shared" si="21"/>
        <v>1+1044.44444444445i</v>
      </c>
      <c r="BD10" s="50">
        <f t="shared" si="22"/>
        <v>1044.4449231677445</v>
      </c>
      <c r="BE10" s="50">
        <f t="shared" si="23"/>
        <v>1.5698388802789511</v>
      </c>
      <c r="BF10" s="59" t="str">
        <f t="shared" si="24"/>
        <v>-0.00134715469219921+0.0299380882098904i</v>
      </c>
      <c r="BG10" s="50">
        <f t="shared" si="25"/>
        <v>-30.466733928218662</v>
      </c>
      <c r="BH10" s="61">
        <f t="shared" si="26"/>
        <v>92.576458614200888</v>
      </c>
      <c r="BI10" s="59" t="str">
        <f t="shared" si="27"/>
        <v>-0.00480443225084419-0.0123549512090369i</v>
      </c>
      <c r="BJ10" s="64">
        <f t="shared" si="28"/>
        <v>-37.551605446848143</v>
      </c>
      <c r="BK10" s="61">
        <f t="shared" si="29"/>
        <v>-111.24941385149846</v>
      </c>
      <c r="BL10" s="82" t="str">
        <f t="shared" si="49"/>
        <v>0.0221323619492788-0.0133131075323703i</v>
      </c>
      <c r="BM10" s="64">
        <f t="shared" si="30"/>
        <v>-31.758218991711384</v>
      </c>
      <c r="BN10" s="61">
        <f t="shared" si="31"/>
        <v>-31.027843526767029</v>
      </c>
      <c r="BO10" s="59">
        <f t="shared" si="50"/>
        <v>-37.551605446848143</v>
      </c>
      <c r="BP10" s="61">
        <f t="shared" si="51"/>
        <v>-111.24941385149846</v>
      </c>
    </row>
    <row r="11" spans="1:68" s="32" customFormat="1" ht="15.75" thickBot="1" x14ac:dyDescent="0.3">
      <c r="A11" s="32" t="s">
        <v>20</v>
      </c>
      <c r="B11" s="3">
        <f>VIN_nom</f>
        <v>9</v>
      </c>
      <c r="C11" s="32" t="s">
        <v>5</v>
      </c>
      <c r="E11" s="32" t="s">
        <v>23</v>
      </c>
      <c r="N11" s="199" t="s">
        <v>192</v>
      </c>
      <c r="O11" s="91">
        <f>IF(B31=0,B74,wp_lf/(2*PI()))</f>
        <v>184.04098873899173</v>
      </c>
      <c r="P11" s="79" t="str">
        <f t="shared" si="32"/>
        <v>25.6231073841137</v>
      </c>
      <c r="Q11" s="55" t="str">
        <f t="shared" si="33"/>
        <v>1+i</v>
      </c>
      <c r="R11" s="55">
        <f t="shared" si="0"/>
        <v>1.4142135623730951</v>
      </c>
      <c r="S11" s="55">
        <f t="shared" si="1"/>
        <v>0.78539816339744828</v>
      </c>
      <c r="T11" s="55" t="str">
        <f t="shared" si="34"/>
        <v>1+0.00104072727272728i</v>
      </c>
      <c r="U11" s="55">
        <f t="shared" si="2"/>
        <v>1.0000005415564814</v>
      </c>
      <c r="V11" s="55">
        <f t="shared" si="3"/>
        <v>1.0407268969856891E-3</v>
      </c>
      <c r="W11" s="56" t="str">
        <f t="shared" si="35"/>
        <v>1-0.0233200000000001i</v>
      </c>
      <c r="X11" s="55">
        <f t="shared" si="4"/>
        <v>1.0002718742421983</v>
      </c>
      <c r="Y11" s="55">
        <f t="shared" si="5"/>
        <v>-2.3315774066019628E-2</v>
      </c>
      <c r="Z11" s="56" t="str">
        <f t="shared" si="36"/>
        <v>0.999999153222862+0.00184632727272728i</v>
      </c>
      <c r="AA11" s="55">
        <f t="shared" si="6"/>
        <v>1.0000008576850519</v>
      </c>
      <c r="AB11" s="55">
        <f t="shared" si="7"/>
        <v>1.8463267381585936E-3</v>
      </c>
      <c r="AC11" s="56" t="str">
        <f>IMDIV(IMSUM(COMPLEX(0,2*PI()*O11*Constants!$B$71*Constants!$B$72),COMPLEX(1,0)),IMSUM(COMPLEX(0,2*PI()*O11*Constants!$B$71*Constants!$B$72),COMPLEX(2,0)))</f>
        <v>0.500002674339415+0.00115635745134594i</v>
      </c>
      <c r="AD11" s="55">
        <f t="shared" si="37"/>
        <v>0.50000401149303031</v>
      </c>
      <c r="AE11" s="55">
        <f t="shared" si="38"/>
        <v>2.3126984095671712E-3</v>
      </c>
      <c r="AF11" s="342" t="str">
        <f t="shared" si="39"/>
        <v>6.26631458582104-6.54577356543442i</v>
      </c>
      <c r="AG11" s="65">
        <f t="shared" si="8"/>
        <v>19.144164153002233</v>
      </c>
      <c r="AH11" s="63">
        <f t="shared" si="9"/>
        <v>-46.249545062784343</v>
      </c>
      <c r="AI11" s="59" t="str">
        <f t="shared" si="10"/>
        <v>108.866083054159</v>
      </c>
      <c r="AJ11" s="50" t="str">
        <f t="shared" si="11"/>
        <v>1+0.946115702479344i</v>
      </c>
      <c r="AK11" s="50">
        <f t="shared" si="40"/>
        <v>1.3766389949721687</v>
      </c>
      <c r="AL11" s="50">
        <f t="shared" si="41"/>
        <v>0.75771710930219904</v>
      </c>
      <c r="AM11" s="50" t="str">
        <f t="shared" si="12"/>
        <v>1+0.00104072727272728i</v>
      </c>
      <c r="AN11" s="50">
        <f t="shared" si="42"/>
        <v>1.0000005415564814</v>
      </c>
      <c r="AO11" s="50">
        <f t="shared" si="43"/>
        <v>1.0407268969856891E-3</v>
      </c>
      <c r="AP11" s="50" t="str">
        <f t="shared" si="13"/>
        <v>1-0.00519291825470035i</v>
      </c>
      <c r="AQ11" s="50">
        <f t="shared" si="44"/>
        <v>1.000013483109103</v>
      </c>
      <c r="AR11" s="50">
        <f t="shared" si="45"/>
        <v>-5.1928715773519717E-3</v>
      </c>
      <c r="AS11" s="59" t="str">
        <f t="shared" si="46"/>
        <v>57.219670655097-54.588461665784i</v>
      </c>
      <c r="AT11" s="50">
        <f t="shared" si="47"/>
        <v>37.961572419861497</v>
      </c>
      <c r="AU11" s="61">
        <f t="shared" si="48"/>
        <v>-43.651892793981581</v>
      </c>
      <c r="AV11" s="56" t="str">
        <f t="shared" si="14"/>
        <v>-0.0000333333333333333</v>
      </c>
      <c r="AW11" s="56" t="str">
        <f t="shared" si="15"/>
        <v>0.0000555054545454546i</v>
      </c>
      <c r="AX11" s="56">
        <f t="shared" si="16"/>
        <v>5.5505454545454598E-5</v>
      </c>
      <c r="AY11" s="56">
        <f t="shared" si="17"/>
        <v>1.5707963267948966</v>
      </c>
      <c r="AZ11" s="56" t="str">
        <f t="shared" si="18"/>
        <v>1+0.0226454545454546i</v>
      </c>
      <c r="BA11" s="56">
        <f t="shared" si="19"/>
        <v>1.0002563754416016</v>
      </c>
      <c r="BB11" s="56">
        <f t="shared" si="20"/>
        <v>2.2641584747660301E-2</v>
      </c>
      <c r="BC11" s="56" t="str">
        <f t="shared" si="21"/>
        <v>1+1.08698181818182i</v>
      </c>
      <c r="BD11" s="56">
        <f t="shared" si="22"/>
        <v>1.4770001601414453</v>
      </c>
      <c r="BE11" s="56">
        <f t="shared" si="23"/>
        <v>0.82705233837949843</v>
      </c>
      <c r="BF11" s="62" t="str">
        <f t="shared" si="24"/>
        <v>-0.638850627526633+0.615008642162153i</v>
      </c>
      <c r="BG11" s="56">
        <f t="shared" si="25"/>
        <v>-1.0437540803810599</v>
      </c>
      <c r="BH11" s="63">
        <f t="shared" si="26"/>
        <v>136.08934117804216</v>
      </c>
      <c r="BI11" s="62" t="str">
        <f t="shared" si="27"/>
        <v>0.0224683069476725+8.03560917471172i</v>
      </c>
      <c r="BJ11" s="65">
        <f t="shared" si="28"/>
        <v>18.100410072621177</v>
      </c>
      <c r="BK11" s="63">
        <f t="shared" si="29"/>
        <v>89.839796115257826</v>
      </c>
      <c r="BL11" s="82" t="str">
        <f t="shared" si="49"/>
        <v>-2.98244681808143+70.0644649454565i</v>
      </c>
      <c r="BM11" s="65">
        <f t="shared" si="30"/>
        <v>36.917818339480434</v>
      </c>
      <c r="BN11" s="63">
        <f t="shared" si="31"/>
        <v>92.437448384060588</v>
      </c>
      <c r="BO11" s="59">
        <f t="shared" si="50"/>
        <v>18.100410072621177</v>
      </c>
      <c r="BP11" s="61">
        <f t="shared" si="51"/>
        <v>89.839796115257826</v>
      </c>
    </row>
    <row r="12" spans="1:68" s="32" customFormat="1" ht="15.75" thickBot="1" x14ac:dyDescent="0.3">
      <c r="A12" s="32" t="s">
        <v>21</v>
      </c>
      <c r="B12" s="3">
        <f>VIN_max</f>
        <v>16</v>
      </c>
      <c r="C12" s="32" t="s">
        <v>5</v>
      </c>
      <c r="E12" s="32" t="s">
        <v>24</v>
      </c>
      <c r="N12" s="198" t="s">
        <v>201</v>
      </c>
      <c r="O12" s="76">
        <f>wz_ea/(2*PI())</f>
        <v>169.31376924669715</v>
      </c>
      <c r="P12" s="72" t="str">
        <f t="shared" si="32"/>
        <v>25.6231073841137</v>
      </c>
      <c r="Q12" s="73" t="str">
        <f t="shared" si="33"/>
        <v>1+0.919978589589183i</v>
      </c>
      <c r="R12" s="73">
        <f t="shared" si="0"/>
        <v>1.3588085241499268</v>
      </c>
      <c r="S12" s="73">
        <f t="shared" si="1"/>
        <v>0.74374398841539646</v>
      </c>
      <c r="T12" s="73" t="str">
        <f t="shared" si="34"/>
        <v>1+0.000957446808510637i</v>
      </c>
      <c r="U12" s="73">
        <f t="shared" si="2"/>
        <v>1.0000004583520905</v>
      </c>
      <c r="V12" s="73">
        <f t="shared" si="3"/>
        <v>9.5744651594556669E-4</v>
      </c>
      <c r="W12" s="74" t="str">
        <f t="shared" si="35"/>
        <v>1-0.0214539007092198i</v>
      </c>
      <c r="X12" s="73">
        <f t="shared" si="4"/>
        <v>1.0002301084528704</v>
      </c>
      <c r="Y12" s="73">
        <f t="shared" si="5"/>
        <v>-2.1450610089988255E-2</v>
      </c>
      <c r="Z12" s="74" t="str">
        <f t="shared" si="36"/>
        <v>0.999999283321189+0.00169858156028368i</v>
      </c>
      <c r="AA12" s="73">
        <f t="shared" si="6"/>
        <v>1.0000007259108408</v>
      </c>
      <c r="AB12" s="73">
        <f t="shared" si="7"/>
        <v>1.6985811440504855E-3</v>
      </c>
      <c r="AC12" s="50" t="str">
        <f>IMDIV(IMSUM(COMPLEX(0,2*PI()*O12*Constants!$B$71*Constants!$B$72),COMPLEX(1,0)),IMSUM(COMPLEX(0,2*PI()*O12*Constants!$B$71*Constants!$B$72),COMPLEX(2,0)))</f>
        <v>0.500002263457386+0.00106382497136726i</v>
      </c>
      <c r="AD12" s="78">
        <f t="shared" si="37"/>
        <v>0.50000339517455161</v>
      </c>
      <c r="AE12" s="78">
        <f t="shared" si="38"/>
        <v>2.1276371005917033E-3</v>
      </c>
      <c r="AF12" s="341" t="str">
        <f t="shared" si="39"/>
        <v>6.81095730458852-6.52303086326856i</v>
      </c>
      <c r="AG12" s="75">
        <f t="shared" si="8"/>
        <v>19.490925890121858</v>
      </c>
      <c r="AH12" s="76">
        <f t="shared" si="9"/>
        <v>-43.762980260608117</v>
      </c>
      <c r="AI12" s="59" t="str">
        <f t="shared" si="10"/>
        <v>108.866083054159</v>
      </c>
      <c r="AJ12" s="50" t="str">
        <f t="shared" si="11"/>
        <v>1+0.870406189555125i</v>
      </c>
      <c r="AK12" s="50">
        <f t="shared" si="40"/>
        <v>1.3257476889724802</v>
      </c>
      <c r="AL12" s="50">
        <f t="shared" si="41"/>
        <v>0.71622226465984395</v>
      </c>
      <c r="AM12" s="50" t="str">
        <f t="shared" si="12"/>
        <v>1+0.000957446808510637i</v>
      </c>
      <c r="AN12" s="50">
        <f t="shared" si="42"/>
        <v>1.0000004583520905</v>
      </c>
      <c r="AO12" s="50">
        <f t="shared" si="43"/>
        <v>9.5744651594556669E-4</v>
      </c>
      <c r="AP12" s="50" t="str">
        <f t="shared" si="13"/>
        <v>1-0.00477737361181114i</v>
      </c>
      <c r="AQ12" s="50">
        <f t="shared" si="44"/>
        <v>1.0000114115842014</v>
      </c>
      <c r="AR12" s="50">
        <f t="shared" si="45"/>
        <v>-4.7773372671673095E-3</v>
      </c>
      <c r="AS12" s="59" t="str">
        <f t="shared" si="46"/>
        <v>61.7342884471124-54.149767240777i</v>
      </c>
      <c r="AT12" s="50">
        <f t="shared" si="47"/>
        <v>38.288737475875244</v>
      </c>
      <c r="AU12" s="61">
        <f t="shared" si="48"/>
        <v>-41.255376576556976</v>
      </c>
      <c r="AV12" s="74" t="str">
        <f t="shared" si="14"/>
        <v>-0.0000333333333333333</v>
      </c>
      <c r="AW12" s="74" t="str">
        <f t="shared" si="15"/>
        <v>0.000051063829787234i</v>
      </c>
      <c r="AX12" s="74">
        <f t="shared" si="16"/>
        <v>5.1063829787234003E-5</v>
      </c>
      <c r="AY12" s="74">
        <f t="shared" si="17"/>
        <v>1.5707963267948966</v>
      </c>
      <c r="AZ12" s="74" t="str">
        <f t="shared" si="18"/>
        <v>1+0.0208333333333333i</v>
      </c>
      <c r="BA12" s="74">
        <f t="shared" si="19"/>
        <v>1.0002169903464837</v>
      </c>
      <c r="BB12" s="74">
        <f t="shared" si="20"/>
        <v>2.0830320036217053E-2</v>
      </c>
      <c r="BC12" s="74" t="str">
        <f t="shared" si="21"/>
        <v>1+i</v>
      </c>
      <c r="BD12" s="74">
        <f t="shared" si="22"/>
        <v>1.4142135623730951</v>
      </c>
      <c r="BE12" s="74">
        <f t="shared" si="23"/>
        <v>0.78539816339744828</v>
      </c>
      <c r="BF12" s="71" t="str">
        <f t="shared" si="24"/>
        <v>-0.638900939985539+0.666088214027476i</v>
      </c>
      <c r="BG12" s="74">
        <f t="shared" si="25"/>
        <v>-0.69627736301613474</v>
      </c>
      <c r="BH12" s="76">
        <f t="shared" si="26"/>
        <v>133.80651057601801</v>
      </c>
      <c r="BI12" s="71" t="str">
        <f t="shared" si="27"/>
        <v>-0.00661304634231819+8.70426893692772i</v>
      </c>
      <c r="BJ12" s="75">
        <f t="shared" si="28"/>
        <v>18.794648527105721</v>
      </c>
      <c r="BK12" s="76">
        <f t="shared" si="29"/>
        <v>90.043530315409882</v>
      </c>
      <c r="BL12" s="82" t="str">
        <f t="shared" si="49"/>
        <v>-3.37357316678583+75.7168191261247i</v>
      </c>
      <c r="BM12" s="75">
        <f t="shared" si="30"/>
        <v>37.592460112859108</v>
      </c>
      <c r="BN12" s="76">
        <f t="shared" si="31"/>
        <v>92.55113399946103</v>
      </c>
      <c r="BO12" s="59">
        <f t="shared" si="50"/>
        <v>18.794648527105721</v>
      </c>
      <c r="BP12" s="61">
        <f t="shared" si="51"/>
        <v>90.043530315409882</v>
      </c>
    </row>
    <row r="13" spans="1:68" s="32" customFormat="1" ht="15.75" thickBot="1" x14ac:dyDescent="0.3">
      <c r="A13" s="32" t="s">
        <v>57</v>
      </c>
      <c r="B13" s="3">
        <f>Fsw</f>
        <v>400000</v>
      </c>
      <c r="C13" s="32" t="s">
        <v>58</v>
      </c>
      <c r="E13" s="32" t="s">
        <v>59</v>
      </c>
      <c r="N13" s="199" t="s">
        <v>207</v>
      </c>
      <c r="O13" s="63">
        <f>wp1_ea/(2*PI())</f>
        <v>8127.0609238414627</v>
      </c>
      <c r="P13" s="79" t="str">
        <f t="shared" si="32"/>
        <v>25.6231073841137</v>
      </c>
      <c r="Q13" s="55" t="str">
        <f t="shared" si="33"/>
        <v>1+44.1589723002808i</v>
      </c>
      <c r="R13" s="55">
        <f t="shared" si="0"/>
        <v>44.170293576304957</v>
      </c>
      <c r="S13" s="55">
        <f t="shared" si="1"/>
        <v>1.5481547420472364</v>
      </c>
      <c r="T13" s="55" t="str">
        <f t="shared" si="34"/>
        <v>1+0.0459574468085106i</v>
      </c>
      <c r="U13" s="55">
        <f t="shared" si="2"/>
        <v>1.0010554864327736</v>
      </c>
      <c r="V13" s="55">
        <f t="shared" si="3"/>
        <v>4.5925132375121691E-2</v>
      </c>
      <c r="W13" s="56" t="str">
        <f t="shared" si="35"/>
        <v>1-1.02978723404255i</v>
      </c>
      <c r="X13" s="55">
        <f t="shared" si="4"/>
        <v>1.4354308577556096</v>
      </c>
      <c r="Y13" s="55">
        <f t="shared" si="5"/>
        <v>-0.80007216248522994</v>
      </c>
      <c r="Z13" s="56" t="str">
        <f t="shared" si="36"/>
        <v>0.998348772018504+0.081531914893617i</v>
      </c>
      <c r="AA13" s="55">
        <f t="shared" si="6"/>
        <v>1.0016724633017895</v>
      </c>
      <c r="AB13" s="55">
        <f t="shared" si="7"/>
        <v>8.1485930676927582E-2</v>
      </c>
      <c r="AC13" s="56" t="str">
        <f>IMDIV(IMSUM(COMPLEX(0,2*PI()*O13*Constants!$B$71*Constants!$B$72),COMPLEX(1,0)),IMSUM(COMPLEX(0,2*PI()*O13*Constants!$B$71*Constants!$B$72),COMPLEX(2,0)))</f>
        <v>0.505161197827996+0.0505367287324599i</v>
      </c>
      <c r="AD13" s="55">
        <f t="shared" si="37"/>
        <v>0.50768277176007648</v>
      </c>
      <c r="AE13" s="55">
        <f t="shared" si="38"/>
        <v>9.9709045178307296E-2</v>
      </c>
      <c r="AF13" s="342" t="str">
        <f t="shared" si="39"/>
        <v>-0.276438456989327-0.31948891195805i</v>
      </c>
      <c r="AG13" s="65">
        <f t="shared" si="8"/>
        <v>-7.4838273965237168</v>
      </c>
      <c r="AH13" s="63">
        <f t="shared" si="9"/>
        <v>-130.86806715959324</v>
      </c>
      <c r="AI13" s="62" t="str">
        <f t="shared" si="10"/>
        <v>108.866083054159</v>
      </c>
      <c r="AJ13" s="56" t="str">
        <f t="shared" si="11"/>
        <v>1+41.7794970986461i</v>
      </c>
      <c r="AK13" s="56">
        <f t="shared" si="40"/>
        <v>41.791462977691715</v>
      </c>
      <c r="AL13" s="56">
        <f t="shared" si="41"/>
        <v>1.5468657108066164</v>
      </c>
      <c r="AM13" s="56" t="str">
        <f t="shared" si="12"/>
        <v>1+0.0459574468085106i</v>
      </c>
      <c r="AN13" s="56">
        <f t="shared" si="42"/>
        <v>1.0010554864327736</v>
      </c>
      <c r="AO13" s="56">
        <f t="shared" si="43"/>
        <v>4.5925132375121691E-2</v>
      </c>
      <c r="AP13" s="56" t="str">
        <f t="shared" si="13"/>
        <v>1-0.229313933366935i</v>
      </c>
      <c r="AQ13" s="56">
        <f t="shared" si="44"/>
        <v>1.0259555935985802</v>
      </c>
      <c r="AR13" s="56">
        <f t="shared" si="45"/>
        <v>-0.22541669327423347</v>
      </c>
      <c r="AS13" s="62" t="str">
        <f t="shared" si="46"/>
        <v>-0.414514089598245-2.64311229047038i</v>
      </c>
      <c r="AT13" s="56">
        <f t="shared" si="47"/>
        <v>8.5478347347640611</v>
      </c>
      <c r="AU13" s="63">
        <f t="shared" si="48"/>
        <v>-98.912985600457745</v>
      </c>
      <c r="AV13" s="56" t="str">
        <f t="shared" si="14"/>
        <v>-0.0000333333333333333</v>
      </c>
      <c r="AW13" s="56" t="str">
        <f t="shared" si="15"/>
        <v>0.00245106382978723i</v>
      </c>
      <c r="AX13" s="56">
        <f t="shared" si="16"/>
        <v>2.4510638297872301E-3</v>
      </c>
      <c r="AY13" s="56">
        <f t="shared" si="17"/>
        <v>1.5707963267948966</v>
      </c>
      <c r="AZ13" s="56" t="str">
        <f t="shared" si="18"/>
        <v>1+i</v>
      </c>
      <c r="BA13" s="56">
        <f t="shared" si="19"/>
        <v>1.4142135623730951</v>
      </c>
      <c r="BB13" s="56">
        <f t="shared" si="20"/>
        <v>0.78539816339744828</v>
      </c>
      <c r="BC13" s="56" t="str">
        <f t="shared" si="21"/>
        <v>1+48.0000000000001i</v>
      </c>
      <c r="BD13" s="56">
        <f t="shared" si="22"/>
        <v>48.010415536631321</v>
      </c>
      <c r="BE13" s="56">
        <f t="shared" si="23"/>
        <v>1.5499660067586796</v>
      </c>
      <c r="BF13" s="62" t="str">
        <f t="shared" si="24"/>
        <v>-0.319589120370371+0.333188657407408i</v>
      </c>
      <c r="BG13" s="56">
        <f t="shared" si="25"/>
        <v>-6.7131081768058909</v>
      </c>
      <c r="BH13" s="63">
        <f t="shared" si="26"/>
        <v>133.80651057601796</v>
      </c>
      <c r="BI13" s="62" t="str">
        <f t="shared" si="27"/>
        <v>0.194796804937618+0.00999902200071075i</v>
      </c>
      <c r="BJ13" s="65">
        <f t="shared" si="28"/>
        <v>-14.196935573329604</v>
      </c>
      <c r="BK13" s="63">
        <f t="shared" si="29"/>
        <v>2.9384434164247506</v>
      </c>
      <c r="BL13" s="82" t="str">
        <f t="shared" si="49"/>
        <v>1.01312922871467+0.706598538961852i</v>
      </c>
      <c r="BM13" s="65">
        <f t="shared" si="30"/>
        <v>1.8347265579581518</v>
      </c>
      <c r="BN13" s="63">
        <f t="shared" si="31"/>
        <v>34.89352497556029</v>
      </c>
      <c r="BO13" s="62">
        <f t="shared" si="50"/>
        <v>-14.196935573329604</v>
      </c>
      <c r="BP13" s="63">
        <f t="shared" si="51"/>
        <v>2.9384434164247506</v>
      </c>
    </row>
    <row r="14" spans="1:68" s="32" customFormat="1" x14ac:dyDescent="0.25">
      <c r="B14" s="27"/>
      <c r="O14" s="51"/>
    </row>
    <row r="15" spans="1:68" ht="15.75" thickBot="1" x14ac:dyDescent="0.3">
      <c r="A15" s="68" t="s">
        <v>388</v>
      </c>
      <c r="N15" s="32"/>
      <c r="O15" s="51" t="s">
        <v>171</v>
      </c>
      <c r="P15" s="32">
        <f>B16</f>
        <v>9</v>
      </c>
      <c r="Q15" s="32" t="s">
        <v>5</v>
      </c>
      <c r="R15" s="32"/>
      <c r="S15" s="32"/>
      <c r="T15" s="32"/>
      <c r="U15" s="32"/>
      <c r="V15" s="32"/>
      <c r="W15" s="32"/>
      <c r="X15" s="32"/>
      <c r="Y15" s="32"/>
      <c r="Z15" s="32"/>
      <c r="AA15" s="32"/>
      <c r="AB15" s="32"/>
      <c r="AG15" s="32"/>
      <c r="AH15" s="32"/>
      <c r="AV15" s="32"/>
      <c r="AW15" s="32"/>
      <c r="AX15" s="32"/>
      <c r="AY15" s="32"/>
      <c r="AZ15" s="32"/>
      <c r="BA15" s="32"/>
      <c r="BB15" s="32"/>
      <c r="BC15" s="32"/>
      <c r="BD15" s="32"/>
      <c r="BE15" s="32"/>
      <c r="BG15" s="32"/>
      <c r="BH15" s="32"/>
      <c r="BJ15" s="32"/>
      <c r="BK15" s="32"/>
      <c r="BL15" s="32"/>
    </row>
    <row r="16" spans="1:68" ht="15.75" thickBot="1" x14ac:dyDescent="0.3">
      <c r="A16" t="s">
        <v>173</v>
      </c>
      <c r="B16" s="44">
        <f>VIN_var</f>
        <v>9</v>
      </c>
      <c r="C16" t="s">
        <v>5</v>
      </c>
      <c r="E16" t="s">
        <v>174</v>
      </c>
      <c r="F16" s="32"/>
      <c r="G16" s="32"/>
      <c r="N16" s="32"/>
      <c r="O16" s="67"/>
      <c r="P16" s="363" t="s">
        <v>386</v>
      </c>
      <c r="Q16" s="363"/>
      <c r="R16" s="363"/>
      <c r="S16" s="363"/>
      <c r="T16" s="363"/>
      <c r="U16" s="363"/>
      <c r="V16" s="363"/>
      <c r="W16" s="363"/>
      <c r="X16" s="363"/>
      <c r="Y16" s="363"/>
      <c r="Z16" s="363"/>
      <c r="AA16" s="363"/>
      <c r="AB16" s="363"/>
      <c r="AC16" s="363"/>
      <c r="AD16" s="363"/>
      <c r="AE16" s="363"/>
      <c r="AF16" s="363"/>
      <c r="AG16" s="363"/>
      <c r="AH16" s="364"/>
      <c r="AI16" s="367" t="s">
        <v>387</v>
      </c>
      <c r="AJ16" s="363"/>
      <c r="AK16" s="363"/>
      <c r="AL16" s="363"/>
      <c r="AM16" s="363"/>
      <c r="AN16" s="363"/>
      <c r="AO16" s="363"/>
      <c r="AP16" s="363"/>
      <c r="AQ16" s="363"/>
      <c r="AR16" s="363"/>
      <c r="AS16" s="363"/>
      <c r="AT16" s="363"/>
      <c r="AU16" s="364"/>
      <c r="AV16" s="367" t="s">
        <v>200</v>
      </c>
      <c r="AW16" s="363"/>
      <c r="AX16" s="363"/>
      <c r="AY16" s="363"/>
      <c r="AZ16" s="363"/>
      <c r="BA16" s="363"/>
      <c r="BB16" s="363"/>
      <c r="BC16" s="363"/>
      <c r="BD16" s="363"/>
      <c r="BE16" s="363"/>
      <c r="BF16" s="363"/>
      <c r="BG16" s="363"/>
      <c r="BH16" s="364"/>
      <c r="BI16" s="367" t="s">
        <v>414</v>
      </c>
      <c r="BJ16" s="363"/>
      <c r="BK16" s="364"/>
      <c r="BL16" s="367" t="s">
        <v>415</v>
      </c>
      <c r="BM16" s="363"/>
      <c r="BN16" s="364"/>
      <c r="BO16" s="367" t="s">
        <v>416</v>
      </c>
      <c r="BP16" s="364"/>
    </row>
    <row r="17" spans="1:68" x14ac:dyDescent="0.25">
      <c r="A17" t="s">
        <v>327</v>
      </c>
      <c r="B17" s="44">
        <f>IOUT</f>
        <v>11</v>
      </c>
      <c r="C17" t="s">
        <v>6</v>
      </c>
      <c r="E17" t="s">
        <v>407</v>
      </c>
      <c r="N17" s="32"/>
      <c r="O17" s="53"/>
      <c r="P17" s="50"/>
      <c r="Q17" s="362" t="s">
        <v>192</v>
      </c>
      <c r="R17" s="362"/>
      <c r="S17" s="362"/>
      <c r="T17" s="360" t="s">
        <v>194</v>
      </c>
      <c r="U17" s="360"/>
      <c r="V17" s="360"/>
      <c r="W17" s="360" t="s">
        <v>231</v>
      </c>
      <c r="X17" s="360"/>
      <c r="Y17" s="360"/>
      <c r="Z17" s="360" t="s">
        <v>197</v>
      </c>
      <c r="AA17" s="360"/>
      <c r="AB17" s="360"/>
      <c r="AC17" s="365" t="s">
        <v>775</v>
      </c>
      <c r="AD17" s="365"/>
      <c r="AE17" s="366"/>
      <c r="AF17" s="359" t="s">
        <v>199</v>
      </c>
      <c r="AG17" s="360"/>
      <c r="AH17" s="361"/>
      <c r="AI17" s="169"/>
      <c r="AJ17" s="362" t="s">
        <v>192</v>
      </c>
      <c r="AK17" s="362"/>
      <c r="AL17" s="362"/>
      <c r="AM17" s="368" t="s">
        <v>194</v>
      </c>
      <c r="AN17" s="368"/>
      <c r="AO17" s="368"/>
      <c r="AP17" s="360" t="s">
        <v>231</v>
      </c>
      <c r="AQ17" s="360"/>
      <c r="AR17" s="360"/>
      <c r="AS17" s="369" t="s">
        <v>199</v>
      </c>
      <c r="AT17" s="368"/>
      <c r="AU17" s="370"/>
      <c r="AV17" s="50"/>
      <c r="AW17" s="360" t="s">
        <v>206</v>
      </c>
      <c r="AX17" s="360"/>
      <c r="AY17" s="360"/>
      <c r="AZ17" s="360" t="s">
        <v>207</v>
      </c>
      <c r="BA17" s="360"/>
      <c r="BB17" s="360"/>
      <c r="BC17" s="360" t="s">
        <v>201</v>
      </c>
      <c r="BD17" s="360"/>
      <c r="BE17" s="360"/>
      <c r="BF17" s="359" t="s">
        <v>199</v>
      </c>
      <c r="BG17" s="360"/>
      <c r="BH17" s="361"/>
      <c r="BI17" s="359" t="s">
        <v>199</v>
      </c>
      <c r="BJ17" s="360"/>
      <c r="BK17" s="361"/>
      <c r="BL17" s="359" t="s">
        <v>199</v>
      </c>
      <c r="BM17" s="360"/>
      <c r="BN17" s="361"/>
      <c r="BO17" s="50"/>
      <c r="BP17" s="61"/>
    </row>
    <row r="18" spans="1:68" ht="15.75" thickBot="1" x14ac:dyDescent="0.3">
      <c r="N18" s="11"/>
      <c r="O18" s="54" t="s">
        <v>170</v>
      </c>
      <c r="P18" s="55" t="s">
        <v>175</v>
      </c>
      <c r="Q18" s="56" t="s">
        <v>198</v>
      </c>
      <c r="R18" s="55" t="s">
        <v>195</v>
      </c>
      <c r="S18" s="55" t="s">
        <v>196</v>
      </c>
      <c r="T18" s="55" t="s">
        <v>198</v>
      </c>
      <c r="U18" s="55" t="s">
        <v>195</v>
      </c>
      <c r="V18" s="55" t="s">
        <v>196</v>
      </c>
      <c r="W18" s="57" t="s">
        <v>198</v>
      </c>
      <c r="X18" s="55" t="s">
        <v>195</v>
      </c>
      <c r="Y18" s="55" t="s">
        <v>196</v>
      </c>
      <c r="Z18" s="57" t="s">
        <v>198</v>
      </c>
      <c r="AA18" s="57" t="s">
        <v>195</v>
      </c>
      <c r="AB18" s="57" t="s">
        <v>196</v>
      </c>
      <c r="AC18" s="57" t="s">
        <v>198</v>
      </c>
      <c r="AD18" s="57" t="s">
        <v>195</v>
      </c>
      <c r="AE18" s="57" t="s">
        <v>196</v>
      </c>
      <c r="AF18" s="60" t="s">
        <v>210</v>
      </c>
      <c r="AG18" s="57" t="s">
        <v>195</v>
      </c>
      <c r="AH18" s="58" t="s">
        <v>196</v>
      </c>
      <c r="AI18" s="172" t="s">
        <v>175</v>
      </c>
      <c r="AJ18" s="173" t="s">
        <v>198</v>
      </c>
      <c r="AK18" s="173" t="s">
        <v>209</v>
      </c>
      <c r="AL18" s="173" t="s">
        <v>196</v>
      </c>
      <c r="AM18" s="173" t="s">
        <v>198</v>
      </c>
      <c r="AN18" s="173" t="s">
        <v>209</v>
      </c>
      <c r="AO18" s="173" t="s">
        <v>196</v>
      </c>
      <c r="AP18" s="173" t="s">
        <v>198</v>
      </c>
      <c r="AQ18" s="173" t="s">
        <v>209</v>
      </c>
      <c r="AR18" s="173" t="s">
        <v>196</v>
      </c>
      <c r="AS18" s="60" t="s">
        <v>210</v>
      </c>
      <c r="AT18" s="57" t="s">
        <v>195</v>
      </c>
      <c r="AU18" s="58" t="s">
        <v>196</v>
      </c>
      <c r="AV18" s="55" t="s">
        <v>208</v>
      </c>
      <c r="AW18" s="57" t="s">
        <v>198</v>
      </c>
      <c r="AX18" s="57" t="s">
        <v>209</v>
      </c>
      <c r="AY18" s="57" t="s">
        <v>196</v>
      </c>
      <c r="AZ18" s="57" t="s">
        <v>198</v>
      </c>
      <c r="BA18" s="57" t="s">
        <v>209</v>
      </c>
      <c r="BB18" s="57" t="s">
        <v>196</v>
      </c>
      <c r="BC18" s="57" t="s">
        <v>198</v>
      </c>
      <c r="BD18" s="57" t="s">
        <v>209</v>
      </c>
      <c r="BE18" s="57" t="s">
        <v>196</v>
      </c>
      <c r="BF18" s="60" t="s">
        <v>210</v>
      </c>
      <c r="BG18" s="57" t="s">
        <v>195</v>
      </c>
      <c r="BH18" s="58" t="s">
        <v>196</v>
      </c>
      <c r="BI18" s="60" t="s">
        <v>210</v>
      </c>
      <c r="BJ18" s="57" t="s">
        <v>195</v>
      </c>
      <c r="BK18" s="58" t="s">
        <v>196</v>
      </c>
      <c r="BL18" s="60" t="s">
        <v>210</v>
      </c>
      <c r="BM18" s="57" t="s">
        <v>195</v>
      </c>
      <c r="BN18" s="58" t="s">
        <v>196</v>
      </c>
      <c r="BO18" s="80" t="s">
        <v>417</v>
      </c>
      <c r="BP18" s="81" t="s">
        <v>418</v>
      </c>
    </row>
    <row r="19" spans="1:68" x14ac:dyDescent="0.25">
      <c r="A19" t="s">
        <v>25</v>
      </c>
      <c r="B19" s="44">
        <f>VOUT</f>
        <v>45</v>
      </c>
      <c r="C19" t="s">
        <v>5</v>
      </c>
      <c r="E19" t="s">
        <v>150</v>
      </c>
      <c r="N19" s="11">
        <v>1</v>
      </c>
      <c r="O19" s="51">
        <f>10^(1+(N19/100))</f>
        <v>10.232929922807543</v>
      </c>
      <c r="P19" s="49" t="str">
        <f t="shared" ref="P19:P82" si="52">COMPLEX(Adc,0)</f>
        <v>25.6231073841137</v>
      </c>
      <c r="Q19" s="18" t="str">
        <f>IMSUM(COMPLEX(1,0),IMDIV(COMPLEX(0,2*PI()*O19),COMPLEX(wp_lf,0)))</f>
        <v>1+0.0556013635490729i</v>
      </c>
      <c r="R19" s="18">
        <f>IMABS(Q19)</f>
        <v>1.0015445629768633</v>
      </c>
      <c r="S19" s="18">
        <f>IMARGUMENT(Q19)</f>
        <v>5.5544172175670418E-2</v>
      </c>
      <c r="T19" s="18" t="str">
        <f t="shared" ref="T19:T82" si="53">IMSUM(COMPLEX(1,0),IMDIV(COMPLEX(0,2*PI()*O19),COMPLEX(wz_esr,0)))</f>
        <v>1+0.0000578658554463445i</v>
      </c>
      <c r="U19" s="18">
        <f>IMABS(T19)</f>
        <v>1.0000000016742285</v>
      </c>
      <c r="V19" s="18">
        <f>IMARGUMENT(T19)</f>
        <v>5.7865855381757385E-5</v>
      </c>
      <c r="W19" s="32" t="str">
        <f t="shared" ref="W19:W82" si="54">IMSUB(COMPLEX(1,0),IMDIV(COMPLEX(0,2*PI()*O19),COMPLEX(wz_rhp,0)))</f>
        <v>1-0.00129662379796439i</v>
      </c>
      <c r="X19" s="18">
        <f>IMABS(W19)</f>
        <v>1.0000008406162835</v>
      </c>
      <c r="Y19" s="18">
        <f>IMARGUMENT(W19)</f>
        <v>-1.2966230713227656E-3</v>
      </c>
      <c r="Z19" s="32" t="str">
        <f>IMSUM(COMPLEX(1,0),IMDIV(COMPLEX(0,2*PI()*O19),COMPLEX(Q*(wsl/2),0)),IMDIV(IMPOWER(COMPLEX(0,2*PI()*O19),2),IMPOWER(COMPLEX(wsl/2,0),2)))</f>
        <v>0.999999997382179+0.000102658313921478i</v>
      </c>
      <c r="AA19" s="18">
        <f>IMABS(Z19)</f>
        <v>1.0000000026515437</v>
      </c>
      <c r="AB19" s="18">
        <f>IMARGUMENT(Z19)</f>
        <v>1.0265831382958968E-4</v>
      </c>
      <c r="AC19" s="32" t="str">
        <f>IMDIV(IMSUM(COMPLEX(0,2*PI()*O19*Constants!$B$71*Constants!$B$72),COMPLEX(1,0)),IMSUM(COMPLEX(0,2*PI()*O19*Constants!$B$71*Constants!$B$72),COMPLEX(2,0)))</f>
        <v>0.500000008267795+0.0000642953938772204i</v>
      </c>
      <c r="AD19" s="18">
        <f>IMABS(AC19)</f>
        <v>0.50000001240169267</v>
      </c>
      <c r="AE19" s="18">
        <f>IMARGUMENT(AC19)</f>
        <v>1.2859078491934145E-4</v>
      </c>
      <c r="AF19" s="66" t="str">
        <f>(IMDIV(IMPRODUCT(P19,T19,W19,AC19),IMPRODUCT(Q19,Z19)))</f>
        <v>12.7712090591079-0.725634816816943i</v>
      </c>
      <c r="AG19" s="64">
        <f>20*LOG(IMABS(AF19))</f>
        <v>22.138637975385489</v>
      </c>
      <c r="AH19" s="61">
        <f>(180/PI())*IMARGUMENT(AF19)</f>
        <v>-3.2519363813829076</v>
      </c>
      <c r="AI19" s="50" t="str">
        <f t="shared" ref="AI19:AI82" si="55">COMPLEX($B$72,0)</f>
        <v>108.866083054159</v>
      </c>
      <c r="AJ19" s="50" t="str">
        <f t="shared" ref="AJ19:AJ82" si="56">IMSUM(COMPLEX(1,0),IMDIV(COMPLEX(0,2*PI()*O19),COMPLEX(wp_lf_DCM,0)))</f>
        <v>1+0.0526053231330405i</v>
      </c>
      <c r="AK19" s="50">
        <f>IMABS(AJ19)</f>
        <v>1.0013827040756853</v>
      </c>
      <c r="AL19" s="50">
        <f>IMARGUMENT(AJ19)</f>
        <v>5.2556878290411224E-2</v>
      </c>
      <c r="AM19" s="50" t="str">
        <f t="shared" ref="AM19:AM82" si="57">IMSUM(COMPLEX(1,0),IMDIV(COMPLEX(0,2*PI()*O19),COMPLEX(wz1_dcm,0)))</f>
        <v>1+0.0000578658554463445i</v>
      </c>
      <c r="AN19" s="50">
        <f>IMABS(AM19)</f>
        <v>1.0000000016742285</v>
      </c>
      <c r="AO19" s="50">
        <f>IMARGUMENT(AM19)</f>
        <v>5.7865855381757385E-5</v>
      </c>
      <c r="AP19" s="50" t="str">
        <f t="shared" ref="AP19:AP82" si="58">IMSUB(COMPLEX(1,0),IMDIV(COMPLEX(0,2*PI()*O19),COMPLEX(wz2_dcm,0)))</f>
        <v>1-0.000288733335760211i</v>
      </c>
      <c r="AQ19" s="50">
        <f>IMABS(AP19)</f>
        <v>1.0000000416834687</v>
      </c>
      <c r="AR19" s="50">
        <f>IMARGUMENT(AP19)</f>
        <v>-2.8873332773660657E-4</v>
      </c>
      <c r="AS19" s="59" t="str">
        <f>(IMDIV(IMPRODUCT(AI19,AM19,AP19),IMPRODUCT(AJ19)))</f>
        <v>108.564330464546-5.736195323096i</v>
      </c>
      <c r="AT19" s="50">
        <f>20*LOG(IMABS(AS19))</f>
        <v>40.725850607270353</v>
      </c>
      <c r="AU19" s="61">
        <f>(180/PI())*IMARGUMENT(AS19)</f>
        <v>-3.0245150422160969</v>
      </c>
      <c r="AV19" s="32" t="str">
        <f t="shared" ref="AV19:AV82" si="59">COMPLEX(Adc_ea,0)</f>
        <v>-0.0000333333333333333</v>
      </c>
      <c r="AW19" s="32" t="str">
        <f t="shared" ref="AW19:AW82" si="60">COMPLEX(0,2*PI()*O19*wp0_ea)</f>
        <v>3.08617895713837E-06i</v>
      </c>
      <c r="AX19" s="32">
        <f>IMABS(AW19)</f>
        <v>3.08617895713837E-6</v>
      </c>
      <c r="AY19" s="32">
        <f>IMARGUMENT(AW19)</f>
        <v>1.5707963267948966</v>
      </c>
      <c r="AZ19" s="32" t="str">
        <f t="shared" ref="AZ19:AZ82" si="61">IMSUM(COMPLEX(1,0),IMDIV(COMPLEX(0,2*PI()*O19),COMPLEX(wp1_ea,0)))</f>
        <v>1+0.00125911815091583i</v>
      </c>
      <c r="BA19" s="32">
        <f>IMABS(AZ19)</f>
        <v>1.0000007926889449</v>
      </c>
      <c r="BB19" s="32">
        <f>IMARGUMENT(AZ19)</f>
        <v>1.259117485523507E-3</v>
      </c>
      <c r="BC19" s="32" t="str">
        <f t="shared" ref="BC19:BC82" si="62">IMSUM(COMPLEX(1,0),IMDIV(COMPLEX(0,2*PI()*O19),COMPLEX(wz_ea,0)))</f>
        <v>1+0.0604376712439599i</v>
      </c>
      <c r="BD19" s="32">
        <f>IMABS(BC19)</f>
        <v>1.00182469130352</v>
      </c>
      <c r="BE19" s="32">
        <f>IMARGUMENT(BC19)</f>
        <v>6.0364244962156761E-2</v>
      </c>
      <c r="BF19" s="59" t="str">
        <f>IMPRODUCT(AV19,IMDIV(BC19,IMPRODUCT(AW19,AZ19)))</f>
        <v>-0.639177227402896+10.8016474585726i</v>
      </c>
      <c r="BG19" s="50">
        <f>20*LOG(IMABS(BF19))</f>
        <v>20.684980530750838</v>
      </c>
      <c r="BH19" s="61">
        <f>(180/PI())*IMARGUMENT(BF19)</f>
        <v>93.386474351993783</v>
      </c>
      <c r="BI19" s="59" t="str">
        <f>IMPRODUCT(AF19,BF19)</f>
        <v>-0.325014522060809+138.413907126532i</v>
      </c>
      <c r="BJ19" s="64">
        <f>20*LOG(IMABS(BI19))</f>
        <v>42.823618506136313</v>
      </c>
      <c r="BK19" s="61">
        <f>(180/PI())*IMARGUMENT(BI19)</f>
        <v>90.134537970610864</v>
      </c>
      <c r="BL19" s="59" t="str">
        <f>IMPRODUCT(AS19,BF19)</f>
        <v>-7.43148810758433+1176.34006967646i</v>
      </c>
      <c r="BM19" s="64">
        <f>20*LOG(IMABS(BL19))</f>
        <v>61.410831138021209</v>
      </c>
      <c r="BN19" s="61">
        <f>(180/PI())*IMARGUMENT(BL19)</f>
        <v>90.361959309777674</v>
      </c>
      <c r="BO19" s="50">
        <f>IF($B$31=0,BM19,BJ19)</f>
        <v>42.823618506136313</v>
      </c>
      <c r="BP19" s="61">
        <f>IF($B$31=0,BN19,BK19)</f>
        <v>90.134537970610864</v>
      </c>
    </row>
    <row r="20" spans="1:68" x14ac:dyDescent="0.25">
      <c r="A20" t="s">
        <v>26</v>
      </c>
      <c r="B20" s="44">
        <f>IOUT</f>
        <v>11</v>
      </c>
      <c r="C20" t="s">
        <v>6</v>
      </c>
      <c r="E20" t="s">
        <v>27</v>
      </c>
      <c r="N20" s="11">
        <v>2</v>
      </c>
      <c r="O20" s="51">
        <f t="shared" ref="O20:O83" si="63">10^(1+(N20/100))</f>
        <v>10.471285480509</v>
      </c>
      <c r="P20" s="49" t="str">
        <f t="shared" si="52"/>
        <v>25.6231073841137</v>
      </c>
      <c r="Q20" s="18" t="str">
        <f t="shared" ref="Q20:Q82" si="64">IMSUM(COMPLEX(1,0),IMDIV(COMPLEX(0,2*PI()*O20),COMPLEX(wp_lf,0)))</f>
        <v>1+0.0568964856810209i</v>
      </c>
      <c r="R20" s="18">
        <f t="shared" ref="R20:R83" si="65">IMABS(Q20)</f>
        <v>1.0016172972162825</v>
      </c>
      <c r="S20" s="18">
        <f t="shared" ref="S20:S83" si="66">IMARGUMENT(Q20)</f>
        <v>5.6835209363273742E-2</v>
      </c>
      <c r="T20" s="18" t="str">
        <f t="shared" si="53"/>
        <v>1+0.0000592137243705754i</v>
      </c>
      <c r="U20" s="18">
        <f t="shared" ref="U20:U83" si="67">IMABS(T20)</f>
        <v>1.0000000017531325</v>
      </c>
      <c r="V20" s="18">
        <f t="shared" ref="V20:V83" si="68">IMARGUMENT(T20)</f>
        <v>5.9213724301369062E-5</v>
      </c>
      <c r="W20" s="32" t="str">
        <f t="shared" si="54"/>
        <v>1-0.00132682604608141i</v>
      </c>
      <c r="X20" s="18">
        <f t="shared" ref="X20:X83" si="69">IMABS(W20)</f>
        <v>1.0000008802332909</v>
      </c>
      <c r="Y20" s="18">
        <f t="shared" ref="Y20:Y83" si="70">IMARGUMENT(W20)</f>
        <v>-1.3268252674709185E-3</v>
      </c>
      <c r="Z20" s="32" t="str">
        <f t="shared" ref="Z20:Z82" si="71">IMSUM(COMPLEX(1,0),IMDIV(COMPLEX(0,2*PI()*O20),COMPLEX(Q*(wsl/2),0)),IMDIV(IMPOWER(COMPLEX(0,2*PI()*O20),2),IMPOWER(COMPLEX(wsl/2,0),2)))</f>
        <v>0.999999997258805+0.000105049533235206i</v>
      </c>
      <c r="AA20" s="18">
        <f t="shared" ref="AA20:AA83" si="72">IMABS(Z20)</f>
        <v>1.0000000027765072</v>
      </c>
      <c r="AB20" s="18">
        <f t="shared" ref="AB20:AB83" si="73">IMARGUMENT(Z20)</f>
        <v>1.0504953313674589E-4</v>
      </c>
      <c r="AC20" s="32" t="str">
        <f>IMDIV(IMSUM(COMPLEX(0,2*PI()*O20*Constants!$B$71*Constants!$B$72),COMPLEX(1,0)),IMSUM(COMPLEX(0,2*PI()*O20*Constants!$B$71*Constants!$B$72),COMPLEX(2,0)))</f>
        <v>0.500000008657445+0.000065793025939218i</v>
      </c>
      <c r="AD20" s="18">
        <f t="shared" ref="AD20:AD83" si="74">IMABS(AC20)</f>
        <v>0.50000001298616714</v>
      </c>
      <c r="AE20" s="18">
        <f t="shared" ref="AE20:AE83" si="75">IMARGUMENT(AC20)</f>
        <v>1.3158604884057213E-4</v>
      </c>
      <c r="AF20" s="66" t="str">
        <f t="shared" ref="AF20:AF83" si="76">(IMDIV(IMPRODUCT(P20,T20,W20,AC20),IMPRODUCT(Q20,Z20)))</f>
        <v>12.7693138104524-0.742429190033869i</v>
      </c>
      <c r="AG20" s="64">
        <f t="shared" ref="AG20:AG83" si="77">20*LOG(IMABS(AF20))</f>
        <v>22.138007564865049</v>
      </c>
      <c r="AH20" s="61">
        <f t="shared" ref="AH20:AH83" si="78">(180/PI())*IMARGUMENT(AF20)</f>
        <v>-3.3275259853908836</v>
      </c>
      <c r="AI20" s="50" t="str">
        <f t="shared" si="55"/>
        <v>108.866083054159</v>
      </c>
      <c r="AJ20" s="50" t="str">
        <f t="shared" si="56"/>
        <v>1+0.053830658518705i</v>
      </c>
      <c r="AK20" s="50">
        <f t="shared" ref="AK20:AK83" si="79">IMABS(AJ20)</f>
        <v>1.0014478218042902</v>
      </c>
      <c r="AL20" s="50">
        <f t="shared" ref="AL20:AL83" si="80">IMARGUMENT(AJ20)</f>
        <v>5.3778752986942825E-2</v>
      </c>
      <c r="AM20" s="50" t="str">
        <f t="shared" si="57"/>
        <v>1+0.0000592137243705754i</v>
      </c>
      <c r="AN20" s="50">
        <f t="shared" ref="AN20:AN83" si="81">IMABS(AM20)</f>
        <v>1.0000000017531325</v>
      </c>
      <c r="AO20" s="50">
        <f t="shared" ref="AO20:AO83" si="82">IMARGUMENT(AM20)</f>
        <v>5.9213724301369062E-5</v>
      </c>
      <c r="AP20" s="50" t="str">
        <f t="shared" si="58"/>
        <v>1-0.00029545879912127i</v>
      </c>
      <c r="AQ20" s="50">
        <f t="shared" ref="AQ20:AQ83" si="83">IMABS(AP20)</f>
        <v>1.0000000436479501</v>
      </c>
      <c r="AR20" s="50">
        <f t="shared" ref="AR20:AR83" si="84">IMARGUMENT(AP20)</f>
        <v>-2.9545879052382296E-4</v>
      </c>
      <c r="AS20" s="59" t="str">
        <f t="shared" ref="AS20:AS83" si="85">(IMDIV(IMPRODUCT(AI20,AM20,AP20),IMPRODUCT(AJ20)))</f>
        <v>108.550150393284-5.86904515390391i</v>
      </c>
      <c r="AT20" s="50">
        <f t="shared" ref="AT20:AT83" si="86">20*LOG(IMABS(AS20))</f>
        <v>40.725285818963719</v>
      </c>
      <c r="AU20" s="61">
        <f t="shared" ref="AU20:AU83" si="87">(180/PI())*IMARGUMENT(AS20)</f>
        <v>-3.0948314188537402</v>
      </c>
      <c r="AV20" s="32" t="str">
        <f t="shared" si="59"/>
        <v>-0.0000333333333333333</v>
      </c>
      <c r="AW20" s="32" t="str">
        <f t="shared" si="60"/>
        <v>3.15806529976402E-06i</v>
      </c>
      <c r="AX20" s="32">
        <f t="shared" ref="AX20:AX83" si="88">IMABS(AW20)</f>
        <v>3.1580652997640198E-6</v>
      </c>
      <c r="AY20" s="32">
        <f t="shared" ref="AY20:AY83" si="89">IMARGUMENT(AW20)</f>
        <v>1.5707963267948966</v>
      </c>
      <c r="AZ20" s="32" t="str">
        <f t="shared" si="61"/>
        <v>1+0.00128844678028567i</v>
      </c>
      <c r="BA20" s="32">
        <f t="shared" ref="BA20:BA83" si="90">IMABS(AZ20)</f>
        <v>1.0000008300472083</v>
      </c>
      <c r="BB20" s="32">
        <f t="shared" ref="BB20:BB83" si="91">IMARGUMENT(AZ20)</f>
        <v>1.2884460673049823E-3</v>
      </c>
      <c r="BC20" s="32" t="str">
        <f t="shared" si="62"/>
        <v>1+0.0618454454537122i</v>
      </c>
      <c r="BD20" s="32">
        <f t="shared" ref="BD20:BD83" si="92">IMABS(BC20)</f>
        <v>1.0019106043571793</v>
      </c>
      <c r="BE20" s="32">
        <f t="shared" ref="BE20:BE83" si="93">IMARGUMENT(BC20)</f>
        <v>6.1766775876217157E-2</v>
      </c>
      <c r="BF20" s="59" t="str">
        <f t="shared" ref="BF20:BF83" si="94">IMPRODUCT(AV20,IMDIV(BC20,IMPRODUCT(AW20,AZ20)))</f>
        <v>-0.639177179645833+10.5558090097669i</v>
      </c>
      <c r="BG20" s="50">
        <f t="shared" ref="BG20:BG83" si="95">20*LOG(IMABS(BF20))</f>
        <v>20.485725046465141</v>
      </c>
      <c r="BH20" s="61">
        <f t="shared" ref="BH20:BH83" si="96">(180/PI())*IMARGUMENT(BF20)</f>
        <v>93.465153050050901</v>
      </c>
      <c r="BI20" s="59" t="str">
        <f t="shared" ref="BI20:BI83" si="97">IMPRODUCT(AF20,BF20)</f>
        <v>-0.324913254104093+135.264981564687i</v>
      </c>
      <c r="BJ20" s="64">
        <f t="shared" ref="BJ20:BJ83" si="98">20*LOG(IMABS(BI20))</f>
        <v>42.623732611330198</v>
      </c>
      <c r="BK20" s="61">
        <f t="shared" ref="BK20:BK83" si="99">(180/PI())*IMARGUMENT(BI20)</f>
        <v>90.137627064660009</v>
      </c>
      <c r="BL20" s="59" t="str">
        <f t="shared" ref="BL20:BL49" si="100">IMPRODUCT(AS20,BF20)</f>
        <v>-7.43025926420262+1149.58601526167i</v>
      </c>
      <c r="BM20" s="64">
        <f t="shared" ref="BM20:BM83" si="101">20*LOG(IMABS(BL20))</f>
        <v>61.211010865428896</v>
      </c>
      <c r="BN20" s="61">
        <f t="shared" ref="BN20:BN49" si="102">(180/PI())*IMARGUMENT(BL20)</f>
        <v>90.370321631197143</v>
      </c>
      <c r="BO20" s="50">
        <f t="shared" ref="BO20:BO83" si="103">IF($B$31=0,BM20,BJ20)</f>
        <v>42.623732611330198</v>
      </c>
      <c r="BP20" s="61">
        <f t="shared" ref="BP20:BP83" si="104">IF($B$31=0,BN20,BK20)</f>
        <v>90.137627064660009</v>
      </c>
    </row>
    <row r="21" spans="1:68" s="32" customFormat="1" x14ac:dyDescent="0.25">
      <c r="A21"/>
      <c r="B21"/>
      <c r="C21"/>
      <c r="D21"/>
      <c r="E21"/>
      <c r="F21"/>
      <c r="G21"/>
      <c r="N21" s="11">
        <v>3</v>
      </c>
      <c r="O21" s="51">
        <f t="shared" si="63"/>
        <v>10.715193052376069</v>
      </c>
      <c r="P21" s="49" t="str">
        <f t="shared" si="52"/>
        <v>25.6231073841137</v>
      </c>
      <c r="Q21" s="18" t="str">
        <f t="shared" si="64"/>
        <v>1+0.058221775082791i</v>
      </c>
      <c r="R21" s="18">
        <f t="shared" si="65"/>
        <v>1.0016934536542559</v>
      </c>
      <c r="S21" s="18">
        <f t="shared" si="66"/>
        <v>5.8156122318982477E-2</v>
      </c>
      <c r="T21" s="18" t="str">
        <f t="shared" si="53"/>
        <v>1+0.000060592989195254i</v>
      </c>
      <c r="U21" s="18">
        <f t="shared" si="67"/>
        <v>1.0000000018357551</v>
      </c>
      <c r="V21" s="18">
        <f t="shared" si="68"/>
        <v>6.0592989121098075E-5</v>
      </c>
      <c r="W21" s="32" t="str">
        <f t="shared" si="54"/>
        <v>1-0.00135773179493069i</v>
      </c>
      <c r="X21" s="18">
        <f t="shared" si="69"/>
        <v>1.0000009217173886</v>
      </c>
      <c r="Y21" s="18">
        <f t="shared" si="70"/>
        <v>-1.3577309606345584E-3</v>
      </c>
      <c r="Z21" s="32" t="str">
        <f t="shared" si="71"/>
        <v>0.999999997129616+0.00010749645120195i</v>
      </c>
      <c r="AA21" s="18">
        <f t="shared" si="72"/>
        <v>1.0000000029073592</v>
      </c>
      <c r="AB21" s="18">
        <f t="shared" si="73"/>
        <v>1.0749645109644816E-4</v>
      </c>
      <c r="AC21" s="32" t="str">
        <f>IMDIV(IMSUM(COMPLEX(0,2*PI()*O21*Constants!$B$71*Constants!$B$72),COMPLEX(1,0)),IMSUM(COMPLEX(0,2*PI()*O21*Constants!$B$71*Constants!$B$72),COMPLEX(2,0)))</f>
        <v>0.500000009065457+0.0000673255423296083i</v>
      </c>
      <c r="AD21" s="18">
        <f t="shared" si="74"/>
        <v>0.50000001359818558</v>
      </c>
      <c r="AE21" s="18">
        <f t="shared" si="75"/>
        <v>1.3465108140408701E-4</v>
      </c>
      <c r="AF21" s="66" t="str">
        <f t="shared" si="76"/>
        <v>12.7673298314042-0.759607076663867i</v>
      </c>
      <c r="AG21" s="64">
        <f t="shared" si="77"/>
        <v>22.137347542186909</v>
      </c>
      <c r="AH21" s="61">
        <f t="shared" si="78"/>
        <v>-3.4048650472272786</v>
      </c>
      <c r="AI21" s="50" t="str">
        <f t="shared" si="55"/>
        <v>108.866083054159</v>
      </c>
      <c r="AJ21" s="50" t="str">
        <f t="shared" si="56"/>
        <v>1+0.0550845356320491i</v>
      </c>
      <c r="AK21" s="50">
        <f t="shared" si="79"/>
        <v>1.0015160038989883</v>
      </c>
      <c r="AL21" s="50">
        <f t="shared" si="80"/>
        <v>5.5028922398668849E-2</v>
      </c>
      <c r="AM21" s="50" t="str">
        <f t="shared" si="57"/>
        <v>1+0.000060592989195254i</v>
      </c>
      <c r="AN21" s="50">
        <f t="shared" si="81"/>
        <v>1.0000000018357551</v>
      </c>
      <c r="AO21" s="50">
        <f t="shared" si="82"/>
        <v>6.0592989121098075E-5</v>
      </c>
      <c r="AP21" s="50" t="str">
        <f t="shared" si="58"/>
        <v>1-0.000302340918648483i</v>
      </c>
      <c r="AQ21" s="50">
        <f t="shared" si="83"/>
        <v>1.0000000457050144</v>
      </c>
      <c r="AR21" s="50">
        <f t="shared" si="84"/>
        <v>-3.0234090943615253E-4</v>
      </c>
      <c r="AS21" s="59" t="str">
        <f t="shared" si="85"/>
        <v>108.535305988163-6.00493508020636i</v>
      </c>
      <c r="AT21" s="50">
        <f t="shared" si="86"/>
        <v>40.724694491721671</v>
      </c>
      <c r="AU21" s="61">
        <f t="shared" si="87"/>
        <v>-3.1667761401367742</v>
      </c>
      <c r="AV21" s="32" t="str">
        <f t="shared" si="59"/>
        <v>-0.0000333333333333333</v>
      </c>
      <c r="AW21" s="32" t="str">
        <f t="shared" si="60"/>
        <v>3.23162609041354E-06i</v>
      </c>
      <c r="AX21" s="32">
        <f t="shared" si="88"/>
        <v>3.2316260904135398E-6</v>
      </c>
      <c r="AY21" s="32">
        <f t="shared" si="89"/>
        <v>1.5707963267948966</v>
      </c>
      <c r="AZ21" s="32" t="str">
        <f t="shared" si="61"/>
        <v>1+0.00131845856119303i</v>
      </c>
      <c r="BA21" s="32">
        <f t="shared" si="90"/>
        <v>1.0000008691661111</v>
      </c>
      <c r="BB21" s="32">
        <f t="shared" si="91"/>
        <v>1.3184577972204946E-3</v>
      </c>
      <c r="BC21" s="32" t="str">
        <f t="shared" si="62"/>
        <v>1+0.0632860109372653i</v>
      </c>
      <c r="BD21" s="32">
        <f t="shared" si="92"/>
        <v>1.0020005584730738</v>
      </c>
      <c r="BE21" s="32">
        <f t="shared" si="93"/>
        <v>6.3201724053401201E-2</v>
      </c>
      <c r="BF21" s="59" t="str">
        <f t="shared" si="94"/>
        <v>-0.639177129638059+10.3155673906151i</v>
      </c>
      <c r="BG21" s="50">
        <f t="shared" si="95"/>
        <v>20.286504513231471</v>
      </c>
      <c r="BH21" s="61">
        <f t="shared" si="96"/>
        <v>93.545649978963482</v>
      </c>
      <c r="BI21" s="59" t="str">
        <f t="shared" si="97"/>
        <v>-0.324807245065048+132.187774744975i</v>
      </c>
      <c r="BJ21" s="64">
        <f t="shared" si="98"/>
        <v>42.423852055418358</v>
      </c>
      <c r="BK21" s="61">
        <f t="shared" si="99"/>
        <v>90.140784931736206</v>
      </c>
      <c r="BL21" s="59" t="str">
        <f t="shared" si="100"/>
        <v>-7.42897284976505+1123.44148035016i</v>
      </c>
      <c r="BM21" s="64">
        <f t="shared" si="101"/>
        <v>61.011199004953184</v>
      </c>
      <c r="BN21" s="61">
        <f t="shared" si="102"/>
        <v>90.378873838826706</v>
      </c>
      <c r="BO21" s="50">
        <f t="shared" si="103"/>
        <v>42.423852055418358</v>
      </c>
      <c r="BP21" s="61">
        <f t="shared" si="104"/>
        <v>90.140784931736206</v>
      </c>
    </row>
    <row r="22" spans="1:68" x14ac:dyDescent="0.25">
      <c r="A22" t="s">
        <v>151</v>
      </c>
      <c r="N22" s="11">
        <v>4</v>
      </c>
      <c r="O22" s="51">
        <f t="shared" si="63"/>
        <v>10.964781961431854</v>
      </c>
      <c r="P22" s="49" t="str">
        <f t="shared" si="52"/>
        <v>25.6231073841137</v>
      </c>
      <c r="Q22" s="18" t="str">
        <f t="shared" si="64"/>
        <v>1+0.0595779344403662i</v>
      </c>
      <c r="R22" s="18">
        <f t="shared" si="65"/>
        <v>1.0017731930293308</v>
      </c>
      <c r="S22" s="18">
        <f t="shared" si="66"/>
        <v>5.9507592959950312E-2</v>
      </c>
      <c r="T22" s="18" t="str">
        <f t="shared" si="53"/>
        <v>1+0.0000620043812248468i</v>
      </c>
      <c r="U22" s="18">
        <f t="shared" si="67"/>
        <v>1.0000000019222717</v>
      </c>
      <c r="V22" s="18">
        <f t="shared" si="68"/>
        <v>6.200438114538729E-5</v>
      </c>
      <c r="W22" s="32" t="str">
        <f t="shared" si="54"/>
        <v>1-0.00138935743114935i</v>
      </c>
      <c r="X22" s="18">
        <f t="shared" si="69"/>
        <v>1.00000096515657</v>
      </c>
      <c r="Y22" s="18">
        <f t="shared" si="70"/>
        <v>-1.3893565371849855E-3</v>
      </c>
      <c r="Z22" s="32" t="str">
        <f t="shared" si="71"/>
        <v>0.999999996994339+0.000110000365210006i</v>
      </c>
      <c r="AA22" s="18">
        <f t="shared" si="72"/>
        <v>1.0000000030443792</v>
      </c>
      <c r="AB22" s="18">
        <f t="shared" si="73"/>
        <v>1.1000036509695873E-4</v>
      </c>
      <c r="AC22" s="32" t="str">
        <f>IMDIV(IMSUM(COMPLEX(0,2*PI()*O22*Constants!$B$71*Constants!$B$72),COMPLEX(1,0)),IMSUM(COMPLEX(0,2*PI()*O22*Constants!$B$71*Constants!$B$72),COMPLEX(2,0)))</f>
        <v>0.500000009492699+0.0000688937556085211i</v>
      </c>
      <c r="AD22" s="18">
        <f t="shared" si="74"/>
        <v>0.50000001423904838</v>
      </c>
      <c r="AE22" s="18">
        <f t="shared" si="75"/>
        <v>1.37787507729108E-4</v>
      </c>
      <c r="AF22" s="66" t="str">
        <f t="shared" si="76"/>
        <v>12.7652529968483-0.777176864944829i</v>
      </c>
      <c r="AG22" s="64">
        <f t="shared" si="77"/>
        <v>22.136656521211982</v>
      </c>
      <c r="AH22" s="61">
        <f t="shared" si="78"/>
        <v>-3.4839935160586704</v>
      </c>
      <c r="AI22" s="50" t="str">
        <f t="shared" si="55"/>
        <v>108.866083054159</v>
      </c>
      <c r="AJ22" s="50" t="str">
        <f t="shared" si="56"/>
        <v>1+0.0563676192953153i</v>
      </c>
      <c r="AK22" s="50">
        <f t="shared" si="79"/>
        <v>1.0015873943421121</v>
      </c>
      <c r="AL22" s="50">
        <f t="shared" si="80"/>
        <v>5.6308033741747546E-2</v>
      </c>
      <c r="AM22" s="50" t="str">
        <f t="shared" si="57"/>
        <v>1+0.0000620043812248468i</v>
      </c>
      <c r="AN22" s="50">
        <f t="shared" si="81"/>
        <v>1.0000000019222717</v>
      </c>
      <c r="AO22" s="50">
        <f t="shared" si="82"/>
        <v>6.200438114538729E-5</v>
      </c>
      <c r="AP22" s="50" t="str">
        <f t="shared" si="58"/>
        <v>1-0.000309383343332718i</v>
      </c>
      <c r="AQ22" s="50">
        <f t="shared" si="83"/>
        <v>1.0000000478590254</v>
      </c>
      <c r="AR22" s="50">
        <f t="shared" si="84"/>
        <v>-3.0938333346152813E-4</v>
      </c>
      <c r="AS22" s="59" t="str">
        <f t="shared" si="85"/>
        <v>108.519766319635-6.14393205255647i</v>
      </c>
      <c r="AT22" s="50">
        <f t="shared" si="86"/>
        <v>40.724075382373819</v>
      </c>
      <c r="AU22" s="61">
        <f t="shared" si="87"/>
        <v>-3.2403864559904592</v>
      </c>
      <c r="AV22" s="32" t="str">
        <f t="shared" si="59"/>
        <v>-0.0000333333333333333</v>
      </c>
      <c r="AW22" s="32" t="str">
        <f t="shared" si="60"/>
        <v>3.30690033199183E-06i</v>
      </c>
      <c r="AX22" s="32">
        <f t="shared" si="88"/>
        <v>3.3069003319918299E-6</v>
      </c>
      <c r="AY22" s="32">
        <f t="shared" si="89"/>
        <v>1.5707963267948966</v>
      </c>
      <c r="AZ22" s="32" t="str">
        <f t="shared" si="61"/>
        <v>1+0.00134916940628139i</v>
      </c>
      <c r="BA22" s="32">
        <f t="shared" si="90"/>
        <v>1.0000009101286294</v>
      </c>
      <c r="BB22" s="32">
        <f t="shared" si="91"/>
        <v>1.3491685876701098E-3</v>
      </c>
      <c r="BC22" s="32" t="str">
        <f t="shared" si="62"/>
        <v>1+0.0647601315015068i</v>
      </c>
      <c r="BD22" s="32">
        <f t="shared" si="92"/>
        <v>1.0020947433412135</v>
      </c>
      <c r="BE22" s="32">
        <f t="shared" si="93"/>
        <v>6.4669826671548233E-2</v>
      </c>
      <c r="BF22" s="59" t="str">
        <f t="shared" si="94"/>
        <v>-0.639177077273496+10.0807952218302i</v>
      </c>
      <c r="BG22" s="50">
        <f t="shared" si="95"/>
        <v>20.087320565088827</v>
      </c>
      <c r="BH22" s="61">
        <f t="shared" si="96"/>
        <v>93.628006464197128</v>
      </c>
      <c r="BI22" s="59" t="str">
        <f t="shared" si="97"/>
        <v>-0.324696274529425+129.180655053142i</v>
      </c>
      <c r="BJ22" s="64">
        <f t="shared" si="98"/>
        <v>42.223977086300806</v>
      </c>
      <c r="BK22" s="61">
        <f t="shared" si="99"/>
        <v>90.144012948138453</v>
      </c>
      <c r="BL22" s="59" t="str">
        <f t="shared" si="100"/>
        <v>-7.42762618392639+1097.89260232143i</v>
      </c>
      <c r="BM22" s="64">
        <f t="shared" si="101"/>
        <v>60.811395947462678</v>
      </c>
      <c r="BN22" s="61">
        <f t="shared" si="102"/>
        <v>90.387620008206667</v>
      </c>
      <c r="BO22" s="50">
        <f t="shared" si="103"/>
        <v>42.223977086300806</v>
      </c>
      <c r="BP22" s="61">
        <f t="shared" si="104"/>
        <v>90.144012948138453</v>
      </c>
    </row>
    <row r="23" spans="1:68" x14ac:dyDescent="0.25">
      <c r="A23" t="s">
        <v>152</v>
      </c>
      <c r="B23" s="44">
        <f>Lm</f>
        <v>3.2999999999999997E-6</v>
      </c>
      <c r="C23" t="s">
        <v>76</v>
      </c>
      <c r="E23" t="s">
        <v>153</v>
      </c>
      <c r="N23" s="11">
        <v>5</v>
      </c>
      <c r="O23" s="51">
        <f t="shared" si="63"/>
        <v>11.220184543019636</v>
      </c>
      <c r="P23" s="49" t="str">
        <f t="shared" si="52"/>
        <v>25.6231073841137</v>
      </c>
      <c r="Q23" s="18" t="str">
        <f t="shared" si="64"/>
        <v>1+0.0609656828073889i</v>
      </c>
      <c r="R23" s="18">
        <f t="shared" si="65"/>
        <v>1.0018566836030847</v>
      </c>
      <c r="S23" s="18">
        <f t="shared" si="66"/>
        <v>6.0890318095239669E-2</v>
      </c>
      <c r="T23" s="18" t="str">
        <f t="shared" si="53"/>
        <v>1+0.0000634486487980901i</v>
      </c>
      <c r="U23" s="18">
        <f t="shared" si="67"/>
        <v>1.0000000020128654</v>
      </c>
      <c r="V23" s="18">
        <f t="shared" si="68"/>
        <v>6.3448648712947705E-5</v>
      </c>
      <c r="W23" s="32" t="str">
        <f t="shared" si="54"/>
        <v>1-0.00142171972306831i</v>
      </c>
      <c r="X23" s="18">
        <f t="shared" si="69"/>
        <v>1.0000010106429749</v>
      </c>
      <c r="Y23" s="18">
        <f t="shared" si="70"/>
        <v>-1.4217187651682874E-3</v>
      </c>
      <c r="Z23" s="32" t="str">
        <f t="shared" si="71"/>
        <v>0.999999996852686+0.000112562602867723i</v>
      </c>
      <c r="AA23" s="18">
        <f t="shared" si="72"/>
        <v>1.0000000031878558</v>
      </c>
      <c r="AB23" s="18">
        <f t="shared" si="73"/>
        <v>1.1256260274659071E-4</v>
      </c>
      <c r="AC23" s="32" t="str">
        <f>IMDIV(IMSUM(COMPLEX(0,2*PI()*O23*Constants!$B$71*Constants!$B$72),COMPLEX(1,0)),IMSUM(COMPLEX(0,2*PI()*O23*Constants!$B$71*Constants!$B$72),COMPLEX(2,0)))</f>
        <v>0.500000009940076+0.0000704984972630236i</v>
      </c>
      <c r="AD23" s="18">
        <f t="shared" si="74"/>
        <v>0.50000001491011403</v>
      </c>
      <c r="AE23" s="18">
        <f t="shared" si="75"/>
        <v>1.409969907886584E-4</v>
      </c>
      <c r="AF23" s="66" t="str">
        <f t="shared" si="76"/>
        <v>12.7630789926782-0.795147100034443i</v>
      </c>
      <c r="AG23" s="64">
        <f t="shared" si="77"/>
        <v>22.135933051380391</v>
      </c>
      <c r="AH23" s="61">
        <f t="shared" si="78"/>
        <v>-3.5649522147500852</v>
      </c>
      <c r="AI23" s="50" t="str">
        <f t="shared" si="55"/>
        <v>108.866083054159</v>
      </c>
      <c r="AJ23" s="50" t="str">
        <f t="shared" si="56"/>
        <v>1+0.0576805898164456i</v>
      </c>
      <c r="AK23" s="50">
        <f t="shared" si="79"/>
        <v>1.0016621438596813</v>
      </c>
      <c r="AL23" s="50">
        <f t="shared" si="80"/>
        <v>5.7616748466165907E-2</v>
      </c>
      <c r="AM23" s="50" t="str">
        <f t="shared" si="57"/>
        <v>1+0.0000634486487980901i</v>
      </c>
      <c r="AN23" s="50">
        <f t="shared" si="81"/>
        <v>1.0000000020128654</v>
      </c>
      <c r="AO23" s="50">
        <f t="shared" si="82"/>
        <v>6.3448648712947705E-5</v>
      </c>
      <c r="AP23" s="50" t="str">
        <f t="shared" si="58"/>
        <v>1-0.000316589807160761i</v>
      </c>
      <c r="AQ23" s="50">
        <f t="shared" si="83"/>
        <v>1.0000000501145516</v>
      </c>
      <c r="AR23" s="50">
        <f t="shared" si="84"/>
        <v>-3.1658979658359053E-4</v>
      </c>
      <c r="AS23" s="59" t="str">
        <f t="shared" si="85"/>
        <v>108.503499036842-6.28610430796392i</v>
      </c>
      <c r="AT23" s="50">
        <f t="shared" si="86"/>
        <v>40.723427189887822</v>
      </c>
      <c r="AU23" s="61">
        <f t="shared" si="87"/>
        <v>-3.3157004357722504</v>
      </c>
      <c r="AV23" s="32" t="str">
        <f t="shared" si="59"/>
        <v>-0.0000333333333333333</v>
      </c>
      <c r="AW23" s="32" t="str">
        <f t="shared" si="60"/>
        <v>3.38392793589813E-06i</v>
      </c>
      <c r="AX23" s="32">
        <f t="shared" si="88"/>
        <v>3.3839279358981299E-6</v>
      </c>
      <c r="AY23" s="32">
        <f t="shared" si="89"/>
        <v>1.5707963267948966</v>
      </c>
      <c r="AZ23" s="32" t="str">
        <f t="shared" si="61"/>
        <v>1+0.00138059559884733i</v>
      </c>
      <c r="BA23" s="32">
        <f t="shared" si="90"/>
        <v>1.0000009530216496</v>
      </c>
      <c r="BB23" s="32">
        <f t="shared" si="91"/>
        <v>1.3805947216895852E-3</v>
      </c>
      <c r="BC23" s="32" t="str">
        <f t="shared" si="62"/>
        <v>1+0.066268588744672i</v>
      </c>
      <c r="BD23" s="32">
        <f t="shared" si="92"/>
        <v>1.0021933575185031</v>
      </c>
      <c r="BE23" s="32">
        <f t="shared" si="93"/>
        <v>6.6171836809919296E-2</v>
      </c>
      <c r="BF23" s="59" t="str">
        <f t="shared" si="94"/>
        <v>-0.639177022441083+9.85136802410036i</v>
      </c>
      <c r="BG23" s="50">
        <f t="shared" si="95"/>
        <v>19.88817491182521</v>
      </c>
      <c r="BH23" s="61">
        <f t="shared" si="96"/>
        <v>93.712264721065949</v>
      </c>
      <c r="BI23" s="59" t="str">
        <f t="shared" si="97"/>
        <v>-0.324580111984947+126.24202803334i</v>
      </c>
      <c r="BJ23" s="64">
        <f t="shared" si="98"/>
        <v>42.02410796320563</v>
      </c>
      <c r="BK23" s="61">
        <f t="shared" si="99"/>
        <v>90.14731250631587</v>
      </c>
      <c r="BL23" s="59" t="str">
        <f t="shared" si="100"/>
        <v>-7.4262164631723+1072.92583434887i</v>
      </c>
      <c r="BM23" s="64">
        <f t="shared" si="101"/>
        <v>60.611602101713046</v>
      </c>
      <c r="BN23" s="61">
        <f t="shared" si="102"/>
        <v>90.396564285293707</v>
      </c>
      <c r="BO23" s="50">
        <f t="shared" si="103"/>
        <v>42.02410796320563</v>
      </c>
      <c r="BP23" s="61">
        <f t="shared" si="104"/>
        <v>90.14731250631587</v>
      </c>
    </row>
    <row r="24" spans="1:68" x14ac:dyDescent="0.25">
      <c r="A24" s="32"/>
      <c r="B24" s="32"/>
      <c r="C24" s="32"/>
      <c r="D24" s="32"/>
      <c r="E24" s="32"/>
      <c r="F24" s="32"/>
      <c r="G24" s="32"/>
      <c r="N24" s="11">
        <v>6</v>
      </c>
      <c r="O24" s="51">
        <f t="shared" si="63"/>
        <v>11.481536214968834</v>
      </c>
      <c r="P24" s="49" t="str">
        <f t="shared" si="52"/>
        <v>25.6231073841137</v>
      </c>
      <c r="Q24" s="18" t="str">
        <f t="shared" si="64"/>
        <v>1+0.0623857559864124i</v>
      </c>
      <c r="R24" s="18">
        <f t="shared" si="65"/>
        <v>1.0019441015096582</v>
      </c>
      <c r="S24" s="18">
        <f t="shared" si="66"/>
        <v>6.2305009702695834E-2</v>
      </c>
      <c r="T24" s="18" t="str">
        <f t="shared" si="53"/>
        <v>1+0.0000649265576847683i</v>
      </c>
      <c r="U24" s="18">
        <f t="shared" si="67"/>
        <v>1.0000000021077289</v>
      </c>
      <c r="V24" s="18">
        <f t="shared" si="68"/>
        <v>6.4926557593536578E-5</v>
      </c>
      <c r="W24" s="32" t="str">
        <f t="shared" si="54"/>
        <v>1-0.00145483582960314i</v>
      </c>
      <c r="X24" s="18">
        <f t="shared" si="69"/>
        <v>1.0000010582730856</v>
      </c>
      <c r="Y24" s="18">
        <f t="shared" si="70"/>
        <v>-1.4548348031948319E-3</v>
      </c>
      <c r="Z24" s="32" t="str">
        <f t="shared" si="71"/>
        <v>0.999999996704358+0.000115184522707422i</v>
      </c>
      <c r="AA24" s="18">
        <f t="shared" si="72"/>
        <v>1.0000000033380951</v>
      </c>
      <c r="AB24" s="18">
        <f t="shared" si="73"/>
        <v>1.1518452257762638E-4</v>
      </c>
      <c r="AC24" s="32" t="str">
        <f>IMDIV(IMSUM(COMPLEX(0,2*PI()*O24*Constants!$B$71*Constants!$B$72),COMPLEX(1,0)),IMSUM(COMPLEX(0,2*PI()*O24*Constants!$B$71*Constants!$B$72),COMPLEX(2,0)))</f>
        <v>0.500000010408538+0.0000721406181479858i</v>
      </c>
      <c r="AD24" s="18">
        <f t="shared" si="74"/>
        <v>0.50000001561280671</v>
      </c>
      <c r="AE24" s="18">
        <f t="shared" si="75"/>
        <v>1.4428123229128715E-4</v>
      </c>
      <c r="AF24" s="66" t="str">
        <f t="shared" si="76"/>
        <v>12.7608033074051-0.81352648497539i</v>
      </c>
      <c r="AG24" s="64">
        <f t="shared" si="77"/>
        <v>22.135175614761874</v>
      </c>
      <c r="AH24" s="61">
        <f t="shared" si="78"/>
        <v>-3.6477828562052026</v>
      </c>
      <c r="AI24" s="50" t="str">
        <f t="shared" si="55"/>
        <v>108.866083054159</v>
      </c>
      <c r="AJ24" s="50" t="str">
        <f t="shared" si="56"/>
        <v>1+0.0590241433497894i</v>
      </c>
      <c r="AK24" s="50">
        <f t="shared" si="79"/>
        <v>1.001740410235195</v>
      </c>
      <c r="AL24" s="50">
        <f t="shared" si="80"/>
        <v>5.895574252780135E-2</v>
      </c>
      <c r="AM24" s="50" t="str">
        <f t="shared" si="57"/>
        <v>1+0.0000649265576847683i</v>
      </c>
      <c r="AN24" s="50">
        <f t="shared" si="81"/>
        <v>1.0000000021077289</v>
      </c>
      <c r="AO24" s="50">
        <f t="shared" si="82"/>
        <v>6.4926557593536578E-5</v>
      </c>
      <c r="AP24" s="50" t="str">
        <f t="shared" si="58"/>
        <v>1-0.000323964131095122i</v>
      </c>
      <c r="AQ24" s="50">
        <f t="shared" si="83"/>
        <v>1.0000000524763777</v>
      </c>
      <c r="AR24" s="50">
        <f t="shared" si="84"/>
        <v>-3.2396411976147969E-4</v>
      </c>
      <c r="AS24" s="59" t="str">
        <f t="shared" si="85"/>
        <v>108.486470304102-6.43152138072302i</v>
      </c>
      <c r="AT24" s="50">
        <f t="shared" si="86"/>
        <v>40.722748552712119</v>
      </c>
      <c r="AU24" s="61">
        <f t="shared" si="87"/>
        <v>-3.3927569839505343</v>
      </c>
      <c r="AV24" s="32" t="str">
        <f t="shared" si="59"/>
        <v>-0.0000333333333333333</v>
      </c>
      <c r="AW24" s="32" t="str">
        <f t="shared" si="60"/>
        <v>3.46274974318764E-06i</v>
      </c>
      <c r="AX24" s="32">
        <f t="shared" si="88"/>
        <v>3.4627497431876398E-6</v>
      </c>
      <c r="AY24" s="32">
        <f t="shared" si="89"/>
        <v>1.5707963267948966</v>
      </c>
      <c r="AZ24" s="32" t="str">
        <f t="shared" si="61"/>
        <v>1+0.00141275380147413i</v>
      </c>
      <c r="BA24" s="32">
        <f t="shared" si="90"/>
        <v>1.0000009979361537</v>
      </c>
      <c r="BB24" s="32">
        <f t="shared" si="91"/>
        <v>1.4127528615827233E-3</v>
      </c>
      <c r="BC24" s="32" t="str">
        <f t="shared" si="62"/>
        <v>1+0.0678121824707581i</v>
      </c>
      <c r="BD24" s="32">
        <f t="shared" si="92"/>
        <v>1.0022966088396426</v>
      </c>
      <c r="BE24" s="32">
        <f t="shared" si="93"/>
        <v>6.7708523730210371E-2</v>
      </c>
      <c r="BF24" s="59" t="str">
        <f t="shared" si="94"/>
        <v>-0.639176965024499+9.62716415208802i</v>
      </c>
      <c r="BG24" s="50">
        <f t="shared" si="95"/>
        <v>19.689069342426858</v>
      </c>
      <c r="BH24" s="61">
        <f t="shared" si="96"/>
        <v>93.798467870338712</v>
      </c>
      <c r="BI24" s="59" t="str">
        <f t="shared" si="97"/>
        <v>-0.324458516372534+123.37033554253i</v>
      </c>
      <c r="BJ24" s="64">
        <f t="shared" si="98"/>
        <v>41.824244957188711</v>
      </c>
      <c r="BK24" s="61">
        <f t="shared" si="99"/>
        <v>90.150685014133515</v>
      </c>
      <c r="BL24" s="59" t="str">
        <f t="shared" si="100"/>
        <v>-7.42474075531205+1048.52793821483i</v>
      </c>
      <c r="BM24" s="64">
        <f t="shared" si="101"/>
        <v>60.411817895138959</v>
      </c>
      <c r="BN24" s="61">
        <f t="shared" si="102"/>
        <v>90.405710886388164</v>
      </c>
      <c r="BO24" s="50">
        <f t="shared" si="103"/>
        <v>41.824244957188711</v>
      </c>
      <c r="BP24" s="61">
        <f t="shared" si="104"/>
        <v>90.150685014133515</v>
      </c>
    </row>
    <row r="25" spans="1:68" x14ac:dyDescent="0.25">
      <c r="A25" t="s">
        <v>120</v>
      </c>
      <c r="B25" s="44">
        <f>R_cs</f>
        <v>1.5E-3</v>
      </c>
      <c r="C25" s="2" t="s">
        <v>29</v>
      </c>
      <c r="E25" t="s">
        <v>154</v>
      </c>
      <c r="N25" s="11">
        <v>7</v>
      </c>
      <c r="O25" s="51">
        <f t="shared" si="63"/>
        <v>11.748975549395301</v>
      </c>
      <c r="P25" s="49" t="str">
        <f t="shared" si="52"/>
        <v>25.6231073841137</v>
      </c>
      <c r="Q25" s="18" t="str">
        <f t="shared" si="64"/>
        <v>1+0.0638389069190329i</v>
      </c>
      <c r="R25" s="18">
        <f t="shared" si="65"/>
        <v>1.0020356311212775</v>
      </c>
      <c r="S25" s="18">
        <f t="shared" si="66"/>
        <v>6.3752395207377757E-2</v>
      </c>
      <c r="T25" s="18" t="str">
        <f t="shared" si="53"/>
        <v>1+0.0000664388914917356i</v>
      </c>
      <c r="U25" s="18">
        <f t="shared" si="67"/>
        <v>1.0000000022070632</v>
      </c>
      <c r="V25" s="18">
        <f t="shared" si="68"/>
        <v>6.643889139397906E-5</v>
      </c>
      <c r="W25" s="32" t="str">
        <f t="shared" si="54"/>
        <v>1-0.00148872330935185i</v>
      </c>
      <c r="X25" s="18">
        <f t="shared" si="69"/>
        <v>1.0000011081479319</v>
      </c>
      <c r="Y25" s="18">
        <f t="shared" si="70"/>
        <v>-1.488722209535599E-3</v>
      </c>
      <c r="Z25" s="32" t="str">
        <f t="shared" si="71"/>
        <v>0.999999996549039+0.000117867514905709i</v>
      </c>
      <c r="AA25" s="18">
        <f t="shared" si="72"/>
        <v>1.0000000034954144</v>
      </c>
      <c r="AB25" s="18">
        <f t="shared" si="73"/>
        <v>1.1786751476663051E-4</v>
      </c>
      <c r="AC25" s="32" t="str">
        <f>IMDIV(IMSUM(COMPLEX(0,2*PI()*O25*Constants!$B$71*Constants!$B$72),COMPLEX(1,0)),IMSUM(COMPLEX(0,2*PI()*O25*Constants!$B$71*Constants!$B$72),COMPLEX(2,0)))</f>
        <v>0.500000010899077+0.0000738209889372114i</v>
      </c>
      <c r="AD25" s="18">
        <f t="shared" si="74"/>
        <v>0.50000001634861524</v>
      </c>
      <c r="AE25" s="18">
        <f t="shared" si="75"/>
        <v>1.4764197358332621E-4</v>
      </c>
      <c r="AF25" s="66" t="str">
        <f t="shared" si="76"/>
        <v>12.7584212234213-0.832323881498034i</v>
      </c>
      <c r="AG25" s="64">
        <f t="shared" si="77"/>
        <v>22.134382622975913</v>
      </c>
      <c r="AH25" s="61">
        <f t="shared" si="78"/>
        <v>-3.7325280598067083</v>
      </c>
      <c r="AI25" s="50" t="str">
        <f t="shared" si="55"/>
        <v>108.866083054159</v>
      </c>
      <c r="AJ25" s="50" t="str">
        <f t="shared" si="56"/>
        <v>1+0.0603989922652142i</v>
      </c>
      <c r="AK25" s="50">
        <f t="shared" si="79"/>
        <v>1.0018223586378243</v>
      </c>
      <c r="AL25" s="50">
        <f t="shared" si="80"/>
        <v>6.0325706662653605E-2</v>
      </c>
      <c r="AM25" s="50" t="str">
        <f t="shared" si="57"/>
        <v>1+0.0000664388914917356i</v>
      </c>
      <c r="AN25" s="50">
        <f t="shared" si="81"/>
        <v>1.0000000022070632</v>
      </c>
      <c r="AO25" s="50">
        <f t="shared" si="82"/>
        <v>6.643889139397906E-5</v>
      </c>
      <c r="AP25" s="50" t="str">
        <f t="shared" si="58"/>
        <v>1-0.000331510225099962i</v>
      </c>
      <c r="AQ25" s="50">
        <f t="shared" si="83"/>
        <v>1.0000000549495132</v>
      </c>
      <c r="AR25" s="50">
        <f t="shared" si="84"/>
        <v>-3.3151021295574546E-4</v>
      </c>
      <c r="AS25" s="59" t="str">
        <f t="shared" si="85"/>
        <v>108.468644734729-6.58025411217102i</v>
      </c>
      <c r="AT25" s="50">
        <f t="shared" si="86"/>
        <v>40.722038046000023</v>
      </c>
      <c r="AU25" s="61">
        <f t="shared" si="87"/>
        <v>-3.4715958559097193</v>
      </c>
      <c r="AV25" s="32" t="str">
        <f t="shared" si="59"/>
        <v>-0.0000333333333333333</v>
      </c>
      <c r="AW25" s="32" t="str">
        <f t="shared" si="60"/>
        <v>3.54340754622589E-06i</v>
      </c>
      <c r="AX25" s="32">
        <f t="shared" si="88"/>
        <v>3.54340754622589E-6</v>
      </c>
      <c r="AY25" s="32">
        <f t="shared" si="89"/>
        <v>1.5707963267948966</v>
      </c>
      <c r="AZ25" s="32" t="str">
        <f t="shared" si="61"/>
        <v>1+0.00144566106486647i</v>
      </c>
      <c r="BA25" s="32">
        <f t="shared" si="90"/>
        <v>1.0000010449674113</v>
      </c>
      <c r="BB25" s="32">
        <f t="shared" si="91"/>
        <v>1.4456600577547397E-3</v>
      </c>
      <c r="BC25" s="32" t="str">
        <f t="shared" si="62"/>
        <v>1+0.0693917311135906i</v>
      </c>
      <c r="BD25" s="32">
        <f t="shared" si="92"/>
        <v>1.0024047148467234</v>
      </c>
      <c r="BE25" s="32">
        <f t="shared" si="93"/>
        <v>6.9280673157890174E-2</v>
      </c>
      <c r="BF25" s="59" t="str">
        <f t="shared" si="94"/>
        <v>-0.639176904901973+9.40806472993209i</v>
      </c>
      <c r="BG25" s="50">
        <f t="shared" si="95"/>
        <v>19.490005728678902</v>
      </c>
      <c r="BH25" s="61">
        <f t="shared" si="96"/>
        <v>93.886659953852416</v>
      </c>
      <c r="BI25" s="59" t="str">
        <f t="shared" si="97"/>
        <v>-0.324331235620241+120.564054924139i</v>
      </c>
      <c r="BJ25" s="64">
        <f t="shared" si="98"/>
        <v>41.624388351654822</v>
      </c>
      <c r="BK25" s="61">
        <f t="shared" si="99"/>
        <v>90.154131894045705</v>
      </c>
      <c r="BL25" s="59" t="str">
        <f t="shared" si="100"/>
        <v>-7.423195993749+1024.68597728922i</v>
      </c>
      <c r="BM25" s="64">
        <f t="shared" si="101"/>
        <v>60.212043774678897</v>
      </c>
      <c r="BN25" s="61">
        <f t="shared" si="102"/>
        <v>90.415064097942704</v>
      </c>
      <c r="BO25" s="50">
        <f t="shared" si="103"/>
        <v>41.624388351654822</v>
      </c>
      <c r="BP25" s="61">
        <f t="shared" si="104"/>
        <v>90.154131894045705</v>
      </c>
    </row>
    <row r="26" spans="1:68" s="32" customFormat="1" x14ac:dyDescent="0.25">
      <c r="A26" t="s">
        <v>121</v>
      </c>
      <c r="B26" s="44">
        <f>R_sl</f>
        <v>0</v>
      </c>
      <c r="C26" s="2" t="s">
        <v>29</v>
      </c>
      <c r="D26"/>
      <c r="E26" t="s">
        <v>421</v>
      </c>
      <c r="F26"/>
      <c r="G26"/>
      <c r="K26"/>
      <c r="N26" s="11">
        <v>8</v>
      </c>
      <c r="O26" s="51">
        <f t="shared" si="63"/>
        <v>12.022644346174133</v>
      </c>
      <c r="P26" s="49" t="str">
        <f t="shared" si="52"/>
        <v>25.6231073841137</v>
      </c>
      <c r="Q26" s="18" t="str">
        <f t="shared" si="64"/>
        <v>1+0.0653259060851096i</v>
      </c>
      <c r="R26" s="18">
        <f t="shared" si="65"/>
        <v>1.0021314654304796</v>
      </c>
      <c r="S26" s="18">
        <f t="shared" si="66"/>
        <v>6.5233217761246562E-2</v>
      </c>
      <c r="T26" s="18" t="str">
        <f t="shared" si="53"/>
        <v>1+0.0000679864520783944i</v>
      </c>
      <c r="U26" s="18">
        <f t="shared" si="67"/>
        <v>1.0000000023110789</v>
      </c>
      <c r="V26" s="18">
        <f t="shared" si="68"/>
        <v>6.7986451973646358E-5</v>
      </c>
      <c r="W26" s="32" t="str">
        <f t="shared" si="54"/>
        <v>1-0.00152340012990476i</v>
      </c>
      <c r="X26" s="18">
        <f t="shared" si="69"/>
        <v>1.0000011603733048</v>
      </c>
      <c r="Y26" s="18">
        <f t="shared" si="70"/>
        <v>-1.5233989514304885E-3</v>
      </c>
      <c r="Z26" s="32" t="str">
        <f t="shared" si="71"/>
        <v>0.999999996386401+0.000120613002020559i</v>
      </c>
      <c r="AA26" s="18">
        <f t="shared" si="72"/>
        <v>1.0000000036601491</v>
      </c>
      <c r="AB26" s="18">
        <f t="shared" si="73"/>
        <v>1.2061300187153363E-4</v>
      </c>
      <c r="AC26" s="32" t="str">
        <f>IMDIV(IMSUM(COMPLEX(0,2*PI()*O26*Constants!$B$71*Constants!$B$72),COMPLEX(1,0)),IMSUM(COMPLEX(0,2*PI()*O26*Constants!$B$71*Constants!$B$72),COMPLEX(2,0)))</f>
        <v>0.500000011412735+0.0000755405005850796i</v>
      </c>
      <c r="AD26" s="18">
        <f t="shared" si="74"/>
        <v>0.50000001711910202</v>
      </c>
      <c r="AE26" s="18">
        <f t="shared" si="75"/>
        <v>1.5108099657216629E-4</v>
      </c>
      <c r="AF26" s="66" t="str">
        <f t="shared" si="76"/>
        <v>12.7559278079043-0.851548310644426i</v>
      </c>
      <c r="AG26" s="64">
        <f t="shared" si="77"/>
        <v>22.133552413975149</v>
      </c>
      <c r="AH26" s="61">
        <f t="shared" si="78"/>
        <v>-3.8192313679401488</v>
      </c>
      <c r="AI26" s="50" t="str">
        <f t="shared" si="55"/>
        <v>108.866083054159</v>
      </c>
      <c r="AJ26" s="50" t="str">
        <f t="shared" si="56"/>
        <v>1+0.0618058655258131i</v>
      </c>
      <c r="AK26" s="50">
        <f t="shared" si="79"/>
        <v>1.001908161965654</v>
      </c>
      <c r="AL26" s="50">
        <f t="shared" si="80"/>
        <v>6.1727346663008102E-2</v>
      </c>
      <c r="AM26" s="50" t="str">
        <f t="shared" si="57"/>
        <v>1+0.0000679864520783944i</v>
      </c>
      <c r="AN26" s="50">
        <f t="shared" si="81"/>
        <v>1.0000000023110789</v>
      </c>
      <c r="AO26" s="50">
        <f t="shared" si="82"/>
        <v>6.7986451973646358E-5</v>
      </c>
      <c r="AP26" s="50" t="str">
        <f t="shared" si="58"/>
        <v>1-0.000339232090214206i</v>
      </c>
      <c r="AQ26" s="50">
        <f t="shared" si="83"/>
        <v>1.0000000575392038</v>
      </c>
      <c r="AR26" s="50">
        <f t="shared" si="84"/>
        <v>-3.3923207720144361E-4</v>
      </c>
      <c r="AS26" s="59" t="str">
        <f t="shared" si="85"/>
        <v>108.449985322098-6.73237465926337i</v>
      </c>
      <c r="AT26" s="50">
        <f t="shared" si="86"/>
        <v>40.721294178710473</v>
      </c>
      <c r="AU26" s="61">
        <f t="shared" si="87"/>
        <v>-3.5522576738682523</v>
      </c>
      <c r="AV26" s="32" t="str">
        <f t="shared" si="59"/>
        <v>-0.0000333333333333333</v>
      </c>
      <c r="AW26" s="32" t="str">
        <f t="shared" si="60"/>
        <v>0.0000036259441108477i</v>
      </c>
      <c r="AX26" s="32">
        <f t="shared" si="88"/>
        <v>3.6259441108477E-6</v>
      </c>
      <c r="AY26" s="32">
        <f t="shared" si="89"/>
        <v>1.5707963267948966</v>
      </c>
      <c r="AZ26" s="32" t="str">
        <f t="shared" si="61"/>
        <v>1+0.00147933483689099i</v>
      </c>
      <c r="BA26" s="32">
        <f t="shared" si="90"/>
        <v>1.0000010942151811</v>
      </c>
      <c r="BB26" s="32">
        <f t="shared" si="91"/>
        <v>1.4793337577513922E-3</v>
      </c>
      <c r="BC26" s="32" t="str">
        <f t="shared" si="62"/>
        <v>1+0.0710080721707675i</v>
      </c>
      <c r="BD26" s="32">
        <f t="shared" si="92"/>
        <v>1.0025179032383456</v>
      </c>
      <c r="BE26" s="32">
        <f t="shared" si="93"/>
        <v>7.0889087563447001E-2</v>
      </c>
      <c r="BF26" s="59" t="str">
        <f t="shared" si="94"/>
        <v>-0.639176841945966+9.19395358821822i</v>
      </c>
      <c r="BG26" s="50">
        <f t="shared" si="95"/>
        <v>19.290986028922941</v>
      </c>
      <c r="BH26" s="61">
        <f t="shared" si="96"/>
        <v>93.976885950108453</v>
      </c>
      <c r="BI26" s="59" t="str">
        <f t="shared" si="97"/>
        <v>-0.324198006156515+117.821698200496i</v>
      </c>
      <c r="BJ26" s="64">
        <f t="shared" si="98"/>
        <v>41.424538442898054</v>
      </c>
      <c r="BK26" s="61">
        <f t="shared" si="99"/>
        <v>90.157654582168291</v>
      </c>
      <c r="BL26" s="59" t="str">
        <f t="shared" si="100"/>
        <v>-7.42157897150109+1001.38730966782i</v>
      </c>
      <c r="BM26" s="64">
        <f t="shared" si="101"/>
        <v>60.01228020763341</v>
      </c>
      <c r="BN26" s="61">
        <f t="shared" si="102"/>
        <v>90.424628276240199</v>
      </c>
      <c r="BO26" s="50">
        <f t="shared" si="103"/>
        <v>41.424538442898054</v>
      </c>
      <c r="BP26" s="61">
        <f t="shared" si="104"/>
        <v>90.157654582168291</v>
      </c>
    </row>
    <row r="27" spans="1:68" s="32" customFormat="1" x14ac:dyDescent="0.25">
      <c r="A27"/>
      <c r="B27" s="27"/>
      <c r="C27" s="2"/>
      <c r="D27"/>
      <c r="E27"/>
      <c r="F27"/>
      <c r="G27"/>
      <c r="K27"/>
      <c r="N27" s="11">
        <v>9</v>
      </c>
      <c r="O27" s="51">
        <f t="shared" si="63"/>
        <v>12.302687708123818</v>
      </c>
      <c r="P27" s="49" t="str">
        <f t="shared" si="52"/>
        <v>25.6231073841137</v>
      </c>
      <c r="Q27" s="18" t="str">
        <f t="shared" si="64"/>
        <v>1+0.0668475419112834i</v>
      </c>
      <c r="R27" s="18">
        <f t="shared" si="65"/>
        <v>1.0022318064497757</v>
      </c>
      <c r="S27" s="18">
        <f t="shared" si="66"/>
        <v>6.6748236523781104E-2</v>
      </c>
      <c r="T27" s="18" t="str">
        <f t="shared" si="53"/>
        <v>1+0.0000695700599818523i</v>
      </c>
      <c r="U27" s="18">
        <f t="shared" si="67"/>
        <v>1.0000000024199966</v>
      </c>
      <c r="V27" s="18">
        <f t="shared" si="68"/>
        <v>6.9570059869612766E-5</v>
      </c>
      <c r="W27" s="32" t="str">
        <f t="shared" si="54"/>
        <v>1-0.00155888467737113i</v>
      </c>
      <c r="X27" s="18">
        <f t="shared" si="69"/>
        <v>1.0000012150599806</v>
      </c>
      <c r="Y27" s="18">
        <f t="shared" si="70"/>
        <v>-1.5588834146132804E-3</v>
      </c>
      <c r="Z27" s="32" t="str">
        <f t="shared" si="71"/>
        <v>0.999999996216097+0.000123422439745582i</v>
      </c>
      <c r="AA27" s="18">
        <f t="shared" si="72"/>
        <v>1.0000000038326464</v>
      </c>
      <c r="AB27" s="18">
        <f t="shared" si="73"/>
        <v>1.2342243958589848E-4</v>
      </c>
      <c r="AC27" s="32" t="str">
        <f>IMDIV(IMSUM(COMPLEX(0,2*PI()*O27*Constants!$B$71*Constants!$B$72),COMPLEX(1,0)),IMSUM(COMPLEX(0,2*PI()*O27*Constants!$B$71*Constants!$B$72),COMPLEX(2,0)))</f>
        <v>0.5000000119506+0.0000773000647989381i</v>
      </c>
      <c r="AD27" s="18">
        <f t="shared" si="74"/>
        <v>0.50000001792589976</v>
      </c>
      <c r="AE27" s="18">
        <f t="shared" si="75"/>
        <v>1.5460012467103824E-4</v>
      </c>
      <c r="AF27" s="66" t="str">
        <f t="shared" si="76"/>
        <v>12.7533179033516-0.871208953196424i</v>
      </c>
      <c r="AG27" s="64">
        <f t="shared" si="77"/>
        <v>22.132683248687648</v>
      </c>
      <c r="AH27" s="61">
        <f t="shared" si="78"/>
        <v>-3.9079372625825446</v>
      </c>
      <c r="AI27" s="50" t="str">
        <f t="shared" si="55"/>
        <v>108.866083054159</v>
      </c>
      <c r="AJ27" s="50" t="str">
        <f t="shared" si="56"/>
        <v>1+0.0632455090744113i</v>
      </c>
      <c r="AK27" s="50">
        <f t="shared" si="79"/>
        <v>1.0019980012046339</v>
      </c>
      <c r="AL27" s="50">
        <f t="shared" si="80"/>
        <v>6.3161383655270908E-2</v>
      </c>
      <c r="AM27" s="50" t="str">
        <f t="shared" si="57"/>
        <v>1+0.0000695700599818523i</v>
      </c>
      <c r="AN27" s="50">
        <f t="shared" si="81"/>
        <v>1.0000000024199966</v>
      </c>
      <c r="AO27" s="50">
        <f t="shared" si="82"/>
        <v>6.9570059869612766E-5</v>
      </c>
      <c r="AP27" s="50" t="str">
        <f t="shared" si="58"/>
        <v>1-0.00034713382067295i</v>
      </c>
      <c r="AQ27" s="50">
        <f t="shared" si="83"/>
        <v>1.0000000602509429</v>
      </c>
      <c r="AR27" s="50">
        <f t="shared" si="84"/>
        <v>-3.4713380672952391E-4</v>
      </c>
      <c r="AS27" s="59" t="str">
        <f t="shared" si="85"/>
        <v>108.430453367847-6.88795650184289i</v>
      </c>
      <c r="AT27" s="50">
        <f t="shared" si="86"/>
        <v>40.720515390579557</v>
      </c>
      <c r="AU27" s="61">
        <f t="shared" si="87"/>
        <v>-3.6347839428944977</v>
      </c>
      <c r="AV27" s="32" t="str">
        <f t="shared" si="59"/>
        <v>-0.0000333333333333333</v>
      </c>
      <c r="AW27" s="32" t="str">
        <f t="shared" si="60"/>
        <v>3.71040319903212E-06i</v>
      </c>
      <c r="AX27" s="32">
        <f t="shared" si="88"/>
        <v>3.7104031990321198E-6</v>
      </c>
      <c r="AY27" s="32">
        <f t="shared" si="89"/>
        <v>1.5707963267948966</v>
      </c>
      <c r="AZ27" s="32" t="str">
        <f t="shared" si="61"/>
        <v>1+0.00151379297182734i</v>
      </c>
      <c r="BA27" s="32">
        <f t="shared" si="90"/>
        <v>1.0000011457839244</v>
      </c>
      <c r="BB27" s="32">
        <f t="shared" si="91"/>
        <v>1.5137918155084995E-3</v>
      </c>
      <c r="BC27" s="32" t="str">
        <f t="shared" si="62"/>
        <v>1+0.0726620626477125i</v>
      </c>
      <c r="BD27" s="32">
        <f t="shared" si="92"/>
        <v>1.0026364123390992</v>
      </c>
      <c r="BE27" s="32">
        <f t="shared" si="93"/>
        <v>7.2534586443091381E-2</v>
      </c>
      <c r="BF27" s="59" t="str">
        <f t="shared" si="94"/>
        <v>-0.639176776022953+8.98471720238443i</v>
      </c>
      <c r="BG27" s="50">
        <f t="shared" si="95"/>
        <v>19.092012291978314</v>
      </c>
      <c r="BH27" s="61">
        <f t="shared" si="96"/>
        <v>94.069191789825879</v>
      </c>
      <c r="BI27" s="59" t="str">
        <f t="shared" si="97"/>
        <v>-0.324058552404838+115.141811283667i</v>
      </c>
      <c r="BJ27" s="64">
        <f t="shared" si="98"/>
        <v>41.224695540665977</v>
      </c>
      <c r="BK27" s="61">
        <f t="shared" si="99"/>
        <v>90.161254527243329</v>
      </c>
      <c r="BL27" s="59" t="str">
        <f t="shared" si="100"/>
        <v>-7.41988633498408+978.619581466672i</v>
      </c>
      <c r="BM27" s="64">
        <f t="shared" si="101"/>
        <v>59.812527682557864</v>
      </c>
      <c r="BN27" s="61">
        <f t="shared" si="102"/>
        <v>90.434407846931393</v>
      </c>
      <c r="BO27" s="50">
        <f t="shared" si="103"/>
        <v>41.224695540665977</v>
      </c>
      <c r="BP27" s="61">
        <f t="shared" si="104"/>
        <v>90.161254527243329</v>
      </c>
    </row>
    <row r="28" spans="1:68" x14ac:dyDescent="0.25">
      <c r="B28" s="27"/>
      <c r="C28" s="2"/>
      <c r="K28" s="32"/>
      <c r="N28" s="11">
        <v>10</v>
      </c>
      <c r="O28" s="51">
        <f t="shared" si="63"/>
        <v>12.58925411794168</v>
      </c>
      <c r="P28" s="49" t="str">
        <f t="shared" si="52"/>
        <v>25.6231073841137</v>
      </c>
      <c r="Q28" s="18" t="str">
        <f t="shared" si="64"/>
        <v>1+0.0684046211890103i</v>
      </c>
      <c r="R28" s="18">
        <f t="shared" si="65"/>
        <v>1.0023368656295208</v>
      </c>
      <c r="S28" s="18">
        <f t="shared" si="66"/>
        <v>6.8298226943159471E-2</v>
      </c>
      <c r="T28" s="18" t="str">
        <f t="shared" si="53"/>
        <v>1+0.0000711905548519812i</v>
      </c>
      <c r="U28" s="18">
        <f t="shared" si="67"/>
        <v>1.0000000025340474</v>
      </c>
      <c r="V28" s="18">
        <f t="shared" si="68"/>
        <v>7.1190554731714368E-5</v>
      </c>
      <c r="W28" s="32" t="str">
        <f t="shared" si="54"/>
        <v>1-0.00159519576612773i</v>
      </c>
      <c r="X28" s="18">
        <f t="shared" si="69"/>
        <v>1.0000012723239566</v>
      </c>
      <c r="Y28" s="18">
        <f t="shared" si="70"/>
        <v>-1.5951944130584092E-3</v>
      </c>
      <c r="Z28" s="32" t="str">
        <f t="shared" si="71"/>
        <v>0.999999996037767+0.000126297317681848i</v>
      </c>
      <c r="AA28" s="18">
        <f t="shared" si="72"/>
        <v>1.0000000040132733</v>
      </c>
      <c r="AB28" s="18">
        <f t="shared" si="73"/>
        <v>1.2629731751074403E-4</v>
      </c>
      <c r="AC28" s="32" t="str">
        <f>IMDIV(IMSUM(COMPLEX(0,2*PI()*O28*Constants!$B$71*Constants!$B$72),COMPLEX(1,0)),IMSUM(COMPLEX(0,2*PI()*O28*Constants!$B$71*Constants!$B$72),COMPLEX(2,0)))</f>
        <v>0.500000012513815+0.0000791006145225003i</v>
      </c>
      <c r="AD28" s="18">
        <f t="shared" si="74"/>
        <v>0.50000001877072198</v>
      </c>
      <c r="AE28" s="18">
        <f t="shared" si="75"/>
        <v>1.5820122376579841E-4</v>
      </c>
      <c r="AF28" s="66" t="str">
        <f t="shared" si="76"/>
        <v>12.7505861177331-0.89131514988929i</v>
      </c>
      <c r="AG28" s="64">
        <f t="shared" si="77"/>
        <v>22.131773307511644</v>
      </c>
      <c r="AH28" s="61">
        <f t="shared" si="78"/>
        <v>-3.9986911819350963</v>
      </c>
      <c r="AI28" s="50" t="str">
        <f t="shared" si="55"/>
        <v>108.866083054159</v>
      </c>
      <c r="AJ28" s="50" t="str">
        <f t="shared" si="56"/>
        <v>1+0.0647186862290739i</v>
      </c>
      <c r="AK28" s="50">
        <f t="shared" si="79"/>
        <v>1.0020920658039447</v>
      </c>
      <c r="AL28" s="50">
        <f t="shared" si="80"/>
        <v>6.4628554379183925E-2</v>
      </c>
      <c r="AM28" s="50" t="str">
        <f t="shared" si="57"/>
        <v>1+0.0000711905548519812i</v>
      </c>
      <c r="AN28" s="50">
        <f t="shared" si="81"/>
        <v>1.0000000025340474</v>
      </c>
      <c r="AO28" s="50">
        <f t="shared" si="82"/>
        <v>7.1190554731714368E-5</v>
      </c>
      <c r="AP28" s="50" t="str">
        <f t="shared" si="58"/>
        <v>1-0.000355219606078274i</v>
      </c>
      <c r="AQ28" s="50">
        <f t="shared" si="83"/>
        <v>1.0000000630904824</v>
      </c>
      <c r="AR28" s="50">
        <f t="shared" si="84"/>
        <v>-3.5521959113762381E-4</v>
      </c>
      <c r="AS28" s="59" t="str">
        <f t="shared" si="85"/>
        <v>108.410008407131-7.04707444847299i</v>
      </c>
      <c r="AT28" s="50">
        <f t="shared" si="86"/>
        <v>40.71970004895838</v>
      </c>
      <c r="AU28" s="61">
        <f t="shared" si="87"/>
        <v>-3.7192170670042097</v>
      </c>
      <c r="AV28" s="32" t="str">
        <f t="shared" si="59"/>
        <v>-0.0000333333333333333</v>
      </c>
      <c r="AW28" s="32" t="str">
        <f t="shared" si="60"/>
        <v>3.79682959210566E-06i</v>
      </c>
      <c r="AX28" s="32">
        <f t="shared" si="88"/>
        <v>3.7968295921056602E-6</v>
      </c>
      <c r="AY28" s="32">
        <f t="shared" si="89"/>
        <v>1.5707963267948966</v>
      </c>
      <c r="AZ28" s="32" t="str">
        <f t="shared" si="61"/>
        <v>1+0.00154905373983478i</v>
      </c>
      <c r="BA28" s="32">
        <f t="shared" si="90"/>
        <v>1.0000011997830247</v>
      </c>
      <c r="BB28" s="32">
        <f t="shared" si="91"/>
        <v>1.5490525008168997E-3</v>
      </c>
      <c r="BC28" s="32" t="str">
        <f t="shared" si="62"/>
        <v>1+0.0743545795120694i</v>
      </c>
      <c r="BD28" s="32">
        <f t="shared" si="92"/>
        <v>1.0027604915902983</v>
      </c>
      <c r="BE28" s="32">
        <f t="shared" si="93"/>
        <v>7.4218006598417083E-2</v>
      </c>
      <c r="BF28" s="59" t="str">
        <f t="shared" si="94"/>
        <v>-0.639176706993096+8.78024463252869i</v>
      </c>
      <c r="BG28" s="50">
        <f t="shared" si="95"/>
        <v>18.893086661232804</v>
      </c>
      <c r="BH28" s="61">
        <f t="shared" si="96"/>
        <v>94.163624371422401</v>
      </c>
      <c r="BI28" s="59" t="str">
        <f t="shared" si="97"/>
        <v>-0.323912586257585+112.52297320422i</v>
      </c>
      <c r="BJ28" s="64">
        <f t="shared" si="98"/>
        <v>41.02485996874443</v>
      </c>
      <c r="BK28" s="61">
        <f t="shared" si="99"/>
        <v>90.1649331894873</v>
      </c>
      <c r="BL28" s="59" t="str">
        <f t="shared" si="100"/>
        <v>-7.4181145775288+956.370720269012i</v>
      </c>
      <c r="BM28" s="64">
        <f t="shared" si="101"/>
        <v>59.612786710191187</v>
      </c>
      <c r="BN28" s="61">
        <f t="shared" si="102"/>
        <v>90.444407304418178</v>
      </c>
      <c r="BO28" s="50">
        <f t="shared" si="103"/>
        <v>41.02485996874443</v>
      </c>
      <c r="BP28" s="61">
        <f t="shared" si="104"/>
        <v>90.1649331894873</v>
      </c>
    </row>
    <row r="29" spans="1:68" x14ac:dyDescent="0.25">
      <c r="A29" s="32" t="s">
        <v>420</v>
      </c>
      <c r="B29" s="22">
        <f>Vsl</f>
        <v>4.8000000000000001E-2</v>
      </c>
      <c r="C29" s="2"/>
      <c r="D29" s="32"/>
      <c r="E29" s="32"/>
      <c r="F29" s="32"/>
      <c r="G29" s="32"/>
      <c r="N29" s="11">
        <v>11</v>
      </c>
      <c r="O29" s="51">
        <f t="shared" si="63"/>
        <v>12.882495516931346</v>
      </c>
      <c r="P29" s="49" t="str">
        <f t="shared" si="52"/>
        <v>25.6231073841137</v>
      </c>
      <c r="Q29" s="18" t="str">
        <f t="shared" si="64"/>
        <v>1+0.0699979695023338i</v>
      </c>
      <c r="R29" s="18">
        <f t="shared" si="65"/>
        <v>1.0024468642947864</v>
      </c>
      <c r="S29" s="18">
        <f t="shared" si="66"/>
        <v>6.9883981037614548E-2</v>
      </c>
      <c r="T29" s="18" t="str">
        <f t="shared" si="53"/>
        <v>1+0.000072848795896611i</v>
      </c>
      <c r="U29" s="18">
        <f t="shared" si="67"/>
        <v>1.0000000026534734</v>
      </c>
      <c r="V29" s="18">
        <f t="shared" si="68"/>
        <v>7.2848795767742775E-5</v>
      </c>
      <c r="W29" s="32" t="str">
        <f t="shared" si="54"/>
        <v>1-0.00163235264879443i</v>
      </c>
      <c r="X29" s="18">
        <f t="shared" si="69"/>
        <v>1.0000013322866976</v>
      </c>
      <c r="Y29" s="18">
        <f t="shared" si="70"/>
        <v>-1.6323511989546357E-3</v>
      </c>
      <c r="Z29" s="32" t="str">
        <f t="shared" si="71"/>
        <v>0.999999995851033+0.000129239160127691i</v>
      </c>
      <c r="AA29" s="18">
        <f t="shared" si="72"/>
        <v>1.0000000042024133</v>
      </c>
      <c r="AB29" s="18">
        <f t="shared" si="73"/>
        <v>1.2923915994434974E-4</v>
      </c>
      <c r="AC29" s="32" t="str">
        <f>IMDIV(IMSUM(COMPLEX(0,2*PI()*O29*Constants!$B$71*Constants!$B$72),COMPLEX(1,0)),IMSUM(COMPLEX(0,2*PI()*O29*Constants!$B$71*Constants!$B$72),COMPLEX(2,0)))</f>
        <v>0.500000013103573+0.0000809431044305023i</v>
      </c>
      <c r="AD29" s="18">
        <f t="shared" si="74"/>
        <v>0.50000001965535901</v>
      </c>
      <c r="AE29" s="18">
        <f t="shared" si="75"/>
        <v>1.6188620320423759E-4</v>
      </c>
      <c r="AF29" s="66" t="str">
        <f t="shared" si="76"/>
        <v>12.7477268142489-0.911876401391095i</v>
      </c>
      <c r="AG29" s="64">
        <f t="shared" si="77"/>
        <v>22.130820686656595</v>
      </c>
      <c r="AH29" s="61">
        <f t="shared" si="78"/>
        <v>-4.0915395370783409</v>
      </c>
      <c r="AI29" s="50" t="str">
        <f t="shared" si="55"/>
        <v>108.866083054159</v>
      </c>
      <c r="AJ29" s="50" t="str">
        <f t="shared" si="56"/>
        <v>1+0.0662261780878282i</v>
      </c>
      <c r="AK29" s="50">
        <f t="shared" si="79"/>
        <v>1.0021905540684968</v>
      </c>
      <c r="AL29" s="50">
        <f t="shared" si="80"/>
        <v>6.6129611468106891E-2</v>
      </c>
      <c r="AM29" s="50" t="str">
        <f t="shared" si="57"/>
        <v>1+0.000072848795896611i</v>
      </c>
      <c r="AN29" s="50">
        <f t="shared" si="81"/>
        <v>1.0000000026534734</v>
      </c>
      <c r="AO29" s="50">
        <f t="shared" si="82"/>
        <v>7.2848795767742775E-5</v>
      </c>
      <c r="AP29" s="50" t="str">
        <f t="shared" si="58"/>
        <v>1-0.000363493733620627i</v>
      </c>
      <c r="AQ29" s="50">
        <f t="shared" si="83"/>
        <v>1.0000000660638451</v>
      </c>
      <c r="AR29" s="50">
        <f t="shared" si="84"/>
        <v>-3.6349371761143197E-4</v>
      </c>
      <c r="AS29" s="59" t="str">
        <f t="shared" si="85"/>
        <v>108.388608130829-7.20980464069364i</v>
      </c>
      <c r="AT29" s="50">
        <f t="shared" si="86"/>
        <v>40.718846445511893</v>
      </c>
      <c r="AU29" s="61">
        <f t="shared" si="87"/>
        <v>-3.8056003653210064</v>
      </c>
      <c r="AV29" s="32" t="str">
        <f t="shared" si="59"/>
        <v>-0.0000333333333333333</v>
      </c>
      <c r="AW29" s="32" t="str">
        <f t="shared" si="60"/>
        <v>3.88526911448592E-06i</v>
      </c>
      <c r="AX29" s="32">
        <f t="shared" si="88"/>
        <v>3.8852691144859202E-6</v>
      </c>
      <c r="AY29" s="32">
        <f t="shared" si="89"/>
        <v>1.5707963267948966</v>
      </c>
      <c r="AZ29" s="32" t="str">
        <f t="shared" si="61"/>
        <v>1+0.00158513583663922i</v>
      </c>
      <c r="BA29" s="32">
        <f t="shared" si="90"/>
        <v>1.0000012563270211</v>
      </c>
      <c r="BB29" s="32">
        <f t="shared" si="91"/>
        <v>1.5851345090077318E-3</v>
      </c>
      <c r="BC29" s="32" t="str">
        <f t="shared" si="62"/>
        <v>1+0.0760865201586827i</v>
      </c>
      <c r="BD29" s="32">
        <f t="shared" si="92"/>
        <v>1.0028904020628864</v>
      </c>
      <c r="BE29" s="32">
        <f t="shared" si="93"/>
        <v>7.5940202414487221E-2</v>
      </c>
      <c r="BF29" s="59" t="str">
        <f t="shared" si="94"/>
        <v>-0.639176634709976+8.58042746458733i</v>
      </c>
      <c r="BG29" s="50">
        <f t="shared" si="95"/>
        <v>18.694211378910136</v>
      </c>
      <c r="BH29" s="61">
        <f t="shared" si="96"/>
        <v>94.260231576392599</v>
      </c>
      <c r="BI29" s="59" t="str">
        <f t="shared" si="97"/>
        <v>-0.323759806528522+109.96379535755i</v>
      </c>
      <c r="BJ29" s="64">
        <f t="shared" si="98"/>
        <v>40.825032065566717</v>
      </c>
      <c r="BK29" s="61">
        <f t="shared" si="99"/>
        <v>90.168692039314266</v>
      </c>
      <c r="BL29" s="59" t="str">
        <f t="shared" si="100"/>
        <v>-7.41626003264472+934.628928721314i</v>
      </c>
      <c r="BM29" s="64">
        <f t="shared" si="101"/>
        <v>59.413057824422033</v>
      </c>
      <c r="BN29" s="61">
        <f t="shared" si="102"/>
        <v>90.4546312110716</v>
      </c>
      <c r="BO29" s="50">
        <f t="shared" si="103"/>
        <v>40.825032065566717</v>
      </c>
      <c r="BP29" s="61">
        <f t="shared" si="104"/>
        <v>90.168692039314266</v>
      </c>
    </row>
    <row r="30" spans="1:68" x14ac:dyDescent="0.25">
      <c r="A30" s="32" t="s">
        <v>176</v>
      </c>
      <c r="B30" s="22">
        <f>Gcomp</f>
        <v>1</v>
      </c>
      <c r="C30" s="2"/>
      <c r="D30" s="32"/>
      <c r="E30" s="32" t="s">
        <v>177</v>
      </c>
      <c r="F30" s="32"/>
      <c r="G30" s="32"/>
      <c r="N30" s="11">
        <v>12</v>
      </c>
      <c r="O30" s="51">
        <f t="shared" si="63"/>
        <v>13.182567385564075</v>
      </c>
      <c r="P30" s="49" t="str">
        <f t="shared" si="52"/>
        <v>25.6231073841137</v>
      </c>
      <c r="Q30" s="18" t="str">
        <f t="shared" si="64"/>
        <v>1+0.0716284316656201i</v>
      </c>
      <c r="R30" s="18">
        <f t="shared" si="65"/>
        <v>1.002562034102068</v>
      </c>
      <c r="S30" s="18">
        <f t="shared" si="66"/>
        <v>7.1506307676530115E-2</v>
      </c>
      <c r="T30" s="18" t="str">
        <f t="shared" si="53"/>
        <v>1+0.000074545662337093i</v>
      </c>
      <c r="U30" s="18">
        <f t="shared" si="67"/>
        <v>1.0000000027785279</v>
      </c>
      <c r="V30" s="18">
        <f t="shared" si="68"/>
        <v>7.4545662199008192E-5</v>
      </c>
      <c r="W30" s="32" t="str">
        <f t="shared" si="54"/>
        <v>1-0.00167037502644227i</v>
      </c>
      <c r="X30" s="18">
        <f t="shared" si="69"/>
        <v>1.0000013950753912</v>
      </c>
      <c r="Y30" s="18">
        <f t="shared" si="70"/>
        <v>-1.6703734729110579E-3</v>
      </c>
      <c r="Z30" s="32" t="str">
        <f t="shared" si="71"/>
        <v>0.999999995655498+0.000132249526886917i</v>
      </c>
      <c r="AA30" s="18">
        <f t="shared" si="72"/>
        <v>1.0000000044004667</v>
      </c>
      <c r="AB30" s="18">
        <f t="shared" si="73"/>
        <v>1.3224952669046335E-4</v>
      </c>
      <c r="AC30" s="32" t="str">
        <f>IMDIV(IMSUM(COMPLEX(0,2*PI()*O30*Constants!$B$71*Constants!$B$72),COMPLEX(1,0)),IMSUM(COMPLEX(0,2*PI()*O30*Constants!$B$71*Constants!$B$72),COMPLEX(2,0)))</f>
        <v>0.500000013721125+0.0000828285114348802i</v>
      </c>
      <c r="AD30" s="18">
        <f t="shared" si="74"/>
        <v>0.50000002058168713</v>
      </c>
      <c r="AE30" s="18">
        <f t="shared" si="75"/>
        <v>1.6565701680842546E-4</v>
      </c>
      <c r="AF30" s="66" t="str">
        <f t="shared" si="76"/>
        <v>12.7447341006812-0.932902368026636i</v>
      </c>
      <c r="AG30" s="64">
        <f t="shared" si="77"/>
        <v>22.129823394325161</v>
      </c>
      <c r="AH30" s="61">
        <f t="shared" si="78"/>
        <v>-4.186529728624623</v>
      </c>
      <c r="AI30" s="50" t="str">
        <f t="shared" si="55"/>
        <v>108.866083054159</v>
      </c>
      <c r="AJ30" s="50" t="str">
        <f t="shared" si="56"/>
        <v>1+0.0677687839428119i</v>
      </c>
      <c r="AK30" s="50">
        <f t="shared" si="79"/>
        <v>1.0022936735693224</v>
      </c>
      <c r="AL30" s="50">
        <f t="shared" si="80"/>
        <v>6.7665323730015034E-2</v>
      </c>
      <c r="AM30" s="50" t="str">
        <f t="shared" si="57"/>
        <v>1+0.000074545662337093i</v>
      </c>
      <c r="AN30" s="50">
        <f t="shared" si="81"/>
        <v>1.0000000027785279</v>
      </c>
      <c r="AO30" s="50">
        <f t="shared" si="82"/>
        <v>7.4545662199008192E-5</v>
      </c>
      <c r="AP30" s="50" t="str">
        <f t="shared" si="58"/>
        <v>1-0.000371960590351955i</v>
      </c>
      <c r="AQ30" s="50">
        <f t="shared" si="83"/>
        <v>1.0000000691773381</v>
      </c>
      <c r="AR30" s="50">
        <f t="shared" si="84"/>
        <v>-3.7196057319779349E-4</v>
      </c>
      <c r="AS30" s="59" t="str">
        <f t="shared" si="85"/>
        <v>108.366208304584-7.37622455554993i</v>
      </c>
      <c r="AT30" s="50">
        <f t="shared" si="86"/>
        <v>40.717952792771243</v>
      </c>
      <c r="AU30" s="61">
        <f t="shared" si="87"/>
        <v>-3.8939780882807757</v>
      </c>
      <c r="AV30" s="32" t="str">
        <f t="shared" si="59"/>
        <v>-0.0000333333333333333</v>
      </c>
      <c r="AW30" s="32" t="str">
        <f t="shared" si="60"/>
        <v>3.97576865797829E-06i</v>
      </c>
      <c r="AX30" s="32">
        <f t="shared" si="88"/>
        <v>3.9757686579782903E-6</v>
      </c>
      <c r="AY30" s="32">
        <f t="shared" si="89"/>
        <v>1.5707963267948966</v>
      </c>
      <c r="AZ30" s="32" t="str">
        <f t="shared" si="61"/>
        <v>1+0.001622058393446i</v>
      </c>
      <c r="BA30" s="32">
        <f t="shared" si="90"/>
        <v>1.0000013155358505</v>
      </c>
      <c r="BB30" s="32">
        <f t="shared" si="91"/>
        <v>1.6220569708633311E-3</v>
      </c>
      <c r="BC30" s="32" t="str">
        <f t="shared" si="62"/>
        <v>1+0.0778588028854083i</v>
      </c>
      <c r="BD30" s="32">
        <f t="shared" si="92"/>
        <v>1.0030264169934653</v>
      </c>
      <c r="BE30" s="32">
        <f t="shared" si="93"/>
        <v>7.7702046135760247E-2</v>
      </c>
      <c r="BF30" s="59" t="str">
        <f t="shared" si="94"/>
        <v>-0.639176559020279+8.38515975285229i</v>
      </c>
      <c r="BG30" s="50">
        <f t="shared" si="95"/>
        <v>18.495388790520224</v>
      </c>
      <c r="BH30" s="61">
        <f t="shared" si="96"/>
        <v>94.359062284549623</v>
      </c>
      <c r="BI30" s="59" t="str">
        <f t="shared" si="97"/>
        <v>-0.323599898384276+107.462920767333i</v>
      </c>
      <c r="BJ30" s="64">
        <f t="shared" si="98"/>
        <v>40.625212184845367</v>
      </c>
      <c r="BK30" s="61">
        <f t="shared" si="99"/>
        <v>90.172532555924988</v>
      </c>
      <c r="BL30" s="59" t="str">
        <f t="shared" si="100"/>
        <v>-7.41431886700074+913.382678274783i</v>
      </c>
      <c r="BM30" s="64">
        <f t="shared" si="101"/>
        <v>59.213341583291466</v>
      </c>
      <c r="BN30" s="61">
        <f t="shared" si="102"/>
        <v>90.465084196268847</v>
      </c>
      <c r="BO30" s="50">
        <f t="shared" si="103"/>
        <v>40.625212184845367</v>
      </c>
      <c r="BP30" s="61">
        <f t="shared" si="104"/>
        <v>90.172532555924988</v>
      </c>
    </row>
    <row r="31" spans="1:68" x14ac:dyDescent="0.25">
      <c r="A31" t="s">
        <v>411</v>
      </c>
      <c r="B31">
        <f>IF(Variable_Management!B22=3,1,IF((VOUT*IOUT)/(VIN_var*Np)&lt;((VIN_var*(1-(VIN_var/VOUT)))/(2*Lm*Fsw)),0,1))</f>
        <v>1</v>
      </c>
      <c r="E31" t="s">
        <v>412</v>
      </c>
      <c r="N31" s="11">
        <v>13</v>
      </c>
      <c r="O31" s="51">
        <f t="shared" si="63"/>
        <v>13.489628825916535</v>
      </c>
      <c r="P31" s="49" t="str">
        <f t="shared" si="52"/>
        <v>25.6231073841137</v>
      </c>
      <c r="Q31" s="18" t="str">
        <f t="shared" si="64"/>
        <v>1+0.07329687217149i</v>
      </c>
      <c r="R31" s="18">
        <f t="shared" si="65"/>
        <v>1.0026826175166914</v>
      </c>
      <c r="S31" s="18">
        <f t="shared" si="66"/>
        <v>7.3166032860810512E-2</v>
      </c>
      <c r="T31" s="18" t="str">
        <f t="shared" si="53"/>
        <v>1+0.0000762820538744746i</v>
      </c>
      <c r="U31" s="18">
        <f t="shared" si="67"/>
        <v>1.0000000029094758</v>
      </c>
      <c r="V31" s="18">
        <f t="shared" si="68"/>
        <v>7.6282053726514068E-5</v>
      </c>
      <c r="W31" s="32" t="str">
        <f t="shared" si="54"/>
        <v>1-0.00170928305903915i</v>
      </c>
      <c r="X31" s="18">
        <f t="shared" si="69"/>
        <v>1.0000014608232211</v>
      </c>
      <c r="Y31" s="18">
        <f t="shared" si="70"/>
        <v>-1.7092813944005962E-3</v>
      </c>
      <c r="Z31" s="32" t="str">
        <f t="shared" si="71"/>
        <v>0.999999995450748+0.000135330014095827i</v>
      </c>
      <c r="AA31" s="18">
        <f t="shared" si="72"/>
        <v>1.0000000046078543</v>
      </c>
      <c r="AB31" s="18">
        <f t="shared" si="73"/>
        <v>1.3533001388532311E-4</v>
      </c>
      <c r="AC31" s="32" t="str">
        <f>IMDIV(IMSUM(COMPLEX(0,2*PI()*O31*Constants!$B$71*Constants!$B$72),COMPLEX(1,0)),IMSUM(COMPLEX(0,2*PI()*O31*Constants!$B$71*Constants!$B$72),COMPLEX(2,0)))</f>
        <v>0.500000014367782+0.0000847578352027408i</v>
      </c>
      <c r="AD31" s="18">
        <f t="shared" si="74"/>
        <v>0.50000002155167234</v>
      </c>
      <c r="AE31" s="18">
        <f t="shared" si="75"/>
        <v>1.6951566391064415E-4</v>
      </c>
      <c r="AF31" s="66" t="str">
        <f t="shared" si="76"/>
        <v>12.7416018183279-0.954402869223325i</v>
      </c>
      <c r="AG31" s="64">
        <f t="shared" si="77"/>
        <v>22.128779346729349</v>
      </c>
      <c r="AH31" s="61">
        <f t="shared" si="78"/>
        <v>-4.2837101633418344</v>
      </c>
      <c r="AI31" s="50" t="str">
        <f t="shared" si="55"/>
        <v>108.866083054159</v>
      </c>
      <c r="AJ31" s="50" t="str">
        <f t="shared" si="56"/>
        <v>1+0.0693473217040679i</v>
      </c>
      <c r="AK31" s="50">
        <f t="shared" si="79"/>
        <v>1.002401641572642</v>
      </c>
      <c r="AL31" s="50">
        <f t="shared" si="80"/>
        <v>6.9236476428833182E-2</v>
      </c>
      <c r="AM31" s="50" t="str">
        <f t="shared" si="57"/>
        <v>1+0.0000762820538744746i</v>
      </c>
      <c r="AN31" s="50">
        <f t="shared" si="81"/>
        <v>1.0000000029094758</v>
      </c>
      <c r="AO31" s="50">
        <f t="shared" si="82"/>
        <v>7.6282053726514068E-5</v>
      </c>
      <c r="AP31" s="50" t="str">
        <f t="shared" si="58"/>
        <v>1-0.000380624665511768i</v>
      </c>
      <c r="AQ31" s="50">
        <f t="shared" si="83"/>
        <v>1.0000000724375653</v>
      </c>
      <c r="AR31" s="50">
        <f t="shared" si="84"/>
        <v>-3.8062464713075288E-4</v>
      </c>
      <c r="AS31" s="59" t="str">
        <f t="shared" si="85"/>
        <v>108.342762684612-7.5464130062327i</v>
      </c>
      <c r="AT31" s="50">
        <f t="shared" si="86"/>
        <v>40.717017220536817</v>
      </c>
      <c r="AU31" s="61">
        <f t="shared" si="87"/>
        <v>-3.9843954338572773</v>
      </c>
      <c r="AV31" s="32" t="str">
        <f t="shared" si="59"/>
        <v>-0.0000333333333333333</v>
      </c>
      <c r="AW31" s="32" t="str">
        <f t="shared" si="60"/>
        <v>4.06837620663864E-06i</v>
      </c>
      <c r="AX31" s="32">
        <f t="shared" si="88"/>
        <v>4.0683762066386401E-6</v>
      </c>
      <c r="AY31" s="32">
        <f t="shared" si="89"/>
        <v>1.5707963267948966</v>
      </c>
      <c r="AZ31" s="32" t="str">
        <f t="shared" si="61"/>
        <v>1+0.00165984098708347i</v>
      </c>
      <c r="BA31" s="32">
        <f t="shared" si="90"/>
        <v>1.0000013775351024</v>
      </c>
      <c r="BB31" s="32">
        <f t="shared" si="91"/>
        <v>1.6598394627587905E-3</v>
      </c>
      <c r="BC31" s="32" t="str">
        <f t="shared" si="62"/>
        <v>1+0.0796723673800069i</v>
      </c>
      <c r="BD31" s="32">
        <f t="shared" si="92"/>
        <v>1.0031688223444422</v>
      </c>
      <c r="BE31" s="32">
        <f t="shared" si="93"/>
        <v>7.9504428139224065E-2</v>
      </c>
      <c r="BF31" s="59" t="str">
        <f t="shared" si="94"/>
        <v>-0.639176479763453+8.19433796379733i</v>
      </c>
      <c r="BG31" s="50">
        <f t="shared" si="95"/>
        <v>18.296621349499759</v>
      </c>
      <c r="BH31" s="61">
        <f t="shared" si="96"/>
        <v>94.460166389093331</v>
      </c>
      <c r="BI31" s="59" t="str">
        <f t="shared" si="97"/>
        <v>-0.323432532752649+105.01902336574i</v>
      </c>
      <c r="BJ31" s="64">
        <f t="shared" si="98"/>
        <v>40.425400696229133</v>
      </c>
      <c r="BK31" s="61">
        <f t="shared" si="99"/>
        <v>90.176456225751494</v>
      </c>
      <c r="BL31" s="59" t="str">
        <f t="shared" si="100"/>
        <v>-7.41228707313094+892.620703069366i</v>
      </c>
      <c r="BM31" s="64">
        <f t="shared" si="101"/>
        <v>59.013638570036576</v>
      </c>
      <c r="BN31" s="61">
        <f t="shared" si="102"/>
        <v>90.475770955236044</v>
      </c>
      <c r="BO31" s="50">
        <f t="shared" si="103"/>
        <v>40.425400696229133</v>
      </c>
      <c r="BP31" s="61">
        <f t="shared" si="104"/>
        <v>90.176456225751494</v>
      </c>
    </row>
    <row r="32" spans="1:68" ht="15.75" x14ac:dyDescent="0.25">
      <c r="A32" s="52" t="s">
        <v>769</v>
      </c>
      <c r="E32" s="47" t="s">
        <v>428</v>
      </c>
      <c r="N32" s="11">
        <v>14</v>
      </c>
      <c r="O32" s="51">
        <f t="shared" si="63"/>
        <v>13.803842646028857</v>
      </c>
      <c r="P32" s="49" t="str">
        <f t="shared" si="52"/>
        <v>25.6231073841137</v>
      </c>
      <c r="Q32" s="18" t="str">
        <f t="shared" si="64"/>
        <v>1+0.0750041756491839i</v>
      </c>
      <c r="R32" s="18">
        <f t="shared" si="65"/>
        <v>1.0028088683118102</v>
      </c>
      <c r="S32" s="18">
        <f t="shared" si="66"/>
        <v>7.4864000002012085E-2</v>
      </c>
      <c r="T32" s="18" t="str">
        <f t="shared" si="53"/>
        <v>1+0.0000780588911665328i</v>
      </c>
      <c r="U32" s="18">
        <f t="shared" si="67"/>
        <v>1.0000000030465952</v>
      </c>
      <c r="V32" s="18">
        <f t="shared" si="68"/>
        <v>7.8058891007990239E-5</v>
      </c>
      <c r="W32" s="32" t="str">
        <f t="shared" si="54"/>
        <v>1-0.00174909737613898i</v>
      </c>
      <c r="X32" s="18">
        <f t="shared" si="69"/>
        <v>1.0000015296696456</v>
      </c>
      <c r="Y32" s="18">
        <f t="shared" si="70"/>
        <v>-1.7490955924467809E-3</v>
      </c>
      <c r="Z32" s="32" t="str">
        <f t="shared" si="71"/>
        <v>0.999999995236348+0.000138482255069516i</v>
      </c>
      <c r="AA32" s="18">
        <f t="shared" si="72"/>
        <v>1.0000000048250153</v>
      </c>
      <c r="AB32" s="18">
        <f t="shared" si="73"/>
        <v>1.3848225484395707E-4</v>
      </c>
      <c r="AC32" s="32" t="str">
        <f>IMDIV(IMSUM(COMPLEX(0,2*PI()*O32*Constants!$B$71*Constants!$B$72),COMPLEX(1,0)),IMSUM(COMPLEX(0,2*PI()*O32*Constants!$B$71*Constants!$B$72),COMPLEX(2,0)))</f>
        <v>0.500000015044914+0.0000867320986863934i</v>
      </c>
      <c r="AD32" s="18">
        <f t="shared" si="74"/>
        <v>0.50000002256737064</v>
      </c>
      <c r="AE32" s="18">
        <f t="shared" si="75"/>
        <v>1.7346419041344336E-4</v>
      </c>
      <c r="AF32" s="66" t="str">
        <f t="shared" si="76"/>
        <v>12.7383235305048-0.976387882654744i</v>
      </c>
      <c r="AG32" s="64">
        <f t="shared" si="77"/>
        <v>22.127686363933769</v>
      </c>
      <c r="AH32" s="61">
        <f t="shared" si="78"/>
        <v>-4.3831302707192599</v>
      </c>
      <c r="AI32" s="50" t="str">
        <f t="shared" si="55"/>
        <v>108.866083054159</v>
      </c>
      <c r="AJ32" s="50" t="str">
        <f t="shared" si="56"/>
        <v>1+0.0709626283332117i</v>
      </c>
      <c r="AK32" s="50">
        <f t="shared" si="79"/>
        <v>1.0025146854884259</v>
      </c>
      <c r="AL32" s="50">
        <f t="shared" si="80"/>
        <v>7.0843871565691996E-2</v>
      </c>
      <c r="AM32" s="50" t="str">
        <f t="shared" si="57"/>
        <v>1+0.0000780588911665328i</v>
      </c>
      <c r="AN32" s="50">
        <f t="shared" si="81"/>
        <v>1.0000000030465952</v>
      </c>
      <c r="AO32" s="50">
        <f t="shared" si="82"/>
        <v>7.8058891007990239E-5</v>
      </c>
      <c r="AP32" s="50" t="str">
        <f t="shared" si="58"/>
        <v>1-0.000389490552907398i</v>
      </c>
      <c r="AQ32" s="50">
        <f t="shared" si="83"/>
        <v>1.0000000758514425</v>
      </c>
      <c r="AR32" s="50">
        <f t="shared" si="84"/>
        <v>-3.8949053321178553E-4</v>
      </c>
      <c r="AS32" s="59" t="str">
        <f t="shared" si="85"/>
        <v>108.318222930139-7.72045014065823i</v>
      </c>
      <c r="AT32" s="50">
        <f t="shared" si="86"/>
        <v>40.716037772122746</v>
      </c>
      <c r="AU32" s="61">
        <f t="shared" si="87"/>
        <v>-4.0768985637861332</v>
      </c>
      <c r="AV32" s="32" t="str">
        <f t="shared" si="59"/>
        <v>-0.0000333333333333333</v>
      </c>
      <c r="AW32" s="32" t="str">
        <f t="shared" si="60"/>
        <v>4.16314086221508E-06i</v>
      </c>
      <c r="AX32" s="32">
        <f t="shared" si="88"/>
        <v>4.1631408622150797E-6</v>
      </c>
      <c r="AY32" s="32">
        <f t="shared" si="89"/>
        <v>1.5707963267948966</v>
      </c>
      <c r="AZ32" s="32" t="str">
        <f t="shared" si="61"/>
        <v>1+0.00169850365038289i</v>
      </c>
      <c r="BA32" s="32">
        <f t="shared" si="90"/>
        <v>1.0000014424562849</v>
      </c>
      <c r="BB32" s="32">
        <f t="shared" si="91"/>
        <v>1.6985020170396956E-3</v>
      </c>
      <c r="BC32" s="32" t="str">
        <f t="shared" si="62"/>
        <v>1+0.0815281752183789i</v>
      </c>
      <c r="BD32" s="32">
        <f t="shared" si="92"/>
        <v>1.0033179173893181</v>
      </c>
      <c r="BE32" s="32">
        <f t="shared" si="93"/>
        <v>8.1348257204055405E-2</v>
      </c>
      <c r="BF32" s="59" t="str">
        <f t="shared" si="94"/>
        <v>-0.639176396771389+8.00786092118326i</v>
      </c>
      <c r="BG32" s="50">
        <f t="shared" si="95"/>
        <v>18.097911622050049</v>
      </c>
      <c r="BH32" s="61">
        <f t="shared" si="96"/>
        <v>94.563594811466217</v>
      </c>
      <c r="BI32" s="59" t="str">
        <f t="shared" si="97"/>
        <v>-0.323257365708466+102.630807290005i</v>
      </c>
      <c r="BJ32" s="64">
        <f t="shared" si="98"/>
        <v>40.225597985983804</v>
      </c>
      <c r="BK32" s="61">
        <f t="shared" si="99"/>
        <v>90.180464540746954</v>
      </c>
      <c r="BL32" s="59" t="str">
        <f t="shared" si="100"/>
        <v>-7.41016046184545+872.331993956636i</v>
      </c>
      <c r="BM32" s="64">
        <f t="shared" si="101"/>
        <v>58.813949394172795</v>
      </c>
      <c r="BN32" s="61">
        <f t="shared" si="102"/>
        <v>90.486696247680086</v>
      </c>
      <c r="BO32" s="50">
        <f t="shared" si="103"/>
        <v>40.225597985983804</v>
      </c>
      <c r="BP32" s="61">
        <f t="shared" si="104"/>
        <v>90.180464540746954</v>
      </c>
    </row>
    <row r="33" spans="1:68" x14ac:dyDescent="0.25">
      <c r="N33" s="11">
        <v>15</v>
      </c>
      <c r="O33" s="51">
        <f t="shared" si="63"/>
        <v>14.125375446227544</v>
      </c>
      <c r="P33" s="49" t="str">
        <f t="shared" si="52"/>
        <v>25.6231073841137</v>
      </c>
      <c r="Q33" s="18" t="str">
        <f t="shared" si="64"/>
        <v>1+0.0767512473336047i</v>
      </c>
      <c r="R33" s="18">
        <f t="shared" si="65"/>
        <v>1.0029410520899342</v>
      </c>
      <c r="S33" s="18">
        <f t="shared" si="66"/>
        <v>7.6601070199684859E-2</v>
      </c>
      <c r="T33" s="18" t="str">
        <f t="shared" si="53"/>
        <v>1+0.000079877116315919i</v>
      </c>
      <c r="U33" s="18">
        <f t="shared" si="67"/>
        <v>1.0000000031901768</v>
      </c>
      <c r="V33" s="18">
        <f t="shared" si="68"/>
        <v>7.9877116146037579E-5</v>
      </c>
      <c r="W33" s="32" t="str">
        <f t="shared" si="54"/>
        <v>1-0.00178983908781967i</v>
      </c>
      <c r="X33" s="18">
        <f t="shared" si="69"/>
        <v>1.0000016017606974</v>
      </c>
      <c r="Y33" s="18">
        <f t="shared" si="70"/>
        <v>-1.7898371765592094E-3</v>
      </c>
      <c r="Z33" s="32" t="str">
        <f t="shared" si="71"/>
        <v>0.999999995011844+0.000141707921167871i</v>
      </c>
      <c r="AA33" s="18">
        <f t="shared" si="72"/>
        <v>1.0000000050524114</v>
      </c>
      <c r="AB33" s="18">
        <f t="shared" si="73"/>
        <v>1.4170792092618023E-4</v>
      </c>
      <c r="AC33" s="32" t="str">
        <f>IMDIV(IMSUM(COMPLEX(0,2*PI()*O33*Constants!$B$71*Constants!$B$72),COMPLEX(1,0)),IMSUM(COMPLEX(0,2*PI()*O33*Constants!$B$71*Constants!$B$72),COMPLEX(2,0)))</f>
        <v>0.500000015753959+0.0000887523486657304i</v>
      </c>
      <c r="AD33" s="18">
        <f t="shared" si="74"/>
        <v>0.5000000236309381</v>
      </c>
      <c r="AE33" s="18">
        <f t="shared" si="75"/>
        <v>1.7750468987438991E-4</v>
      </c>
      <c r="AF33" s="66" t="str">
        <f t="shared" si="76"/>
        <v>12.734892510608-0.998867543056288i</v>
      </c>
      <c r="AG33" s="64">
        <f t="shared" si="77"/>
        <v>22.126542165521542</v>
      </c>
      <c r="AH33" s="61">
        <f t="shared" si="78"/>
        <v>-4.4848405194439485</v>
      </c>
      <c r="AI33" s="50" t="str">
        <f t="shared" si="55"/>
        <v>108.866083054159</v>
      </c>
      <c r="AJ33" s="50" t="str">
        <f t="shared" si="56"/>
        <v>1+0.0726155602871992i</v>
      </c>
      <c r="AK33" s="50">
        <f t="shared" si="79"/>
        <v>1.0026330433392987</v>
      </c>
      <c r="AL33" s="50">
        <f t="shared" si="80"/>
        <v>7.2488328159651061E-2</v>
      </c>
      <c r="AM33" s="50" t="str">
        <f t="shared" si="57"/>
        <v>1+0.000079877116315919i</v>
      </c>
      <c r="AN33" s="50">
        <f t="shared" si="81"/>
        <v>1.0000000031901768</v>
      </c>
      <c r="AO33" s="50">
        <f t="shared" si="82"/>
        <v>7.9877116146037579E-5</v>
      </c>
      <c r="AP33" s="50" t="str">
        <f t="shared" si="58"/>
        <v>1-0.000398562953349697i</v>
      </c>
      <c r="AQ33" s="50">
        <f t="shared" si="83"/>
        <v>1.0000000794262107</v>
      </c>
      <c r="AR33" s="50">
        <f t="shared" si="84"/>
        <v>-3.9856293224546809E-4</v>
      </c>
      <c r="AS33" s="59" t="str">
        <f t="shared" si="85"/>
        <v>108.292538512398-7.89841743780356i</v>
      </c>
      <c r="AT33" s="50">
        <f t="shared" si="86"/>
        <v>40.715012400439136</v>
      </c>
      <c r="AU33" s="61">
        <f t="shared" si="87"/>
        <v>-4.1715346197604921</v>
      </c>
      <c r="AV33" s="32" t="str">
        <f t="shared" si="59"/>
        <v>-0.0000333333333333333</v>
      </c>
      <c r="AW33" s="32" t="str">
        <f t="shared" si="60"/>
        <v>4.26011287018235E-06i</v>
      </c>
      <c r="AX33" s="32">
        <f t="shared" si="88"/>
        <v>4.2601128701823497E-6</v>
      </c>
      <c r="AY33" s="32">
        <f t="shared" si="89"/>
        <v>1.5707963267948966</v>
      </c>
      <c r="AZ33" s="32" t="str">
        <f t="shared" si="61"/>
        <v>1+0.00173806688280009i</v>
      </c>
      <c r="BA33" s="32">
        <f t="shared" si="90"/>
        <v>1.0000015104371038</v>
      </c>
      <c r="BB33" s="32">
        <f t="shared" si="91"/>
        <v>1.7380651326414681E-3</v>
      </c>
      <c r="BC33" s="32" t="str">
        <f t="shared" si="62"/>
        <v>1+0.0834272103744045i</v>
      </c>
      <c r="BD33" s="32">
        <f t="shared" si="92"/>
        <v>1.0034740153241912</v>
      </c>
      <c r="BE33" s="32">
        <f t="shared" si="93"/>
        <v>8.3234460777065061E-2</v>
      </c>
      <c r="BF33" s="59" t="str">
        <f t="shared" si="94"/>
        <v>-0.639176309868056+7.82562975241286i</v>
      </c>
      <c r="BG33" s="50">
        <f t="shared" si="95"/>
        <v>17.89926229217923</v>
      </c>
      <c r="BH33" s="61">
        <f t="shared" si="96"/>
        <v>94.669399515953828</v>
      </c>
      <c r="BI33" s="59" t="str">
        <f t="shared" si="97"/>
        <v>-0.323074037835943+100.297006195011i</v>
      </c>
      <c r="BJ33" s="64">
        <f t="shared" si="98"/>
        <v>40.025804457700744</v>
      </c>
      <c r="BK33" s="61">
        <f t="shared" si="99"/>
        <v>90.184558996509892</v>
      </c>
      <c r="BL33" s="59" t="str">
        <f t="shared" si="100"/>
        <v>-7.4079346543468+852.50579265863i</v>
      </c>
      <c r="BM33" s="64">
        <f t="shared" si="101"/>
        <v>58.614274692618366</v>
      </c>
      <c r="BN33" s="61">
        <f t="shared" si="102"/>
        <v>90.497864896193335</v>
      </c>
      <c r="BO33" s="50">
        <f t="shared" si="103"/>
        <v>40.025804457700744</v>
      </c>
      <c r="BP33" s="61">
        <f t="shared" si="104"/>
        <v>90.184558996509892</v>
      </c>
    </row>
    <row r="34" spans="1:68" x14ac:dyDescent="0.25">
      <c r="A34" t="s">
        <v>422</v>
      </c>
      <c r="B34">
        <f>(R_cs*Acs/(2*Lm*Fsw))*(1-(VIN_var/VOUT))*(VIN_var/VOUT)</f>
        <v>9.0909090909090931E-4</v>
      </c>
      <c r="E34" t="s">
        <v>425</v>
      </c>
      <c r="N34" s="11">
        <v>16</v>
      </c>
      <c r="O34" s="51">
        <f t="shared" si="63"/>
        <v>14.454397707459275</v>
      </c>
      <c r="P34" s="49" t="str">
        <f t="shared" si="52"/>
        <v>25.6231073841137</v>
      </c>
      <c r="Q34" s="18" t="str">
        <f t="shared" si="64"/>
        <v>1+0.0785390135452845i</v>
      </c>
      <c r="R34" s="18">
        <f t="shared" si="65"/>
        <v>1.00307944682795</v>
      </c>
      <c r="S34" s="18">
        <f t="shared" si="66"/>
        <v>7.8378122516319829E-2</v>
      </c>
      <c r="T34" s="18" t="str">
        <f t="shared" si="53"/>
        <v>1+0.0000817376933696746i</v>
      </c>
      <c r="U34" s="18">
        <f t="shared" si="67"/>
        <v>1.0000000033405252</v>
      </c>
      <c r="V34" s="18">
        <f t="shared" si="68"/>
        <v>8.1737693187643388E-5</v>
      </c>
      <c r="W34" s="32" t="str">
        <f t="shared" si="54"/>
        <v>1-0.00183152979587604i</v>
      </c>
      <c r="X34" s="18">
        <f t="shared" si="69"/>
        <v>1.0000016772492899</v>
      </c>
      <c r="Y34" s="18">
        <f t="shared" si="70"/>
        <v>-1.8315277479237445E-3</v>
      </c>
      <c r="Z34" s="32" t="str">
        <f t="shared" si="71"/>
        <v>0.99999999477676+0.000145008722681756i</v>
      </c>
      <c r="AA34" s="18">
        <f t="shared" si="72"/>
        <v>1.0000000052905249</v>
      </c>
      <c r="AB34" s="18">
        <f t="shared" si="73"/>
        <v>1.4500872242277963E-4</v>
      </c>
      <c r="AC34" s="32" t="str">
        <f>IMDIV(IMSUM(COMPLEX(0,2*PI()*O34*Constants!$B$71*Constants!$B$72),COMPLEX(1,0)),IMSUM(COMPLEX(0,2*PI()*O34*Constants!$B$71*Constants!$B$72),COMPLEX(2,0)))</f>
        <v>0.50000001649642+0.0000908196563032399i</v>
      </c>
      <c r="AD34" s="18">
        <f t="shared" si="74"/>
        <v>0.50000002474462957</v>
      </c>
      <c r="AE34" s="18">
        <f t="shared" si="75"/>
        <v>1.8163930461608454E-4</v>
      </c>
      <c r="AF34" s="66" t="str">
        <f t="shared" si="76"/>
        <v>12.7313017297196-1.0218521406851i</v>
      </c>
      <c r="AG34" s="64">
        <f t="shared" si="77"/>
        <v>22.125344366072561</v>
      </c>
      <c r="AH34" s="61">
        <f t="shared" si="78"/>
        <v>-4.5888924337539621</v>
      </c>
      <c r="AI34" s="50" t="str">
        <f t="shared" si="55"/>
        <v>108.866083054159</v>
      </c>
      <c r="AJ34" s="50" t="str">
        <f t="shared" si="56"/>
        <v>1+0.0743069939724316i</v>
      </c>
      <c r="AK34" s="50">
        <f t="shared" si="79"/>
        <v>1.0027569642506697</v>
      </c>
      <c r="AL34" s="50">
        <f t="shared" si="80"/>
        <v>7.4170682527397058E-2</v>
      </c>
      <c r="AM34" s="50" t="str">
        <f t="shared" si="57"/>
        <v>1+0.0000817376933696746i</v>
      </c>
      <c r="AN34" s="50">
        <f t="shared" si="81"/>
        <v>1.0000000033405252</v>
      </c>
      <c r="AO34" s="50">
        <f t="shared" si="82"/>
        <v>8.1737693187643388E-5</v>
      </c>
      <c r="AP34" s="50" t="str">
        <f t="shared" si="58"/>
        <v>1-0.000407846677145466i</v>
      </c>
      <c r="AQ34" s="50">
        <f t="shared" si="83"/>
        <v>1.0000000831694524</v>
      </c>
      <c r="AR34" s="50">
        <f t="shared" si="84"/>
        <v>-4.0784665453187744E-4</v>
      </c>
      <c r="AS34" s="59" t="str">
        <f t="shared" si="85"/>
        <v>108.265656620059-8.08039770160054i</v>
      </c>
      <c r="AT34" s="50">
        <f t="shared" si="86"/>
        <v>40.713938963903651</v>
      </c>
      <c r="AU34" s="61">
        <f t="shared" si="87"/>
        <v>-4.2683517395710018</v>
      </c>
      <c r="AV34" s="32" t="str">
        <f t="shared" si="59"/>
        <v>-0.0000333333333333333</v>
      </c>
      <c r="AW34" s="32" t="str">
        <f t="shared" si="60"/>
        <v>4.35934364638264E-06i</v>
      </c>
      <c r="AX34" s="32">
        <f t="shared" si="88"/>
        <v>4.3593436463826404E-6</v>
      </c>
      <c r="AY34" s="32">
        <f t="shared" si="89"/>
        <v>1.5707963267948966</v>
      </c>
      <c r="AZ34" s="32" t="str">
        <f t="shared" si="61"/>
        <v>1+0.00177855166128459i</v>
      </c>
      <c r="BA34" s="32">
        <f t="shared" si="90"/>
        <v>1.0000015816217551</v>
      </c>
      <c r="BB34" s="32">
        <f t="shared" si="91"/>
        <v>1.7785497859559994E-3</v>
      </c>
      <c r="BC34" s="32" t="str">
        <f t="shared" si="62"/>
        <v>1+0.0853704797416603i</v>
      </c>
      <c r="BD34" s="32">
        <f t="shared" si="92"/>
        <v>1.0036374439065738</v>
      </c>
      <c r="BE34" s="32">
        <f t="shared" si="93"/>
        <v>8.5163985233131873E-2</v>
      </c>
      <c r="BF34" s="59" t="str">
        <f t="shared" si="94"/>
        <v>-0.639176218869116+7.64754783610746i</v>
      </c>
      <c r="BG34" s="50">
        <f t="shared" si="95"/>
        <v>17.70067616695669</v>
      </c>
      <c r="BH34" s="61">
        <f t="shared" si="96"/>
        <v>94.777633523983738</v>
      </c>
      <c r="BI34" s="59" t="str">
        <f t="shared" si="97"/>
        <v>-0.322882173565898+98.0163825814747i</v>
      </c>
      <c r="BJ34" s="64">
        <f t="shared" si="98"/>
        <v>39.826020533029251</v>
      </c>
      <c r="BK34" s="61">
        <f t="shared" si="99"/>
        <v>90.188741090229783</v>
      </c>
      <c r="BL34" s="59" t="str">
        <f t="shared" si="100"/>
        <v>-7.40560507402848+833.131586059353i</v>
      </c>
      <c r="BM34" s="64">
        <f t="shared" si="101"/>
        <v>58.414615130860341</v>
      </c>
      <c r="BN34" s="61">
        <f t="shared" si="102"/>
        <v>90.509281784412735</v>
      </c>
      <c r="BO34" s="50">
        <f t="shared" si="103"/>
        <v>39.826020533029251</v>
      </c>
      <c r="BP34" s="61">
        <f t="shared" si="104"/>
        <v>90.188741090229783</v>
      </c>
    </row>
    <row r="35" spans="1:68" x14ac:dyDescent="0.25">
      <c r="A35" t="s">
        <v>423</v>
      </c>
      <c r="B35">
        <f>1/((0.5-(1-(VIN_var/VOUT)))*(R_cs*Acs/(Lm*Fsw))+(Vsl*Acs/VOUT))</f>
        <v>137.78705636743217</v>
      </c>
      <c r="E35" s="32" t="s">
        <v>425</v>
      </c>
      <c r="N35" s="11">
        <v>17</v>
      </c>
      <c r="O35" s="51">
        <f t="shared" si="63"/>
        <v>14.791083881682074</v>
      </c>
      <c r="P35" s="49" t="str">
        <f t="shared" si="52"/>
        <v>25.6231073841137</v>
      </c>
      <c r="Q35" s="18" t="str">
        <f t="shared" si="64"/>
        <v>1+0.0803684221815329i</v>
      </c>
      <c r="R35" s="18">
        <f t="shared" si="65"/>
        <v>1.0032243434466437</v>
      </c>
      <c r="S35" s="18">
        <f t="shared" si="66"/>
        <v>8.0196054249254828E-2</v>
      </c>
      <c r="T35" s="18" t="str">
        <f t="shared" si="53"/>
        <v>1+0.0000836416088303811i</v>
      </c>
      <c r="U35" s="18">
        <f t="shared" si="67"/>
        <v>1.0000000034979593</v>
      </c>
      <c r="V35" s="18">
        <f t="shared" si="68"/>
        <v>8.3641608635331134E-5</v>
      </c>
      <c r="W35" s="32" t="str">
        <f t="shared" si="54"/>
        <v>1-0.00187419160527335i</v>
      </c>
      <c r="X35" s="18">
        <f t="shared" si="69"/>
        <v>1.0000017562955443</v>
      </c>
      <c r="Y35" s="18">
        <f t="shared" si="70"/>
        <v>-1.8741894108531374E-3</v>
      </c>
      <c r="Z35" s="32" t="str">
        <f t="shared" si="71"/>
        <v>0.999999994530596+0.000148386409739824i</v>
      </c>
      <c r="AA35" s="18">
        <f t="shared" si="72"/>
        <v>1.0000000055398592</v>
      </c>
      <c r="AB35" s="18">
        <f t="shared" si="73"/>
        <v>1.4838640946232583E-4</v>
      </c>
      <c r="AC35" s="32" t="str">
        <f>IMDIV(IMSUM(COMPLEX(0,2*PI()*O35*Constants!$B$71*Constants!$B$72),COMPLEX(1,0)),IMSUM(COMPLEX(0,2*PI()*O35*Constants!$B$71*Constants!$B$72),COMPLEX(2,0)))</f>
        <v>0.500000017273873+0.0000929351177119466i</v>
      </c>
      <c r="AD35" s="18">
        <f t="shared" si="74"/>
        <v>0.50000002591080872</v>
      </c>
      <c r="AE35" s="18">
        <f t="shared" si="75"/>
        <v>1.858702268620302E-4</v>
      </c>
      <c r="AF35" s="66" t="str">
        <f t="shared" si="76"/>
        <v>12.7275438437508-1.04535211939526i</v>
      </c>
      <c r="AG35" s="64">
        <f t="shared" si="77"/>
        <v>22.124090470450632</v>
      </c>
      <c r="AH35" s="61">
        <f t="shared" si="78"/>
        <v>-4.6953386096309675</v>
      </c>
      <c r="AI35" s="50" t="str">
        <f t="shared" si="55"/>
        <v>108.866083054159</v>
      </c>
      <c r="AJ35" s="50" t="str">
        <f t="shared" si="56"/>
        <v>1+0.0760378262094375i</v>
      </c>
      <c r="AK35" s="50">
        <f t="shared" si="79"/>
        <v>1.0028867089630098</v>
      </c>
      <c r="AL35" s="50">
        <f t="shared" si="80"/>
        <v>7.5891788561380652E-2</v>
      </c>
      <c r="AM35" s="50" t="str">
        <f t="shared" si="57"/>
        <v>1+0.0000836416088303811i</v>
      </c>
      <c r="AN35" s="50">
        <f t="shared" si="81"/>
        <v>1.0000000034979593</v>
      </c>
      <c r="AO35" s="50">
        <f t="shared" si="82"/>
        <v>8.3641608635331134E-5</v>
      </c>
      <c r="AP35" s="50" t="str">
        <f t="shared" si="58"/>
        <v>1-0.000417346646647946i</v>
      </c>
      <c r="AQ35" s="50">
        <f t="shared" si="83"/>
        <v>1.0000000870891079</v>
      </c>
      <c r="AR35" s="50">
        <f t="shared" si="84"/>
        <v>-4.1734662241704935E-4</v>
      </c>
      <c r="AS35" s="59" t="str">
        <f t="shared" si="85"/>
        <v>108.237522061025-8.266475052179i</v>
      </c>
      <c r="AT35" s="50">
        <f t="shared" si="86"/>
        <v>40.712815222178278</v>
      </c>
      <c r="AU35" s="61">
        <f t="shared" si="87"/>
        <v>-4.3673990731583689</v>
      </c>
      <c r="AV35" s="32" t="str">
        <f t="shared" si="59"/>
        <v>-0.0000333333333333333</v>
      </c>
      <c r="AW35" s="32" t="str">
        <f t="shared" si="60"/>
        <v>4.46088580428699E-06i</v>
      </c>
      <c r="AX35" s="32">
        <f t="shared" si="88"/>
        <v>4.4608858042869897E-6</v>
      </c>
      <c r="AY35" s="32">
        <f t="shared" si="89"/>
        <v>1.5707963267948966</v>
      </c>
      <c r="AZ35" s="32" t="str">
        <f t="shared" si="61"/>
        <v>1+0.00181997945140181i</v>
      </c>
      <c r="BA35" s="32">
        <f t="shared" si="90"/>
        <v>1.0000016561612304</v>
      </c>
      <c r="BB35" s="32">
        <f t="shared" si="91"/>
        <v>1.8199774419512013E-3</v>
      </c>
      <c r="BC35" s="32" t="str">
        <f t="shared" si="62"/>
        <v>1+0.0873590136672871i</v>
      </c>
      <c r="BD35" s="32">
        <f t="shared" si="92"/>
        <v>1.0038085461226762</v>
      </c>
      <c r="BE35" s="32">
        <f t="shared" si="93"/>
        <v>8.713779612976294E-2</v>
      </c>
      <c r="BF35" s="59" t="str">
        <f t="shared" si="94"/>
        <v>-0.639176123581559+7.47352075087673i</v>
      </c>
      <c r="BG35" s="50">
        <f t="shared" si="95"/>
        <v>17.502156181986578</v>
      </c>
      <c r="BH35" s="61">
        <f t="shared" si="96"/>
        <v>94.88835092807399</v>
      </c>
      <c r="BI35" s="59" t="str">
        <f t="shared" si="97"/>
        <v>-0.322681380489526+95.7877271394178i</v>
      </c>
      <c r="BJ35" s="64">
        <f t="shared" si="98"/>
        <v>39.626246652437203</v>
      </c>
      <c r="BK35" s="61">
        <f t="shared" si="99"/>
        <v>90.193012318443024</v>
      </c>
      <c r="BL35" s="59" t="str">
        <f t="shared" si="100"/>
        <v>-7.40316693797487+814.199100626084i</v>
      </c>
      <c r="BM35" s="64">
        <f t="shared" si="101"/>
        <v>58.214971404164864</v>
      </c>
      <c r="BN35" s="61">
        <f t="shared" si="102"/>
        <v>90.520951854915623</v>
      </c>
      <c r="BO35" s="50">
        <f t="shared" si="103"/>
        <v>39.626246652437203</v>
      </c>
      <c r="BP35" s="61">
        <f t="shared" si="104"/>
        <v>90.193012318443024</v>
      </c>
    </row>
    <row r="36" spans="1:68" x14ac:dyDescent="0.25">
      <c r="A36" t="s">
        <v>424</v>
      </c>
      <c r="B36">
        <f>2+((VOUT*((VIN_var/VOUT)^2))/(IOUT_VAR*R_cs*Acs))*((1/Km)+(Kex/(VIN_var/VOUT)))</f>
        <v>2.1287603305785123</v>
      </c>
      <c r="E36" s="32" t="s">
        <v>425</v>
      </c>
      <c r="N36" s="11">
        <v>18</v>
      </c>
      <c r="O36" s="51">
        <f t="shared" si="63"/>
        <v>15.135612484362087</v>
      </c>
      <c r="P36" s="49" t="str">
        <f t="shared" si="52"/>
        <v>25.6231073841137</v>
      </c>
      <c r="Q36" s="18" t="str">
        <f t="shared" si="64"/>
        <v>1+0.0822404432190238i</v>
      </c>
      <c r="R36" s="18">
        <f t="shared" si="65"/>
        <v>1.0033760464057639</v>
      </c>
      <c r="S36" s="18">
        <f t="shared" si="66"/>
        <v>8.2055781198831099E-2</v>
      </c>
      <c r="T36" s="18" t="str">
        <f t="shared" si="53"/>
        <v>1+0.0000855898721792171i</v>
      </c>
      <c r="U36" s="18">
        <f t="shared" si="67"/>
        <v>1.0000000036628132</v>
      </c>
      <c r="V36" s="18">
        <f t="shared" si="68"/>
        <v>8.5589871970217287E-5</v>
      </c>
      <c r="W36" s="32" t="str">
        <f t="shared" si="54"/>
        <v>1-0.00191784713586764i</v>
      </c>
      <c r="X36" s="18">
        <f t="shared" si="69"/>
        <v>1.0000018390671273</v>
      </c>
      <c r="Y36" s="18">
        <f t="shared" si="70"/>
        <v>-1.9178447845042519E-3</v>
      </c>
      <c r="Z36" s="32" t="str">
        <f t="shared" si="71"/>
        <v>0.999999994272831+0.000151842773236463i</v>
      </c>
      <c r="AA36" s="18">
        <f t="shared" si="72"/>
        <v>1.0000000058009451</v>
      </c>
      <c r="AB36" s="18">
        <f t="shared" si="73"/>
        <v>1.5184277293911835E-4</v>
      </c>
      <c r="AC36" s="32" t="str">
        <f>IMDIV(IMSUM(COMPLEX(0,2*PI()*O36*Constants!$B$71*Constants!$B$72),COMPLEX(1,0)),IMSUM(COMPLEX(0,2*PI()*O36*Constants!$B$71*Constants!$B$72),COMPLEX(2,0)))</f>
        <v>0.500000018087965+0.0000950998545365819i</v>
      </c>
      <c r="AD36" s="18">
        <f t="shared" si="74"/>
        <v>0.50000002713194691</v>
      </c>
      <c r="AE36" s="18">
        <f t="shared" si="75"/>
        <v>1.9019969989896257E-4</v>
      </c>
      <c r="AF36" s="66" t="str">
        <f t="shared" si="76"/>
        <v>12.7236111801069-1.06937807429671i</v>
      </c>
      <c r="AG36" s="64">
        <f t="shared" si="77"/>
        <v>22.122777868889422</v>
      </c>
      <c r="AH36" s="61">
        <f t="shared" si="78"/>
        <v>-4.804232730792374</v>
      </c>
      <c r="AI36" s="50" t="str">
        <f t="shared" si="55"/>
        <v>108.866083054159</v>
      </c>
      <c r="AJ36" s="50" t="str">
        <f t="shared" si="56"/>
        <v>1+0.0778089747083793i</v>
      </c>
      <c r="AK36" s="50">
        <f t="shared" si="79"/>
        <v>1.0030225503672234</v>
      </c>
      <c r="AL36" s="50">
        <f t="shared" si="80"/>
        <v>7.7652518005810856E-2</v>
      </c>
      <c r="AM36" s="50" t="str">
        <f t="shared" si="57"/>
        <v>1+0.0000855898721792171i</v>
      </c>
      <c r="AN36" s="50">
        <f t="shared" si="81"/>
        <v>1.0000000036628132</v>
      </c>
      <c r="AO36" s="50">
        <f t="shared" si="82"/>
        <v>8.5589871970217287E-5</v>
      </c>
      <c r="AP36" s="50" t="str">
        <f t="shared" si="58"/>
        <v>1-0.000427067898866716i</v>
      </c>
      <c r="AQ36" s="50">
        <f t="shared" si="83"/>
        <v>1.000000091193491</v>
      </c>
      <c r="AR36" s="50">
        <f t="shared" si="84"/>
        <v>-4.2706787290284261E-4</v>
      </c>
      <c r="AS36" s="59" t="str">
        <f t="shared" si="85"/>
        <v>108.20807716045-8.45673491423433i</v>
      </c>
      <c r="AT36" s="50">
        <f t="shared" si="86"/>
        <v>40.711638831721004</v>
      </c>
      <c r="AU36" s="61">
        <f t="shared" si="87"/>
        <v>-4.4687267985465908</v>
      </c>
      <c r="AV36" s="32" t="str">
        <f t="shared" si="59"/>
        <v>-0.0000333333333333333</v>
      </c>
      <c r="AW36" s="32" t="str">
        <f t="shared" si="60"/>
        <v>4.56479318289157E-06i</v>
      </c>
      <c r="AX36" s="32">
        <f t="shared" si="88"/>
        <v>4.5647931828915699E-6</v>
      </c>
      <c r="AY36" s="32">
        <f t="shared" si="89"/>
        <v>1.5707963267948966</v>
      </c>
      <c r="AZ36" s="32" t="str">
        <f t="shared" si="61"/>
        <v>1+0.00186237221871445i</v>
      </c>
      <c r="BA36" s="32">
        <f t="shared" si="90"/>
        <v>1.0000017342136367</v>
      </c>
      <c r="BB36" s="32">
        <f t="shared" si="91"/>
        <v>1.8623700655495314E-3</v>
      </c>
      <c r="BC36" s="32" t="str">
        <f t="shared" si="62"/>
        <v>1+0.0893938664982935i</v>
      </c>
      <c r="BD36" s="32">
        <f t="shared" si="92"/>
        <v>1.0039876808843398</v>
      </c>
      <c r="BE36" s="32">
        <f t="shared" si="93"/>
        <v>8.9156878454854774E-2</v>
      </c>
      <c r="BF36" s="59" t="str">
        <f t="shared" si="94"/>
        <v>-0.639176023803266+7.30345622525549i</v>
      </c>
      <c r="BG36" s="50">
        <f t="shared" si="95"/>
        <v>17.303705407109284</v>
      </c>
      <c r="BH36" s="61">
        <f t="shared" si="96"/>
        <v>95.001606905376548</v>
      </c>
      <c r="BI36" s="59" t="str">
        <f t="shared" si="97"/>
        <v>-0.322471248645474+93.6098581065535i</v>
      </c>
      <c r="BJ36" s="64">
        <f t="shared" si="98"/>
        <v>39.426483275998706</v>
      </c>
      <c r="BK36" s="61">
        <f t="shared" si="99"/>
        <v>90.197374174584183</v>
      </c>
      <c r="BL36" s="59" t="str">
        <f t="shared" si="100"/>
        <v>-7.40061524811325+795.698296957254i</v>
      </c>
      <c r="BM36" s="64">
        <f t="shared" si="101"/>
        <v>58.015344238830281</v>
      </c>
      <c r="BN36" s="61">
        <f t="shared" si="102"/>
        <v>90.532880106829964</v>
      </c>
      <c r="BO36" s="50">
        <f t="shared" si="103"/>
        <v>39.426483275998706</v>
      </c>
      <c r="BP36" s="61">
        <f t="shared" si="104"/>
        <v>90.197374174584183</v>
      </c>
    </row>
    <row r="37" spans="1:68" x14ac:dyDescent="0.25">
      <c r="E37" s="338"/>
      <c r="K37" s="32"/>
      <c r="N37" s="11">
        <v>19</v>
      </c>
      <c r="O37" s="51">
        <f t="shared" si="63"/>
        <v>15.488166189124817</v>
      </c>
      <c r="P37" s="49" t="str">
        <f t="shared" si="52"/>
        <v>25.6231073841137</v>
      </c>
      <c r="Q37" s="18" t="str">
        <f t="shared" si="64"/>
        <v>1+0.0841560692280903i</v>
      </c>
      <c r="R37" s="18">
        <f t="shared" si="65"/>
        <v>1.0035348743257124</v>
      </c>
      <c r="S37" s="18">
        <f t="shared" si="66"/>
        <v>8.395823793204267E-2</v>
      </c>
      <c r="T37" s="18" t="str">
        <f t="shared" si="53"/>
        <v>1+0.0000875835164111983i</v>
      </c>
      <c r="U37" s="18">
        <f t="shared" si="67"/>
        <v>1.0000000038354362</v>
      </c>
      <c r="V37" s="18">
        <f t="shared" si="68"/>
        <v>8.7583516187250975E-5</v>
      </c>
      <c r="W37" s="32" t="str">
        <f t="shared" si="54"/>
        <v>1-0.00196251953439907i</v>
      </c>
      <c r="X37" s="18">
        <f t="shared" si="69"/>
        <v>1.0000019257396071</v>
      </c>
      <c r="Y37" s="18">
        <f t="shared" si="70"/>
        <v>-1.9625170148680681E-3</v>
      </c>
      <c r="Z37" s="32" t="str">
        <f t="shared" si="71"/>
        <v>0.999999994002918+0.000155379645781348i</v>
      </c>
      <c r="AA37" s="18">
        <f t="shared" si="72"/>
        <v>1.000000006074335</v>
      </c>
      <c r="AB37" s="18">
        <f t="shared" si="73"/>
        <v>1.5537964546273746E-4</v>
      </c>
      <c r="AC37" s="32" t="str">
        <f>IMDIV(IMSUM(COMPLEX(0,2*PI()*O37*Constants!$B$71*Constants!$B$72),COMPLEX(1,0)),IMSUM(COMPLEX(0,2*PI()*O37*Constants!$B$71*Constants!$B$72),COMPLEX(2,0)))</f>
        <v>0.500000018940425+0.0000973150145482892i</v>
      </c>
      <c r="AD37" s="18">
        <f t="shared" si="74"/>
        <v>0.50000002841063662</v>
      </c>
      <c r="AE37" s="18">
        <f t="shared" si="75"/>
        <v>1.9463001926624452E-4</v>
      </c>
      <c r="AF37" s="66" t="str">
        <f t="shared" si="76"/>
        <v>12.719495723867-1.09394074896501i</v>
      </c>
      <c r="AG37" s="64">
        <f t="shared" si="77"/>
        <v>22.121403831872009</v>
      </c>
      <c r="AH37" s="61">
        <f t="shared" si="78"/>
        <v>-4.915629584440059</v>
      </c>
      <c r="AI37" s="50" t="str">
        <f t="shared" si="55"/>
        <v>108.866083054159</v>
      </c>
      <c r="AJ37" s="50" t="str">
        <f t="shared" si="56"/>
        <v>1+0.0796213785556349i</v>
      </c>
      <c r="AK37" s="50">
        <f t="shared" si="79"/>
        <v>1.0031647740641114</v>
      </c>
      <c r="AL37" s="50">
        <f t="shared" si="80"/>
        <v>7.9453760729875658E-2</v>
      </c>
      <c r="AM37" s="50" t="str">
        <f t="shared" si="57"/>
        <v>1+0.0000875835164111983i</v>
      </c>
      <c r="AN37" s="50">
        <f t="shared" si="81"/>
        <v>1.0000000038354362</v>
      </c>
      <c r="AO37" s="50">
        <f t="shared" si="82"/>
        <v>8.7583516187250975E-5</v>
      </c>
      <c r="AP37" s="50" t="str">
        <f t="shared" si="58"/>
        <v>1-0.000437015588138376i</v>
      </c>
      <c r="AQ37" s="50">
        <f t="shared" si="83"/>
        <v>1.0000000954913075</v>
      </c>
      <c r="AR37" s="50">
        <f t="shared" si="84"/>
        <v>-4.3701556031758456E-4</v>
      </c>
      <c r="AS37" s="59" t="str">
        <f t="shared" si="85"/>
        <v>108.177261654938-8.65126400228219i</v>
      </c>
      <c r="AT37" s="50">
        <f t="shared" si="86"/>
        <v>40.71040734114959</v>
      </c>
      <c r="AU37" s="61">
        <f t="shared" si="87"/>
        <v>-4.5723861376194339</v>
      </c>
      <c r="AV37" s="32" t="str">
        <f t="shared" si="59"/>
        <v>-0.0000333333333333333</v>
      </c>
      <c r="AW37" s="32" t="str">
        <f t="shared" si="60"/>
        <v>4.67112087526391E-06i</v>
      </c>
      <c r="AX37" s="32">
        <f t="shared" si="88"/>
        <v>4.6711208752639097E-6</v>
      </c>
      <c r="AY37" s="32">
        <f t="shared" si="89"/>
        <v>1.5707963267948966</v>
      </c>
      <c r="AZ37" s="32" t="str">
        <f t="shared" si="61"/>
        <v>1+0.00190575244042885i</v>
      </c>
      <c r="BA37" s="32">
        <f t="shared" si="90"/>
        <v>1.0000018159445332</v>
      </c>
      <c r="BB37" s="32">
        <f t="shared" si="91"/>
        <v>1.9057501332712988E-3</v>
      </c>
      <c r="BC37" s="32" t="str">
        <f t="shared" si="62"/>
        <v>1+0.0914761171405851i</v>
      </c>
      <c r="BD37" s="32">
        <f t="shared" si="92"/>
        <v>1.0041752237568491</v>
      </c>
      <c r="BE37" s="32">
        <f t="shared" si="93"/>
        <v>9.1222236866657438E-2</v>
      </c>
      <c r="BF37" s="59" t="str">
        <f t="shared" si="94"/>
        <v>-0.639175919322599+7.13726408878006i</v>
      </c>
      <c r="BG37" s="50">
        <f t="shared" si="95"/>
        <v>17.105327052337643</v>
      </c>
      <c r="BH37" s="61">
        <f t="shared" si="96"/>
        <v>95.117457730759213</v>
      </c>
      <c r="BI37" s="59" t="str">
        <f t="shared" si="97"/>
        <v>-0.322251349781428+91.4816206412516i</v>
      </c>
      <c r="BJ37" s="64">
        <f t="shared" si="98"/>
        <v>39.226730884209651</v>
      </c>
      <c r="BK37" s="61">
        <f t="shared" si="99"/>
        <v>90.201828146319158</v>
      </c>
      <c r="BL37" s="59" t="str">
        <f t="shared" si="100"/>
        <v>-7.39794478205199+777.619364454314i</v>
      </c>
      <c r="BM37" s="64">
        <f t="shared" si="101"/>
        <v>57.815734393487233</v>
      </c>
      <c r="BN37" s="61">
        <f t="shared" si="102"/>
        <v>90.545071593139781</v>
      </c>
      <c r="BO37" s="50">
        <f t="shared" si="103"/>
        <v>39.226730884209651</v>
      </c>
      <c r="BP37" s="61">
        <f t="shared" si="104"/>
        <v>90.201828146319158</v>
      </c>
    </row>
    <row r="38" spans="1:68" x14ac:dyDescent="0.25">
      <c r="A38" t="s">
        <v>175</v>
      </c>
      <c r="B38" s="28">
        <f>(Gcomp*(VIN_var/VOUT)*(VOUT/IOUT))/(Kd*R_cs*Acs/1)</f>
        <v>25.623107384113677</v>
      </c>
      <c r="C38" t="s">
        <v>132</v>
      </c>
      <c r="E38" t="s">
        <v>179</v>
      </c>
      <c r="K38" s="32"/>
      <c r="N38" s="11">
        <v>20</v>
      </c>
      <c r="O38" s="51">
        <f t="shared" si="63"/>
        <v>15.848931924611136</v>
      </c>
      <c r="P38" s="49" t="str">
        <f t="shared" si="52"/>
        <v>25.6231073841137</v>
      </c>
      <c r="Q38" s="18" t="str">
        <f t="shared" si="64"/>
        <v>1+0.0861163158989988i</v>
      </c>
      <c r="R38" s="18">
        <f t="shared" si="65"/>
        <v>1.0037011606369777</v>
      </c>
      <c r="S38" s="18">
        <f t="shared" si="66"/>
        <v>8.5904378040856086E-2</v>
      </c>
      <c r="T38" s="18" t="str">
        <f t="shared" si="53"/>
        <v>1+0.0000896235985828857i</v>
      </c>
      <c r="U38" s="18">
        <f t="shared" si="67"/>
        <v>1.0000000040161947</v>
      </c>
      <c r="V38" s="18">
        <f t="shared" si="68"/>
        <v>8.9623598342921819E-5</v>
      </c>
      <c r="W38" s="32" t="str">
        <f t="shared" si="54"/>
        <v>1-0.00200823248676466i</v>
      </c>
      <c r="X38" s="18">
        <f t="shared" si="69"/>
        <v>1.0000020164968273</v>
      </c>
      <c r="Y38" s="18">
        <f t="shared" si="70"/>
        <v>-2.0082297870388454E-3</v>
      </c>
      <c r="Z38" s="32" t="str">
        <f t="shared" si="71"/>
        <v>0.999999993720284+0.000158998902671119i</v>
      </c>
      <c r="AA38" s="18">
        <f t="shared" si="72"/>
        <v>1.0000000063606096</v>
      </c>
      <c r="AB38" s="18">
        <f t="shared" si="73"/>
        <v>1.589989023297217E-4</v>
      </c>
      <c r="AC38" s="32" t="str">
        <f>IMDIV(IMSUM(COMPLEX(0,2*PI()*O38*Constants!$B$71*Constants!$B$72),COMPLEX(1,0)),IMSUM(COMPLEX(0,2*PI()*O38*Constants!$B$71*Constants!$B$72),COMPLEX(2,0)))</f>
        <v>0.50000001983306+0.0000995817722531837i</v>
      </c>
      <c r="AD38" s="18">
        <f t="shared" si="74"/>
        <v>0.5000000297495889</v>
      </c>
      <c r="AE38" s="18">
        <f t="shared" si="75"/>
        <v>1.9916353397297486E-4</v>
      </c>
      <c r="AF38" s="66" t="str">
        <f t="shared" si="76"/>
        <v>12.7151891034666-1.11905103216633i</v>
      </c>
      <c r="AG38" s="64">
        <f t="shared" si="77"/>
        <v>22.119965504795232</v>
      </c>
      <c r="AH38" s="61">
        <f t="shared" si="78"/>
        <v>-5.0295850767184422</v>
      </c>
      <c r="AI38" s="50" t="str">
        <f t="shared" si="55"/>
        <v>108.866083054159</v>
      </c>
      <c r="AJ38" s="50" t="str">
        <f t="shared" si="56"/>
        <v>1+0.0814759987117143i</v>
      </c>
      <c r="AK38" s="50">
        <f t="shared" si="79"/>
        <v>1.0033136789489474</v>
      </c>
      <c r="AL38" s="50">
        <f t="shared" si="80"/>
        <v>8.1296424997508457E-2</v>
      </c>
      <c r="AM38" s="50" t="str">
        <f t="shared" si="57"/>
        <v>1+0.0000896235985828857i</v>
      </c>
      <c r="AN38" s="50">
        <f t="shared" si="81"/>
        <v>1.0000000040161947</v>
      </c>
      <c r="AO38" s="50">
        <f t="shared" si="82"/>
        <v>8.9623598342921819E-5</v>
      </c>
      <c r="AP38" s="50" t="str">
        <f t="shared" si="58"/>
        <v>1-0.000447194988859452i</v>
      </c>
      <c r="AQ38" s="50">
        <f t="shared" si="83"/>
        <v>1.0000000999916741</v>
      </c>
      <c r="AR38" s="50">
        <f t="shared" si="84"/>
        <v>-4.4719495904893704E-4</v>
      </c>
      <c r="AS38" s="59" t="str">
        <f t="shared" si="85"/>
        <v>108.145012582778-8.85015030254442i</v>
      </c>
      <c r="AT38" s="50">
        <f t="shared" si="86"/>
        <v>40.709118186406521</v>
      </c>
      <c r="AU38" s="61">
        <f t="shared" si="87"/>
        <v>-4.6784293717023013</v>
      </c>
      <c r="AV38" s="32" t="str">
        <f t="shared" si="59"/>
        <v>-0.0000333333333333333</v>
      </c>
      <c r="AW38" s="32" t="str">
        <f t="shared" si="60"/>
        <v>0.0000047799252577539i</v>
      </c>
      <c r="AX38" s="32">
        <f t="shared" si="88"/>
        <v>4.7799252577539002E-6</v>
      </c>
      <c r="AY38" s="32">
        <f t="shared" si="89"/>
        <v>1.5707963267948966</v>
      </c>
      <c r="AZ38" s="32" t="str">
        <f t="shared" si="61"/>
        <v>1+0.00195014311731279i</v>
      </c>
      <c r="BA38" s="32">
        <f t="shared" si="90"/>
        <v>1.000001901527281</v>
      </c>
      <c r="BB38" s="32">
        <f t="shared" si="91"/>
        <v>1.9501406451491875E-3</v>
      </c>
      <c r="BC38" s="32" t="str">
        <f t="shared" si="62"/>
        <v>1+0.0936068696310141i</v>
      </c>
      <c r="BD38" s="32">
        <f t="shared" si="92"/>
        <v>1.0043715677188985</v>
      </c>
      <c r="BE38" s="32">
        <f t="shared" si="93"/>
        <v>9.3334895924867989E-2</v>
      </c>
      <c r="BF38" s="59" t="str">
        <f t="shared" si="94"/>
        <v>-0.639175809917949+6.97485622417856i</v>
      </c>
      <c r="BG38" s="50">
        <f t="shared" si="95"/>
        <v>16.907024474036263</v>
      </c>
      <c r="BH38" s="61">
        <f t="shared" si="96"/>
        <v>95.235960789363745</v>
      </c>
      <c r="BI38" s="59" t="str">
        <f t="shared" si="97"/>
        <v>-0.322021236589374+89.4018862097459i</v>
      </c>
      <c r="BJ38" s="64">
        <f t="shared" si="98"/>
        <v>39.026989978831502</v>
      </c>
      <c r="BK38" s="61">
        <f t="shared" si="99"/>
        <v>90.206375712645297</v>
      </c>
      <c r="BL38" s="59" t="str">
        <f t="shared" si="100"/>
        <v>-7.39515008356619+759.952716114382i</v>
      </c>
      <c r="BM38" s="64">
        <f t="shared" si="101"/>
        <v>57.616142660442776</v>
      </c>
      <c r="BN38" s="61">
        <f t="shared" si="102"/>
        <v>90.557531417661451</v>
      </c>
      <c r="BO38" s="50">
        <f t="shared" si="103"/>
        <v>39.026989978831502</v>
      </c>
      <c r="BP38" s="61">
        <f t="shared" si="104"/>
        <v>90.206375712645297</v>
      </c>
    </row>
    <row r="39" spans="1:68" x14ac:dyDescent="0.25">
      <c r="A39" t="s">
        <v>192</v>
      </c>
      <c r="B39" s="30">
        <f>Kd/(Cout*(VOUT/IOUT_VAR))</f>
        <v>1156.3636363636365</v>
      </c>
      <c r="C39" t="s">
        <v>191</v>
      </c>
      <c r="E39" t="s">
        <v>182</v>
      </c>
      <c r="N39" s="11">
        <v>21</v>
      </c>
      <c r="O39" s="51">
        <f t="shared" si="63"/>
        <v>16.218100973589298</v>
      </c>
      <c r="P39" s="49" t="str">
        <f t="shared" si="52"/>
        <v>25.6231073841137</v>
      </c>
      <c r="Q39" s="18" t="str">
        <f t="shared" si="64"/>
        <v>1+0.0881222225804809i</v>
      </c>
      <c r="R39" s="18">
        <f t="shared" si="65"/>
        <v>1.0038752542584779</v>
      </c>
      <c r="S39" s="18">
        <f t="shared" si="66"/>
        <v>8.7895174394314587E-2</v>
      </c>
      <c r="T39" s="18" t="str">
        <f t="shared" si="53"/>
        <v>1+0.00009171120037285i</v>
      </c>
      <c r="U39" s="18">
        <f t="shared" si="67"/>
        <v>1.000000004205472</v>
      </c>
      <c r="V39" s="18">
        <f t="shared" si="68"/>
        <v>9.1711200115724071E-5</v>
      </c>
      <c r="W39" s="32" t="str">
        <f t="shared" si="54"/>
        <v>1-0.00205501023057682i</v>
      </c>
      <c r="X39" s="18">
        <f t="shared" si="69"/>
        <v>1.0000021115312947</v>
      </c>
      <c r="Y39" s="18">
        <f t="shared" si="70"/>
        <v>-2.0550073377688209E-3</v>
      </c>
      <c r="Z39" s="32" t="str">
        <f t="shared" si="71"/>
        <v>0.99999999342433+0.000162702462883686i</v>
      </c>
      <c r="AA39" s="18">
        <f t="shared" si="72"/>
        <v>1.0000000066603758</v>
      </c>
      <c r="AB39" s="18">
        <f t="shared" si="73"/>
        <v>1.6270246251787223E-4</v>
      </c>
      <c r="AC39" s="32" t="str">
        <f>IMDIV(IMSUM(COMPLEX(0,2*PI()*O39*Constants!$B$71*Constants!$B$72),COMPLEX(1,0)),IMSUM(COMPLEX(0,2*PI()*O39*Constants!$B$71*Constants!$B$72),COMPLEX(2,0)))</f>
        <v>0.500000020767763+0.000101901329515086i</v>
      </c>
      <c r="AD39" s="18">
        <f t="shared" si="74"/>
        <v>0.50000003115164338</v>
      </c>
      <c r="AE39" s="18">
        <f t="shared" si="75"/>
        <v>2.0380264774343875E-4</v>
      </c>
      <c r="AF39" s="66" t="str">
        <f t="shared" si="76"/>
        <v>12.7106825758746-1.14471995406026i</v>
      </c>
      <c r="AG39" s="64">
        <f t="shared" si="77"/>
        <v>22.11845990241191</v>
      </c>
      <c r="AH39" s="61">
        <f t="shared" si="78"/>
        <v>-5.1461562478317981</v>
      </c>
      <c r="AI39" s="50" t="str">
        <f t="shared" si="55"/>
        <v>108.866083054159</v>
      </c>
      <c r="AJ39" s="50" t="str">
        <f t="shared" si="56"/>
        <v>1+0.0833738185207728i</v>
      </c>
      <c r="AK39" s="50">
        <f t="shared" si="79"/>
        <v>1.0034695778222351</v>
      </c>
      <c r="AL39" s="50">
        <f t="shared" si="80"/>
        <v>8.318143773296019E-2</v>
      </c>
      <c r="AM39" s="50" t="str">
        <f t="shared" si="57"/>
        <v>1+0.00009171120037285i</v>
      </c>
      <c r="AN39" s="50">
        <f t="shared" si="81"/>
        <v>1.000000004205472</v>
      </c>
      <c r="AO39" s="50">
        <f t="shared" si="82"/>
        <v>9.1711200115724071E-5</v>
      </c>
      <c r="AP39" s="50" t="str">
        <f t="shared" si="58"/>
        <v>1-0.000457611498282946i</v>
      </c>
      <c r="AQ39" s="50">
        <f t="shared" si="83"/>
        <v>1.0000001047041363</v>
      </c>
      <c r="AR39" s="50">
        <f t="shared" si="84"/>
        <v>-4.5761146634040392E-4</v>
      </c>
      <c r="AS39" s="59" t="str">
        <f t="shared" si="85"/>
        <v>108.111264170171-9.05348305119695i</v>
      </c>
      <c r="AT39" s="50">
        <f t="shared" si="86"/>
        <v>40.707768685721021</v>
      </c>
      <c r="AU39" s="61">
        <f t="shared" si="87"/>
        <v>-4.7869098569062416</v>
      </c>
      <c r="AV39" s="32" t="str">
        <f t="shared" si="59"/>
        <v>-0.0000333333333333333</v>
      </c>
      <c r="AW39" s="32" t="str">
        <f t="shared" si="60"/>
        <v>4.89126401988534E-06i</v>
      </c>
      <c r="AX39" s="32">
        <f t="shared" si="88"/>
        <v>4.8912640198853401E-6</v>
      </c>
      <c r="AY39" s="32">
        <f t="shared" si="89"/>
        <v>1.5707963267948966</v>
      </c>
      <c r="AZ39" s="32" t="str">
        <f t="shared" si="61"/>
        <v>1+0.00199556778589072i</v>
      </c>
      <c r="BA39" s="32">
        <f t="shared" si="90"/>
        <v>1.0000019911434117</v>
      </c>
      <c r="BB39" s="32">
        <f t="shared" si="91"/>
        <v>1.9955651369199792E-3</v>
      </c>
      <c r="BC39" s="32" t="str">
        <f t="shared" si="62"/>
        <v>1+0.0957872537227546i</v>
      </c>
      <c r="BD39" s="32">
        <f t="shared" si="92"/>
        <v>1.0045771239560193</v>
      </c>
      <c r="BE39" s="32">
        <f t="shared" si="93"/>
        <v>9.5495900311702464E-2</v>
      </c>
      <c r="BF39" s="59" t="str">
        <f t="shared" si="94"/>
        <v>-0.639175695357256+6.81614652065019i</v>
      </c>
      <c r="BG39" s="50">
        <f t="shared" si="95"/>
        <v>16.708801181352484</v>
      </c>
      <c r="BH39" s="61">
        <f t="shared" si="96"/>
        <v>95.357174588573614</v>
      </c>
      <c r="BI39" s="59" t="str">
        <f t="shared" si="97"/>
        <v>-0.32178044191332+87.3695519872624i</v>
      </c>
      <c r="BJ39" s="64">
        <f t="shared" si="98"/>
        <v>38.827261083764391</v>
      </c>
      <c r="BK39" s="61">
        <f t="shared" si="99"/>
        <v>90.211018340741816</v>
      </c>
      <c r="BL39" s="59" t="str">
        <f t="shared" si="100"/>
        <v>-7.39222545273949+742.688983441259i</v>
      </c>
      <c r="BM39" s="64">
        <f t="shared" si="101"/>
        <v>57.416569867073513</v>
      </c>
      <c r="BN39" s="61">
        <f t="shared" si="102"/>
        <v>90.570264731667365</v>
      </c>
      <c r="BO39" s="50">
        <f t="shared" si="103"/>
        <v>38.827261083764391</v>
      </c>
      <c r="BP39" s="61">
        <f t="shared" si="104"/>
        <v>90.211018340741816</v>
      </c>
    </row>
    <row r="40" spans="1:68" x14ac:dyDescent="0.25">
      <c r="B40" s="29">
        <f>wp_lf/(2*PI())</f>
        <v>184.04098873899173</v>
      </c>
      <c r="C40" t="s">
        <v>58</v>
      </c>
      <c r="N40" s="11">
        <v>22</v>
      </c>
      <c r="O40" s="51">
        <f t="shared" si="63"/>
        <v>16.595869074375614</v>
      </c>
      <c r="P40" s="49" t="str">
        <f t="shared" si="52"/>
        <v>25.6231073841137</v>
      </c>
      <c r="Q40" s="18" t="str">
        <f t="shared" si="64"/>
        <v>1+0.0901748528308113i</v>
      </c>
      <c r="R40" s="18">
        <f t="shared" si="65"/>
        <v>1.0040575203060125</v>
      </c>
      <c r="S40" s="18">
        <f t="shared" si="66"/>
        <v>8.9931619383476408E-2</v>
      </c>
      <c r="T40" s="18" t="str">
        <f t="shared" si="53"/>
        <v>1+0.0000938474286551938i</v>
      </c>
      <c r="U40" s="18">
        <f t="shared" si="67"/>
        <v>1.0000000044036699</v>
      </c>
      <c r="V40" s="18">
        <f t="shared" si="68"/>
        <v>9.3847428379678407E-5</v>
      </c>
      <c r="W40" s="32" t="str">
        <f t="shared" si="54"/>
        <v>1-0.00210287756801453i</v>
      </c>
      <c r="X40" s="18">
        <f t="shared" si="69"/>
        <v>1.0000022110445888</v>
      </c>
      <c r="Y40" s="18">
        <f t="shared" si="70"/>
        <v>-2.1028744683152826E-3</v>
      </c>
      <c r="Z40" s="32" t="str">
        <f t="shared" si="71"/>
        <v>0.999999993114428+0.000166492290095696i</v>
      </c>
      <c r="AA40" s="18">
        <f t="shared" si="72"/>
        <v>1.0000000069742694</v>
      </c>
      <c r="AB40" s="18">
        <f t="shared" si="73"/>
        <v>1.664922897037195E-4</v>
      </c>
      <c r="AC40" s="32" t="str">
        <f>IMDIV(IMSUM(COMPLEX(0,2*PI()*O40*Constants!$B$71*Constants!$B$72),COMPLEX(1,0)),IMSUM(COMPLEX(0,2*PI()*O40*Constants!$B$71*Constants!$B$72),COMPLEX(2,0)))</f>
        <v>0.500000021746517+0.00010427491619276i</v>
      </c>
      <c r="AD40" s="18">
        <f t="shared" si="74"/>
        <v>0.50000003261977455</v>
      </c>
      <c r="AE40" s="18">
        <f t="shared" si="75"/>
        <v>2.085498202915677E-4</v>
      </c>
      <c r="AF40" s="66" t="str">
        <f t="shared" si="76"/>
        <v>12.7059670112551-1.17095868184049i</v>
      </c>
      <c r="AG40" s="64">
        <f t="shared" si="77"/>
        <v>22.116883903042101</v>
      </c>
      <c r="AH40" s="61">
        <f t="shared" si="78"/>
        <v>-5.2654012867666253</v>
      </c>
      <c r="AI40" s="50" t="str">
        <f t="shared" si="55"/>
        <v>108.866083054159</v>
      </c>
      <c r="AJ40" s="50" t="str">
        <f t="shared" si="56"/>
        <v>1+0.0853158442319944i</v>
      </c>
      <c r="AK40" s="50">
        <f t="shared" si="79"/>
        <v>1.0036327980277537</v>
      </c>
      <c r="AL40" s="50">
        <f t="shared" si="80"/>
        <v>8.5109744781384708E-2</v>
      </c>
      <c r="AM40" s="50" t="str">
        <f t="shared" si="57"/>
        <v>1+0.0000938474286551938i</v>
      </c>
      <c r="AN40" s="50">
        <f t="shared" si="81"/>
        <v>1.0000000044036699</v>
      </c>
      <c r="AO40" s="50">
        <f t="shared" si="82"/>
        <v>9.3847428379678407E-5</v>
      </c>
      <c r="AP40" s="50" t="str">
        <f t="shared" si="58"/>
        <v>1-0.000468270639380037i</v>
      </c>
      <c r="AQ40" s="50">
        <f t="shared" si="83"/>
        <v>1.0000001096386899</v>
      </c>
      <c r="AR40" s="50">
        <f t="shared" si="84"/>
        <v>-4.6827060515298671E-4</v>
      </c>
      <c r="AS40" s="59" t="str">
        <f t="shared" si="85"/>
        <v>108.075947713315-9.26135270869051i</v>
      </c>
      <c r="AT40" s="50">
        <f t="shared" si="86"/>
        <v>40.70635603435727</v>
      </c>
      <c r="AU40" s="61">
        <f t="shared" si="87"/>
        <v>-4.8978820391899074</v>
      </c>
      <c r="AV40" s="32" t="str">
        <f t="shared" si="59"/>
        <v>-0.0000333333333333333</v>
      </c>
      <c r="AW40" s="32" t="str">
        <f t="shared" si="60"/>
        <v>5.00519619494366E-06i</v>
      </c>
      <c r="AX40" s="32">
        <f t="shared" si="88"/>
        <v>5.0051961949436603E-6</v>
      </c>
      <c r="AY40" s="32">
        <f t="shared" si="89"/>
        <v>1.5707963267948966</v>
      </c>
      <c r="AZ40" s="32" t="str">
        <f t="shared" si="61"/>
        <v>1+0.0020420505309232i</v>
      </c>
      <c r="BA40" s="32">
        <f t="shared" si="90"/>
        <v>1.0000020849830118</v>
      </c>
      <c r="BB40" s="32">
        <f t="shared" si="91"/>
        <v>2.042047692500232E-3</v>
      </c>
      <c r="BC40" s="32" t="str">
        <f t="shared" si="62"/>
        <v>1+0.0980184254843137i</v>
      </c>
      <c r="BD40" s="32">
        <f t="shared" si="92"/>
        <v>1.0047923226888349</v>
      </c>
      <c r="BE40" s="32">
        <f t="shared" si="93"/>
        <v>9.7706315041710887E-2</v>
      </c>
      <c r="BF40" s="59" t="str">
        <f t="shared" si="94"/>
        <v>-0.639175575397533+6.66105082820783i</v>
      </c>
      <c r="BG40" s="50">
        <f t="shared" si="95"/>
        <v>16.510660842906077</v>
      </c>
      <c r="BH40" s="61">
        <f t="shared" si="96"/>
        <v>95.481158769320956</v>
      </c>
      <c r="BI40" s="59" t="str">
        <f t="shared" si="97"/>
        <v>-0.321528477930307+85.3835402727343i</v>
      </c>
      <c r="BJ40" s="64">
        <f t="shared" si="98"/>
        <v>38.627544745948171</v>
      </c>
      <c r="BK40" s="61">
        <f t="shared" si="99"/>
        <v>90.215757482554324</v>
      </c>
      <c r="BL40" s="59" t="str">
        <f t="shared" si="100"/>
        <v>-7.38916493574407+725.81901147166i</v>
      </c>
      <c r="BM40" s="64">
        <f t="shared" si="101"/>
        <v>57.217016877263362</v>
      </c>
      <c r="BN40" s="61">
        <f t="shared" si="102"/>
        <v>90.583276730131033</v>
      </c>
      <c r="BO40" s="50">
        <f t="shared" si="103"/>
        <v>38.627544745948171</v>
      </c>
      <c r="BP40" s="61">
        <f t="shared" si="104"/>
        <v>90.215757482554324</v>
      </c>
    </row>
    <row r="41" spans="1:68" x14ac:dyDescent="0.25">
      <c r="B41" s="1"/>
      <c r="C41" t="s">
        <v>212</v>
      </c>
      <c r="E41" t="s">
        <v>211</v>
      </c>
      <c r="N41" s="11">
        <v>23</v>
      </c>
      <c r="O41" s="51">
        <f t="shared" si="63"/>
        <v>16.982436524617448</v>
      </c>
      <c r="P41" s="49" t="str">
        <f t="shared" si="52"/>
        <v>25.6231073841137</v>
      </c>
      <c r="Q41" s="18" t="str">
        <f t="shared" si="64"/>
        <v>1+0.0922752949817172i</v>
      </c>
      <c r="R41" s="18">
        <f t="shared" si="65"/>
        <v>1.0042483408320688</v>
      </c>
      <c r="S41" s="18">
        <f t="shared" si="66"/>
        <v>9.2014725158154592E-2</v>
      </c>
      <c r="T41" s="18" t="str">
        <f t="shared" si="53"/>
        <v>1+0.0000960334160864275i</v>
      </c>
      <c r="U41" s="18">
        <f t="shared" si="67"/>
        <v>1.0000000046112085</v>
      </c>
      <c r="V41" s="18">
        <f t="shared" si="68"/>
        <v>9.6033415791207434E-5</v>
      </c>
      <c r="W41" s="32" t="str">
        <f t="shared" si="54"/>
        <v>1-0.00215185987897365i</v>
      </c>
      <c r="X41" s="18">
        <f t="shared" si="69"/>
        <v>1.0000023152477893</v>
      </c>
      <c r="Y41" s="18">
        <f t="shared" si="70"/>
        <v>-2.1518565575864811E-3</v>
      </c>
      <c r="Z41" s="32" t="str">
        <f t="shared" si="71"/>
        <v>0.999999992789921+0.000170370393723699i</v>
      </c>
      <c r="AA41" s="18">
        <f t="shared" si="72"/>
        <v>1.0000000073029567</v>
      </c>
      <c r="AB41" s="18">
        <f t="shared" si="73"/>
        <v>1.7037039330368862E-4</v>
      </c>
      <c r="AC41" s="32" t="str">
        <f>IMDIV(IMSUM(COMPLEX(0,2*PI()*O41*Constants!$B$71*Constants!$B$72),COMPLEX(1,0)),IMSUM(COMPLEX(0,2*PI()*O41*Constants!$B$71*Constants!$B$72),COMPLEX(2,0)))</f>
        <v>0.500000022771399+0.000106703790791997i</v>
      </c>
      <c r="AD41" s="18">
        <f t="shared" si="74"/>
        <v>0.50000003415709737</v>
      </c>
      <c r="AE41" s="18">
        <f t="shared" si="75"/>
        <v>2.1340756862509063E-4</v>
      </c>
      <c r="AF41" s="66" t="str">
        <f t="shared" si="76"/>
        <v>12.7010328771085-1.19777851477125i</v>
      </c>
      <c r="AG41" s="64">
        <f t="shared" si="77"/>
        <v>22.115234242547071</v>
      </c>
      <c r="AH41" s="61">
        <f t="shared" si="78"/>
        <v>-5.3873795455605986</v>
      </c>
      <c r="AI41" s="50" t="str">
        <f t="shared" si="55"/>
        <v>108.866083054159</v>
      </c>
      <c r="AJ41" s="50" t="str">
        <f t="shared" si="56"/>
        <v>1+0.087303105533116i</v>
      </c>
      <c r="AK41" s="50">
        <f t="shared" si="79"/>
        <v>1.0038036821190319</v>
      </c>
      <c r="AL41" s="50">
        <f t="shared" si="80"/>
        <v>8.7082311163572679E-2</v>
      </c>
      <c r="AM41" s="50" t="str">
        <f t="shared" si="57"/>
        <v>1+0.0000960334160864275i</v>
      </c>
      <c r="AN41" s="50">
        <f t="shared" si="81"/>
        <v>1.0000000046112085</v>
      </c>
      <c r="AO41" s="50">
        <f t="shared" si="82"/>
        <v>9.6033415791207434E-5</v>
      </c>
      <c r="AP41" s="50" t="str">
        <f t="shared" si="58"/>
        <v>1-0.000479178063768418i</v>
      </c>
      <c r="AQ41" s="50">
        <f t="shared" si="83"/>
        <v>1.0000001148058018</v>
      </c>
      <c r="AR41" s="50">
        <f t="shared" si="84"/>
        <v>-4.7917802709347305E-4</v>
      </c>
      <c r="AS41" s="59" t="str">
        <f t="shared" si="85"/>
        <v>108.038991456328-9.47385092983954i</v>
      </c>
      <c r="AT41" s="50">
        <f t="shared" si="86"/>
        <v>40.70487729914565</v>
      </c>
      <c r="AU41" s="61">
        <f t="shared" si="87"/>
        <v>-5.0114014690884945</v>
      </c>
      <c r="AV41" s="32" t="str">
        <f t="shared" si="59"/>
        <v>-0.0000333333333333333</v>
      </c>
      <c r="AW41" s="32" t="str">
        <f t="shared" si="60"/>
        <v>5.12178219127614E-06i</v>
      </c>
      <c r="AX41" s="32">
        <f t="shared" si="88"/>
        <v>5.1217821912761396E-6</v>
      </c>
      <c r="AY41" s="32">
        <f t="shared" si="89"/>
        <v>1.5707963267948966</v>
      </c>
      <c r="AZ41" s="32" t="str">
        <f t="shared" si="61"/>
        <v>1+0.00208961599817689i</v>
      </c>
      <c r="BA41" s="32">
        <f t="shared" si="90"/>
        <v>1.0000021832451267</v>
      </c>
      <c r="BB41" s="32">
        <f t="shared" si="91"/>
        <v>2.0896129567522419E-3</v>
      </c>
      <c r="BC41" s="32" t="str">
        <f t="shared" si="62"/>
        <v>1+0.100301567912491i</v>
      </c>
      <c r="BD41" s="32">
        <f t="shared" si="92"/>
        <v>1.0050176140375371</v>
      </c>
      <c r="BE41" s="32">
        <f t="shared" si="93"/>
        <v>9.9967225659004719E-2</v>
      </c>
      <c r="BF41" s="59" t="str">
        <f t="shared" si="94"/>
        <v>-0.639175449784323+6.50948691306096i</v>
      </c>
      <c r="BG41" s="50">
        <f t="shared" si="95"/>
        <v>16.312607293747323</v>
      </c>
      <c r="BH41" s="61">
        <f t="shared" si="96"/>
        <v>95.607974116655129</v>
      </c>
      <c r="BI41" s="59" t="str">
        <f t="shared" si="97"/>
        <v>-0.321264835302252+83.4427979168157i</v>
      </c>
      <c r="BJ41" s="64">
        <f t="shared" si="98"/>
        <v>38.427841536294395</v>
      </c>
      <c r="BK41" s="61">
        <f t="shared" si="99"/>
        <v>90.220594571094523</v>
      </c>
      <c r="BL41" s="59" t="str">
        <f t="shared" si="100"/>
        <v>-7.38596231426219+709.333853914542i</v>
      </c>
      <c r="BM41" s="64">
        <f t="shared" si="101"/>
        <v>57.017484592892984</v>
      </c>
      <c r="BN41" s="61">
        <f t="shared" si="102"/>
        <v>90.596572647566632</v>
      </c>
      <c r="BO41" s="50">
        <f t="shared" si="103"/>
        <v>38.427841536294395</v>
      </c>
      <c r="BP41" s="61">
        <f t="shared" si="104"/>
        <v>90.220594571094523</v>
      </c>
    </row>
    <row r="42" spans="1:68" s="32" customFormat="1" x14ac:dyDescent="0.25">
      <c r="A42" t="s">
        <v>193</v>
      </c>
      <c r="B42" s="30">
        <f>((VOUT/IOUT)*((VIN_var/VOUT)^2))/(Lm)</f>
        <v>49586.776859504142</v>
      </c>
      <c r="C42" t="s">
        <v>191</v>
      </c>
      <c r="D42"/>
      <c r="E42" t="s">
        <v>183</v>
      </c>
      <c r="F42"/>
      <c r="G42"/>
      <c r="K42"/>
      <c r="L42"/>
      <c r="N42" s="11">
        <v>24</v>
      </c>
      <c r="O42" s="51">
        <f t="shared" si="63"/>
        <v>17.378008287493756</v>
      </c>
      <c r="P42" s="49" t="str">
        <f t="shared" si="52"/>
        <v>25.6231073841137</v>
      </c>
      <c r="Q42" s="18" t="str">
        <f t="shared" si="64"/>
        <v>1+0.094424662715431i</v>
      </c>
      <c r="R42" s="18">
        <f t="shared" si="65"/>
        <v>1.0044481155982736</v>
      </c>
      <c r="S42" s="18">
        <f t="shared" si="66"/>
        <v>9.4145523854369542E-2</v>
      </c>
      <c r="T42" s="18" t="str">
        <f t="shared" si="53"/>
        <v>1+0.0000982703217060235i</v>
      </c>
      <c r="U42" s="18">
        <f t="shared" si="67"/>
        <v>1.000000004828528</v>
      </c>
      <c r="V42" s="18">
        <f t="shared" si="68"/>
        <v>9.8270321389689485E-5</v>
      </c>
      <c r="W42" s="32" t="str">
        <f t="shared" si="54"/>
        <v>1-0.00220198313452386i</v>
      </c>
      <c r="X42" s="18">
        <f t="shared" si="69"/>
        <v>1.0000024243619237</v>
      </c>
      <c r="Y42" s="18">
        <f t="shared" si="70"/>
        <v>-2.2019795755938549E-3</v>
      </c>
      <c r="Z42" s="32" t="str">
        <f t="shared" si="71"/>
        <v>0.999999992450121+0.000174338829989575i</v>
      </c>
      <c r="AA42" s="18">
        <f t="shared" si="72"/>
        <v>1.0000000076471347</v>
      </c>
      <c r="AB42" s="18">
        <f t="shared" si="73"/>
        <v>1.7433882953952568E-4</v>
      </c>
      <c r="AC42" s="32" t="str">
        <f>IMDIV(IMSUM(COMPLEX(0,2*PI()*O42*Constants!$B$71*Constants!$B$72),COMPLEX(1,0)),IMSUM(COMPLEX(0,2*PI()*O42*Constants!$B$71*Constants!$B$72),COMPLEX(2,0)))</f>
        <v>0.500000023844582+0.000109189241132882i</v>
      </c>
      <c r="AD42" s="18">
        <f t="shared" si="74"/>
        <v>0.50000003576687169</v>
      </c>
      <c r="AE42" s="18">
        <f t="shared" si="75"/>
        <v>2.1837846838004894E-4</v>
      </c>
      <c r="AF42" s="66" t="str">
        <f t="shared" si="76"/>
        <v>12.6958702218842-1.22519087857457i</v>
      </c>
      <c r="AG42" s="64">
        <f t="shared" si="77"/>
        <v>22.113507508057005</v>
      </c>
      <c r="AH42" s="61">
        <f t="shared" si="78"/>
        <v>-5.5121515530552614</v>
      </c>
      <c r="AI42" s="50" t="str">
        <f t="shared" si="55"/>
        <v>108.866083054159</v>
      </c>
      <c r="AJ42" s="50" t="str">
        <f t="shared" si="56"/>
        <v>1+0.0893366560963851i</v>
      </c>
      <c r="AK42" s="50">
        <f t="shared" si="79"/>
        <v>1.003982588555441</v>
      </c>
      <c r="AL42" s="50">
        <f t="shared" si="80"/>
        <v>8.910012132391841E-2</v>
      </c>
      <c r="AM42" s="50" t="str">
        <f t="shared" si="57"/>
        <v>1+0.0000982703217060235i</v>
      </c>
      <c r="AN42" s="50">
        <f t="shared" si="81"/>
        <v>1.000000004828528</v>
      </c>
      <c r="AO42" s="50">
        <f t="shared" si="82"/>
        <v>9.8270321389689485E-5</v>
      </c>
      <c r="AP42" s="50" t="str">
        <f t="shared" si="58"/>
        <v>1-0.000490339554708885i</v>
      </c>
      <c r="AQ42" s="50">
        <f t="shared" si="83"/>
        <v>1.0000001202164321</v>
      </c>
      <c r="AR42" s="50">
        <f t="shared" si="84"/>
        <v>-4.9033951541097368E-4</v>
      </c>
      <c r="AS42" s="59" t="str">
        <f t="shared" si="85"/>
        <v>108.000320464874-9.69107052935293i</v>
      </c>
      <c r="AT42" s="50">
        <f t="shared" si="86"/>
        <v>40.703329412784498</v>
      </c>
      <c r="AU42" s="61">
        <f t="shared" si="87"/>
        <v>-5.1275248160586457</v>
      </c>
      <c r="AV42" s="32" t="str">
        <f t="shared" si="59"/>
        <v>-0.0000333333333333333</v>
      </c>
      <c r="AW42" s="32" t="str">
        <f t="shared" si="60"/>
        <v>5.24108382432124E-06i</v>
      </c>
      <c r="AX42" s="32">
        <f t="shared" si="88"/>
        <v>5.2410838243212401E-6</v>
      </c>
      <c r="AY42" s="32">
        <f t="shared" si="89"/>
        <v>1.5707963267948966</v>
      </c>
      <c r="AZ42" s="32" t="str">
        <f t="shared" si="61"/>
        <v>1+0.00213828940749218i</v>
      </c>
      <c r="BA42" s="32">
        <f t="shared" si="90"/>
        <v>1.0000022861381819</v>
      </c>
      <c r="BB42" s="32">
        <f t="shared" si="91"/>
        <v>2.1382861485473564E-3</v>
      </c>
      <c r="BC42" s="32" t="str">
        <f t="shared" si="62"/>
        <v>1+0.102637891559625i</v>
      </c>
      <c r="BD42" s="32">
        <f t="shared" si="92"/>
        <v>1.0052534689240349</v>
      </c>
      <c r="BE42" s="32">
        <f t="shared" si="93"/>
        <v>0.10227973842049182</v>
      </c>
      <c r="BF42" s="59" t="str">
        <f t="shared" si="94"/>
        <v>-0.639175318251203+6.36137441401386i</v>
      </c>
      <c r="BG42" s="50">
        <f t="shared" si="95"/>
        <v>16.114644542590042</v>
      </c>
      <c r="BH42" s="61">
        <f t="shared" si="96"/>
        <v>95.737682569493188</v>
      </c>
      <c r="BI42" s="59" t="str">
        <f t="shared" si="97"/>
        <v>-0.320988982301373+81.546295762866i</v>
      </c>
      <c r="BJ42" s="64">
        <f t="shared" si="98"/>
        <v>38.228152050647054</v>
      </c>
      <c r="BK42" s="61">
        <f t="shared" si="99"/>
        <v>90.225531016437913</v>
      </c>
      <c r="BL42" s="59" t="str">
        <f t="shared" si="100"/>
        <v>-7.38261109453827+693.224768400341i</v>
      </c>
      <c r="BM42" s="64">
        <f t="shared" si="101"/>
        <v>56.817973955374541</v>
      </c>
      <c r="BN42" s="61">
        <f t="shared" si="102"/>
        <v>90.610157753434535</v>
      </c>
      <c r="BO42" s="50">
        <f t="shared" si="103"/>
        <v>38.228152050647054</v>
      </c>
      <c r="BP42" s="61">
        <f t="shared" si="104"/>
        <v>90.225531016437913</v>
      </c>
    </row>
    <row r="43" spans="1:68" s="32" customFormat="1" x14ac:dyDescent="0.25">
      <c r="B43" s="1">
        <f>wz_rhp/(2*PI())</f>
        <v>7891.9806491848949</v>
      </c>
      <c r="C43" s="32" t="s">
        <v>58</v>
      </c>
      <c r="K43"/>
      <c r="L43"/>
      <c r="N43" s="11">
        <v>25</v>
      </c>
      <c r="O43" s="51">
        <f t="shared" si="63"/>
        <v>17.782794100389236</v>
      </c>
      <c r="P43" s="49" t="str">
        <f t="shared" si="52"/>
        <v>25.6231073841137</v>
      </c>
      <c r="Q43" s="18" t="str">
        <f t="shared" si="64"/>
        <v>1+0.0966240956551738i</v>
      </c>
      <c r="R43" s="18">
        <f t="shared" si="65"/>
        <v>1.0046572628818149</v>
      </c>
      <c r="S43" s="18">
        <f t="shared" si="66"/>
        <v>9.6325067811312282E-2</v>
      </c>
      <c r="T43" s="18" t="str">
        <f t="shared" si="53"/>
        <v>1+0.000100559331550949i</v>
      </c>
      <c r="U43" s="18">
        <f t="shared" si="67"/>
        <v>1.0000000050560895</v>
      </c>
      <c r="V43" s="18">
        <f t="shared" si="68"/>
        <v>1.0055933121199102E-4</v>
      </c>
      <c r="W43" s="32" t="str">
        <f t="shared" si="54"/>
        <v>1-0.00225327391067866i</v>
      </c>
      <c r="X43" s="18">
        <f t="shared" si="69"/>
        <v>1.0000025386184359</v>
      </c>
      <c r="Y43" s="18">
        <f t="shared" si="70"/>
        <v>-2.2532700972169761E-3</v>
      </c>
      <c r="Z43" s="32" t="str">
        <f t="shared" si="71"/>
        <v>0.999999992094306+0.000178399703010757i</v>
      </c>
      <c r="AA43" s="18">
        <f t="shared" si="72"/>
        <v>1.0000000080075331</v>
      </c>
      <c r="AB43" s="18">
        <f t="shared" si="73"/>
        <v>1.7839970252852048E-4</v>
      </c>
      <c r="AC43" s="32" t="str">
        <f>IMDIV(IMSUM(COMPLEX(0,2*PI()*O43*Constants!$B$71*Constants!$B$72),COMPLEX(1,0)),IMSUM(COMPLEX(0,2*PI()*O43*Constants!$B$71*Constants!$B$72),COMPLEX(2,0)))</f>
        <v>0.500000024968342+0.00011173258503261i</v>
      </c>
      <c r="AD43" s="18">
        <f t="shared" si="74"/>
        <v>0.50000003745251176</v>
      </c>
      <c r="AE43" s="18">
        <f t="shared" si="75"/>
        <v>2.2346515518640859E-4</v>
      </c>
      <c r="AF43" s="66" t="str">
        <f t="shared" si="76"/>
        <v>12.6904686580586-1.25320731912078i</v>
      </c>
      <c r="AG43" s="64">
        <f t="shared" si="77"/>
        <v>22.111700131443474</v>
      </c>
      <c r="AH43" s="61">
        <f t="shared" si="78"/>
        <v>-5.639779028064992</v>
      </c>
      <c r="AI43" s="50" t="str">
        <f t="shared" si="55"/>
        <v>108.866083054159</v>
      </c>
      <c r="AJ43" s="50" t="str">
        <f t="shared" si="56"/>
        <v>1+0.0914175741372261i</v>
      </c>
      <c r="AK43" s="50">
        <f t="shared" si="79"/>
        <v>1.0041698924291322</v>
      </c>
      <c r="AL43" s="50">
        <f t="shared" si="80"/>
        <v>9.1164179370610138E-2</v>
      </c>
      <c r="AM43" s="50" t="str">
        <f t="shared" si="57"/>
        <v>1+0.000100559331550949i</v>
      </c>
      <c r="AN43" s="50">
        <f t="shared" si="81"/>
        <v>1.0000000050560895</v>
      </c>
      <c r="AO43" s="50">
        <f t="shared" si="82"/>
        <v>1.0055933121199102E-4</v>
      </c>
      <c r="AP43" s="50" t="str">
        <f t="shared" si="58"/>
        <v>1-0.000501761030171665i</v>
      </c>
      <c r="AQ43" s="50">
        <f t="shared" si="83"/>
        <v>1.0000001258820577</v>
      </c>
      <c r="AR43" s="50">
        <f t="shared" si="84"/>
        <v>-5.0176098806319471E-4</v>
      </c>
      <c r="AS43" s="59" t="str">
        <f t="shared" si="85"/>
        <v>107.959856495472-9.91310544246257i</v>
      </c>
      <c r="AT43" s="50">
        <f t="shared" si="86"/>
        <v>40.701709167908163</v>
      </c>
      <c r="AU43" s="61">
        <f t="shared" si="87"/>
        <v>-5.2463098823807721</v>
      </c>
      <c r="AV43" s="32" t="str">
        <f t="shared" si="59"/>
        <v>-0.0000333333333333333</v>
      </c>
      <c r="AW43" s="32" t="str">
        <f t="shared" si="60"/>
        <v>5.36316434938394E-06i</v>
      </c>
      <c r="AX43" s="32">
        <f t="shared" si="88"/>
        <v>5.3631643493839396E-6</v>
      </c>
      <c r="AY43" s="32">
        <f t="shared" si="89"/>
        <v>1.5707963267948966</v>
      </c>
      <c r="AZ43" s="32" t="str">
        <f t="shared" si="61"/>
        <v>1+0.0021880965661549i</v>
      </c>
      <c r="BA43" s="32">
        <f t="shared" si="90"/>
        <v>1.0000023938804261</v>
      </c>
      <c r="BB43" s="32">
        <f t="shared" si="91"/>
        <v>2.1880930741330581E-3</v>
      </c>
      <c r="BC43" s="32" t="str">
        <f t="shared" si="62"/>
        <v>1+0.105028635175435i</v>
      </c>
      <c r="BD43" s="32">
        <f t="shared" si="92"/>
        <v>1.0055003800132623</v>
      </c>
      <c r="BE43" s="32">
        <f t="shared" si="93"/>
        <v>0.10464498046357658</v>
      </c>
      <c r="BF43" s="59" t="str">
        <f t="shared" si="94"/>
        <v>-0.639175180519166+6.21663479985733i</v>
      </c>
      <c r="BG43" s="50">
        <f t="shared" si="95"/>
        <v>15.916776779329428</v>
      </c>
      <c r="BH43" s="61">
        <f t="shared" si="96"/>
        <v>95.870347229462226</v>
      </c>
      <c r="BI43" s="59" t="str">
        <f t="shared" si="97"/>
        <v>-0.320700363905273+79.6930281006128i</v>
      </c>
      <c r="BJ43" s="64">
        <f t="shared" si="98"/>
        <v>38.028476910772902</v>
      </c>
      <c r="BK43" s="61">
        <f t="shared" si="99"/>
        <v>90.230568201397247</v>
      </c>
      <c r="BL43" s="59" t="str">
        <f t="shared" si="100"/>
        <v>-7.37910449604868+677.483211838046i</v>
      </c>
      <c r="BM43" s="64">
        <f t="shared" si="101"/>
        <v>56.618485947237588</v>
      </c>
      <c r="BN43" s="61">
        <f t="shared" si="102"/>
        <v>90.624037347081455</v>
      </c>
      <c r="BO43" s="50">
        <f t="shared" si="103"/>
        <v>38.028476910772902</v>
      </c>
      <c r="BP43" s="61">
        <f t="shared" si="104"/>
        <v>90.230568201397247</v>
      </c>
    </row>
    <row r="44" spans="1:68" s="32" customFormat="1" x14ac:dyDescent="0.25">
      <c r="B44" s="1"/>
      <c r="K44"/>
      <c r="L44"/>
      <c r="N44" s="11">
        <v>26</v>
      </c>
      <c r="O44" s="51">
        <f t="shared" si="63"/>
        <v>18.197008586099841</v>
      </c>
      <c r="P44" s="49" t="str">
        <f t="shared" si="52"/>
        <v>25.6231073841137</v>
      </c>
      <c r="Q44" s="18" t="str">
        <f t="shared" si="64"/>
        <v>1+0.0988747599694048i</v>
      </c>
      <c r="R44" s="18">
        <f t="shared" si="65"/>
        <v>1.0048762203172126</v>
      </c>
      <c r="S44" s="18">
        <f t="shared" si="66"/>
        <v>9.8554429776571556E-2</v>
      </c>
      <c r="T44" s="18" t="str">
        <f t="shared" si="53"/>
        <v>1+0.000102901659284523i</v>
      </c>
      <c r="U44" s="18">
        <f t="shared" si="67"/>
        <v>1.0000000052943756</v>
      </c>
      <c r="V44" s="18">
        <f t="shared" si="68"/>
        <v>1.0290165892132296E-4</v>
      </c>
      <c r="W44" s="32" t="str">
        <f t="shared" si="54"/>
        <v>1-0.00230575940248653i</v>
      </c>
      <c r="X44" s="18">
        <f t="shared" si="69"/>
        <v>1.0000026582596779</v>
      </c>
      <c r="Y44" s="18">
        <f t="shared" si="70"/>
        <v>-2.3057553162893025E-3</v>
      </c>
      <c r="Z44" s="32" t="str">
        <f t="shared" si="71"/>
        <v>0.999999991721722+0.000182555165915876i</v>
      </c>
      <c r="AA44" s="18">
        <f t="shared" si="72"/>
        <v>1.0000000083849163</v>
      </c>
      <c r="AB44" s="18">
        <f t="shared" si="73"/>
        <v>1.8255516539915026E-4</v>
      </c>
      <c r="AC44" s="32" t="str">
        <f>IMDIV(IMSUM(COMPLEX(0,2*PI()*O44*Constants!$B$71*Constants!$B$72),COMPLEX(1,0)),IMSUM(COMPLEX(0,2*PI()*O44*Constants!$B$71*Constants!$B$72),COMPLEX(2,0)))</f>
        <v>0.500000026145064+0.000114335171004202i</v>
      </c>
      <c r="AD44" s="18">
        <f t="shared" si="74"/>
        <v>0.50000003921759439</v>
      </c>
      <c r="AE44" s="18">
        <f t="shared" si="75"/>
        <v>2.2867032606547032E-4</v>
      </c>
      <c r="AF44" s="66" t="str">
        <f t="shared" si="76"/>
        <v>12.6848173446787-1.28183949537255i</v>
      </c>
      <c r="AG44" s="64">
        <f t="shared" si="77"/>
        <v>22.109808382531245</v>
      </c>
      <c r="AH44" s="61">
        <f t="shared" si="78"/>
        <v>-5.7703248918904047</v>
      </c>
      <c r="AI44" s="50" t="str">
        <f t="shared" si="55"/>
        <v>108.866083054159</v>
      </c>
      <c r="AJ44" s="50" t="str">
        <f t="shared" si="56"/>
        <v>1+0.0935469629859299i</v>
      </c>
      <c r="AK44" s="50">
        <f t="shared" si="79"/>
        <v>1.004365986224091</v>
      </c>
      <c r="AL44" s="50">
        <f t="shared" si="80"/>
        <v>9.3275509306990911E-2</v>
      </c>
      <c r="AM44" s="50" t="str">
        <f t="shared" si="57"/>
        <v>1+0.000102901659284523i</v>
      </c>
      <c r="AN44" s="50">
        <f t="shared" si="81"/>
        <v>1.0000000052943756</v>
      </c>
      <c r="AO44" s="50">
        <f t="shared" si="82"/>
        <v>1.0290165892132296E-4</v>
      </c>
      <c r="AP44" s="50" t="str">
        <f t="shared" si="58"/>
        <v>1-0.000513448545974237i</v>
      </c>
      <c r="AQ44" s="50">
        <f t="shared" si="83"/>
        <v>1.000000131814696</v>
      </c>
      <c r="AR44" s="50">
        <f t="shared" si="84"/>
        <v>-5.1344850085419851E-4</v>
      </c>
      <c r="AS44" s="59" t="str">
        <f t="shared" si="85"/>
        <v>107.917517860403-10.1400506802845i</v>
      </c>
      <c r="AT44" s="50">
        <f t="shared" si="86"/>
        <v>40.700013210911322</v>
      </c>
      <c r="AU44" s="61">
        <f t="shared" si="87"/>
        <v>-5.3678156165589677</v>
      </c>
      <c r="AV44" s="32" t="str">
        <f t="shared" si="59"/>
        <v>-0.0000333333333333333</v>
      </c>
      <c r="AW44" s="32" t="str">
        <f t="shared" si="60"/>
        <v>5.48808849517456E-06i</v>
      </c>
      <c r="AX44" s="32">
        <f t="shared" si="88"/>
        <v>5.4880884951745603E-6</v>
      </c>
      <c r="AY44" s="32">
        <f t="shared" si="89"/>
        <v>1.5707963267948966</v>
      </c>
      <c r="AZ44" s="32" t="str">
        <f t="shared" si="61"/>
        <v>1+0.00223906388257989i</v>
      </c>
      <c r="BA44" s="32">
        <f t="shared" si="90"/>
        <v>1.0000025067003935</v>
      </c>
      <c r="BB44" s="32">
        <f t="shared" si="91"/>
        <v>2.2390601408115792E-3</v>
      </c>
      <c r="BC44" s="32" t="str">
        <f t="shared" si="62"/>
        <v>1+0.107475066363835i</v>
      </c>
      <c r="BD44" s="32">
        <f t="shared" si="92"/>
        <v>1.0057588626951843</v>
      </c>
      <c r="BE44" s="32">
        <f t="shared" si="93"/>
        <v>0.10706409995673893</v>
      </c>
      <c r="BF44" s="59" t="str">
        <f t="shared" si="94"/>
        <v>-0.639175036296093+6.07519132773013i</v>
      </c>
      <c r="BG44" s="50">
        <f t="shared" si="95"/>
        <v>15.719008382851392</v>
      </c>
      <c r="BH44" s="61">
        <f t="shared" si="96"/>
        <v>96.006032368743433</v>
      </c>
      <c r="BI44" s="59" t="str">
        <f t="shared" si="97"/>
        <v>-0.320398400865035+77.8820121322133i</v>
      </c>
      <c r="BJ44" s="64">
        <f t="shared" si="98"/>
        <v>37.828816765382641</v>
      </c>
      <c r="BK44" s="61">
        <f t="shared" si="99"/>
        <v>90.235707476853023</v>
      </c>
      <c r="BL44" s="59" t="str">
        <f t="shared" si="100"/>
        <v>-7.37543543979894+662.100835877297i</v>
      </c>
      <c r="BM44" s="64">
        <f t="shared" si="101"/>
        <v>56.419021593762714</v>
      </c>
      <c r="BN44" s="61">
        <f t="shared" si="102"/>
        <v>90.638216752184476</v>
      </c>
      <c r="BO44" s="50">
        <f t="shared" si="103"/>
        <v>37.828816765382641</v>
      </c>
      <c r="BP44" s="61">
        <f t="shared" si="104"/>
        <v>90.235707476853023</v>
      </c>
    </row>
    <row r="45" spans="1:68" x14ac:dyDescent="0.25">
      <c r="A45" t="s">
        <v>194</v>
      </c>
      <c r="B45" s="30">
        <f>1/(Cout*Resr)</f>
        <v>1111111.1111111112</v>
      </c>
      <c r="C45" t="s">
        <v>191</v>
      </c>
      <c r="E45" t="s">
        <v>184</v>
      </c>
      <c r="N45" s="11">
        <v>27</v>
      </c>
      <c r="O45" s="51">
        <f t="shared" si="63"/>
        <v>18.62087136662868</v>
      </c>
      <c r="P45" s="49" t="str">
        <f t="shared" si="52"/>
        <v>25.6231073841137</v>
      </c>
      <c r="Q45" s="18" t="str">
        <f t="shared" si="64"/>
        <v>1+0.101177848990133i</v>
      </c>
      <c r="R45" s="18">
        <f t="shared" si="65"/>
        <v>1.0051054457748552</v>
      </c>
      <c r="S45" s="18">
        <f t="shared" si="66"/>
        <v>0.10083470309824097</v>
      </c>
      <c r="T45" s="18" t="str">
        <f t="shared" si="53"/>
        <v>1+0.000105298546839914i</v>
      </c>
      <c r="U45" s="18">
        <f t="shared" si="67"/>
        <v>1.000000005543892</v>
      </c>
      <c r="V45" s="18">
        <f t="shared" si="68"/>
        <v>1.0529854645073815E-4</v>
      </c>
      <c r="W45" s="32" t="str">
        <f t="shared" si="54"/>
        <v>1-0.00235946743844992i</v>
      </c>
      <c r="X45" s="18">
        <f t="shared" si="69"/>
        <v>1.0000027835394225</v>
      </c>
      <c r="Y45" s="18">
        <f t="shared" si="70"/>
        <v>-2.3594630600113639E-3</v>
      </c>
      <c r="Z45" s="32" t="str">
        <f t="shared" si="71"/>
        <v>0.999999991331579+0.000186807421986366i</v>
      </c>
      <c r="AA45" s="18">
        <f t="shared" si="72"/>
        <v>1.0000000087800855</v>
      </c>
      <c r="AB45" s="18">
        <f t="shared" si="73"/>
        <v>1.8680742143268437E-4</v>
      </c>
      <c r="AC45" s="32" t="str">
        <f>IMDIV(IMSUM(COMPLEX(0,2*PI()*O45*Constants!$B$71*Constants!$B$72),COMPLEX(1,0)),IMSUM(COMPLEX(0,2*PI()*O45*Constants!$B$71*Constants!$B$72),COMPLEX(2,0)))</f>
        <v>0.500000027377243+0.000116998378971496i</v>
      </c>
      <c r="AD45" s="18">
        <f t="shared" si="74"/>
        <v>0.50000004106586282</v>
      </c>
      <c r="AE45" s="18">
        <f t="shared" si="75"/>
        <v>2.3399674085983083E-4</v>
      </c>
      <c r="AF45" s="66" t="str">
        <f t="shared" si="76"/>
        <v>12.6789049693638-1.3110991715287i</v>
      </c>
      <c r="AG45" s="64">
        <f t="shared" si="77"/>
        <v>22.107828362037463</v>
      </c>
      <c r="AH45" s="61">
        <f t="shared" si="78"/>
        <v>-5.9038532800978381</v>
      </c>
      <c r="AI45" s="50" t="str">
        <f t="shared" si="55"/>
        <v>108.866083054159</v>
      </c>
      <c r="AJ45" s="50" t="str">
        <f t="shared" si="56"/>
        <v>1+0.0957259516726491i</v>
      </c>
      <c r="AK45" s="50">
        <f t="shared" si="79"/>
        <v>1.0045712806086158</v>
      </c>
      <c r="AL45" s="50">
        <f t="shared" si="80"/>
        <v>9.5435155252920498E-2</v>
      </c>
      <c r="AM45" s="50" t="str">
        <f t="shared" si="57"/>
        <v>1+0.000105298546839914i</v>
      </c>
      <c r="AN45" s="50">
        <f t="shared" si="81"/>
        <v>1.000000005543892</v>
      </c>
      <c r="AO45" s="50">
        <f t="shared" si="82"/>
        <v>1.0529854645073815E-4</v>
      </c>
      <c r="AP45" s="50" t="str">
        <f t="shared" si="58"/>
        <v>1-0.000525408298992179i</v>
      </c>
      <c r="AQ45" s="50">
        <f t="shared" si="83"/>
        <v>1.0000001380269308</v>
      </c>
      <c r="AR45" s="50">
        <f t="shared" si="84"/>
        <v>-5.25408250645187E-4</v>
      </c>
      <c r="AS45" s="59" t="str">
        <f t="shared" si="85"/>
        <v>107.873219288188-10.3720022795238i</v>
      </c>
      <c r="AT45" s="50">
        <f t="shared" si="86"/>
        <v>40.698238035522756</v>
      </c>
      <c r="AU45" s="61">
        <f t="shared" si="87"/>
        <v>-5.4921021261509262</v>
      </c>
      <c r="AV45" s="32" t="str">
        <f t="shared" si="59"/>
        <v>-0.0000333333333333333</v>
      </c>
      <c r="AW45" s="32" t="str">
        <f t="shared" si="60"/>
        <v>5.61592249812875E-06i</v>
      </c>
      <c r="AX45" s="32">
        <f t="shared" si="88"/>
        <v>5.6159224981287498E-6</v>
      </c>
      <c r="AY45" s="32">
        <f t="shared" si="89"/>
        <v>1.5707963267948966</v>
      </c>
      <c r="AZ45" s="32" t="str">
        <f t="shared" si="61"/>
        <v>1+0.00229121838031294i</v>
      </c>
      <c r="BA45" s="32">
        <f t="shared" si="90"/>
        <v>1.0000026248373883</v>
      </c>
      <c r="BB45" s="32">
        <f t="shared" si="91"/>
        <v>2.2912143709365269E-3</v>
      </c>
      <c r="BC45" s="32" t="str">
        <f t="shared" si="62"/>
        <v>1+0.109978482255021i</v>
      </c>
      <c r="BD45" s="32">
        <f t="shared" si="92"/>
        <v>1.0060294561090735</v>
      </c>
      <c r="BE45" s="32">
        <f t="shared" si="93"/>
        <v>0.10953826623121296</v>
      </c>
      <c r="BF45" s="59" t="str">
        <f t="shared" si="94"/>
        <v>-0.639174885276063+5.93696900242913i</v>
      </c>
      <c r="BG45" s="50">
        <f t="shared" si="95"/>
        <v>15.521343929142875</v>
      </c>
      <c r="BH45" s="61">
        <f t="shared" si="96"/>
        <v>96.144803436814499</v>
      </c>
      <c r="BI45" s="59" t="str">
        <f t="shared" si="97"/>
        <v>-0.320082488742807+76.1122874504049i</v>
      </c>
      <c r="BJ45" s="64">
        <f t="shared" si="98"/>
        <v>37.629172291180339</v>
      </c>
      <c r="BK45" s="61">
        <f t="shared" si="99"/>
        <v>90.240950156716664</v>
      </c>
      <c r="BL45" s="59" t="str">
        <f t="shared" si="100"/>
        <v>-7.37159653623008+647.06948247331i</v>
      </c>
      <c r="BM45" s="64">
        <f t="shared" si="101"/>
        <v>56.219581964665636</v>
      </c>
      <c r="BN45" s="61">
        <f t="shared" si="102"/>
        <v>90.652701310663588</v>
      </c>
      <c r="BO45" s="50">
        <f t="shared" si="103"/>
        <v>37.629172291180339</v>
      </c>
      <c r="BP45" s="61">
        <f t="shared" si="104"/>
        <v>90.240950156716664</v>
      </c>
    </row>
    <row r="46" spans="1:68" x14ac:dyDescent="0.25">
      <c r="A46" s="32"/>
      <c r="B46" s="30">
        <f>wz_esr/(2*PI())</f>
        <v>176838.82565766151</v>
      </c>
      <c r="C46" s="32" t="s">
        <v>58</v>
      </c>
      <c r="D46" s="32"/>
      <c r="E46" s="32"/>
      <c r="F46" s="32"/>
      <c r="G46" s="32"/>
      <c r="L46" s="32"/>
      <c r="N46" s="11">
        <v>28</v>
      </c>
      <c r="O46" s="51">
        <f t="shared" si="63"/>
        <v>19.054607179632477</v>
      </c>
      <c r="P46" s="49" t="str">
        <f t="shared" si="52"/>
        <v>25.6231073841137</v>
      </c>
      <c r="Q46" s="18" t="str">
        <f t="shared" si="64"/>
        <v>1+0.103534583845644i</v>
      </c>
      <c r="R46" s="18">
        <f t="shared" si="65"/>
        <v>1.0053454182777632</v>
      </c>
      <c r="S46" s="18">
        <f t="shared" si="66"/>
        <v>0.10316700190247532</v>
      </c>
      <c r="T46" s="18" t="str">
        <f t="shared" si="53"/>
        <v>1+0.000107751265078631i</v>
      </c>
      <c r="U46" s="18">
        <f t="shared" si="67"/>
        <v>1.0000000058051675</v>
      </c>
      <c r="V46" s="18">
        <f t="shared" si="68"/>
        <v>1.0775126466162156E-4</v>
      </c>
      <c r="W46" s="32" t="str">
        <f t="shared" si="54"/>
        <v>1-0.00241442649528043i</v>
      </c>
      <c r="X46" s="18">
        <f t="shared" si="69"/>
        <v>1.0000029147234029</v>
      </c>
      <c r="Y46" s="18">
        <f t="shared" si="70"/>
        <v>-2.4144218036997287E-3</v>
      </c>
      <c r="Z46" s="32" t="str">
        <f t="shared" si="71"/>
        <v>0.999999990923049+0.000191158725824682i</v>
      </c>
      <c r="AA46" s="18">
        <f t="shared" si="72"/>
        <v>1.0000000091938781</v>
      </c>
      <c r="AB46" s="18">
        <f t="shared" si="73"/>
        <v>1.9115872523140141E-4</v>
      </c>
      <c r="AC46" s="32" t="str">
        <f>IMDIV(IMSUM(COMPLEX(0,2*PI()*O46*Constants!$B$71*Constants!$B$72),COMPLEX(1,0)),IMSUM(COMPLEX(0,2*PI()*O46*Constants!$B$71*Constants!$B$72),COMPLEX(2,0)))</f>
        <v>0.500000028667492+0.000119723621000793i</v>
      </c>
      <c r="AD46" s="18">
        <f t="shared" si="74"/>
        <v>0.50000004300123646</v>
      </c>
      <c r="AE46" s="18">
        <f t="shared" si="75"/>
        <v>2.3944722369664953E-4</v>
      </c>
      <c r="AF46" s="66" t="str">
        <f t="shared" si="76"/>
        <v>12.6727197297705-1.34099820831252i</v>
      </c>
      <c r="AG46" s="64">
        <f t="shared" si="77"/>
        <v>22.105755994233505</v>
      </c>
      <c r="AH46" s="61">
        <f t="shared" si="78"/>
        <v>-6.0404295534829435</v>
      </c>
      <c r="AI46" s="50" t="str">
        <f t="shared" si="55"/>
        <v>108.866083054159</v>
      </c>
      <c r="AJ46" s="50" t="str">
        <f t="shared" si="56"/>
        <v>1+0.0979556955260279i</v>
      </c>
      <c r="AK46" s="50">
        <f t="shared" si="79"/>
        <v>1.004786205262586</v>
      </c>
      <c r="AL46" s="50">
        <f t="shared" si="80"/>
        <v>9.7644181654922765E-2</v>
      </c>
      <c r="AM46" s="50" t="str">
        <f t="shared" si="57"/>
        <v>1+0.000107751265078631i</v>
      </c>
      <c r="AN46" s="50">
        <f t="shared" si="81"/>
        <v>1.0000000058051675</v>
      </c>
      <c r="AO46" s="50">
        <f t="shared" si="82"/>
        <v>1.0775126466162156E-4</v>
      </c>
      <c r="AP46" s="50" t="str">
        <f t="shared" si="58"/>
        <v>1-0.000537646630444848i</v>
      </c>
      <c r="AQ46" s="50">
        <f t="shared" si="83"/>
        <v>1.0000001445319391</v>
      </c>
      <c r="AR46" s="50">
        <f t="shared" si="84"/>
        <v>-5.3764657864011328E-4</v>
      </c>
      <c r="AS46" s="59" t="str">
        <f t="shared" si="85"/>
        <v>107.826871779581-10.6090572461153i</v>
      </c>
      <c r="AT46" s="50">
        <f t="shared" si="86"/>
        <v>40.696379976119125</v>
      </c>
      <c r="AU46" s="61">
        <f t="shared" si="87"/>
        <v>-5.6192306899592621</v>
      </c>
      <c r="AV46" s="32" t="str">
        <f t="shared" si="59"/>
        <v>-0.0000333333333333333</v>
      </c>
      <c r="AW46" s="32" t="str">
        <f t="shared" si="60"/>
        <v>5.74673413752698E-06i</v>
      </c>
      <c r="AX46" s="32">
        <f t="shared" si="88"/>
        <v>5.7467341375269799E-6</v>
      </c>
      <c r="AY46" s="32">
        <f t="shared" si="89"/>
        <v>1.5707963267948966</v>
      </c>
      <c r="AZ46" s="32" t="str">
        <f t="shared" si="61"/>
        <v>1+0.00234458771235909i</v>
      </c>
      <c r="BA46" s="32">
        <f t="shared" si="90"/>
        <v>1.0000027485419931</v>
      </c>
      <c r="BB46" s="32">
        <f t="shared" si="91"/>
        <v>2.3445834162354995E-3</v>
      </c>
      <c r="BC46" s="32" t="str">
        <f t="shared" si="62"/>
        <v>1+0.112540210193237i</v>
      </c>
      <c r="BD46" s="32">
        <f t="shared" si="92"/>
        <v>1.0063127242116825</v>
      </c>
      <c r="BE46" s="32">
        <f t="shared" si="93"/>
        <v>0.11206866989196491</v>
      </c>
      <c r="BF46" s="59" t="str">
        <f t="shared" si="94"/>
        <v>-0.639174727138756+5.80189453664566i</v>
      </c>
      <c r="BG46" s="50">
        <f t="shared" si="95"/>
        <v>15.323788199709947</v>
      </c>
      <c r="BH46" s="61">
        <f t="shared" si="96"/>
        <v>96.286727065987762</v>
      </c>
      <c r="BI46" s="59" t="str">
        <f t="shared" si="97"/>
        <v>-0.319751996921961+74.3829155284889i</v>
      </c>
      <c r="BJ46" s="64">
        <f t="shared" si="98"/>
        <v>37.429544193943457</v>
      </c>
      <c r="BK46" s="61">
        <f t="shared" si="99"/>
        <v>90.24629751250481</v>
      </c>
      <c r="BL46" s="59" t="str">
        <f t="shared" si="100"/>
        <v>-7.3675800727419+632.381179552028i</v>
      </c>
      <c r="BM46" s="64">
        <f t="shared" si="101"/>
        <v>56.020168175829063</v>
      </c>
      <c r="BN46" s="61">
        <f t="shared" si="102"/>
        <v>90.667496376028481</v>
      </c>
      <c r="BO46" s="50">
        <f t="shared" si="103"/>
        <v>37.429544193943457</v>
      </c>
      <c r="BP46" s="61">
        <f t="shared" si="104"/>
        <v>90.24629751250481</v>
      </c>
    </row>
    <row r="47" spans="1:68" x14ac:dyDescent="0.25">
      <c r="B47" s="1"/>
      <c r="K47" s="32"/>
      <c r="L47" s="32"/>
      <c r="N47" s="11">
        <v>29</v>
      </c>
      <c r="O47" s="51">
        <f t="shared" si="63"/>
        <v>19.498445997580465</v>
      </c>
      <c r="P47" s="49" t="str">
        <f t="shared" si="52"/>
        <v>25.6231073841137</v>
      </c>
      <c r="Q47" s="18" t="str">
        <f t="shared" si="64"/>
        <v>1+0.105946214107952i</v>
      </c>
      <c r="R47" s="18">
        <f t="shared" si="65"/>
        <v>1.0055966389580904</v>
      </c>
      <c r="S47" s="18">
        <f t="shared" si="66"/>
        <v>0.10555246125491401</v>
      </c>
      <c r="T47" s="18" t="str">
        <f t="shared" si="53"/>
        <v>1+0.000110261114464349i</v>
      </c>
      <c r="U47" s="18">
        <f t="shared" si="67"/>
        <v>1.0000000060787566</v>
      </c>
      <c r="V47" s="18">
        <f t="shared" si="68"/>
        <v>1.1026111401751535E-4</v>
      </c>
      <c r="W47" s="32" t="str">
        <f t="shared" si="54"/>
        <v>1-0.00247066571299745i</v>
      </c>
      <c r="X47" s="18">
        <f t="shared" si="69"/>
        <v>1.0000030520898751</v>
      </c>
      <c r="Y47" s="18">
        <f t="shared" si="70"/>
        <v>-2.4706606858789855E-3</v>
      </c>
      <c r="Z47" s="32" t="str">
        <f t="shared" si="71"/>
        <v>0.999999990495265+0.000195611384549715i</v>
      </c>
      <c r="AA47" s="18">
        <f t="shared" si="72"/>
        <v>1.0000000096271719</v>
      </c>
      <c r="AB47" s="18">
        <f t="shared" si="73"/>
        <v>1.9561138391400353E-4</v>
      </c>
      <c r="AC47" s="32" t="str">
        <f>IMDIV(IMSUM(COMPLEX(0,2*PI()*O47*Constants!$B$71*Constants!$B$72),COMPLEX(1,0)),IMSUM(COMPLEX(0,2*PI()*O47*Constants!$B$71*Constants!$B$72),COMPLEX(2,0)))</f>
        <v>0.50000003001855+0.000122512342049546i</v>
      </c>
      <c r="AD47" s="18">
        <f t="shared" si="74"/>
        <v>0.5000000450278228</v>
      </c>
      <c r="AE47" s="18">
        <f t="shared" si="75"/>
        <v>2.4502466448499902E-4</v>
      </c>
      <c r="AF47" s="66" t="str">
        <f t="shared" si="76"/>
        <v>12.6662493145202-1.37154855334496i</v>
      </c>
      <c r="AG47" s="64">
        <f t="shared" si="77"/>
        <v>22.103587019319292</v>
      </c>
      <c r="AH47" s="61">
        <f t="shared" si="78"/>
        <v>-6.180120308128231</v>
      </c>
      <c r="AI47" s="50" t="str">
        <f t="shared" si="55"/>
        <v>108.866083054159</v>
      </c>
      <c r="AJ47" s="50" t="str">
        <f t="shared" si="56"/>
        <v>1+0.100237376785772i</v>
      </c>
      <c r="AK47" s="50">
        <f t="shared" si="79"/>
        <v>1.0050112097409127</v>
      </c>
      <c r="AL47" s="50">
        <f t="shared" si="80"/>
        <v>9.9903673483784539E-2</v>
      </c>
      <c r="AM47" s="50" t="str">
        <f t="shared" si="57"/>
        <v>1+0.000110261114464349i</v>
      </c>
      <c r="AN47" s="50">
        <f t="shared" si="81"/>
        <v>1.0000000060787566</v>
      </c>
      <c r="AO47" s="50">
        <f t="shared" si="82"/>
        <v>1.1026111401751535E-4</v>
      </c>
      <c r="AP47" s="50" t="str">
        <f t="shared" si="58"/>
        <v>1-0.000550170029257575i</v>
      </c>
      <c r="AQ47" s="50">
        <f t="shared" si="83"/>
        <v>1.0000001513435191</v>
      </c>
      <c r="AR47" s="50">
        <f t="shared" si="84"/>
        <v>-5.5016997374780199E-4</v>
      </c>
      <c r="AS47" s="59" t="str">
        <f t="shared" si="85"/>
        <v>107.778382459078-10.8513134923658i</v>
      </c>
      <c r="AT47" s="50">
        <f t="shared" si="86"/>
        <v>40.694435200772247</v>
      </c>
      <c r="AU47" s="61">
        <f t="shared" si="87"/>
        <v>-5.7492637695068529</v>
      </c>
      <c r="AV47" s="32" t="str">
        <f t="shared" si="59"/>
        <v>-0.0000333333333333333</v>
      </c>
      <c r="AW47" s="32" t="str">
        <f t="shared" si="60"/>
        <v>5.88059277143195E-06i</v>
      </c>
      <c r="AX47" s="32">
        <f t="shared" si="88"/>
        <v>5.8805927714319497E-6</v>
      </c>
      <c r="AY47" s="32">
        <f t="shared" si="89"/>
        <v>1.5707963267948966</v>
      </c>
      <c r="AZ47" s="32" t="str">
        <f t="shared" si="61"/>
        <v>1+0.00239920017584463i</v>
      </c>
      <c r="BA47" s="32">
        <f t="shared" si="90"/>
        <v>1.0000028780766002</v>
      </c>
      <c r="BB47" s="32">
        <f t="shared" si="91"/>
        <v>2.3991955724659807E-3</v>
      </c>
      <c r="BC47" s="32" t="str">
        <f t="shared" si="62"/>
        <v>1+0.115161608440542i</v>
      </c>
      <c r="BD47" s="32">
        <f t="shared" si="92"/>
        <v>1.0066092568909808</v>
      </c>
      <c r="BE47" s="32">
        <f t="shared" si="93"/>
        <v>0.11465652290595893</v>
      </c>
      <c r="BF47" s="59" t="str">
        <f t="shared" si="94"/>
        <v>-0.639174561548746+5.66989631210769i</v>
      </c>
      <c r="BG47" s="50">
        <f t="shared" si="95"/>
        <v>15.126346190312363</v>
      </c>
      <c r="BH47" s="61">
        <f t="shared" si="96"/>
        <v>96.431871075627726</v>
      </c>
      <c r="BI47" s="59" t="str">
        <f t="shared" si="97"/>
        <v>-0.319406267588326+72.6929792218617i</v>
      </c>
      <c r="BJ47" s="64">
        <f t="shared" si="98"/>
        <v>37.229933209631653</v>
      </c>
      <c r="BK47" s="61">
        <f t="shared" si="99"/>
        <v>90.251750767499487</v>
      </c>
      <c r="BL47" s="59" t="str">
        <f t="shared" si="100"/>
        <v>-7.36337800082497+618.02813677337i</v>
      </c>
      <c r="BM47" s="64">
        <f t="shared" si="101"/>
        <v>55.820781391084616</v>
      </c>
      <c r="BN47" s="61">
        <f t="shared" si="102"/>
        <v>90.682607306120886</v>
      </c>
      <c r="BO47" s="50">
        <f t="shared" si="103"/>
        <v>37.229933209631653</v>
      </c>
      <c r="BP47" s="61">
        <f t="shared" si="104"/>
        <v>90.251750767499487</v>
      </c>
    </row>
    <row r="48" spans="1:68" x14ac:dyDescent="0.25">
      <c r="A48" s="32" t="s">
        <v>187</v>
      </c>
      <c r="B48" s="1">
        <f>(Vsl*Fsw)</f>
        <v>19200</v>
      </c>
      <c r="C48" s="32" t="s">
        <v>132</v>
      </c>
      <c r="D48" s="32"/>
      <c r="E48" s="32" t="s">
        <v>188</v>
      </c>
      <c r="F48" s="32"/>
      <c r="G48" s="32"/>
      <c r="K48" s="32"/>
      <c r="L48" s="32"/>
      <c r="N48" s="11">
        <v>30</v>
      </c>
      <c r="O48" s="51">
        <f t="shared" si="63"/>
        <v>19.952623149688804</v>
      </c>
      <c r="P48" s="49" t="str">
        <f t="shared" si="52"/>
        <v>25.6231073841137</v>
      </c>
      <c r="Q48" s="18" t="str">
        <f t="shared" si="64"/>
        <v>1+0.108414018455344i</v>
      </c>
      <c r="R48" s="18">
        <f t="shared" si="65"/>
        <v>1.0058596320549085</v>
      </c>
      <c r="S48" s="18">
        <f t="shared" si="66"/>
        <v>0.10799223730433147</v>
      </c>
      <c r="T48" s="18" t="str">
        <f t="shared" si="53"/>
        <v>1+0.000112829425752435i</v>
      </c>
      <c r="U48" s="18">
        <f t="shared" si="67"/>
        <v>1.0000000063652397</v>
      </c>
      <c r="V48" s="18">
        <f t="shared" si="68"/>
        <v>1.1282942527364411E-4</v>
      </c>
      <c r="W48" s="32" t="str">
        <f t="shared" si="54"/>
        <v>1-0.00252821491037862i</v>
      </c>
      <c r="X48" s="18">
        <f t="shared" si="69"/>
        <v>1.0000031959302096</v>
      </c>
      <c r="Y48" s="18">
        <f t="shared" si="70"/>
        <v>-2.5282095237250655E-3</v>
      </c>
      <c r="Z48" s="32" t="str">
        <f t="shared" si="71"/>
        <v>0.999999990047321+0.00020016775902006i</v>
      </c>
      <c r="AA48" s="18">
        <f t="shared" si="72"/>
        <v>1.000000010080887</v>
      </c>
      <c r="AB48" s="18">
        <f t="shared" si="73"/>
        <v>2.001677583388828E-4</v>
      </c>
      <c r="AC48" s="32" t="str">
        <f>IMDIV(IMSUM(COMPLEX(0,2*PI()*O48*Constants!$B$71*Constants!$B$72),COMPLEX(1,0)),IMSUM(COMPLEX(0,2*PI()*O48*Constants!$B$71*Constants!$B$72),COMPLEX(2,0)))</f>
        <v>0.50000003143328+0.000125366020732485i</v>
      </c>
      <c r="AD48" s="18">
        <f t="shared" si="74"/>
        <v>0.50000004714991786</v>
      </c>
      <c r="AE48" s="18">
        <f t="shared" si="75"/>
        <v>2.5073202044809123E-4</v>
      </c>
      <c r="AF48" s="66" t="str">
        <f t="shared" si="76"/>
        <v>12.6594808835935-1.40276223054088i</v>
      </c>
      <c r="AG48" s="64">
        <f t="shared" si="77"/>
        <v>22.101316985501906</v>
      </c>
      <c r="AH48" s="61">
        <f t="shared" si="78"/>
        <v>-6.3229933844615394</v>
      </c>
      <c r="AI48" s="50" t="str">
        <f t="shared" si="55"/>
        <v>108.866083054159</v>
      </c>
      <c r="AJ48" s="50" t="str">
        <f t="shared" si="56"/>
        <v>1+0.102572205229486i</v>
      </c>
      <c r="AK48" s="50">
        <f t="shared" si="79"/>
        <v>1.0052467643746186</v>
      </c>
      <c r="AL48" s="50">
        <f t="shared" si="80"/>
        <v>0.10221473641819216</v>
      </c>
      <c r="AM48" s="50" t="str">
        <f t="shared" si="57"/>
        <v>1+0.000112829425752435i</v>
      </c>
      <c r="AN48" s="50">
        <f t="shared" si="81"/>
        <v>1.0000000063652397</v>
      </c>
      <c r="AO48" s="50">
        <f t="shared" si="82"/>
        <v>1.1282942527364411E-4</v>
      </c>
      <c r="AP48" s="50" t="str">
        <f t="shared" si="58"/>
        <v>1-0.000562985135502174i</v>
      </c>
      <c r="AQ48" s="50">
        <f t="shared" si="83"/>
        <v>1.0000001584761189</v>
      </c>
      <c r="AR48" s="50">
        <f t="shared" si="84"/>
        <v>-5.629850760223811E-4</v>
      </c>
      <c r="AS48" s="59" t="str">
        <f t="shared" si="85"/>
        <v>107.727654421903-11.0988697671395i</v>
      </c>
      <c r="AT48" s="50">
        <f t="shared" si="86"/>
        <v>40.692399704019138</v>
      </c>
      <c r="AU48" s="61">
        <f t="shared" si="87"/>
        <v>-5.8822650197164323</v>
      </c>
      <c r="AV48" s="32" t="str">
        <f t="shared" si="59"/>
        <v>-0.0000333333333333333</v>
      </c>
      <c r="AW48" s="32" t="str">
        <f t="shared" si="60"/>
        <v>6.01756937346317E-06i</v>
      </c>
      <c r="AX48" s="32">
        <f t="shared" si="88"/>
        <v>6.0175693734631699E-6</v>
      </c>
      <c r="AY48" s="32">
        <f t="shared" si="89"/>
        <v>1.5707963267948966</v>
      </c>
      <c r="AZ48" s="32" t="str">
        <f t="shared" si="61"/>
        <v>1+0.00245508472702057i</v>
      </c>
      <c r="BA48" s="32">
        <f t="shared" si="90"/>
        <v>1.0000030137159672</v>
      </c>
      <c r="BB48" s="32">
        <f t="shared" si="91"/>
        <v>2.4550797944122805E-3</v>
      </c>
      <c r="BC48" s="32" t="str">
        <f t="shared" si="62"/>
        <v>1+0.117844066896987i</v>
      </c>
      <c r="BD48" s="32">
        <f t="shared" si="92"/>
        <v>1.0069196711271569</v>
      </c>
      <c r="BE48" s="32">
        <f t="shared" si="93"/>
        <v>0.1173030586656475</v>
      </c>
      <c r="BF48" s="59" t="str">
        <f t="shared" si="94"/>
        <v>-0.639174388154816+5.54090434160693i</v>
      </c>
      <c r="BG48" s="50">
        <f t="shared" si="95"/>
        <v>14.929023120021945</v>
      </c>
      <c r="BH48" s="61">
        <f t="shared" si="96"/>
        <v>96.580304474929434</v>
      </c>
      <c r="BI48" s="59" t="str">
        <f t="shared" si="97"/>
        <v>-0.319044614682283+71.0415822808258i</v>
      </c>
      <c r="BJ48" s="64">
        <f t="shared" si="98"/>
        <v>37.030340105523855</v>
      </c>
      <c r="BK48" s="61">
        <f t="shared" si="99"/>
        <v>90.257311090467894</v>
      </c>
      <c r="BL48" s="59" t="str">
        <f t="shared" si="100"/>
        <v>-7.35898192280016+604.002741390075i</v>
      </c>
      <c r="BM48" s="64">
        <f t="shared" si="101"/>
        <v>55.621422824041097</v>
      </c>
      <c r="BN48" s="61">
        <f t="shared" si="102"/>
        <v>90.698039455212992</v>
      </c>
      <c r="BO48" s="50">
        <f t="shared" si="103"/>
        <v>37.030340105523855</v>
      </c>
      <c r="BP48" s="61">
        <f t="shared" si="104"/>
        <v>90.257311090467894</v>
      </c>
    </row>
    <row r="49" spans="1:68" x14ac:dyDescent="0.25">
      <c r="A49" s="32" t="s">
        <v>190</v>
      </c>
      <c r="B49" s="1">
        <f>(R_cs*VIN_var)/Lm</f>
        <v>4090.909090909091</v>
      </c>
      <c r="C49" s="32" t="s">
        <v>132</v>
      </c>
      <c r="D49" s="32"/>
      <c r="E49" s="32" t="s">
        <v>189</v>
      </c>
      <c r="F49" s="32"/>
      <c r="G49" s="32"/>
      <c r="J49" s="32">
        <f>(0.5-(1-(VIN_var/VOUT)))</f>
        <v>-0.30000000000000004</v>
      </c>
      <c r="N49" s="11">
        <v>31</v>
      </c>
      <c r="O49" s="51">
        <f t="shared" si="63"/>
        <v>20.4173794466953</v>
      </c>
      <c r="P49" s="49" t="str">
        <f t="shared" si="52"/>
        <v>25.6231073841137</v>
      </c>
      <c r="Q49" s="18" t="str">
        <f t="shared" si="64"/>
        <v>1+0.110939305350349i</v>
      </c>
      <c r="R49" s="18">
        <f t="shared" si="65"/>
        <v>1.0061349459548743</v>
      </c>
      <c r="S49" s="18">
        <f t="shared" si="66"/>
        <v>0.11048750740672067</v>
      </c>
      <c r="T49" s="18" t="str">
        <f t="shared" si="53"/>
        <v>1+0.000115457560695527i</v>
      </c>
      <c r="U49" s="18">
        <f t="shared" si="67"/>
        <v>1.0000000066652242</v>
      </c>
      <c r="V49" s="18">
        <f t="shared" si="68"/>
        <v>1.1545756018249332E-4</v>
      </c>
      <c r="W49" s="32" t="str">
        <f t="shared" si="54"/>
        <v>1-0.00258710460077015i</v>
      </c>
      <c r="X49" s="18">
        <f t="shared" si="69"/>
        <v>1.000003346549508</v>
      </c>
      <c r="Y49" s="18">
        <f t="shared" si="70"/>
        <v>-2.5870988288679187E-3</v>
      </c>
      <c r="Z49" s="32" t="str">
        <f t="shared" si="71"/>
        <v>0.999999989578265+0.000204830265085769i</v>
      </c>
      <c r="AA49" s="18">
        <f t="shared" si="72"/>
        <v>1.0000000105559839</v>
      </c>
      <c r="AB49" s="18">
        <f t="shared" si="73"/>
        <v>2.0483026435587462E-4</v>
      </c>
      <c r="AC49" s="32" t="str">
        <f>IMDIV(IMSUM(COMPLEX(0,2*PI()*O49*Constants!$B$71*Constants!$B$72),COMPLEX(1,0)),IMSUM(COMPLEX(0,2*PI()*O49*Constants!$B$71*Constants!$B$72),COMPLEX(2,0)))</f>
        <v>0.500000032914685+0.000128286170105588i</v>
      </c>
      <c r="AD49" s="18">
        <f t="shared" si="74"/>
        <v>0.50000004937202513</v>
      </c>
      <c r="AE49" s="18">
        <f t="shared" si="75"/>
        <v>2.5657231769118482E-4</v>
      </c>
      <c r="AF49" s="66" t="str">
        <f t="shared" si="76"/>
        <v>12.6524010482004-1.43465132846264i</v>
      </c>
      <c r="AG49" s="64">
        <f t="shared" si="77"/>
        <v>22.098941240771456</v>
      </c>
      <c r="AH49" s="61">
        <f t="shared" si="78"/>
        <v>-6.4691178752121061</v>
      </c>
      <c r="AI49" s="50" t="str">
        <f t="shared" si="55"/>
        <v>108.866083054159</v>
      </c>
      <c r="AJ49" s="50" t="str">
        <f t="shared" si="56"/>
        <v>1+0.104961418814116i</v>
      </c>
      <c r="AK49" s="50">
        <f t="shared" si="79"/>
        <v>1.0054933612110386</v>
      </c>
      <c r="AL49" s="50">
        <f t="shared" si="80"/>
        <v>0.10457849701289618</v>
      </c>
      <c r="AM49" s="50" t="str">
        <f t="shared" si="57"/>
        <v>1+0.000115457560695527i</v>
      </c>
      <c r="AN49" s="50">
        <f t="shared" si="81"/>
        <v>1.0000000066652242</v>
      </c>
      <c r="AO49" s="50">
        <f t="shared" si="82"/>
        <v>1.1545756018249332E-4</v>
      </c>
      <c r="AP49" s="50" t="str">
        <f t="shared" si="58"/>
        <v>1-0.000576098743917604i</v>
      </c>
      <c r="AQ49" s="50">
        <f t="shared" si="83"/>
        <v>1.0000001659448676</v>
      </c>
      <c r="AR49" s="50">
        <f t="shared" si="84"/>
        <v>-5.7609868018385817E-4</v>
      </c>
      <c r="AS49" s="59" t="str">
        <f t="shared" si="85"/>
        <v>107.674586576521-11.3518255786058i</v>
      </c>
      <c r="AT49" s="50">
        <f t="shared" si="86"/>
        <v>40.690269299349701</v>
      </c>
      <c r="AU49" s="61">
        <f t="shared" si="87"/>
        <v>-6.018299298706677</v>
      </c>
      <c r="AV49" s="32" t="str">
        <f t="shared" si="59"/>
        <v>-0.0000333333333333333</v>
      </c>
      <c r="AW49" s="32" t="str">
        <f t="shared" si="60"/>
        <v>6.15773657042815E-06i</v>
      </c>
      <c r="AX49" s="32">
        <f t="shared" si="88"/>
        <v>6.1577365704281504E-6</v>
      </c>
      <c r="AY49" s="32">
        <f t="shared" si="89"/>
        <v>1.5707963267948966</v>
      </c>
      <c r="AZ49" s="32" t="str">
        <f t="shared" si="61"/>
        <v>1+0.00251227099661564i</v>
      </c>
      <c r="BA49" s="32">
        <f t="shared" si="90"/>
        <v>1.0000031557478009</v>
      </c>
      <c r="BB49" s="32">
        <f t="shared" si="91"/>
        <v>2.5122657112315338E-3</v>
      </c>
      <c r="BC49" s="32" t="str">
        <f t="shared" si="62"/>
        <v>1+0.120589007837551i</v>
      </c>
      <c r="BD49" s="32">
        <f t="shared" si="92"/>
        <v>1.0072446122026391</v>
      </c>
      <c r="BE49" s="32">
        <f t="shared" si="93"/>
        <v>0.12000953202542328</v>
      </c>
      <c r="BF49" s="59" t="str">
        <f t="shared" si="94"/>
        <v>-0.639174206589179+5.41485023189049i</v>
      </c>
      <c r="BG49" s="50">
        <f t="shared" si="95"/>
        <v>14.731824440611646</v>
      </c>
      <c r="BH49" s="61">
        <f t="shared" si="96"/>
        <v>96.732097464127818</v>
      </c>
      <c r="BI49" s="59" t="str">
        <f t="shared" si="97"/>
        <v>-0.31866632282366+69.4278488744216i</v>
      </c>
      <c r="BJ49" s="64">
        <f t="shared" si="98"/>
        <v>36.830765681383099</v>
      </c>
      <c r="BK49" s="61">
        <f t="shared" si="99"/>
        <v>90.262979588915726</v>
      </c>
      <c r="BL49" s="59" t="str">
        <f t="shared" si="100"/>
        <v>-7.35438307817167+590.297554200132i</v>
      </c>
      <c r="BM49" s="64">
        <f t="shared" si="101"/>
        <v>55.422093739961362</v>
      </c>
      <c r="BN49" s="61">
        <f t="shared" si="102"/>
        <v>90.713798165421139</v>
      </c>
      <c r="BO49" s="50">
        <f t="shared" si="103"/>
        <v>36.830765681383099</v>
      </c>
      <c r="BP49" s="61">
        <f t="shared" si="104"/>
        <v>90.262979588915726</v>
      </c>
    </row>
    <row r="50" spans="1:68" x14ac:dyDescent="0.25">
      <c r="B50" s="1"/>
      <c r="J50" s="32">
        <f>Lm*Fsw</f>
        <v>1.3199999999999998</v>
      </c>
      <c r="K50" s="32"/>
      <c r="N50" s="11">
        <v>32</v>
      </c>
      <c r="O50" s="51">
        <f t="shared" si="63"/>
        <v>20.8929613085404</v>
      </c>
      <c r="P50" s="49" t="str">
        <f t="shared" si="52"/>
        <v>25.6231073841137</v>
      </c>
      <c r="Q50" s="18" t="str">
        <f t="shared" si="64"/>
        <v>1+0.113523413733508i</v>
      </c>
      <c r="R50" s="18">
        <f t="shared" si="65"/>
        <v>1.0064231542774189</v>
      </c>
      <c r="S50" s="18">
        <f t="shared" si="66"/>
        <v>0.11303947022793193</v>
      </c>
      <c r="T50" s="18" t="str">
        <f t="shared" si="53"/>
        <v>1+0.000118146912765564i</v>
      </c>
      <c r="U50" s="18">
        <f t="shared" si="67"/>
        <v>1.0000000069793464</v>
      </c>
      <c r="V50" s="18">
        <f t="shared" si="68"/>
        <v>1.181469122158385E-4</v>
      </c>
      <c r="W50" s="32" t="str">
        <f t="shared" si="54"/>
        <v>1-0.00264736600826541i</v>
      </c>
      <c r="X50" s="18">
        <f t="shared" si="69"/>
        <v>1.000003504267251</v>
      </c>
      <c r="Y50" s="18">
        <f t="shared" si="70"/>
        <v>-2.6473598235619115E-3</v>
      </c>
      <c r="Z50" s="32" t="str">
        <f t="shared" si="71"/>
        <v>0.999999989087104+0.000209601374869278i</v>
      </c>
      <c r="AA50" s="18">
        <f t="shared" si="72"/>
        <v>1.0000000110534719</v>
      </c>
      <c r="AB50" s="18">
        <f t="shared" si="73"/>
        <v>2.0960137408718204E-4</v>
      </c>
      <c r="AC50" s="32" t="str">
        <f>IMDIV(IMSUM(COMPLEX(0,2*PI()*O50*Constants!$B$71*Constants!$B$72),COMPLEX(1,0)),IMSUM(COMPLEX(0,2*PI()*O50*Constants!$B$71*Constants!$B$72),COMPLEX(2,0)))</f>
        <v>0.500000034465906+0.000131274338468314i</v>
      </c>
      <c r="AD50" s="18">
        <f t="shared" si="74"/>
        <v>0.50000005169885653</v>
      </c>
      <c r="AE50" s="18">
        <f t="shared" si="75"/>
        <v>2.6254865280602309E-4</v>
      </c>
      <c r="AF50" s="66" t="str">
        <f t="shared" si="76"/>
        <v>12.6449958501354-1.46722798756257i</v>
      </c>
      <c r="AG50" s="64">
        <f t="shared" si="77"/>
        <v>22.096454924365542</v>
      </c>
      <c r="AH50" s="61">
        <f t="shared" si="78"/>
        <v>-6.6185641321580606</v>
      </c>
      <c r="AI50" s="50" t="str">
        <f t="shared" si="55"/>
        <v>108.866083054159</v>
      </c>
      <c r="AJ50" s="50" t="str">
        <f t="shared" si="56"/>
        <v>1+0.107406284332331i</v>
      </c>
      <c r="AK50" s="50">
        <f t="shared" si="79"/>
        <v>1.0057515149946719</v>
      </c>
      <c r="AL50" s="50">
        <f t="shared" si="80"/>
        <v>0.10699610284977765</v>
      </c>
      <c r="AM50" s="50" t="str">
        <f t="shared" si="57"/>
        <v>1+0.000118146912765564i</v>
      </c>
      <c r="AN50" s="50">
        <f t="shared" si="81"/>
        <v>1.0000000069793464</v>
      </c>
      <c r="AO50" s="50">
        <f t="shared" si="82"/>
        <v>1.181469122158385E-4</v>
      </c>
      <c r="AP50" s="50" t="str">
        <f t="shared" si="58"/>
        <v>1-0.000589517807512632i</v>
      </c>
      <c r="AQ50" s="50">
        <f t="shared" si="83"/>
        <v>1.0000001737656077</v>
      </c>
      <c r="AR50" s="50">
        <f t="shared" si="84"/>
        <v>-5.8951773922069357E-4</v>
      </c>
      <c r="AS50" s="59" t="str">
        <f t="shared" si="85"/>
        <v>107.619073482674-11.610281109039i</v>
      </c>
      <c r="AT50" s="50">
        <f t="shared" si="86"/>
        <v>40.688039611401329</v>
      </c>
      <c r="AU50" s="61">
        <f t="shared" si="87"/>
        <v>-6.1574326766129328</v>
      </c>
      <c r="AV50" s="32" t="str">
        <f t="shared" si="59"/>
        <v>-0.0000333333333333333</v>
      </c>
      <c r="AW50" s="32" t="str">
        <f t="shared" si="60"/>
        <v>6.30116868083005E-06i</v>
      </c>
      <c r="AX50" s="32">
        <f t="shared" si="88"/>
        <v>6.3011686808300497E-6</v>
      </c>
      <c r="AY50" s="32">
        <f t="shared" si="89"/>
        <v>1.5707963267948966</v>
      </c>
      <c r="AZ50" s="32" t="str">
        <f t="shared" si="61"/>
        <v>1+0.00257078930554699i</v>
      </c>
      <c r="BA50" s="32">
        <f t="shared" si="90"/>
        <v>1.0000033044733669</v>
      </c>
      <c r="BB50" s="32">
        <f t="shared" si="91"/>
        <v>2.5707836421568955E-3</v>
      </c>
      <c r="BC50" s="32" t="str">
        <f t="shared" si="62"/>
        <v>1+0.123397886666256i</v>
      </c>
      <c r="BD50" s="32">
        <f t="shared" si="92"/>
        <v>1.0075847549629253</v>
      </c>
      <c r="BE50" s="32">
        <f t="shared" si="93"/>
        <v>0.12277721930868934</v>
      </c>
      <c r="BF50" s="59" t="str">
        <f t="shared" si="94"/>
        <v>-0.639174016466736+5.29166714739799i</v>
      </c>
      <c r="BG50" s="50">
        <f t="shared" si="95"/>
        <v>14.534755846283174</v>
      </c>
      <c r="BH50" s="61">
        <f t="shared" si="96"/>
        <v>96.887321434003155</v>
      </c>
      <c r="BI50" s="59" t="str">
        <f t="shared" si="97"/>
        <v>-0.318270646208535+67.8509231250282i</v>
      </c>
      <c r="BJ50" s="64">
        <f t="shared" si="98"/>
        <v>36.631210770648714</v>
      </c>
      <c r="BK50" s="61">
        <f t="shared" si="99"/>
        <v>90.268757301845099</v>
      </c>
      <c r="BL50" s="59" t="str">
        <f t="shared" ref="BL50:BL113" si="105">IMPRODUCT(AS50,BF50)</f>
        <v>-7.34957232959236+576.905305590449i</v>
      </c>
      <c r="BM50" s="64">
        <f t="shared" si="101"/>
        <v>55.222795457684512</v>
      </c>
      <c r="BN50" s="61">
        <f t="shared" ref="BN50:BN113" si="106">(180/PI())*IMARGUMENT(BL50)</f>
        <v>90.729888757390228</v>
      </c>
      <c r="BO50" s="50">
        <f t="shared" si="103"/>
        <v>36.631210770648714</v>
      </c>
      <c r="BP50" s="61">
        <f t="shared" si="104"/>
        <v>90.268757301845099</v>
      </c>
    </row>
    <row r="51" spans="1:68" x14ac:dyDescent="0.25">
      <c r="A51" t="s">
        <v>185</v>
      </c>
      <c r="B51" s="1">
        <f>2*PI()*Fsw</f>
        <v>2513274.1228718343</v>
      </c>
      <c r="C51" t="s">
        <v>191</v>
      </c>
      <c r="N51" s="11">
        <v>33</v>
      </c>
      <c r="O51" s="51">
        <f t="shared" si="63"/>
        <v>21.379620895022335</v>
      </c>
      <c r="P51" s="49" t="str">
        <f t="shared" si="52"/>
        <v>25.6231073841137</v>
      </c>
      <c r="Q51" s="18" t="str">
        <f t="shared" si="64"/>
        <v>1+0.116167713733287i</v>
      </c>
      <c r="R51" s="18">
        <f t="shared" si="65"/>
        <v>1.0067248570061331</v>
      </c>
      <c r="S51" s="18">
        <f t="shared" si="66"/>
        <v>0.11564934582282403</v>
      </c>
      <c r="T51" s="18" t="str">
        <f t="shared" si="53"/>
        <v>1+0.000120898907892607i</v>
      </c>
      <c r="U51" s="18">
        <f t="shared" si="67"/>
        <v>1.0000000073082729</v>
      </c>
      <c r="V51" s="18">
        <f t="shared" si="68"/>
        <v>1.2089890730356552E-4</v>
      </c>
      <c r="W51" s="32" t="str">
        <f t="shared" si="54"/>
        <v>1-0.00270903108426026i</v>
      </c>
      <c r="X51" s="18">
        <f t="shared" si="69"/>
        <v>1.0000036694179755</v>
      </c>
      <c r="Y51" s="18">
        <f t="shared" si="70"/>
        <v>-2.7090244572323778E-3</v>
      </c>
      <c r="Z51" s="32" t="str">
        <f t="shared" si="71"/>
        <v>0.999999988572795+0.000214483618076143i</v>
      </c>
      <c r="AA51" s="18">
        <f t="shared" si="72"/>
        <v>1.0000000115744063</v>
      </c>
      <c r="AB51" s="18">
        <f t="shared" si="73"/>
        <v>2.1448361723811206E-4</v>
      </c>
      <c r="AC51" s="32" t="str">
        <f>IMDIV(IMSUM(COMPLEX(0,2*PI()*O51*Constants!$B$71*Constants!$B$72),COMPLEX(1,0)),IMSUM(COMPLEX(0,2*PI()*O51*Constants!$B$71*Constants!$B$72),COMPLEX(2,0)))</f>
        <v>0.500000036090234+0.000134332110184519i</v>
      </c>
      <c r="AD51" s="18">
        <f t="shared" si="74"/>
        <v>0.50000005413534832</v>
      </c>
      <c r="AE51" s="18">
        <f t="shared" si="75"/>
        <v>2.6866419451262926E-4</v>
      </c>
      <c r="AF51" s="66" t="str">
        <f t="shared" si="76"/>
        <v>12.6372507406315-1.50050438624177i</v>
      </c>
      <c r="AG51" s="64">
        <f t="shared" si="77"/>
        <v>22.093852957914734</v>
      </c>
      <c r="AH51" s="61">
        <f t="shared" si="78"/>
        <v>-6.7714037715482318</v>
      </c>
      <c r="AI51" s="50" t="str">
        <f t="shared" si="55"/>
        <v>108.866083054159</v>
      </c>
      <c r="AJ51" s="50" t="str">
        <f t="shared" si="56"/>
        <v>1+0.109908098084188i</v>
      </c>
      <c r="AK51" s="50">
        <f t="shared" si="79"/>
        <v>1.0060217641902602</v>
      </c>
      <c r="AL51" s="50">
        <f t="shared" si="80"/>
        <v>0.10946872267008383</v>
      </c>
      <c r="AM51" s="50" t="str">
        <f t="shared" si="57"/>
        <v>1+0.000120898907892607i</v>
      </c>
      <c r="AN51" s="50">
        <f t="shared" si="81"/>
        <v>1.0000000073082729</v>
      </c>
      <c r="AO51" s="50">
        <f t="shared" si="82"/>
        <v>1.2089890730356552E-4</v>
      </c>
      <c r="AP51" s="50" t="str">
        <f t="shared" si="58"/>
        <v>1-0.000603249441252389i</v>
      </c>
      <c r="AQ51" s="50">
        <f t="shared" si="83"/>
        <v>1.0000001819549276</v>
      </c>
      <c r="AR51" s="50">
        <f t="shared" si="84"/>
        <v>-6.032493680762594E-4</v>
      </c>
      <c r="AS51" s="59" t="str">
        <f t="shared" si="85"/>
        <v>107.561005185008-11.8743371211336i</v>
      </c>
      <c r="AT51" s="50">
        <f t="shared" si="86"/>
        <v>40.68570606785353</v>
      </c>
      <c r="AU51" s="61">
        <f t="shared" si="87"/>
        <v>-6.2997324433323048</v>
      </c>
      <c r="AV51" s="32" t="str">
        <f t="shared" si="59"/>
        <v>-0.0000333333333333333</v>
      </c>
      <c r="AW51" s="32" t="str">
        <f t="shared" si="60"/>
        <v>6.44794175427235E-06i</v>
      </c>
      <c r="AX51" s="32">
        <f t="shared" si="88"/>
        <v>6.4479417542723501E-6</v>
      </c>
      <c r="AY51" s="32">
        <f t="shared" si="89"/>
        <v>1.5707963267948966</v>
      </c>
      <c r="AZ51" s="32" t="str">
        <f t="shared" si="61"/>
        <v>1+0.00263067068099653i</v>
      </c>
      <c r="BA51" s="32">
        <f t="shared" si="90"/>
        <v>1.0000034602081294</v>
      </c>
      <c r="BB51" s="32">
        <f t="shared" si="91"/>
        <v>2.6306646125658444E-3</v>
      </c>
      <c r="BC51" s="32" t="str">
        <f t="shared" si="62"/>
        <v>1+0.126272192687834i</v>
      </c>
      <c r="BD51" s="32">
        <f t="shared" si="92"/>
        <v>1.00794080513004</v>
      </c>
      <c r="BE51" s="32">
        <f t="shared" si="93"/>
        <v>0.12560741828300426</v>
      </c>
      <c r="BF51" s="59" t="str">
        <f t="shared" si="94"/>
        <v>-0.639173817384213+5.1712897748245i</v>
      </c>
      <c r="BG51" s="50">
        <f t="shared" si="95"/>
        <v>14.337823283739276</v>
      </c>
      <c r="BH51" s="61">
        <f t="shared" si="96"/>
        <v>97.046048963536052</v>
      </c>
      <c r="BI51" s="59" t="str">
        <f t="shared" si="97"/>
        <v>-0.317856807479531+66.3099686534769i</v>
      </c>
      <c r="BJ51" s="64">
        <f t="shared" si="98"/>
        <v>36.431676241654003</v>
      </c>
      <c r="BK51" s="61">
        <f t="shared" si="99"/>
        <v>90.27464519198783</v>
      </c>
      <c r="BL51" s="59" t="str">
        <f t="shared" si="105"/>
        <v>-7.34454014844751+563.818891669699i</v>
      </c>
      <c r="BM51" s="64">
        <f t="shared" si="101"/>
        <v>55.023529351592799</v>
      </c>
      <c r="BN51" s="61">
        <f t="shared" si="106"/>
        <v>90.746316520203749</v>
      </c>
      <c r="BO51" s="50">
        <f t="shared" si="103"/>
        <v>36.431676241654003</v>
      </c>
      <c r="BP51" s="61">
        <f t="shared" si="104"/>
        <v>90.27464519198783</v>
      </c>
    </row>
    <row r="52" spans="1:68" x14ac:dyDescent="0.25">
      <c r="A52" t="s">
        <v>186</v>
      </c>
      <c r="B52" s="1">
        <f>1/(PI()*(((VIN_var/VOUT)*(1+(B48/B49)))-0.5))</f>
        <v>0.49839752533996456</v>
      </c>
      <c r="K52" s="32"/>
      <c r="N52" s="11">
        <v>34</v>
      </c>
      <c r="O52" s="51">
        <f t="shared" si="63"/>
        <v>21.877616239495538</v>
      </c>
      <c r="P52" s="49" t="str">
        <f t="shared" si="52"/>
        <v>25.6231073841137</v>
      </c>
      <c r="Q52" s="18" t="str">
        <f t="shared" si="64"/>
        <v>1+0.118873607392549i</v>
      </c>
      <c r="R52" s="18">
        <f t="shared" si="65"/>
        <v>1.0070406816680832</v>
      </c>
      <c r="S52" s="18">
        <f t="shared" si="66"/>
        <v>0.11831837568881907</v>
      </c>
      <c r="T52" s="18" t="str">
        <f t="shared" si="53"/>
        <v>1+0.000123715005220901i</v>
      </c>
      <c r="U52" s="18">
        <f t="shared" si="67"/>
        <v>1.0000000076527011</v>
      </c>
      <c r="V52" s="18">
        <f t="shared" si="68"/>
        <v>1.2371500458973169E-4</v>
      </c>
      <c r="W52" s="32" t="str">
        <f t="shared" si="54"/>
        <v>1-0.00277213252439426i</v>
      </c>
      <c r="X52" s="18">
        <f t="shared" si="69"/>
        <v>1.0000038423519846</v>
      </c>
      <c r="Y52" s="18">
        <f t="shared" si="70"/>
        <v>-2.7721254234074214E-3</v>
      </c>
      <c r="Z52" s="32" t="str">
        <f t="shared" si="71"/>
        <v>0.999999988034248+0.000219479583336339i</v>
      </c>
      <c r="AA52" s="18">
        <f t="shared" si="72"/>
        <v>1.000000012119892</v>
      </c>
      <c r="AB52" s="18">
        <f t="shared" si="73"/>
        <v>2.1947958243837256E-4</v>
      </c>
      <c r="AC52" s="32" t="str">
        <f>IMDIV(IMSUM(COMPLEX(0,2*PI()*O52*Constants!$B$71*Constants!$B$72),COMPLEX(1,0)),IMSUM(COMPLEX(0,2*PI()*O52*Constants!$B$71*Constants!$B$72),COMPLEX(2,0)))</f>
        <v>0.500000037791114+0.000137461106522494i</v>
      </c>
      <c r="AD52" s="18">
        <f t="shared" si="74"/>
        <v>0.50000005668666803</v>
      </c>
      <c r="AE52" s="18">
        <f t="shared" si="75"/>
        <v>2.7492218533934731E-4</v>
      </c>
      <c r="AF52" s="66" t="str">
        <f t="shared" si="76"/>
        <v>12.6291505587303-1.53449272565013i</v>
      </c>
      <c r="AG52" s="64">
        <f t="shared" si="77"/>
        <v>22.091130036261429</v>
      </c>
      <c r="AH52" s="61">
        <f t="shared" si="78"/>
        <v>-6.92770967807789</v>
      </c>
      <c r="AI52" s="50" t="str">
        <f t="shared" si="55"/>
        <v>108.866083054159</v>
      </c>
      <c r="AJ52" s="50" t="str">
        <f t="shared" si="56"/>
        <v>1+0.112468186564455i</v>
      </c>
      <c r="AK52" s="50">
        <f t="shared" si="79"/>
        <v>1.0063046720497213</v>
      </c>
      <c r="AL52" s="50">
        <f t="shared" si="80"/>
        <v>0.11199754648600573</v>
      </c>
      <c r="AM52" s="50" t="str">
        <f t="shared" si="57"/>
        <v>1+0.000123715005220901i</v>
      </c>
      <c r="AN52" s="50">
        <f t="shared" si="81"/>
        <v>1.0000000076527011</v>
      </c>
      <c r="AO52" s="50">
        <f t="shared" si="82"/>
        <v>1.2371500458973169E-4</v>
      </c>
      <c r="AP52" s="50" t="str">
        <f t="shared" si="58"/>
        <v>1-0.000617300925830851i</v>
      </c>
      <c r="AQ52" s="50">
        <f t="shared" si="83"/>
        <v>1.0000001905301983</v>
      </c>
      <c r="AR52" s="50">
        <f t="shared" si="84"/>
        <v>-6.173008474212162E-4</v>
      </c>
      <c r="AS52" s="59" t="str">
        <f t="shared" si="85"/>
        <v>107.500267042355-12.1440948552758i</v>
      </c>
      <c r="AT52" s="50">
        <f t="shared" si="86"/>
        <v>40.683263891013802</v>
      </c>
      <c r="AU52" s="61">
        <f t="shared" si="87"/>
        <v>-6.4452671150900223</v>
      </c>
      <c r="AV52" s="32" t="str">
        <f t="shared" si="59"/>
        <v>-0.0000333333333333333</v>
      </c>
      <c r="AW52" s="32" t="str">
        <f t="shared" si="60"/>
        <v>6.59813361178137E-06i</v>
      </c>
      <c r="AX52" s="32">
        <f t="shared" si="88"/>
        <v>6.5981336117813697E-6</v>
      </c>
      <c r="AY52" s="32">
        <f t="shared" si="89"/>
        <v>1.5707963267948966</v>
      </c>
      <c r="AZ52" s="32" t="str">
        <f t="shared" si="61"/>
        <v>1+0.0026919468728622i</v>
      </c>
      <c r="BA52" s="32">
        <f t="shared" si="90"/>
        <v>1.000003623282419</v>
      </c>
      <c r="BB52" s="32">
        <f t="shared" si="91"/>
        <v>2.6919403704228403E-3</v>
      </c>
      <c r="BC52" s="32" t="str">
        <f t="shared" si="62"/>
        <v>1+0.129213449897386i</v>
      </c>
      <c r="BD52" s="32">
        <f t="shared" si="92"/>
        <v>1.0083135006704931</v>
      </c>
      <c r="BE52" s="32">
        <f t="shared" si="93"/>
        <v>0.1285014481006628</v>
      </c>
      <c r="BF52" s="59" t="str">
        <f t="shared" si="94"/>
        <v>-0.639173608919353+5.05365428849029i</v>
      </c>
      <c r="BG52" s="50">
        <f t="shared" si="95"/>
        <v>14.141032962606253</v>
      </c>
      <c r="BH52" s="61">
        <f t="shared" si="96"/>
        <v>97.208353815561267</v>
      </c>
      <c r="BI52" s="59" t="str">
        <f t="shared" si="97"/>
        <v>-0.317423996570577+64.8041681344312i</v>
      </c>
      <c r="BJ52" s="64">
        <f t="shared" si="98"/>
        <v>36.232162998867679</v>
      </c>
      <c r="BK52" s="61">
        <f t="shared" si="99"/>
        <v>90.280644137483378</v>
      </c>
      <c r="BL52" s="59" t="str">
        <f t="shared" si="105"/>
        <v>-7.33927660005882+551.031370488154i</v>
      </c>
      <c r="BM52" s="64">
        <f t="shared" si="101"/>
        <v>54.824296853620055</v>
      </c>
      <c r="BN52" s="61">
        <f t="shared" si="106"/>
        <v>90.763086700471248</v>
      </c>
      <c r="BO52" s="50">
        <f t="shared" si="103"/>
        <v>36.232162998867679</v>
      </c>
      <c r="BP52" s="61">
        <f t="shared" si="104"/>
        <v>90.280644137483378</v>
      </c>
    </row>
    <row r="53" spans="1:68" x14ac:dyDescent="0.25">
      <c r="K53" s="32"/>
      <c r="N53" s="11">
        <v>35</v>
      </c>
      <c r="O53" s="51">
        <f t="shared" si="63"/>
        <v>22.387211385683404</v>
      </c>
      <c r="P53" s="49" t="str">
        <f t="shared" si="52"/>
        <v>25.6231073841137</v>
      </c>
      <c r="Q53" s="18" t="str">
        <f t="shared" si="64"/>
        <v>1+0.12164252941193i</v>
      </c>
      <c r="R53" s="18">
        <f t="shared" si="65"/>
        <v>1.0073712845628131</v>
      </c>
      <c r="S53" s="18">
        <f t="shared" si="66"/>
        <v>0.121047822791538</v>
      </c>
      <c r="T53" s="18" t="str">
        <f t="shared" si="53"/>
        <v>1+0.000126596697882525i</v>
      </c>
      <c r="U53" s="18">
        <f t="shared" si="67"/>
        <v>1.000000008013362</v>
      </c>
      <c r="V53" s="18">
        <f t="shared" si="68"/>
        <v>1.2659669720621489E-4</v>
      </c>
      <c r="W53" s="32" t="str">
        <f t="shared" si="54"/>
        <v>1-0.00283670378588621i</v>
      </c>
      <c r="X53" s="18">
        <f t="shared" si="69"/>
        <v>1.0000040234360903</v>
      </c>
      <c r="Y53" s="18">
        <f t="shared" si="70"/>
        <v>-2.8366961770433796E-3</v>
      </c>
      <c r="Z53" s="32" t="str">
        <f t="shared" si="71"/>
        <v>0.999999987470319+0.000224591919576776i</v>
      </c>
      <c r="AA53" s="18">
        <f t="shared" si="72"/>
        <v>1.0000000126910842</v>
      </c>
      <c r="AB53" s="18">
        <f t="shared" si="73"/>
        <v>2.2459191861458775E-4</v>
      </c>
      <c r="AC53" s="32" t="str">
        <f>IMDIV(IMSUM(COMPLEX(0,2*PI()*O53*Constants!$B$71*Constants!$B$72),COMPLEX(1,0)),IMSUM(COMPLEX(0,2*PI()*O53*Constants!$B$71*Constants!$B$72),COMPLEX(2,0)))</f>
        <v>0.500000039572155+0.000140662986514574i</v>
      </c>
      <c r="AD53" s="18">
        <f t="shared" si="74"/>
        <v>0.50000005935822878</v>
      </c>
      <c r="AE53" s="18">
        <f t="shared" si="75"/>
        <v>2.8132594334201916E-4</v>
      </c>
      <c r="AF53" s="66" t="str">
        <f t="shared" si="76"/>
        <v>12.6206795091901-1.56920521314811i</v>
      </c>
      <c r="AG53" s="64">
        <f t="shared" si="77"/>
        <v>22.088280617945117</v>
      </c>
      <c r="AH53" s="61">
        <f t="shared" si="78"/>
        <v>-7.0875560072861932</v>
      </c>
      <c r="AI53" s="50" t="str">
        <f t="shared" si="55"/>
        <v>108.866083054159</v>
      </c>
      <c r="AJ53" s="50" t="str">
        <f t="shared" si="56"/>
        <v>1+0.115087907165932i</v>
      </c>
      <c r="AK53" s="50">
        <f t="shared" si="79"/>
        <v>1.0066008277245924</v>
      </c>
      <c r="AL53" s="50">
        <f t="shared" si="80"/>
        <v>0.1145837856696067</v>
      </c>
      <c r="AM53" s="50" t="str">
        <f t="shared" si="57"/>
        <v>1+0.000126596697882525i</v>
      </c>
      <c r="AN53" s="50">
        <f t="shared" si="81"/>
        <v>1.000000008013362</v>
      </c>
      <c r="AO53" s="50">
        <f t="shared" si="82"/>
        <v>1.2659669720621489E-4</v>
      </c>
      <c r="AP53" s="50" t="str">
        <f t="shared" si="58"/>
        <v>1-0.000631679711531133i</v>
      </c>
      <c r="AQ53" s="50">
        <f t="shared" si="83"/>
        <v>1.0000001995096091</v>
      </c>
      <c r="AR53" s="50">
        <f t="shared" si="84"/>
        <v>-6.316796275136965E-4</v>
      </c>
      <c r="AS53" s="59" t="str">
        <f t="shared" si="85"/>
        <v>107.436739552795-12.4196559171756i</v>
      </c>
      <c r="AT53" s="50">
        <f t="shared" si="86"/>
        <v>40.680708089088569</v>
      </c>
      <c r="AU53" s="61">
        <f t="shared" si="87"/>
        <v>-6.5941064397107869</v>
      </c>
      <c r="AV53" s="32" t="str">
        <f t="shared" si="59"/>
        <v>-0.0000333333333333333</v>
      </c>
      <c r="AW53" s="32" t="str">
        <f t="shared" si="60"/>
        <v>6.75182388706798E-06i</v>
      </c>
      <c r="AX53" s="32">
        <f t="shared" si="88"/>
        <v>6.7518238870679797E-6</v>
      </c>
      <c r="AY53" s="32">
        <f t="shared" si="89"/>
        <v>1.5707963267948966</v>
      </c>
      <c r="AZ53" s="32" t="str">
        <f t="shared" si="61"/>
        <v>1+0.00275465037059198i</v>
      </c>
      <c r="BA53" s="32">
        <f t="shared" si="90"/>
        <v>1.0000037940421347</v>
      </c>
      <c r="BB53" s="32">
        <f t="shared" si="91"/>
        <v>2.7546434031041028E-3</v>
      </c>
      <c r="BC53" s="32" t="str">
        <f t="shared" si="62"/>
        <v>1+0.132223217788415i</v>
      </c>
      <c r="BD53" s="32">
        <f t="shared" si="92"/>
        <v>1.008703613219623</v>
      </c>
      <c r="BE53" s="32">
        <f t="shared" si="93"/>
        <v>0.13146064920184833</v>
      </c>
      <c r="BF53" s="59" t="str">
        <f t="shared" si="94"/>
        <v>-0.639173390629989+4.9386983165i</v>
      </c>
      <c r="BG53" s="50">
        <f t="shared" si="95"/>
        <v>13.944391366213962</v>
      </c>
      <c r="BH53" s="61">
        <f t="shared" si="96"/>
        <v>97.37431093025431</v>
      </c>
      <c r="BI53" s="59" t="str">
        <f t="shared" si="97"/>
        <v>-0.316971369525868+63.3327228618053i</v>
      </c>
      <c r="BJ53" s="64">
        <f t="shared" si="98"/>
        <v>36.032671984159073</v>
      </c>
      <c r="BK53" s="61">
        <f t="shared" si="99"/>
        <v>90.286754922968129</v>
      </c>
      <c r="BL53" s="59" t="str">
        <f t="shared" si="105"/>
        <v>-7.33377132852664+538.535958342677i</v>
      </c>
      <c r="BM53" s="64">
        <f t="shared" si="101"/>
        <v>54.625099455302539</v>
      </c>
      <c r="BN53" s="61">
        <f t="shared" si="106"/>
        <v>90.780204490543539</v>
      </c>
      <c r="BO53" s="50">
        <f t="shared" si="103"/>
        <v>36.032671984159073</v>
      </c>
      <c r="BP53" s="61">
        <f t="shared" si="104"/>
        <v>90.286754922968129</v>
      </c>
    </row>
    <row r="54" spans="1:68" ht="15.75" x14ac:dyDescent="0.25">
      <c r="A54" s="52" t="s">
        <v>200</v>
      </c>
      <c r="N54" s="11">
        <v>36</v>
      </c>
      <c r="O54" s="51">
        <f t="shared" si="63"/>
        <v>22.908676527677727</v>
      </c>
      <c r="P54" s="49" t="str">
        <f t="shared" si="52"/>
        <v>25.6231073841137</v>
      </c>
      <c r="Q54" s="18" t="str">
        <f t="shared" si="64"/>
        <v>1+0.124475947910533i</v>
      </c>
      <c r="R54" s="18">
        <f t="shared" si="65"/>
        <v>1.0077173520428362</v>
      </c>
      <c r="S54" s="18">
        <f t="shared" si="66"/>
        <v>0.12383897156011013</v>
      </c>
      <c r="T54" s="18" t="str">
        <f t="shared" si="53"/>
        <v>1+0.000129545513789072i</v>
      </c>
      <c r="U54" s="18">
        <f t="shared" si="67"/>
        <v>1.0000000083910201</v>
      </c>
      <c r="V54" s="18">
        <f t="shared" si="68"/>
        <v>1.2954551306439268E-4</v>
      </c>
      <c r="W54" s="32" t="str">
        <f t="shared" si="54"/>
        <v>1-0.00290277910527364i</v>
      </c>
      <c r="X54" s="18">
        <f t="shared" si="69"/>
        <v>1.000004213054392</v>
      </c>
      <c r="Y54" s="18">
        <f t="shared" si="70"/>
        <v>-2.902770952253512E-3</v>
      </c>
      <c r="Z54" s="32" t="str">
        <f t="shared" si="71"/>
        <v>0.999999986879814+0.000229823337425797i</v>
      </c>
      <c r="AA54" s="18">
        <f t="shared" si="72"/>
        <v>1.0000000132891971</v>
      </c>
      <c r="AB54" s="18">
        <f t="shared" si="73"/>
        <v>2.2982333639479357E-4</v>
      </c>
      <c r="AC54" s="32" t="str">
        <f>IMDIV(IMSUM(COMPLEX(0,2*PI()*O54*Constants!$B$71*Constants!$B$72),COMPLEX(1,0)),IMSUM(COMPLEX(0,2*PI()*O54*Constants!$B$71*Constants!$B$72),COMPLEX(2,0)))</f>
        <v>0.500000041437133+0.000143939447836757i</v>
      </c>
      <c r="AD54" s="18">
        <f t="shared" si="74"/>
        <v>0.50000006215569537</v>
      </c>
      <c r="AE54" s="18">
        <f t="shared" si="75"/>
        <v>2.8787886386318285E-4</v>
      </c>
      <c r="AF54" s="66" t="str">
        <f t="shared" si="76"/>
        <v>12.6118211399576-1.60465404434779i</v>
      </c>
      <c r="AG54" s="64">
        <f t="shared" si="77"/>
        <v>22.085298915346769</v>
      </c>
      <c r="AH54" s="61">
        <f t="shared" si="78"/>
        <v>-7.2510181862374568</v>
      </c>
      <c r="AI54" s="50" t="str">
        <f t="shared" si="55"/>
        <v>108.866083054159</v>
      </c>
      <c r="AJ54" s="50" t="str">
        <f t="shared" si="56"/>
        <v>1+0.117768648899156i</v>
      </c>
      <c r="AK54" s="50">
        <f t="shared" si="79"/>
        <v>1.0069108474256958</v>
      </c>
      <c r="AL54" s="50">
        <f t="shared" si="80"/>
        <v>0.11722867301702093</v>
      </c>
      <c r="AM54" s="50" t="str">
        <f t="shared" si="57"/>
        <v>1+0.000129545513789072i</v>
      </c>
      <c r="AN54" s="50">
        <f t="shared" si="81"/>
        <v>1.0000000083910201</v>
      </c>
      <c r="AO54" s="50">
        <f t="shared" si="82"/>
        <v>1.2954551306439268E-4</v>
      </c>
      <c r="AP54" s="50" t="str">
        <f t="shared" si="58"/>
        <v>1-0.000646393422175736i</v>
      </c>
      <c r="AQ54" s="50">
        <f t="shared" si="83"/>
        <v>1.0000002089122062</v>
      </c>
      <c r="AR54" s="50">
        <f t="shared" si="84"/>
        <v>-6.4639333214943186E-4</v>
      </c>
      <c r="AS54" s="59" t="str">
        <f t="shared" si="85"/>
        <v>107.370298174592-12.701122155242i</v>
      </c>
      <c r="AT54" s="50">
        <f t="shared" si="86"/>
        <v>40.678033447128605</v>
      </c>
      <c r="AU54" s="61">
        <f t="shared" si="87"/>
        <v>-6.7463214004785659</v>
      </c>
      <c r="AV54" s="32" t="str">
        <f t="shared" si="59"/>
        <v>-0.0000333333333333333</v>
      </c>
      <c r="AW54" s="32" t="str">
        <f t="shared" si="60"/>
        <v>6.90909406875046E-06i</v>
      </c>
      <c r="AX54" s="32">
        <f t="shared" si="88"/>
        <v>6.9090940687504599E-6</v>
      </c>
      <c r="AY54" s="32">
        <f t="shared" si="89"/>
        <v>1.5707963267948966</v>
      </c>
      <c r="AZ54" s="32" t="str">
        <f t="shared" si="61"/>
        <v>1+0.00281881442041035i</v>
      </c>
      <c r="BA54" s="32">
        <f t="shared" si="90"/>
        <v>1.0000039728494765</v>
      </c>
      <c r="BB54" s="32">
        <f t="shared" si="91"/>
        <v>2.8188069546141825E-3</v>
      </c>
      <c r="BC54" s="32" t="str">
        <f t="shared" si="62"/>
        <v>1+0.135303092179697i</v>
      </c>
      <c r="BD54" s="32">
        <f t="shared" si="92"/>
        <v>1.0091119495642629</v>
      </c>
      <c r="BE54" s="32">
        <f t="shared" si="93"/>
        <v>0.13448638317740003</v>
      </c>
      <c r="BF54" s="59" t="str">
        <f t="shared" si="94"/>
        <v>-0.639173162053129+4.82636090767183i</v>
      </c>
      <c r="BG54" s="50">
        <f t="shared" si="95"/>
        <v>13.74790526273568</v>
      </c>
      <c r="BH54" s="61">
        <f t="shared" si="96"/>
        <v>97.543996416282667</v>
      </c>
      <c r="BI54" s="59" t="str">
        <f t="shared" si="97"/>
        <v>-0.316498047297524+61.8948523239677i</v>
      </c>
      <c r="BJ54" s="64">
        <f t="shared" si="98"/>
        <v>35.833204178082447</v>
      </c>
      <c r="BK54" s="61">
        <f t="shared" si="99"/>
        <v>90.292978230045208</v>
      </c>
      <c r="BL54" s="59" t="str">
        <f t="shared" si="105"/>
        <v>-7.32801354121671+526.326026164508i</v>
      </c>
      <c r="BM54" s="64">
        <f t="shared" si="101"/>
        <v>54.425938709864283</v>
      </c>
      <c r="BN54" s="61">
        <f t="shared" si="106"/>
        <v>90.797675015804089</v>
      </c>
      <c r="BO54" s="50">
        <f t="shared" si="103"/>
        <v>35.833204178082447</v>
      </c>
      <c r="BP54" s="61">
        <f t="shared" si="104"/>
        <v>90.292978230045208</v>
      </c>
    </row>
    <row r="55" spans="1:68" x14ac:dyDescent="0.25">
      <c r="A55" t="s">
        <v>166</v>
      </c>
      <c r="N55" s="11">
        <v>37</v>
      </c>
      <c r="O55" s="51">
        <f t="shared" si="63"/>
        <v>23.442288153199236</v>
      </c>
      <c r="P55" s="49" t="str">
        <f t="shared" si="52"/>
        <v>25.6231073841137</v>
      </c>
      <c r="Q55" s="18" t="str">
        <f t="shared" si="64"/>
        <v>1+0.127375365204353i</v>
      </c>
      <c r="R55" s="18">
        <f t="shared" si="65"/>
        <v>1.0080796018474643</v>
      </c>
      <c r="S55" s="18">
        <f t="shared" si="66"/>
        <v>0.12669312784959263</v>
      </c>
      <c r="T55" s="18" t="str">
        <f t="shared" si="53"/>
        <v>1+0.000132563016441767i</v>
      </c>
      <c r="U55" s="18">
        <f t="shared" si="67"/>
        <v>1.0000000087864767</v>
      </c>
      <c r="V55" s="18">
        <f t="shared" si="68"/>
        <v>1.3256301566525911E-4</v>
      </c>
      <c r="W55" s="32" t="str">
        <f t="shared" si="54"/>
        <v>1-0.00297039351656552i</v>
      </c>
      <c r="X55" s="18">
        <f t="shared" si="69"/>
        <v>1.0000044116090905</v>
      </c>
      <c r="Y55" s="18">
        <f t="shared" si="70"/>
        <v>-2.970384780449138E-3</v>
      </c>
      <c r="Z55" s="32" t="str">
        <f t="shared" si="71"/>
        <v>0.999999986261478+0.000235176610650394i</v>
      </c>
      <c r="AA55" s="18">
        <f t="shared" si="72"/>
        <v>1.0000000139154972</v>
      </c>
      <c r="AB55" s="18">
        <f t="shared" si="73"/>
        <v>2.3517660954565405E-4</v>
      </c>
      <c r="AC55" s="32" t="str">
        <f>IMDIV(IMSUM(COMPLEX(0,2*PI()*O55*Constants!$B$71*Constants!$B$72),COMPLEX(1,0)),IMSUM(COMPLEX(0,2*PI()*O55*Constants!$B$71*Constants!$B$72),COMPLEX(2,0)))</f>
        <v>0.500000043390004+0.00014729222770883i</v>
      </c>
      <c r="AD55" s="18">
        <f t="shared" si="74"/>
        <v>0.50000006508500205</v>
      </c>
      <c r="AE55" s="18">
        <f t="shared" si="75"/>
        <v>2.9458442133227693E-4</v>
      </c>
      <c r="AF55" s="66" t="str">
        <f t="shared" si="76"/>
        <v>12.6025583192362-1.6408513836475i</v>
      </c>
      <c r="AG55" s="64">
        <f t="shared" si="77"/>
        <v>22.082178884487252</v>
      </c>
      <c r="AH55" s="61">
        <f t="shared" si="78"/>
        <v>-7.4181729123399789</v>
      </c>
      <c r="AI55" s="50" t="str">
        <f t="shared" si="55"/>
        <v>108.866083054159</v>
      </c>
      <c r="AJ55" s="50" t="str">
        <f t="shared" si="56"/>
        <v>1+0.120511833128879i</v>
      </c>
      <c r="AK55" s="50">
        <f t="shared" si="79"/>
        <v>1.0072353756317749</v>
      </c>
      <c r="AL55" s="50">
        <f t="shared" si="80"/>
        <v>0.11993346278570126</v>
      </c>
      <c r="AM55" s="50" t="str">
        <f t="shared" si="57"/>
        <v>1+0.000132563016441767i</v>
      </c>
      <c r="AN55" s="50">
        <f t="shared" si="81"/>
        <v>1.0000000087864767</v>
      </c>
      <c r="AO55" s="50">
        <f t="shared" si="82"/>
        <v>1.3256301566525911E-4</v>
      </c>
      <c r="AP55" s="50" t="str">
        <f t="shared" si="58"/>
        <v>1-0.000661449859168807i</v>
      </c>
      <c r="AQ55" s="50">
        <f t="shared" si="83"/>
        <v>1.0000002187579342</v>
      </c>
      <c r="AR55" s="50">
        <f t="shared" si="84"/>
        <v>-6.6144976270388523E-4</v>
      </c>
      <c r="AS55" s="59" t="str">
        <f t="shared" si="85"/>
        <v>107.300813143215-12.9885955270547i</v>
      </c>
      <c r="AT55" s="50">
        <f t="shared" si="86"/>
        <v>40.675234517645166</v>
      </c>
      <c r="AU55" s="61">
        <f t="shared" si="87"/>
        <v>-6.9019842184557065</v>
      </c>
      <c r="AV55" s="32" t="str">
        <f t="shared" si="59"/>
        <v>-0.0000333333333333333</v>
      </c>
      <c r="AW55" s="32" t="str">
        <f t="shared" si="60"/>
        <v>7.07002754356087E-06i</v>
      </c>
      <c r="AX55" s="32">
        <f t="shared" si="88"/>
        <v>7.0700275435608702E-6</v>
      </c>
      <c r="AY55" s="32">
        <f t="shared" si="89"/>
        <v>1.5707963267948966</v>
      </c>
      <c r="AZ55" s="32" t="str">
        <f t="shared" si="61"/>
        <v>1+0.00288447304294585i</v>
      </c>
      <c r="BA55" s="32">
        <f t="shared" si="90"/>
        <v>1.0000041600837146</v>
      </c>
      <c r="BB55" s="32">
        <f t="shared" si="91"/>
        <v>2.8844650432029249E-3</v>
      </c>
      <c r="BC55" s="32" t="str">
        <f t="shared" si="62"/>
        <v>1+0.138454706061401i</v>
      </c>
      <c r="BD55" s="32">
        <f t="shared" si="92"/>
        <v>1.009539353185674</v>
      </c>
      <c r="BE55" s="32">
        <f t="shared" si="93"/>
        <v>0.13758003258800539</v>
      </c>
      <c r="BF55" s="59" t="str">
        <f t="shared" si="94"/>
        <v>-0.639172922703949+4.71658249922056i</v>
      </c>
      <c r="BG55" s="50">
        <f t="shared" si="95"/>
        <v>13.551581716694166</v>
      </c>
      <c r="BH55" s="61">
        <f t="shared" si="96"/>
        <v>97.717487539436505</v>
      </c>
      <c r="BI55" s="59" t="str">
        <f t="shared" si="97"/>
        <v>-0.316003114519529+60.4897937885247i</v>
      </c>
      <c r="BJ55" s="64">
        <f t="shared" si="98"/>
        <v>35.633760601181407</v>
      </c>
      <c r="BK55" s="61">
        <f t="shared" si="99"/>
        <v>90.299314627096521</v>
      </c>
      <c r="BL55" s="59" t="str">
        <f t="shared" si="105"/>
        <v>-7.32199199289839+514.39509598827i</v>
      </c>
      <c r="BM55" s="64">
        <f t="shared" si="101"/>
        <v>54.226816234339324</v>
      </c>
      <c r="BN55" s="61">
        <f t="shared" si="106"/>
        <v>90.815503320980795</v>
      </c>
      <c r="BO55" s="50">
        <f t="shared" si="103"/>
        <v>35.633760601181407</v>
      </c>
      <c r="BP55" s="61">
        <f t="shared" si="104"/>
        <v>90.299314627096521</v>
      </c>
    </row>
    <row r="56" spans="1:68" x14ac:dyDescent="0.25">
      <c r="A56" t="s">
        <v>164</v>
      </c>
      <c r="B56" s="3">
        <f>RFBT</f>
        <v>290000</v>
      </c>
      <c r="C56" s="2" t="s">
        <v>29</v>
      </c>
      <c r="E56" t="s">
        <v>167</v>
      </c>
      <c r="N56" s="11">
        <v>38</v>
      </c>
      <c r="O56" s="51">
        <f t="shared" si="63"/>
        <v>23.988329190194907</v>
      </c>
      <c r="P56" s="49" t="str">
        <f t="shared" si="52"/>
        <v>25.6231073841137</v>
      </c>
      <c r="Q56" s="18" t="str">
        <f t="shared" si="64"/>
        <v>1+0.130342318602816i</v>
      </c>
      <c r="R56" s="18">
        <f t="shared" si="65"/>
        <v>1.0084587844918393</v>
      </c>
      <c r="S56" s="18">
        <f t="shared" si="66"/>
        <v>0.12961161886774161</v>
      </c>
      <c r="T56" s="18" t="str">
        <f t="shared" si="53"/>
        <v>1+0.000135650805760458i</v>
      </c>
      <c r="U56" s="18">
        <f t="shared" si="67"/>
        <v>1.0000000092005705</v>
      </c>
      <c r="V56" s="18">
        <f t="shared" si="68"/>
        <v>1.3565080492841479E-4</v>
      </c>
      <c r="W56" s="32" t="str">
        <f t="shared" si="54"/>
        <v>1-0.00303958286981767i</v>
      </c>
      <c r="X56" s="18">
        <f t="shared" si="69"/>
        <v>1.0000046195213412</v>
      </c>
      <c r="Y56" s="18">
        <f t="shared" si="70"/>
        <v>-3.0395735089026495E-3</v>
      </c>
      <c r="Z56" s="32" t="str">
        <f t="shared" si="71"/>
        <v>0.999999985614002+0.000240654577626887i</v>
      </c>
      <c r="AA56" s="18">
        <f t="shared" si="72"/>
        <v>1.0000000145713148</v>
      </c>
      <c r="AB56" s="18">
        <f t="shared" si="73"/>
        <v>2.4065457644313666E-4</v>
      </c>
      <c r="AC56" s="32" t="str">
        <f>IMDIV(IMSUM(COMPLEX(0,2*PI()*O56*Constants!$B$71*Constants!$B$72),COMPLEX(1,0)),IMSUM(COMPLEX(0,2*PI()*O56*Constants!$B$71*Constants!$B$72),COMPLEX(2,0)))</f>
        <v>0.500000045434912+0.000150723103815437i</v>
      </c>
      <c r="AD56" s="18">
        <f t="shared" si="74"/>
        <v>0.50000006815236353</v>
      </c>
      <c r="AE56" s="18">
        <f t="shared" si="75"/>
        <v>3.0144617110772844E-4</v>
      </c>
      <c r="AF56" s="66" t="str">
        <f t="shared" si="76"/>
        <v>12.5928732121834-1.67780934316971i</v>
      </c>
      <c r="AG56" s="64">
        <f t="shared" si="77"/>
        <v>22.078914214470924</v>
      </c>
      <c r="AH56" s="61">
        <f t="shared" si="78"/>
        <v>-7.5890981501455839</v>
      </c>
      <c r="AI56" s="50" t="str">
        <f t="shared" si="55"/>
        <v>108.866083054159</v>
      </c>
      <c r="AJ56" s="50" t="str">
        <f t="shared" si="56"/>
        <v>1+0.123318914327689i</v>
      </c>
      <c r="AK56" s="50">
        <f t="shared" si="79"/>
        <v>1.0075750863488835</v>
      </c>
      <c r="AL56" s="50">
        <f t="shared" si="80"/>
        <v>0.12269943070232889</v>
      </c>
      <c r="AM56" s="50" t="str">
        <f t="shared" si="57"/>
        <v>1+0.000135650805760458i</v>
      </c>
      <c r="AN56" s="50">
        <f t="shared" si="81"/>
        <v>1.0000000092005705</v>
      </c>
      <c r="AO56" s="50">
        <f t="shared" si="82"/>
        <v>1.3565080492841479E-4</v>
      </c>
      <c r="AP56" s="50" t="str">
        <f t="shared" si="58"/>
        <v>1-0.00067685700563253i</v>
      </c>
      <c r="AQ56" s="50">
        <f t="shared" si="83"/>
        <v>1.0000002290676768</v>
      </c>
      <c r="AR56" s="50">
        <f t="shared" si="84"/>
        <v>-6.7685690226850545E-4</v>
      </c>
      <c r="AS56" s="59" t="str">
        <f t="shared" si="85"/>
        <v>107.228149284604-13.2821779542494i</v>
      </c>
      <c r="AT56" s="50">
        <f t="shared" si="86"/>
        <v>40.67230561088644</v>
      </c>
      <c r="AU56" s="61">
        <f t="shared" si="87"/>
        <v>-7.0611683531256793</v>
      </c>
      <c r="AV56" s="32" t="str">
        <f t="shared" si="59"/>
        <v>-0.0000333333333333333</v>
      </c>
      <c r="AW56" s="32" t="str">
        <f t="shared" si="60"/>
        <v>7.23470964055775E-06i</v>
      </c>
      <c r="AX56" s="32">
        <f t="shared" si="88"/>
        <v>7.2347096405577498E-6</v>
      </c>
      <c r="AY56" s="32">
        <f t="shared" si="89"/>
        <v>1.5707963267948966</v>
      </c>
      <c r="AZ56" s="32" t="str">
        <f t="shared" si="61"/>
        <v>1+0.00295166105126923i</v>
      </c>
      <c r="BA56" s="32">
        <f t="shared" si="90"/>
        <v>1.0000043561419927</v>
      </c>
      <c r="BB56" s="32">
        <f t="shared" si="91"/>
        <v>2.9516524793922658E-3</v>
      </c>
      <c r="BC56" s="32" t="str">
        <f t="shared" si="62"/>
        <v>1+0.141679730460923i</v>
      </c>
      <c r="BD56" s="32">
        <f t="shared" si="92"/>
        <v>1.0099867058647256</v>
      </c>
      <c r="BE56" s="32">
        <f t="shared" si="93"/>
        <v>0.14074300073649662</v>
      </c>
      <c r="BF56" s="59" t="str">
        <f t="shared" si="94"/>
        <v>-0.639172672074779+4.60930488517666i</v>
      </c>
      <c r="BG56" s="50">
        <f t="shared" si="95"/>
        <v>13.355428100836214</v>
      </c>
      <c r="BH56" s="61">
        <f t="shared" si="96"/>
        <v>97.894862708549397</v>
      </c>
      <c r="BI56" s="59" t="str">
        <f t="shared" si="97"/>
        <v>-0.315485618262982+59.1168018964331i</v>
      </c>
      <c r="BJ56" s="64">
        <f t="shared" si="98"/>
        <v>35.434342315307141</v>
      </c>
      <c r="BK56" s="61">
        <f t="shared" si="99"/>
        <v>90.305764558403808</v>
      </c>
      <c r="BL56" s="59" t="str">
        <f t="shared" si="105"/>
        <v>-7.31569496956615+502.736837499968i</v>
      </c>
      <c r="BM56" s="64">
        <f t="shared" si="101"/>
        <v>54.027733711722661</v>
      </c>
      <c r="BN56" s="61">
        <f t="shared" si="106"/>
        <v>90.833694355423731</v>
      </c>
      <c r="BO56" s="50">
        <f t="shared" si="103"/>
        <v>35.434342315307141</v>
      </c>
      <c r="BP56" s="61">
        <f t="shared" si="104"/>
        <v>90.305764558403808</v>
      </c>
    </row>
    <row r="57" spans="1:68" x14ac:dyDescent="0.25">
      <c r="A57" t="s">
        <v>165</v>
      </c>
      <c r="B57" s="3">
        <f>RFBB</f>
        <v>10000</v>
      </c>
      <c r="C57" s="2" t="s">
        <v>29</v>
      </c>
      <c r="E57" t="s">
        <v>168</v>
      </c>
      <c r="N57" s="11">
        <v>39</v>
      </c>
      <c r="O57" s="51">
        <f t="shared" si="63"/>
        <v>24.547089156850316</v>
      </c>
      <c r="P57" s="49" t="str">
        <f t="shared" si="52"/>
        <v>25.6231073841137</v>
      </c>
      <c r="Q57" s="18" t="str">
        <f t="shared" si="64"/>
        <v>1+0.133378381223886i</v>
      </c>
      <c r="R57" s="18">
        <f t="shared" si="65"/>
        <v>1.0088556847130834</v>
      </c>
      <c r="S57" s="18">
        <f t="shared" si="66"/>
        <v>0.13259579306327712</v>
      </c>
      <c r="T57" s="18" t="str">
        <f t="shared" si="53"/>
        <v>1+0.000138810518931914i</v>
      </c>
      <c r="U57" s="18">
        <f t="shared" si="67"/>
        <v>1.0000000096341801</v>
      </c>
      <c r="V57" s="18">
        <f t="shared" si="68"/>
        <v>1.3881051804036365E-4</v>
      </c>
      <c r="W57" s="32" t="str">
        <f t="shared" si="54"/>
        <v>1-0.00311038385014104i</v>
      </c>
      <c r="X57" s="18">
        <f t="shared" si="69"/>
        <v>1.0000048372321482</v>
      </c>
      <c r="Y57" s="18">
        <f t="shared" si="70"/>
        <v>-3.1103738197425014E-3</v>
      </c>
      <c r="Z57" s="32" t="str">
        <f t="shared" si="71"/>
        <v>0.99999998493601+0.000246260142845877i</v>
      </c>
      <c r="AA57" s="18">
        <f t="shared" si="72"/>
        <v>1.0000000152580388</v>
      </c>
      <c r="AB57" s="18">
        <f t="shared" si="73"/>
        <v>2.4626014157746589E-4</v>
      </c>
      <c r="AC57" s="32" t="str">
        <f>IMDIV(IMSUM(COMPLEX(0,2*PI()*O57*Constants!$B$71*Constants!$B$72),COMPLEX(1,0)),IMSUM(COMPLEX(0,2*PI()*O57*Constants!$B$71*Constants!$B$72),COMPLEX(2,0)))</f>
        <v>0.500000047576193+0.000154233895248625i</v>
      </c>
      <c r="AD57" s="18">
        <f t="shared" si="74"/>
        <v>0.50000007136428459</v>
      </c>
      <c r="AE57" s="18">
        <f t="shared" si="75"/>
        <v>3.0846775136199529E-4</v>
      </c>
      <c r="AF57" s="66" t="str">
        <f t="shared" si="76"/>
        <v>12.5827472572858-1.71553996000996i</v>
      </c>
      <c r="AG57" s="64">
        <f t="shared" si="77"/>
        <v>22.075498316573018</v>
      </c>
      <c r="AH57" s="61">
        <f t="shared" si="78"/>
        <v>-7.7638731259650671</v>
      </c>
      <c r="AI57" s="50" t="str">
        <f t="shared" si="55"/>
        <v>108.866083054159</v>
      </c>
      <c r="AJ57" s="50" t="str">
        <f t="shared" si="56"/>
        <v>1+0.126191380847195i</v>
      </c>
      <c r="AK57" s="50">
        <f t="shared" si="79"/>
        <v>1.0079306844223574</v>
      </c>
      <c r="AL57" s="50">
        <f t="shared" si="80"/>
        <v>0.12552787393889273</v>
      </c>
      <c r="AM57" s="50" t="str">
        <f t="shared" si="57"/>
        <v>1+0.000138810518931914i</v>
      </c>
      <c r="AN57" s="50">
        <f t="shared" si="81"/>
        <v>1.0000000096341801</v>
      </c>
      <c r="AO57" s="50">
        <f t="shared" si="82"/>
        <v>1.3881051804036365E-4</v>
      </c>
      <c r="AP57" s="50" t="str">
        <f t="shared" si="58"/>
        <v>1-0.000692623030639901i</v>
      </c>
      <c r="AQ57" s="50">
        <f t="shared" si="83"/>
        <v>1.0000002398633026</v>
      </c>
      <c r="AR57" s="50">
        <f t="shared" si="84"/>
        <v>-6.9262291988335454E-4</v>
      </c>
      <c r="AS57" s="59" t="str">
        <f t="shared" si="85"/>
        <v>107.152165824957-13.581971165115i</v>
      </c>
      <c r="AT57" s="50">
        <f t="shared" si="86"/>
        <v>40.669240784770288</v>
      </c>
      <c r="AU57" s="61">
        <f t="shared" si="87"/>
        <v>-7.2239485012164097</v>
      </c>
      <c r="AV57" s="32" t="str">
        <f t="shared" si="59"/>
        <v>-0.0000333333333333333</v>
      </c>
      <c r="AW57" s="32" t="str">
        <f t="shared" si="60"/>
        <v>7.40322767636876E-06i</v>
      </c>
      <c r="AX57" s="32">
        <f t="shared" si="88"/>
        <v>7.4032276763687597E-6</v>
      </c>
      <c r="AY57" s="32">
        <f t="shared" si="89"/>
        <v>1.5707963267948966</v>
      </c>
      <c r="AZ57" s="32" t="str">
        <f t="shared" si="61"/>
        <v>1+0.00302041406935184i</v>
      </c>
      <c r="BA57" s="32">
        <f t="shared" si="90"/>
        <v>1.0000045614401718</v>
      </c>
      <c r="BB57" s="32">
        <f t="shared" si="91"/>
        <v>3.0204048844224532E-3</v>
      </c>
      <c r="BC57" s="32" t="str">
        <f t="shared" si="62"/>
        <v>1+0.144979875328888i</v>
      </c>
      <c r="BD57" s="32">
        <f t="shared" si="92"/>
        <v>1.0104549293513194</v>
      </c>
      <c r="BE57" s="32">
        <f t="shared" si="93"/>
        <v>0.14397671138972687</v>
      </c>
      <c r="BF57" s="59" t="str">
        <f t="shared" si="94"/>
        <v>-0.639172409634029+4.50447118552449i</v>
      </c>
      <c r="BG57" s="50">
        <f t="shared" si="95"/>
        <v>13.159452108377351</v>
      </c>
      <c r="BH57" s="61">
        <f t="shared" si="96"/>
        <v>98.076201458506389</v>
      </c>
      <c r="BI57" s="59" t="str">
        <f t="shared" si="97"/>
        <v>-0.314944566774634+57.7751482652442i</v>
      </c>
      <c r="BJ57" s="64">
        <f t="shared" si="98"/>
        <v>35.23495042495037</v>
      </c>
      <c r="BK57" s="61">
        <f t="shared" si="99"/>
        <v>90.312328332541327</v>
      </c>
      <c r="BL57" s="59" t="str">
        <f t="shared" si="105"/>
        <v>-7.30911027195782+491.345064662247i</v>
      </c>
      <c r="BM57" s="64">
        <f t="shared" si="101"/>
        <v>53.828692893147625</v>
      </c>
      <c r="BN57" s="61">
        <f t="shared" si="106"/>
        <v>90.852252957289991</v>
      </c>
      <c r="BO57" s="50">
        <f t="shared" si="103"/>
        <v>35.23495042495037</v>
      </c>
      <c r="BP57" s="61">
        <f t="shared" si="104"/>
        <v>90.312328332541327</v>
      </c>
    </row>
    <row r="58" spans="1:68" x14ac:dyDescent="0.25">
      <c r="A58" t="s">
        <v>155</v>
      </c>
      <c r="B58" s="3">
        <f>RCOMP</f>
        <v>20000</v>
      </c>
      <c r="C58" s="2" t="s">
        <v>29</v>
      </c>
      <c r="E58" s="32" t="s">
        <v>161</v>
      </c>
      <c r="N58" s="11">
        <v>40</v>
      </c>
      <c r="O58" s="51">
        <f t="shared" si="63"/>
        <v>25.118864315095799</v>
      </c>
      <c r="P58" s="49" t="str">
        <f t="shared" si="52"/>
        <v>25.6231073841137</v>
      </c>
      <c r="Q58" s="18" t="str">
        <f t="shared" si="64"/>
        <v>1+0.136485162828154i</v>
      </c>
      <c r="R58" s="18">
        <f t="shared" si="65"/>
        <v>1.0092711229755005</v>
      </c>
      <c r="S58" s="18">
        <f t="shared" si="66"/>
        <v>0.13564701997256842</v>
      </c>
      <c r="T58" s="18" t="str">
        <f t="shared" si="53"/>
        <v>1+0.000142043831277883i</v>
      </c>
      <c r="U58" s="18">
        <f t="shared" si="67"/>
        <v>1.0000000100882249</v>
      </c>
      <c r="V58" s="18">
        <f t="shared" si="68"/>
        <v>1.4204383032256958E-4</v>
      </c>
      <c r="W58" s="32" t="str">
        <f t="shared" si="54"/>
        <v>1-0.00318283399715257i</v>
      </c>
      <c r="X58" s="18">
        <f t="shared" si="69"/>
        <v>1.0000050652032986</v>
      </c>
      <c r="Y58" s="18">
        <f t="shared" si="70"/>
        <v>-3.1828232493898369E-3</v>
      </c>
      <c r="Z58" s="32" t="str">
        <f t="shared" si="71"/>
        <v>0.999999984226066+0.000251996278452245i</v>
      </c>
      <c r="AA58" s="18">
        <f t="shared" si="72"/>
        <v>1.0000000159771281</v>
      </c>
      <c r="AB58" s="18">
        <f t="shared" si="73"/>
        <v>2.5199627709311803E-4</v>
      </c>
      <c r="AC58" s="32" t="str">
        <f>IMDIV(IMSUM(COMPLEX(0,2*PI()*O58*Constants!$B$71*Constants!$B$72),COMPLEX(1,0)),IMSUM(COMPLEX(0,2*PI()*O58*Constants!$B$71*Constants!$B$72),COMPLEX(2,0)))</f>
        <v>0.50000004981839+0.000157826463472325i</v>
      </c>
      <c r="AD58" s="18">
        <f t="shared" si="74"/>
        <v>0.50000007472757935</v>
      </c>
      <c r="AE58" s="18">
        <f t="shared" si="75"/>
        <v>3.1565288501046956E-4</v>
      </c>
      <c r="AF58" s="66" t="str">
        <f t="shared" si="76"/>
        <v>12.572161142457-1.75405517170021i</v>
      </c>
      <c r="AG58" s="64">
        <f t="shared" si="77"/>
        <v>22.071924312963461</v>
      </c>
      <c r="AH58" s="61">
        <f t="shared" si="78"/>
        <v>-7.9425783201259126</v>
      </c>
      <c r="AI58" s="50" t="str">
        <f t="shared" si="55"/>
        <v>108.866083054159</v>
      </c>
      <c r="AJ58" s="50" t="str">
        <f t="shared" si="56"/>
        <v>1+0.129130755707167i</v>
      </c>
      <c r="AK58" s="50">
        <f t="shared" si="79"/>
        <v>1.0083029069032301</v>
      </c>
      <c r="AL58" s="50">
        <f t="shared" si="80"/>
        <v>0.12842011105425558</v>
      </c>
      <c r="AM58" s="50" t="str">
        <f t="shared" si="57"/>
        <v>1+0.000142043831277883i</v>
      </c>
      <c r="AN58" s="50">
        <f t="shared" si="81"/>
        <v>1.0000000100882249</v>
      </c>
      <c r="AO58" s="50">
        <f t="shared" si="82"/>
        <v>1.4204383032256958E-4</v>
      </c>
      <c r="AP58" s="50" t="str">
        <f t="shared" si="58"/>
        <v>1-0.000708756293546072i</v>
      </c>
      <c r="AQ58" s="50">
        <f t="shared" si="83"/>
        <v>1.0000002511677102</v>
      </c>
      <c r="AR58" s="50">
        <f t="shared" si="84"/>
        <v>-7.087561748682959E-4</v>
      </c>
      <c r="AS58" s="59" t="str">
        <f t="shared" si="85"/>
        <v>107.072716197309-13.8880765241626i</v>
      </c>
      <c r="AT58" s="50">
        <f t="shared" si="86"/>
        <v>40.666033834465843</v>
      </c>
      <c r="AU58" s="61">
        <f t="shared" si="87"/>
        <v>-7.3904005935505817</v>
      </c>
      <c r="AV58" s="32" t="str">
        <f t="shared" si="59"/>
        <v>-0.0000333333333333333</v>
      </c>
      <c r="AW58" s="32" t="str">
        <f t="shared" si="60"/>
        <v>7.57567100148708E-06i</v>
      </c>
      <c r="AX58" s="32">
        <f t="shared" si="88"/>
        <v>7.5756710014870798E-6</v>
      </c>
      <c r="AY58" s="32">
        <f t="shared" si="89"/>
        <v>1.5707963267948966</v>
      </c>
      <c r="AZ58" s="32" t="str">
        <f t="shared" si="61"/>
        <v>1+0.00309076855095394i</v>
      </c>
      <c r="BA58" s="32">
        <f t="shared" si="90"/>
        <v>1.0000047764137108</v>
      </c>
      <c r="BB58" s="32">
        <f t="shared" si="91"/>
        <v>3.0907587091273236E-3</v>
      </c>
      <c r="BC58" s="32" t="str">
        <f t="shared" si="62"/>
        <v>1+0.14835689044579i</v>
      </c>
      <c r="BD58" s="32">
        <f t="shared" si="92"/>
        <v>1.0109449871000618</v>
      </c>
      <c r="BE58" s="32">
        <f t="shared" si="93"/>
        <v>0.14728260844632121</v>
      </c>
      <c r="BF58" s="59" t="str">
        <f t="shared" si="94"/>
        <v>-0.639172134825066+4.4020258160439i</v>
      </c>
      <c r="BG58" s="50">
        <f t="shared" si="95"/>
        <v>12.963661765619037</v>
      </c>
      <c r="BH58" s="61">
        <f t="shared" si="96"/>
        <v>98.261584430125708</v>
      </c>
      <c r="BI58" s="59" t="str">
        <f t="shared" si="97"/>
        <v>-0.314378928199342+56.4641211012563i</v>
      </c>
      <c r="BJ58" s="64">
        <f t="shared" si="98"/>
        <v>35.035586078582504</v>
      </c>
      <c r="BK58" s="61">
        <f t="shared" si="99"/>
        <v>90.319006109999791</v>
      </c>
      <c r="BL58" s="59" t="str">
        <f t="shared" si="105"/>
        <v>-7.30222519879542+480.213732415059i</v>
      </c>
      <c r="BM58" s="64">
        <f t="shared" si="101"/>
        <v>53.629695600084879</v>
      </c>
      <c r="BN58" s="61">
        <f t="shared" si="106"/>
        <v>90.871183836575128</v>
      </c>
      <c r="BO58" s="50">
        <f t="shared" si="103"/>
        <v>35.035586078582504</v>
      </c>
      <c r="BP58" s="61">
        <f t="shared" si="104"/>
        <v>90.319006109999791</v>
      </c>
    </row>
    <row r="59" spans="1:68" x14ac:dyDescent="0.25">
      <c r="A59" t="s">
        <v>159</v>
      </c>
      <c r="B59" s="3">
        <f>CCOMP</f>
        <v>4.7000000000000004E-8</v>
      </c>
      <c r="C59" s="2" t="s">
        <v>142</v>
      </c>
      <c r="E59" s="32" t="s">
        <v>162</v>
      </c>
      <c r="N59" s="11">
        <v>41</v>
      </c>
      <c r="O59" s="51">
        <f t="shared" si="63"/>
        <v>25.703957827688647</v>
      </c>
      <c r="P59" s="49" t="str">
        <f t="shared" si="52"/>
        <v>25.6231073841137</v>
      </c>
      <c r="Q59" s="18" t="str">
        <f t="shared" si="64"/>
        <v>1+0.139664310672348i</v>
      </c>
      <c r="R59" s="18">
        <f t="shared" si="65"/>
        <v>1.009705957036791</v>
      </c>
      <c r="S59" s="18">
        <f t="shared" si="66"/>
        <v>0.13876669002150846</v>
      </c>
      <c r="T59" s="18" t="str">
        <f t="shared" si="53"/>
        <v>1+0.000145352457143367i</v>
      </c>
      <c r="U59" s="18">
        <f t="shared" si="67"/>
        <v>1.0000000105636684</v>
      </c>
      <c r="V59" s="18">
        <f t="shared" si="68"/>
        <v>1.4535245611973024E-4</v>
      </c>
      <c r="W59" s="32" t="str">
        <f t="shared" si="54"/>
        <v>1-0.00325697172487916i</v>
      </c>
      <c r="X59" s="18">
        <f t="shared" si="69"/>
        <v>1.0000053039183425</v>
      </c>
      <c r="Y59" s="18">
        <f t="shared" si="70"/>
        <v>-3.2569602084472024E-3</v>
      </c>
      <c r="Z59" s="32" t="str">
        <f t="shared" si="71"/>
        <v>0.999999983482664+0.000257866025821011i</v>
      </c>
      <c r="AA59" s="18">
        <f t="shared" si="72"/>
        <v>1.0000000167301075</v>
      </c>
      <c r="AB59" s="18">
        <f t="shared" si="73"/>
        <v>2.5786602436468007E-4</v>
      </c>
      <c r="AC59" s="32" t="str">
        <f>IMDIV(IMSUM(COMPLEX(0,2*PI()*O59*Constants!$B$71*Constants!$B$72),COMPLEX(1,0)),IMSUM(COMPLEX(0,2*PI()*O59*Constants!$B$71*Constants!$B$72),COMPLEX(2,0)))</f>
        <v>0.500000052166258+0.000161502713309311i</v>
      </c>
      <c r="AD59" s="18">
        <f t="shared" si="74"/>
        <v>0.50000007824938097</v>
      </c>
      <c r="AE59" s="18">
        <f t="shared" si="75"/>
        <v>3.2300538168533911E-4</v>
      </c>
      <c r="AF59" s="66" t="str">
        <f t="shared" si="76"/>
        <v>12.5610947809151-1.79336678978672i</v>
      </c>
      <c r="AG59" s="64">
        <f t="shared" si="77"/>
        <v>22.068185025063269</v>
      </c>
      <c r="AH59" s="61">
        <f t="shared" si="78"/>
        <v>-8.1252954566864766</v>
      </c>
      <c r="AI59" s="50" t="str">
        <f t="shared" si="55"/>
        <v>108.866083054159</v>
      </c>
      <c r="AJ59" s="50" t="str">
        <f t="shared" si="56"/>
        <v>1+0.132138597403061i</v>
      </c>
      <c r="AK59" s="50">
        <f t="shared" si="79"/>
        <v>1.0086925244709848</v>
      </c>
      <c r="AL59" s="50">
        <f t="shared" si="80"/>
        <v>0.13137748189839535</v>
      </c>
      <c r="AM59" s="50" t="str">
        <f t="shared" si="57"/>
        <v>1+0.000145352457143367i</v>
      </c>
      <c r="AN59" s="50">
        <f t="shared" si="81"/>
        <v>1.0000000105636684</v>
      </c>
      <c r="AO59" s="50">
        <f t="shared" si="82"/>
        <v>1.4535245611973024E-4</v>
      </c>
      <c r="AP59" s="50" t="str">
        <f t="shared" si="58"/>
        <v>1-0.000725265348420574i</v>
      </c>
      <c r="AQ59" s="50">
        <f t="shared" si="83"/>
        <v>1.0000002630048783</v>
      </c>
      <c r="AR59" s="50">
        <f t="shared" si="84"/>
        <v>-7.252652212550476E-4</v>
      </c>
      <c r="AS59" s="59" t="str">
        <f t="shared" si="85"/>
        <v>106.989647845233-14.2005948479025i</v>
      </c>
      <c r="AT59" s="50">
        <f t="shared" si="86"/>
        <v>40.662678281618049</v>
      </c>
      <c r="AU59" s="61">
        <f t="shared" si="87"/>
        <v>-7.5606017897624511</v>
      </c>
      <c r="AV59" s="32" t="str">
        <f t="shared" si="59"/>
        <v>-0.0000333333333333333</v>
      </c>
      <c r="AW59" s="32" t="str">
        <f t="shared" si="60"/>
        <v>7.75213104764626E-06i</v>
      </c>
      <c r="AX59" s="32">
        <f t="shared" si="88"/>
        <v>7.7521310476462602E-6</v>
      </c>
      <c r="AY59" s="32">
        <f t="shared" si="89"/>
        <v>1.5707963267948966</v>
      </c>
      <c r="AZ59" s="32" t="str">
        <f t="shared" si="61"/>
        <v>1+0.0031627617989529i</v>
      </c>
      <c r="BA59" s="32">
        <f t="shared" si="90"/>
        <v>1.0000050015185908</v>
      </c>
      <c r="BB59" s="32">
        <f t="shared" si="91"/>
        <v>3.1627512532485303E-3</v>
      </c>
      <c r="BC59" s="32" t="str">
        <f t="shared" si="62"/>
        <v>1+0.15181256634974i</v>
      </c>
      <c r="BD59" s="32">
        <f t="shared" si="92"/>
        <v>1.0114578860742023</v>
      </c>
      <c r="BE59" s="32">
        <f t="shared" si="93"/>
        <v>0.15066215554639753</v>
      </c>
      <c r="BF59" s="59" t="str">
        <f t="shared" si="94"/>
        <v>-0.639171847065003+4.30191445883856i</v>
      </c>
      <c r="BG59" s="50">
        <f t="shared" si="95"/>
        <v>12.768065444936816</v>
      </c>
      <c r="BH59" s="61">
        <f t="shared" si="96"/>
        <v>98.451093346691252</v>
      </c>
      <c r="BI59" s="59" t="str">
        <f t="shared" si="97"/>
        <v>-0.313787629291689+55.1830248203533i</v>
      </c>
      <c r="BJ59" s="64">
        <f t="shared" si="98"/>
        <v>34.836250470000095</v>
      </c>
      <c r="BK59" s="61">
        <f t="shared" si="99"/>
        <v>90.325797890004765</v>
      </c>
      <c r="BL59" s="59" t="str">
        <f t="shared" si="105"/>
        <v>-7.29502652977165+469.336933449809i</v>
      </c>
      <c r="BM59" s="64">
        <f t="shared" si="101"/>
        <v>53.430743726554859</v>
      </c>
      <c r="BN59" s="61">
        <f t="shared" si="106"/>
        <v>90.890491556928794</v>
      </c>
      <c r="BO59" s="50">
        <f t="shared" si="103"/>
        <v>34.836250470000095</v>
      </c>
      <c r="BP59" s="61">
        <f t="shared" si="104"/>
        <v>90.325797890004765</v>
      </c>
    </row>
    <row r="60" spans="1:68" x14ac:dyDescent="0.25">
      <c r="A60" t="s">
        <v>160</v>
      </c>
      <c r="B60" s="3">
        <f>CHF</f>
        <v>1.0000000000000001E-9</v>
      </c>
      <c r="C60" s="2" t="s">
        <v>142</v>
      </c>
      <c r="E60" s="32" t="s">
        <v>163</v>
      </c>
      <c r="N60" s="11">
        <v>42</v>
      </c>
      <c r="O60" s="51">
        <f t="shared" si="63"/>
        <v>26.302679918953825</v>
      </c>
      <c r="P60" s="49" t="str">
        <f t="shared" si="52"/>
        <v>25.6231073841137</v>
      </c>
      <c r="Q60" s="18" t="str">
        <f t="shared" si="64"/>
        <v>1+0.142917510382735i</v>
      </c>
      <c r="R60" s="18">
        <f t="shared" si="65"/>
        <v>1.0101610835772674</v>
      </c>
      <c r="S60" s="18">
        <f t="shared" si="66"/>
        <v>0.14195621427918997</v>
      </c>
      <c r="T60" s="18" t="str">
        <f t="shared" si="53"/>
        <v>1+0.000148738150805596i</v>
      </c>
      <c r="U60" s="18">
        <f t="shared" si="67"/>
        <v>1.0000000110615186</v>
      </c>
      <c r="V60" s="18">
        <f t="shared" si="68"/>
        <v>1.4873814970874945E-4</v>
      </c>
      <c r="W60" s="32" t="str">
        <f t="shared" si="54"/>
        <v>1-0.0033328363421254i</v>
      </c>
      <c r="X60" s="18">
        <f t="shared" si="69"/>
        <v>1.0000055538836188</v>
      </c>
      <c r="Y60" s="18">
        <f t="shared" si="70"/>
        <v>-3.3328240020499317E-3</v>
      </c>
      <c r="Z60" s="32" t="str">
        <f t="shared" si="71"/>
        <v>0.999999982704226+0.000263872497169928i</v>
      </c>
      <c r="AA60" s="18">
        <f t="shared" si="72"/>
        <v>1.0000000175185735</v>
      </c>
      <c r="AB60" s="18">
        <f t="shared" si="73"/>
        <v>2.6387249560944125E-4</v>
      </c>
      <c r="AC60" s="32" t="str">
        <f>IMDIV(IMSUM(COMPLEX(0,2*PI()*O60*Constants!$B$71*Constants!$B$72),COMPLEX(1,0)),IMSUM(COMPLEX(0,2*PI()*O60*Constants!$B$71*Constants!$B$72),COMPLEX(2,0)))</f>
        <v>0.500000054624778+0.000165264593951133i</v>
      </c>
      <c r="AD60" s="18">
        <f t="shared" si="74"/>
        <v>0.50000008193716028</v>
      </c>
      <c r="AE60" s="18">
        <f t="shared" si="75"/>
        <v>3.305291397553866E-4</v>
      </c>
      <c r="AF60" s="66" t="str">
        <f t="shared" si="76"/>
        <v>12.5495272869083-1.83348647142062i</v>
      </c>
      <c r="AG60" s="64">
        <f t="shared" si="77"/>
        <v>22.064272961533504</v>
      </c>
      <c r="AH60" s="61">
        <f t="shared" si="78"/>
        <v>-8.3121074904127497</v>
      </c>
      <c r="AI60" s="50" t="str">
        <f t="shared" si="55"/>
        <v>108.866083054159</v>
      </c>
      <c r="AJ60" s="50" t="str">
        <f t="shared" si="56"/>
        <v>1+0.13521650073236i</v>
      </c>
      <c r="AK60" s="50">
        <f t="shared" si="79"/>
        <v>1.0091003429145708</v>
      </c>
      <c r="AL60" s="50">
        <f t="shared" si="80"/>
        <v>0.13440134747633656</v>
      </c>
      <c r="AM60" s="50" t="str">
        <f t="shared" si="57"/>
        <v>1+0.000148738150805596i</v>
      </c>
      <c r="AN60" s="50">
        <f t="shared" si="81"/>
        <v>1.0000000110615186</v>
      </c>
      <c r="AO60" s="50">
        <f t="shared" si="82"/>
        <v>1.4873814970874945E-4</v>
      </c>
      <c r="AP60" s="50" t="str">
        <f t="shared" si="58"/>
        <v>1-0.000742158948582832i</v>
      </c>
      <c r="AQ60" s="50">
        <f t="shared" si="83"/>
        <v>1.0000002753999147</v>
      </c>
      <c r="AR60" s="50">
        <f t="shared" si="84"/>
        <v>-7.4215881232251755E-4</v>
      </c>
      <c r="AS60" s="59" t="str">
        <f t="shared" si="85"/>
        <v>106.902802024075-14.5196262060365i</v>
      </c>
      <c r="AT60" s="50">
        <f t="shared" si="86"/>
        <v>40.659167363211644</v>
      </c>
      <c r="AU60" s="61">
        <f t="shared" si="87"/>
        <v>-7.7346304707089386</v>
      </c>
      <c r="AV60" s="32" t="str">
        <f t="shared" si="59"/>
        <v>-0.0000333333333333333</v>
      </c>
      <c r="AW60" s="32" t="str">
        <f t="shared" si="60"/>
        <v>7.93270137629848E-06i</v>
      </c>
      <c r="AX60" s="32">
        <f t="shared" si="88"/>
        <v>7.9327013762984802E-6</v>
      </c>
      <c r="AY60" s="32">
        <f t="shared" si="89"/>
        <v>1.5707963267948966</v>
      </c>
      <c r="AZ60" s="32" t="str">
        <f t="shared" si="61"/>
        <v>1+0.00323643198512177i</v>
      </c>
      <c r="BA60" s="32">
        <f t="shared" si="90"/>
        <v>1.000005237232283</v>
      </c>
      <c r="BB60" s="32">
        <f t="shared" si="91"/>
        <v>3.2364206851991468E-3</v>
      </c>
      <c r="BC60" s="32" t="str">
        <f t="shared" si="62"/>
        <v>1+0.155348735285845i</v>
      </c>
      <c r="BD60" s="32">
        <f t="shared" si="92"/>
        <v>1.0119946786198588</v>
      </c>
      <c r="BE60" s="32">
        <f t="shared" si="93"/>
        <v>0.15411683561919728</v>
      </c>
      <c r="BF60" s="59" t="str">
        <f t="shared" si="94"/>
        <v>-0.639171545743499+4.20408403353606i</v>
      </c>
      <c r="BG60" s="50">
        <f t="shared" si="95"/>
        <v>12.572671878139223</v>
      </c>
      <c r="BH60" s="61">
        <f t="shared" si="96"/>
        <v>98.644810986900737</v>
      </c>
      <c r="BI60" s="59" t="str">
        <f t="shared" si="97"/>
        <v>-0.313169554119598+53.931179677354i</v>
      </c>
      <c r="BJ60" s="64">
        <f t="shared" si="98"/>
        <v>34.636944839672729</v>
      </c>
      <c r="BK60" s="61">
        <f t="shared" si="99"/>
        <v>90.332703496487994</v>
      </c>
      <c r="BL60" s="59" t="str">
        <f t="shared" si="105"/>
        <v>-7.28750050832946+458.70889505541i</v>
      </c>
      <c r="BM60" s="64">
        <f t="shared" si="101"/>
        <v>53.231839241350862</v>
      </c>
      <c r="BN60" s="61">
        <f t="shared" si="106"/>
        <v>90.910180516191787</v>
      </c>
      <c r="BO60" s="50">
        <f t="shared" si="103"/>
        <v>34.636944839672729</v>
      </c>
      <c r="BP60" s="61">
        <f t="shared" si="104"/>
        <v>90.332703496487994</v>
      </c>
    </row>
    <row r="61" spans="1:68" x14ac:dyDescent="0.25">
      <c r="N61" s="11">
        <v>43</v>
      </c>
      <c r="O61" s="51">
        <f t="shared" si="63"/>
        <v>26.915348039269158</v>
      </c>
      <c r="P61" s="49" t="str">
        <f t="shared" si="52"/>
        <v>25.6231073841137</v>
      </c>
      <c r="Q61" s="18" t="str">
        <f t="shared" si="64"/>
        <v>1+0.146246486848865i</v>
      </c>
      <c r="R61" s="18">
        <f t="shared" si="65"/>
        <v>1.0106374398940676</v>
      </c>
      <c r="S61" s="18">
        <f t="shared" si="66"/>
        <v>0.14521702415978152</v>
      </c>
      <c r="T61" s="18" t="str">
        <f t="shared" si="53"/>
        <v>1+0.000152202707404165i</v>
      </c>
      <c r="U61" s="18">
        <f t="shared" si="67"/>
        <v>1.000000011582832</v>
      </c>
      <c r="V61" s="18">
        <f t="shared" si="68"/>
        <v>1.5220270622887274E-4</v>
      </c>
      <c r="W61" s="32" t="str">
        <f t="shared" si="54"/>
        <v>1-0.00341046807331555i</v>
      </c>
      <c r="X61" s="18">
        <f t="shared" si="69"/>
        <v>1.0000058156293288</v>
      </c>
      <c r="Y61" s="18">
        <f t="shared" si="70"/>
        <v>-3.4104548506906107E-3</v>
      </c>
      <c r="Z61" s="32" t="str">
        <f t="shared" si="71"/>
        <v>0.999999981889101+0.000270018877209611i</v>
      </c>
      <c r="AA61" s="18">
        <f t="shared" si="72"/>
        <v>1.0000000183441982</v>
      </c>
      <c r="AB61" s="18">
        <f t="shared" si="73"/>
        <v>2.700188755375194E-4</v>
      </c>
      <c r="AC61" s="32" t="str">
        <f>IMDIV(IMSUM(COMPLEX(0,2*PI()*O61*Constants!$B$71*Constants!$B$72),COMPLEX(1,0)),IMSUM(COMPLEX(0,2*PI()*O61*Constants!$B$71*Constants!$B$72),COMPLEX(2,0)))</f>
        <v>0.500000057199164+0.000169114099991588i</v>
      </c>
      <c r="AD61" s="18">
        <f t="shared" si="74"/>
        <v>0.50000008579873867</v>
      </c>
      <c r="AE61" s="18">
        <f t="shared" si="75"/>
        <v>3.382281483928665E-4</v>
      </c>
      <c r="AF61" s="66" t="str">
        <f t="shared" si="76"/>
        <v>12.5374369513564-1.87442568885524i</v>
      </c>
      <c r="AG61" s="64">
        <f t="shared" si="77"/>
        <v>22.060180305891318</v>
      </c>
      <c r="AH61" s="61">
        <f t="shared" si="78"/>
        <v>-8.5030985908136429</v>
      </c>
      <c r="AI61" s="50" t="str">
        <f t="shared" si="55"/>
        <v>108.866083054159</v>
      </c>
      <c r="AJ61" s="50" t="str">
        <f t="shared" si="56"/>
        <v>1+0.13836609764015i</v>
      </c>
      <c r="AK61" s="50">
        <f t="shared" si="79"/>
        <v>1.009527204673635</v>
      </c>
      <c r="AL61" s="50">
        <f t="shared" si="80"/>
        <v>0.13749308976859592</v>
      </c>
      <c r="AM61" s="50" t="str">
        <f t="shared" si="57"/>
        <v>1+0.000152202707404165i</v>
      </c>
      <c r="AN61" s="50">
        <f t="shared" si="81"/>
        <v>1.000000011582832</v>
      </c>
      <c r="AO61" s="50">
        <f t="shared" si="82"/>
        <v>1.5220270622887274E-4</v>
      </c>
      <c r="AP61" s="50" t="str">
        <f t="shared" si="58"/>
        <v>1-0.000759446051243266i</v>
      </c>
      <c r="AQ61" s="50">
        <f t="shared" si="83"/>
        <v>1.0000002883791108</v>
      </c>
      <c r="AR61" s="50">
        <f t="shared" si="84"/>
        <v>-7.5944590523771083E-4</v>
      </c>
      <c r="AS61" s="59" t="str">
        <f t="shared" si="85"/>
        <v>106.812013600155-14.8452697072446i</v>
      </c>
      <c r="AT61" s="50">
        <f t="shared" si="86"/>
        <v>40.655494020069639</v>
      </c>
      <c r="AU61" s="61">
        <f t="shared" si="87"/>
        <v>-7.9125662283951632</v>
      </c>
      <c r="AV61" s="32" t="str">
        <f t="shared" si="59"/>
        <v>-0.0000333333333333333</v>
      </c>
      <c r="AW61" s="32" t="str">
        <f t="shared" si="60"/>
        <v>8.11747772822212E-06i</v>
      </c>
      <c r="AX61" s="32">
        <f t="shared" si="88"/>
        <v>8.1174777282221195E-6</v>
      </c>
      <c r="AY61" s="32">
        <f t="shared" si="89"/>
        <v>1.5707963267948966</v>
      </c>
      <c r="AZ61" s="32" t="str">
        <f t="shared" si="61"/>
        <v>1+0.00331181817036841i</v>
      </c>
      <c r="BA61" s="32">
        <f t="shared" si="90"/>
        <v>1.0000054840547594</v>
      </c>
      <c r="BB61" s="32">
        <f t="shared" si="91"/>
        <v>3.3118060622867583E-3</v>
      </c>
      <c r="BC61" s="32" t="str">
        <f t="shared" si="62"/>
        <v>1+0.158967272177684i</v>
      </c>
      <c r="BD61" s="32">
        <f t="shared" si="92"/>
        <v>1.0125564644125353</v>
      </c>
      <c r="BE61" s="32">
        <f t="shared" si="93"/>
        <v>0.15764815036430371</v>
      </c>
      <c r="BF61" s="59" t="str">
        <f t="shared" si="94"/>
        <v>-0.639171230221466+4.10848266914386i</v>
      </c>
      <c r="BG61" s="50">
        <f t="shared" si="95"/>
        <v>12.377490170192811</v>
      </c>
      <c r="BH61" s="61">
        <f t="shared" si="96"/>
        <v>98.842821153983522</v>
      </c>
      <c r="BI61" s="59" t="str">
        <f t="shared" si="97"/>
        <v>-0.312523542762743+52.7079214036359i</v>
      </c>
      <c r="BJ61" s="64">
        <f t="shared" si="98"/>
        <v>34.437670476084122</v>
      </c>
      <c r="BK61" s="61">
        <f t="shared" si="99"/>
        <v>90.339722563169872</v>
      </c>
      <c r="BL61" s="59" t="str">
        <f t="shared" si="105"/>
        <v>-7.27963282426225+448.323976034344i</v>
      </c>
      <c r="BM61" s="64">
        <f t="shared" si="101"/>
        <v>53.032984190262447</v>
      </c>
      <c r="BN61" s="61">
        <f t="shared" si="106"/>
        <v>90.930254925588343</v>
      </c>
      <c r="BO61" s="50">
        <f t="shared" si="103"/>
        <v>34.437670476084122</v>
      </c>
      <c r="BP61" s="61">
        <f t="shared" si="104"/>
        <v>90.339722563169872</v>
      </c>
    </row>
    <row r="62" spans="1:68" x14ac:dyDescent="0.25">
      <c r="A62" t="s">
        <v>202</v>
      </c>
      <c r="B62" s="1">
        <f>(-gm_ea)/Kfb</f>
        <v>-3.3333333333333335E-5</v>
      </c>
      <c r="C62" t="s">
        <v>132</v>
      </c>
      <c r="N62" s="11">
        <v>44</v>
      </c>
      <c r="O62" s="51">
        <f t="shared" si="63"/>
        <v>27.542287033381665</v>
      </c>
      <c r="P62" s="49" t="str">
        <f t="shared" si="52"/>
        <v>25.6231073841137</v>
      </c>
      <c r="Q62" s="18" t="str">
        <f t="shared" si="64"/>
        <v>1+0.149653005138124i</v>
      </c>
      <c r="R62" s="18">
        <f t="shared" si="65"/>
        <v>1.0111360056623793</v>
      </c>
      <c r="S62" s="18">
        <f t="shared" si="66"/>
        <v>0.14855057106882097</v>
      </c>
      <c r="T62" s="18" t="str">
        <f t="shared" si="53"/>
        <v>1+0.00015574796389284i</v>
      </c>
      <c r="U62" s="18">
        <f t="shared" si="67"/>
        <v>1.000000012128714</v>
      </c>
      <c r="V62" s="18">
        <f t="shared" si="68"/>
        <v>1.5574796263349166E-4</v>
      </c>
      <c r="W62" s="32" t="str">
        <f t="shared" si="54"/>
        <v>1-0.00348990807982105i</v>
      </c>
      <c r="X62" s="18">
        <f t="shared" si="69"/>
        <v>1.0000060897106604</v>
      </c>
      <c r="Y62" s="18">
        <f t="shared" si="70"/>
        <v>-3.4898939115278211E-3</v>
      </c>
      <c r="Z62" s="32" t="str">
        <f t="shared" si="71"/>
        <v>0.999999981035561+0.000276308424832113i</v>
      </c>
      <c r="AA62" s="18">
        <f t="shared" si="72"/>
        <v>1.0000000192087337</v>
      </c>
      <c r="AB62" s="18">
        <f t="shared" si="73"/>
        <v>2.7630842304043451E-4</v>
      </c>
      <c r="AC62" s="32" t="str">
        <f>IMDIV(IMSUM(COMPLEX(0,2*PI()*O62*Constants!$B$71*Constants!$B$72),COMPLEX(1,0)),IMSUM(COMPLEX(0,2*PI()*O62*Constants!$B$71*Constants!$B$72),COMPLEX(2,0)))</f>
        <v>0.500000059894877+0.000173053272484255i</v>
      </c>
      <c r="AD62" s="18">
        <f t="shared" si="74"/>
        <v>0.50000008984230748</v>
      </c>
      <c r="AE62" s="18">
        <f t="shared" si="75"/>
        <v>3.4610648968849868E-4</v>
      </c>
      <c r="AF62" s="66" t="str">
        <f t="shared" si="76"/>
        <v>12.524801217494-1.91619569674226i</v>
      </c>
      <c r="AG62" s="64">
        <f t="shared" si="77"/>
        <v>22.055898903754802</v>
      </c>
      <c r="AH62" s="61">
        <f t="shared" si="78"/>
        <v>-8.6983541230168537</v>
      </c>
      <c r="AI62" s="50" t="str">
        <f t="shared" si="55"/>
        <v>108.866083054159</v>
      </c>
      <c r="AJ62" s="50" t="str">
        <f t="shared" si="56"/>
        <v>1+0.141589058084401i</v>
      </c>
      <c r="AK62" s="50">
        <f t="shared" si="79"/>
        <v>1.009973990441946</v>
      </c>
      <c r="AL62" s="50">
        <f t="shared" si="80"/>
        <v>0.14065411150483059</v>
      </c>
      <c r="AM62" s="50" t="str">
        <f t="shared" si="57"/>
        <v>1+0.00015574796389284i</v>
      </c>
      <c r="AN62" s="50">
        <f t="shared" si="81"/>
        <v>1.000000012128714</v>
      </c>
      <c r="AO62" s="50">
        <f t="shared" si="82"/>
        <v>1.5574796263349166E-4</v>
      </c>
      <c r="AP62" s="50" t="str">
        <f t="shared" si="58"/>
        <v>1-0.000777135822252526i</v>
      </c>
      <c r="AQ62" s="50">
        <f t="shared" si="83"/>
        <v>1.0000003019699975</v>
      </c>
      <c r="AR62" s="50">
        <f t="shared" si="84"/>
        <v>-7.7713566580475755E-4</v>
      </c>
      <c r="AS62" s="59" t="str">
        <f t="shared" si="85"/>
        <v>106.717110848441-15.1776232687163i</v>
      </c>
      <c r="AT62" s="50">
        <f t="shared" si="86"/>
        <v>40.651650884982182</v>
      </c>
      <c r="AU62" s="61">
        <f t="shared" si="87"/>
        <v>-8.0944898532222549</v>
      </c>
      <c r="AV62" s="32" t="str">
        <f t="shared" si="59"/>
        <v>-0.0000333333333333333</v>
      </c>
      <c r="AW62" s="32" t="str">
        <f t="shared" si="60"/>
        <v>8.30655807428479E-06i</v>
      </c>
      <c r="AX62" s="32">
        <f t="shared" si="88"/>
        <v>8.3065580742847907E-6</v>
      </c>
      <c r="AY62" s="32">
        <f t="shared" si="89"/>
        <v>1.5707963267948966</v>
      </c>
      <c r="AZ62" s="32" t="str">
        <f t="shared" si="61"/>
        <v>1+0.00338896032544606i</v>
      </c>
      <c r="BA62" s="32">
        <f t="shared" si="90"/>
        <v>1.0000057425095554</v>
      </c>
      <c r="BB62" s="32">
        <f t="shared" si="91"/>
        <v>3.3889473514068444E-3</v>
      </c>
      <c r="BC62" s="32" t="str">
        <f t="shared" si="62"/>
        <v>1+0.162670095621411i</v>
      </c>
      <c r="BD62" s="32">
        <f t="shared" si="92"/>
        <v>1.0131443924779326</v>
      </c>
      <c r="BE62" s="32">
        <f t="shared" si="93"/>
        <v>0.16125761966197563</v>
      </c>
      <c r="BF62" s="59" t="str">
        <f t="shared" si="94"/>
        <v>-0.639170899829666+4.0150596765465i</v>
      </c>
      <c r="BG62" s="50">
        <f t="shared" si="95"/>
        <v>12.182529813308978</v>
      </c>
      <c r="BH62" s="61">
        <f t="shared" si="96"/>
        <v>99.045208640729413</v>
      </c>
      <c r="BI62" s="59" t="str">
        <f t="shared" si="97"/>
        <v>-0.311848390011563+51.5126008528571i</v>
      </c>
      <c r="BJ62" s="64">
        <f t="shared" si="98"/>
        <v>34.238428717063769</v>
      </c>
      <c r="BK62" s="61">
        <f t="shared" si="99"/>
        <v>90.346854517712558</v>
      </c>
      <c r="BL62" s="59" t="str">
        <f t="shared" si="105"/>
        <v>-7.27140859618356+438.17666368706i</v>
      </c>
      <c r="BM62" s="64">
        <f t="shared" si="101"/>
        <v>52.834180698291171</v>
      </c>
      <c r="BN62" s="61">
        <f t="shared" si="106"/>
        <v>90.950718787507157</v>
      </c>
      <c r="BO62" s="50">
        <f t="shared" si="103"/>
        <v>34.238428717063769</v>
      </c>
      <c r="BP62" s="61">
        <f t="shared" si="104"/>
        <v>90.346854517712558</v>
      </c>
    </row>
    <row r="63" spans="1:68" x14ac:dyDescent="0.25">
      <c r="A63" t="s">
        <v>201</v>
      </c>
      <c r="B63" s="1">
        <f>1/(RCOMP*CCOMP)</f>
        <v>1063.8297872340424</v>
      </c>
      <c r="E63" t="s">
        <v>215</v>
      </c>
      <c r="N63" s="11">
        <v>45</v>
      </c>
      <c r="O63" s="51">
        <f t="shared" si="63"/>
        <v>28.183829312644548</v>
      </c>
      <c r="P63" s="49" t="str">
        <f t="shared" si="52"/>
        <v>25.6231073841137</v>
      </c>
      <c r="Q63" s="18" t="str">
        <f t="shared" si="64"/>
        <v>1+0.153138871431597i</v>
      </c>
      <c r="R63" s="18">
        <f t="shared" si="65"/>
        <v>1.0116578047656941</v>
      </c>
      <c r="S63" s="18">
        <f t="shared" si="66"/>
        <v>0.15195832598997316</v>
      </c>
      <c r="T63" s="18" t="str">
        <f t="shared" si="53"/>
        <v>1+0.00015937580001354i</v>
      </c>
      <c r="U63" s="18">
        <f t="shared" si="67"/>
        <v>1.0000000127003228</v>
      </c>
      <c r="V63" s="18">
        <f t="shared" si="68"/>
        <v>1.5937579866412394E-4</v>
      </c>
      <c r="W63" s="32" t="str">
        <f t="shared" si="54"/>
        <v>1-0.00357119848178487i</v>
      </c>
      <c r="X63" s="18">
        <f t="shared" si="69"/>
        <v>1.0000063767089669</v>
      </c>
      <c r="Y63" s="18">
        <f t="shared" si="70"/>
        <v>-3.5711833001903816E-3</v>
      </c>
      <c r="Z63" s="32" t="str">
        <f t="shared" si="71"/>
        <v>0.999999980141794+0.000282744474838835i</v>
      </c>
      <c r="AA63" s="18">
        <f t="shared" si="72"/>
        <v>1.0000000201140129</v>
      </c>
      <c r="AB63" s="18">
        <f t="shared" si="73"/>
        <v>2.8274447291901696E-4</v>
      </c>
      <c r="AC63" s="32" t="str">
        <f>IMDIV(IMSUM(COMPLEX(0,2*PI()*O63*Constants!$B$71*Constants!$B$72),COMPLEX(1,0)),IMSUM(COMPLEX(0,2*PI()*O63*Constants!$B$71*Constants!$B$72),COMPLEX(2,0)))</f>
        <v>0.500000062717636+0.000177084200024658i</v>
      </c>
      <c r="AD63" s="18">
        <f t="shared" si="74"/>
        <v>0.50000009407644497</v>
      </c>
      <c r="AE63" s="18">
        <f t="shared" si="75"/>
        <v>3.5416834081571742E-4</v>
      </c>
      <c r="AF63" s="66" t="str">
        <f t="shared" si="76"/>
        <v>12.5115966566074-1.95880749711685i</v>
      </c>
      <c r="AG63" s="64">
        <f t="shared" si="77"/>
        <v>22.0514202497173</v>
      </c>
      <c r="AH63" s="61">
        <f t="shared" si="78"/>
        <v>-8.8979606252601311</v>
      </c>
      <c r="AI63" s="50" t="str">
        <f t="shared" si="55"/>
        <v>108.866083054159</v>
      </c>
      <c r="AJ63" s="50" t="str">
        <f t="shared" si="56"/>
        <v>1+0.1448870909214i</v>
      </c>
      <c r="AK63" s="50">
        <f t="shared" si="79"/>
        <v>1.010441620835002</v>
      </c>
      <c r="AL63" s="50">
        <f t="shared" si="80"/>
        <v>0.14388583588716339</v>
      </c>
      <c r="AM63" s="50" t="str">
        <f t="shared" si="57"/>
        <v>1+0.00015937580001354i</v>
      </c>
      <c r="AN63" s="50">
        <f t="shared" si="81"/>
        <v>1.0000000127003228</v>
      </c>
      <c r="AO63" s="50">
        <f t="shared" si="82"/>
        <v>1.5937579866412394E-4</v>
      </c>
      <c r="AP63" s="50" t="str">
        <f t="shared" si="58"/>
        <v>1-0.000795237640961352i</v>
      </c>
      <c r="AQ63" s="50">
        <f t="shared" si="83"/>
        <v>1.0000003162014028</v>
      </c>
      <c r="AR63" s="50">
        <f t="shared" si="84"/>
        <v>-7.9523747332455063E-4</v>
      </c>
      <c r="AS63" s="59" t="str">
        <f t="shared" si="85"/>
        <v>106.617915249295-15.5167833685624i</v>
      </c>
      <c r="AT63" s="50">
        <f t="shared" si="86"/>
        <v>40.647630270465399</v>
      </c>
      <c r="AU63" s="61">
        <f t="shared" si="87"/>
        <v>-8.2804833183586659</v>
      </c>
      <c r="AV63" s="32" t="str">
        <f t="shared" si="59"/>
        <v>-0.0000333333333333333</v>
      </c>
      <c r="AW63" s="32" t="str">
        <f t="shared" si="60"/>
        <v>8.50004266738875E-06i</v>
      </c>
      <c r="AX63" s="32">
        <f t="shared" si="88"/>
        <v>8.5000426673887498E-6</v>
      </c>
      <c r="AY63" s="32">
        <f t="shared" si="89"/>
        <v>1.5707963267948966</v>
      </c>
      <c r="AZ63" s="32" t="str">
        <f t="shared" si="61"/>
        <v>1+0.00346789935214646i</v>
      </c>
      <c r="BA63" s="32">
        <f t="shared" si="90"/>
        <v>1.0000060131448794</v>
      </c>
      <c r="BB63" s="32">
        <f t="shared" si="91"/>
        <v>3.4678854502174883E-3</v>
      </c>
      <c r="BC63" s="32" t="str">
        <f t="shared" si="62"/>
        <v>1+0.16645916890303i</v>
      </c>
      <c r="BD63" s="32">
        <f t="shared" si="92"/>
        <v>1.01375966328903</v>
      </c>
      <c r="BE63" s="32">
        <f t="shared" si="93"/>
        <v>0.16494678090792778</v>
      </c>
      <c r="BF63" s="59" t="str">
        <f t="shared" si="94"/>
        <v>-0.639170553867343+3.92376552162966i</v>
      </c>
      <c r="BG63" s="50">
        <f t="shared" si="95"/>
        <v>11.987800701386064</v>
      </c>
      <c r="BH63" s="61">
        <f t="shared" si="96"/>
        <v>99.252059190161063</v>
      </c>
      <c r="BI63" s="59" t="str">
        <f t="shared" si="97"/>
        <v>-0.311142844071763+50.3445836545847i</v>
      </c>
      <c r="BJ63" s="64">
        <f t="shared" si="98"/>
        <v>34.03922095110336</v>
      </c>
      <c r="BK63" s="61">
        <f t="shared" si="99"/>
        <v>90.354098564900923</v>
      </c>
      <c r="BL63" s="59" t="str">
        <f t="shared" si="105"/>
        <v>-7.26281235391163+428.26157086314i</v>
      </c>
      <c r="BM63" s="64">
        <f t="shared" si="101"/>
        <v>52.635430971851456</v>
      </c>
      <c r="BN63" s="61">
        <f t="shared" si="106"/>
        <v>90.971575871802386</v>
      </c>
      <c r="BO63" s="50">
        <f t="shared" si="103"/>
        <v>34.03922095110336</v>
      </c>
      <c r="BP63" s="61">
        <f t="shared" si="104"/>
        <v>90.354098564900923</v>
      </c>
    </row>
    <row r="64" spans="1:68" x14ac:dyDescent="0.25">
      <c r="A64" t="s">
        <v>206</v>
      </c>
      <c r="B64" s="1">
        <f>(CCOMP+CHF)</f>
        <v>4.8000000000000006E-8</v>
      </c>
      <c r="E64" t="s">
        <v>216</v>
      </c>
      <c r="N64" s="11">
        <v>46</v>
      </c>
      <c r="O64" s="51">
        <f t="shared" si="63"/>
        <v>28.840315031266066</v>
      </c>
      <c r="P64" s="49" t="str">
        <f t="shared" si="52"/>
        <v>25.6231073841137</v>
      </c>
      <c r="Q64" s="18" t="str">
        <f t="shared" si="64"/>
        <v>1+0.156705933981737i</v>
      </c>
      <c r="R64" s="18">
        <f t="shared" si="65"/>
        <v>1.0122039071971065</v>
      </c>
      <c r="S64" s="18">
        <f t="shared" si="66"/>
        <v>0.15544177900808878</v>
      </c>
      <c r="T64" s="18" t="str">
        <f t="shared" si="53"/>
        <v>1+0.000163088139292994i</v>
      </c>
      <c r="U64" s="18">
        <f t="shared" si="67"/>
        <v>1.0000000132988704</v>
      </c>
      <c r="V64" s="18">
        <f t="shared" si="68"/>
        <v>1.6308813784706865E-4</v>
      </c>
      <c r="W64" s="32" t="str">
        <f t="shared" si="54"/>
        <v>1-0.00365438238045412i</v>
      </c>
      <c r="X64" s="18">
        <f t="shared" si="69"/>
        <v>1.0000066772329985</v>
      </c>
      <c r="Y64" s="18">
        <f t="shared" si="70"/>
        <v>-3.6543661130884076E-3</v>
      </c>
      <c r="Z64" s="32" t="str">
        <f t="shared" si="71"/>
        <v>0.999999979205906+0.000289330439708682i</v>
      </c>
      <c r="AA64" s="18">
        <f t="shared" si="72"/>
        <v>1.0000000210619577</v>
      </c>
      <c r="AB64" s="18">
        <f t="shared" si="73"/>
        <v>2.8933043765155982E-4</v>
      </c>
      <c r="AC64" s="32" t="str">
        <f>IMDIV(IMSUM(COMPLEX(0,2*PI()*O64*Constants!$B$71*Constants!$B$72),COMPLEX(1,0)),IMSUM(COMPLEX(0,2*PI()*O64*Constants!$B$71*Constants!$B$72),COMPLEX(2,0)))</f>
        <v>0.500000065673426+0.000181209019857644i</v>
      </c>
      <c r="AD64" s="18">
        <f t="shared" si="74"/>
        <v>0.5000000985101295</v>
      </c>
      <c r="AE64" s="18">
        <f t="shared" si="75"/>
        <v>3.6241797624534555E-4</v>
      </c>
      <c r="AF64" s="66" t="str">
        <f t="shared" si="76"/>
        <v>12.4977989439657-2.00227180195958i</v>
      </c>
      <c r="AG64" s="64">
        <f t="shared" si="77"/>
        <v>22.046735473851481</v>
      </c>
      <c r="AH64" s="61">
        <f t="shared" si="78"/>
        <v>-9.10200578276066</v>
      </c>
      <c r="AI64" s="50" t="str">
        <f t="shared" si="55"/>
        <v>108.866083054159</v>
      </c>
      <c r="AJ64" s="50" t="str">
        <f t="shared" si="56"/>
        <v>1+0.148261944811813i</v>
      </c>
      <c r="AK64" s="50">
        <f t="shared" si="79"/>
        <v>1.0109310581238371</v>
      </c>
      <c r="AL64" s="50">
        <f t="shared" si="80"/>
        <v>0.14718970625949271</v>
      </c>
      <c r="AM64" s="50" t="str">
        <f t="shared" si="57"/>
        <v>1+0.000163088139292994i</v>
      </c>
      <c r="AN64" s="50">
        <f t="shared" si="81"/>
        <v>1.0000000132988704</v>
      </c>
      <c r="AO64" s="50">
        <f t="shared" si="82"/>
        <v>1.6308813784706865E-4</v>
      </c>
      <c r="AP64" s="50" t="str">
        <f t="shared" si="58"/>
        <v>1-0.00081376110519363i</v>
      </c>
      <c r="AQ64" s="50">
        <f t="shared" si="83"/>
        <v>1.0000003311035133</v>
      </c>
      <c r="AR64" s="50">
        <f t="shared" si="84"/>
        <v>-8.1376092556756439E-4</v>
      </c>
      <c r="AS64" s="59" t="str">
        <f t="shared" si="85"/>
        <v>106.514241284937-15.8628447802063i</v>
      </c>
      <c r="AT64" s="50">
        <f t="shared" si="86"/>
        <v>40.643424156148093</v>
      </c>
      <c r="AU64" s="61">
        <f t="shared" si="87"/>
        <v>-8.4706297610196426</v>
      </c>
      <c r="AV64" s="32" t="str">
        <f t="shared" si="59"/>
        <v>-0.0000333333333333333</v>
      </c>
      <c r="AW64" s="32" t="str">
        <f t="shared" si="60"/>
        <v>8.69803409562631E-06i</v>
      </c>
      <c r="AX64" s="32">
        <f t="shared" si="88"/>
        <v>8.6980340956263098E-6</v>
      </c>
      <c r="AY64" s="32">
        <f t="shared" si="89"/>
        <v>1.5707963267948966</v>
      </c>
      <c r="AZ64" s="32" t="str">
        <f t="shared" si="61"/>
        <v>1+0.00354867710498644i</v>
      </c>
      <c r="BA64" s="32">
        <f t="shared" si="90"/>
        <v>1.0000062965347745</v>
      </c>
      <c r="BB64" s="32">
        <f t="shared" si="91"/>
        <v>3.5486622088062329E-3</v>
      </c>
      <c r="BC64" s="32" t="str">
        <f t="shared" si="62"/>
        <v>1+0.170336501039349i</v>
      </c>
      <c r="BD64" s="32">
        <f t="shared" si="92"/>
        <v>1.0144035309413746</v>
      </c>
      <c r="BE64" s="32">
        <f t="shared" si="93"/>
        <v>0.16871718826763857</v>
      </c>
      <c r="BF64" s="59" t="str">
        <f t="shared" si="94"/>
        <v>-0.639170191600726+3.8345517990165i</v>
      </c>
      <c r="BG64" s="50">
        <f t="shared" si="95"/>
        <v>11.793313144796816</v>
      </c>
      <c r="BH64" s="61">
        <f t="shared" si="96"/>
        <v>99.463459451567644</v>
      </c>
      <c r="BI64" s="59" t="str">
        <f t="shared" si="97"/>
        <v>-0.310405605277791+49.2032498756254i</v>
      </c>
      <c r="BJ64" s="64">
        <f t="shared" si="98"/>
        <v>33.840048618648296</v>
      </c>
      <c r="BK64" s="61">
        <f t="shared" si="99"/>
        <v>90.361453668806988</v>
      </c>
      <c r="BL64" s="59" t="str">
        <f t="shared" si="105"/>
        <v>-7.25382802083958+418.57343307753i</v>
      </c>
      <c r="BM64" s="64">
        <f t="shared" si="101"/>
        <v>52.436737300944912</v>
      </c>
      <c r="BN64" s="61">
        <f t="shared" si="106"/>
        <v>90.992829690547993</v>
      </c>
      <c r="BO64" s="50">
        <f t="shared" si="103"/>
        <v>33.840048618648296</v>
      </c>
      <c r="BP64" s="61">
        <f t="shared" si="104"/>
        <v>90.361453668806988</v>
      </c>
    </row>
    <row r="65" spans="1:68" x14ac:dyDescent="0.25">
      <c r="A65" s="32" t="s">
        <v>207</v>
      </c>
      <c r="B65" s="1">
        <f>(CCOMP+CHF)/(RCOMP*CHF*CCOMP)</f>
        <v>51063.829787234034</v>
      </c>
      <c r="E65" s="32" t="s">
        <v>217</v>
      </c>
      <c r="N65" s="11">
        <v>47</v>
      </c>
      <c r="O65" s="51">
        <f t="shared" si="63"/>
        <v>29.512092266663863</v>
      </c>
      <c r="P65" s="49" t="str">
        <f t="shared" si="52"/>
        <v>25.6231073841137</v>
      </c>
      <c r="Q65" s="18" t="str">
        <f t="shared" si="64"/>
        <v>1+0.160356084092322i</v>
      </c>
      <c r="R65" s="18">
        <f t="shared" si="65"/>
        <v>1.0127754310336639</v>
      </c>
      <c r="S65" s="18">
        <f t="shared" si="66"/>
        <v>0.15900243876417683</v>
      </c>
      <c r="T65" s="18" t="str">
        <f t="shared" si="53"/>
        <v>1+0.000166886950062628i</v>
      </c>
      <c r="U65" s="18">
        <f t="shared" si="67"/>
        <v>1.0000000139256271</v>
      </c>
      <c r="V65" s="18">
        <f t="shared" si="68"/>
        <v>1.6688694851329109E-4</v>
      </c>
      <c r="W65" s="32" t="str">
        <f t="shared" si="54"/>
        <v>1-0.00373950388103296i</v>
      </c>
      <c r="X65" s="18">
        <f t="shared" si="69"/>
        <v>1.0000069919201946</v>
      </c>
      <c r="Y65" s="18">
        <f t="shared" si="70"/>
        <v>-3.7394864502431364E-3</v>
      </c>
      <c r="Z65" s="32" t="str">
        <f t="shared" si="71"/>
        <v>0.99999997822591+0.000296069811407403i</v>
      </c>
      <c r="AA65" s="18">
        <f t="shared" si="72"/>
        <v>1.0000000220545766</v>
      </c>
      <c r="AB65" s="18">
        <f t="shared" si="73"/>
        <v>2.96069809203157E-4</v>
      </c>
      <c r="AC65" s="32" t="str">
        <f>IMDIV(IMSUM(COMPLEX(0,2*PI()*O65*Constants!$B$71*Constants!$B$72),COMPLEX(1,0)),IMSUM(COMPLEX(0,2*PI()*O65*Constants!$B$71*Constants!$B$72),COMPLEX(2,0)))</f>
        <v>0.500000068768519+0.000185429919010545i</v>
      </c>
      <c r="AD65" s="18">
        <f t="shared" si="74"/>
        <v>0.50000010315276799</v>
      </c>
      <c r="AE65" s="18">
        <f t="shared" si="75"/>
        <v>3.7085977001182288E-4</v>
      </c>
      <c r="AF65" s="66" t="str">
        <f t="shared" si="76"/>
        <v>12.4833828350656-2.04659899322186i</v>
      </c>
      <c r="AG65" s="64">
        <f t="shared" si="77"/>
        <v>22.041835327850471</v>
      </c>
      <c r="AH65" s="61">
        <f t="shared" si="78"/>
        <v>-9.3105783977100565</v>
      </c>
      <c r="AI65" s="50" t="str">
        <f t="shared" si="55"/>
        <v>108.866083054159</v>
      </c>
      <c r="AJ65" s="50" t="str">
        <f t="shared" si="56"/>
        <v>1+0.151715409147844i</v>
      </c>
      <c r="AK65" s="50">
        <f t="shared" si="79"/>
        <v>1.0114433080370335</v>
      </c>
      <c r="AL65" s="50">
        <f t="shared" si="80"/>
        <v>0.15056718571888536</v>
      </c>
      <c r="AM65" s="50" t="str">
        <f t="shared" si="57"/>
        <v>1+0.000166886950062628i</v>
      </c>
      <c r="AN65" s="50">
        <f t="shared" si="81"/>
        <v>1.0000000139256271</v>
      </c>
      <c r="AO65" s="50">
        <f t="shared" si="82"/>
        <v>1.6688694851329109E-4</v>
      </c>
      <c r="AP65" s="50" t="str">
        <f t="shared" si="58"/>
        <v>1-0.000832716036335282i</v>
      </c>
      <c r="AQ65" s="50">
        <f t="shared" si="83"/>
        <v>1.0000003467079384</v>
      </c>
      <c r="AR65" s="50">
        <f t="shared" si="84"/>
        <v>-8.327158438624885E-4</v>
      </c>
      <c r="AS65" s="59" t="str">
        <f t="shared" si="85"/>
        <v>106.405896236347-16.2159002878464i</v>
      </c>
      <c r="AT65" s="50">
        <f t="shared" si="86"/>
        <v>40.639024175785096</v>
      </c>
      <c r="AU65" s="61">
        <f t="shared" si="87"/>
        <v>-8.6650134604359099</v>
      </c>
      <c r="AV65" s="32" t="str">
        <f t="shared" si="59"/>
        <v>-0.0000333333333333333</v>
      </c>
      <c r="AW65" s="32" t="str">
        <f t="shared" si="60"/>
        <v>8.90063733667347E-06i</v>
      </c>
      <c r="AX65" s="32">
        <f t="shared" si="88"/>
        <v>8.9006373366734707E-6</v>
      </c>
      <c r="AY65" s="32">
        <f t="shared" si="89"/>
        <v>1.5707963267948966</v>
      </c>
      <c r="AZ65" s="32" t="str">
        <f t="shared" si="61"/>
        <v>1+0.00363133641339978i</v>
      </c>
      <c r="BA65" s="32">
        <f t="shared" si="90"/>
        <v>1.0000065932803379</v>
      </c>
      <c r="BB65" s="32">
        <f t="shared" si="91"/>
        <v>3.631320451860797E-3</v>
      </c>
      <c r="BC65" s="32" t="str">
        <f t="shared" si="62"/>
        <v>1+0.17430414784319i</v>
      </c>
      <c r="BD65" s="32">
        <f t="shared" si="92"/>
        <v>1.0150773054084801</v>
      </c>
      <c r="BE65" s="32">
        <f t="shared" si="93"/>
        <v>0.17257041184512342</v>
      </c>
      <c r="BF65" s="59" t="str">
        <f t="shared" si="94"/>
        <v>-0.639169812261446+3.74737120640223i</v>
      </c>
      <c r="BG65" s="50">
        <f t="shared" si="95"/>
        <v>11.599077885509491</v>
      </c>
      <c r="BH65" s="61">
        <f t="shared" si="96"/>
        <v>99.679496931608796</v>
      </c>
      <c r="BI65" s="59" t="str">
        <f t="shared" si="97"/>
        <v>-0.309635324825247+48.0879936888928i</v>
      </c>
      <c r="BJ65" s="64">
        <f t="shared" si="98"/>
        <v>33.640913213359973</v>
      </c>
      <c r="BK65" s="61">
        <f t="shared" si="99"/>
        <v>90.36891853389875</v>
      </c>
      <c r="BL65" s="59" t="str">
        <f t="shared" si="105"/>
        <v>-7.24443889633158+409.107105690143i</v>
      </c>
      <c r="BM65" s="64">
        <f t="shared" si="101"/>
        <v>52.238102061294569</v>
      </c>
      <c r="BN65" s="61">
        <f t="shared" si="106"/>
        <v>91.014483471172881</v>
      </c>
      <c r="BO65" s="50">
        <f t="shared" si="103"/>
        <v>33.640913213359973</v>
      </c>
      <c r="BP65" s="61">
        <f t="shared" si="104"/>
        <v>90.36891853389875</v>
      </c>
    </row>
    <row r="66" spans="1:68" x14ac:dyDescent="0.25">
      <c r="N66" s="11">
        <v>48</v>
      </c>
      <c r="O66" s="51">
        <f t="shared" si="63"/>
        <v>30.199517204020164</v>
      </c>
      <c r="P66" s="49" t="str">
        <f t="shared" si="52"/>
        <v>25.6231073841137</v>
      </c>
      <c r="Q66" s="18" t="str">
        <f t="shared" si="64"/>
        <v>1+0.164091257121256i</v>
      </c>
      <c r="R66" s="18">
        <f t="shared" si="65"/>
        <v>1.0133735444857608</v>
      </c>
      <c r="S66" s="18">
        <f t="shared" si="66"/>
        <v>0.16264183183776484</v>
      </c>
      <c r="T66" s="18" t="str">
        <f t="shared" si="53"/>
        <v>1+0.000170774246502195i</v>
      </c>
      <c r="U66" s="18">
        <f t="shared" si="67"/>
        <v>1.0000000145819217</v>
      </c>
      <c r="V66" s="18">
        <f t="shared" si="68"/>
        <v>1.7077424484205055E-4</v>
      </c>
      <c r="W66" s="32" t="str">
        <f t="shared" si="54"/>
        <v>1-0.00382660811606771i</v>
      </c>
      <c r="X66" s="18">
        <f t="shared" si="69"/>
        <v>1.0000073214380352</v>
      </c>
      <c r="Y66" s="18">
        <f t="shared" si="70"/>
        <v>-3.8265894386472939E-3</v>
      </c>
      <c r="Z66" s="32" t="str">
        <f t="shared" si="71"/>
        <v>0.999999977199729+0.00030296616323908i</v>
      </c>
      <c r="AA66" s="18">
        <f t="shared" si="72"/>
        <v>1.000000023093977</v>
      </c>
      <c r="AB66" s="18">
        <f t="shared" si="73"/>
        <v>3.0296616087718787E-4</v>
      </c>
      <c r="AC66" s="32" t="str">
        <f>IMDIV(IMSUM(COMPLEX(0,2*PI()*O66*Constants!$B$71*Constants!$B$72),COMPLEX(1,0)),IMSUM(COMPLEX(0,2*PI()*O66*Constants!$B$71*Constants!$B$72),COMPLEX(2,0)))</f>
        <v>0.500000072009479+0.00018974913545274i</v>
      </c>
      <c r="AD66" s="18">
        <f t="shared" si="74"/>
        <v>0.50000010801420702</v>
      </c>
      <c r="AE66" s="18">
        <f t="shared" si="75"/>
        <v>3.7949819803223913E-4</v>
      </c>
      <c r="AF66" s="66" t="str">
        <f t="shared" si="76"/>
        <v>12.4683221423108-2.09179908020091i</v>
      </c>
      <c r="AG66" s="64">
        <f t="shared" si="77"/>
        <v>22.036710170807552</v>
      </c>
      <c r="AH66" s="61">
        <f t="shared" si="78"/>
        <v>-9.52376835513871</v>
      </c>
      <c r="AI66" s="50" t="str">
        <f t="shared" si="55"/>
        <v>108.866083054159</v>
      </c>
      <c r="AJ66" s="50" t="str">
        <f t="shared" si="56"/>
        <v>1+0.155249315001996i</v>
      </c>
      <c r="AK66" s="50">
        <f t="shared" si="79"/>
        <v>1.0119794216329643</v>
      </c>
      <c r="AL66" s="50">
        <f t="shared" si="80"/>
        <v>0.15401975666498116</v>
      </c>
      <c r="AM66" s="50" t="str">
        <f t="shared" si="57"/>
        <v>1+0.000170774246502195i</v>
      </c>
      <c r="AN66" s="50">
        <f t="shared" si="81"/>
        <v>1.0000000145819217</v>
      </c>
      <c r="AO66" s="50">
        <f t="shared" si="82"/>
        <v>1.7077424484205055E-4</v>
      </c>
      <c r="AP66" s="50" t="str">
        <f t="shared" si="58"/>
        <v>1-0.0008521124845417i</v>
      </c>
      <c r="AQ66" s="50">
        <f t="shared" si="83"/>
        <v>1.0000003630477772</v>
      </c>
      <c r="AR66" s="50">
        <f t="shared" si="84"/>
        <v>-8.5211227830339002E-4</v>
      </c>
      <c r="AS66" s="59" t="str">
        <f t="shared" si="85"/>
        <v>106.292679981468-16.5760403820596i</v>
      </c>
      <c r="AT66" s="50">
        <f t="shared" si="86"/>
        <v>40.634421603902247</v>
      </c>
      <c r="AU66" s="61">
        <f t="shared" si="87"/>
        <v>-8.863719812274395</v>
      </c>
      <c r="AV66" s="32" t="str">
        <f t="shared" si="59"/>
        <v>-0.0000333333333333333</v>
      </c>
      <c r="AW66" s="32" t="str">
        <f t="shared" si="60"/>
        <v>0.0000091079598134504i</v>
      </c>
      <c r="AX66" s="32">
        <f t="shared" si="88"/>
        <v>9.1079598134503993E-6</v>
      </c>
      <c r="AY66" s="32">
        <f t="shared" si="89"/>
        <v>1.5707963267948966</v>
      </c>
      <c r="AZ66" s="32" t="str">
        <f t="shared" si="61"/>
        <v>1+0.00371592110444592i</v>
      </c>
      <c r="BA66" s="32">
        <f t="shared" si="90"/>
        <v>1.0000069040109947</v>
      </c>
      <c r="BB66" s="32">
        <f t="shared" si="91"/>
        <v>3.715904001355136E-3</v>
      </c>
      <c r="BC66" s="32" t="str">
        <f t="shared" si="62"/>
        <v>1+0.178364213013404i</v>
      </c>
      <c r="BD66" s="32">
        <f t="shared" si="92"/>
        <v>1.0157823548791793</v>
      </c>
      <c r="BE66" s="32">
        <f t="shared" si="93"/>
        <v>0.17650803676087554</v>
      </c>
      <c r="BF66" s="59" t="str">
        <f t="shared" si="94"/>
        <v>-0.639169415044936+3.66217751947403i</v>
      </c>
      <c r="BG66" s="50">
        <f t="shared" si="95"/>
        <v>11.405106112529973</v>
      </c>
      <c r="BH66" s="61">
        <f t="shared" si="96"/>
        <v>99.900259940184739</v>
      </c>
      <c r="BI66" s="59" t="str">
        <f t="shared" si="97"/>
        <v>-0.308830603524392+46.9982230496144i</v>
      </c>
      <c r="BJ66" s="64">
        <f t="shared" si="98"/>
        <v>33.441816283337523</v>
      </c>
      <c r="BK66" s="61">
        <f t="shared" si="99"/>
        <v>90.376491585046026</v>
      </c>
      <c r="BL66" s="59" t="str">
        <f t="shared" si="105"/>
        <v>-7.2346276382411+399.857561147542i</v>
      </c>
      <c r="BM66" s="64">
        <f t="shared" si="101"/>
        <v>52.039527716432232</v>
      </c>
      <c r="BN66" s="61">
        <f t="shared" si="106"/>
        <v>91.036540127910342</v>
      </c>
      <c r="BO66" s="50">
        <f t="shared" si="103"/>
        <v>33.441816283337523</v>
      </c>
      <c r="BP66" s="61">
        <f t="shared" si="104"/>
        <v>90.376491585046026</v>
      </c>
    </row>
    <row r="67" spans="1:68" x14ac:dyDescent="0.25">
      <c r="N67" s="11">
        <v>49</v>
      </c>
      <c r="O67" s="51">
        <f t="shared" si="63"/>
        <v>30.902954325135919</v>
      </c>
      <c r="P67" s="49" t="str">
        <f t="shared" si="52"/>
        <v>25.6231073841137</v>
      </c>
      <c r="Q67" s="18" t="str">
        <f t="shared" si="64"/>
        <v>1+0.167913433506721i</v>
      </c>
      <c r="R67" s="18">
        <f t="shared" si="65"/>
        <v>1.0139994680235369</v>
      </c>
      <c r="S67" s="18">
        <f t="shared" si="66"/>
        <v>0.16636150205185998</v>
      </c>
      <c r="T67" s="18" t="str">
        <f t="shared" si="53"/>
        <v>1+0.000174752089707723i</v>
      </c>
      <c r="U67" s="18">
        <f t="shared" si="67"/>
        <v>1.0000000152691462</v>
      </c>
      <c r="V67" s="18">
        <f t="shared" si="68"/>
        <v>1.7475208792884619E-4</v>
      </c>
      <c r="W67" s="32" t="str">
        <f t="shared" si="54"/>
        <v>1-0.00391574126937675i</v>
      </c>
      <c r="X67" s="18">
        <f t="shared" si="69"/>
        <v>1.0000076664854567</v>
      </c>
      <c r="Y67" s="18">
        <f t="shared" si="70"/>
        <v>-3.9157212561684888E-3</v>
      </c>
      <c r="Z67" s="32" t="str">
        <f t="shared" si="71"/>
        <v>0.999999976125185+0.000310023151740737i</v>
      </c>
      <c r="AA67" s="18">
        <f t="shared" si="72"/>
        <v>1.0000000241823623</v>
      </c>
      <c r="AB67" s="18">
        <f t="shared" si="73"/>
        <v>3.1002314920992402E-4</v>
      </c>
      <c r="AC67" s="32" t="str">
        <f>IMDIV(IMSUM(COMPLEX(0,2*PI()*O67*Constants!$B$71*Constants!$B$72),COMPLEX(1,0)),IMSUM(COMPLEX(0,2*PI()*O67*Constants!$B$71*Constants!$B$72),COMPLEX(2,0)))</f>
        <v>0.500000075403181+0.000194168959282217i</v>
      </c>
      <c r="AD67" s="18">
        <f t="shared" si="74"/>
        <v>0.50000011310475867</v>
      </c>
      <c r="AE67" s="18">
        <f t="shared" si="75"/>
        <v>3.8833784047935142E-4</v>
      </c>
      <c r="AF67" s="66" t="str">
        <f t="shared" si="76"/>
        <v>12.452589712272-2.13788165415024i</v>
      </c>
      <c r="AG67" s="64">
        <f t="shared" si="77"/>
        <v>22.031349954646117</v>
      </c>
      <c r="AH67" s="61">
        <f t="shared" si="78"/>
        <v>-9.7416665843736538</v>
      </c>
      <c r="AI67" s="50" t="str">
        <f t="shared" si="55"/>
        <v>108.866083054159</v>
      </c>
      <c r="AJ67" s="50" t="str">
        <f t="shared" si="56"/>
        <v>1+0.15886553609793i</v>
      </c>
      <c r="AK67" s="50">
        <f t="shared" si="79"/>
        <v>1.0125404972442744</v>
      </c>
      <c r="AL67" s="50">
        <f t="shared" si="80"/>
        <v>0.1575489202831214</v>
      </c>
      <c r="AM67" s="50" t="str">
        <f t="shared" si="57"/>
        <v>1+0.000174752089707723i</v>
      </c>
      <c r="AN67" s="50">
        <f t="shared" si="81"/>
        <v>1.0000000152691462</v>
      </c>
      <c r="AO67" s="50">
        <f t="shared" si="82"/>
        <v>1.7475208792884619E-4</v>
      </c>
      <c r="AP67" s="50" t="str">
        <f t="shared" si="58"/>
        <v>1-0.000871960734066463i</v>
      </c>
      <c r="AQ67" s="50">
        <f t="shared" si="83"/>
        <v>1.0000003801576887</v>
      </c>
      <c r="AR67" s="50">
        <f t="shared" si="84"/>
        <v>-8.7196051307813691E-4</v>
      </c>
      <c r="AS67" s="59" t="str">
        <f t="shared" si="85"/>
        <v>106.17438479559-16.9433529346021i</v>
      </c>
      <c r="AT67" s="50">
        <f t="shared" si="86"/>
        <v>40.62960734207288</v>
      </c>
      <c r="AU67" s="61">
        <f t="shared" si="87"/>
        <v>-9.0668352992678969</v>
      </c>
      <c r="AV67" s="32" t="str">
        <f t="shared" si="59"/>
        <v>-0.0000333333333333333</v>
      </c>
      <c r="AW67" s="32" t="str">
        <f t="shared" si="60"/>
        <v>9.32011145107852E-06i</v>
      </c>
      <c r="AX67" s="32">
        <f t="shared" si="88"/>
        <v>9.32011145107852E-6</v>
      </c>
      <c r="AY67" s="32">
        <f t="shared" si="89"/>
        <v>1.5707963267948966</v>
      </c>
      <c r="AZ67" s="32" t="str">
        <f t="shared" si="61"/>
        <v>1+0.00380247602604767i</v>
      </c>
      <c r="BA67" s="32">
        <f t="shared" si="90"/>
        <v>1.0000072293858322</v>
      </c>
      <c r="BB67" s="32">
        <f t="shared" si="91"/>
        <v>3.8024576997628713E-3</v>
      </c>
      <c r="BC67" s="32" t="str">
        <f t="shared" si="62"/>
        <v>1+0.182518849250288i</v>
      </c>
      <c r="BD67" s="32">
        <f t="shared" si="92"/>
        <v>1.0165201081787065</v>
      </c>
      <c r="BE67" s="32">
        <f t="shared" si="93"/>
        <v>0.18053166213351815</v>
      </c>
      <c r="BF67" s="59" t="str">
        <f t="shared" si="94"/>
        <v>-0.639168999108723+3.57892556740216i</v>
      </c>
      <c r="BG67" s="50">
        <f t="shared" si="95"/>
        <v>11.211409477646093</v>
      </c>
      <c r="BH67" s="61">
        <f t="shared" si="96"/>
        <v>100.12583753075896</v>
      </c>
      <c r="BI67" s="59" t="str">
        <f t="shared" si="97"/>
        <v>-0.30798999058616+45.9333593787155i</v>
      </c>
      <c r="BJ67" s="64">
        <f t="shared" si="98"/>
        <v>33.242759432292218</v>
      </c>
      <c r="BK67" s="61">
        <f t="shared" si="99"/>
        <v>90.384170946385296</v>
      </c>
      <c r="BL67" s="59" t="str">
        <f t="shared" si="105"/>
        <v>-7.22437624561581+390.819886284888i</v>
      </c>
      <c r="BM67" s="64">
        <f t="shared" si="101"/>
        <v>51.841016819718988</v>
      </c>
      <c r="BN67" s="61">
        <f t="shared" si="106"/>
        <v>91.05900223149105</v>
      </c>
      <c r="BO67" s="50">
        <f t="shared" si="103"/>
        <v>33.242759432292218</v>
      </c>
      <c r="BP67" s="61">
        <f t="shared" si="104"/>
        <v>90.384170946385296</v>
      </c>
    </row>
    <row r="68" spans="1:68" x14ac:dyDescent="0.25">
      <c r="N68" s="11">
        <v>50</v>
      </c>
      <c r="O68" s="51">
        <f t="shared" si="63"/>
        <v>31.622776601683803</v>
      </c>
      <c r="P68" s="49" t="str">
        <f t="shared" si="52"/>
        <v>25.6231073841137</v>
      </c>
      <c r="Q68" s="18" t="str">
        <f t="shared" si="64"/>
        <v>1+0.171824639817228i</v>
      </c>
      <c r="R68" s="18">
        <f t="shared" si="65"/>
        <v>1.0146544765822108</v>
      </c>
      <c r="S68" s="18">
        <f t="shared" si="66"/>
        <v>0.17016300969555223</v>
      </c>
      <c r="T68" s="18" t="str">
        <f t="shared" si="53"/>
        <v>1+0.00017882258878433i</v>
      </c>
      <c r="U68" s="18">
        <f t="shared" si="67"/>
        <v>1.000000015988759</v>
      </c>
      <c r="V68" s="18">
        <f t="shared" si="68"/>
        <v>1.7882258687822918E-4</v>
      </c>
      <c r="W68" s="32" t="str">
        <f t="shared" si="54"/>
        <v>1-0.00400695060053776i</v>
      </c>
      <c r="X68" s="18">
        <f t="shared" si="69"/>
        <v>1.0000080277943348</v>
      </c>
      <c r="Y68" s="18">
        <f t="shared" si="70"/>
        <v>-4.0069291560080452E-3</v>
      </c>
      <c r="Z68" s="32" t="str">
        <f t="shared" si="71"/>
        <v>0.999999975+0.000317244518621089i</v>
      </c>
      <c r="AA68" s="18">
        <f t="shared" si="72"/>
        <v>1.0000000253220425</v>
      </c>
      <c r="AB68" s="18">
        <f t="shared" si="73"/>
        <v>3.1724451590927396E-4</v>
      </c>
      <c r="AC68" s="32" t="str">
        <f>IMDIV(IMSUM(COMPLEX(0,2*PI()*O68*Constants!$B$71*Constants!$B$72),COMPLEX(1,0)),IMSUM(COMPLEX(0,2*PI()*O68*Constants!$B$71*Constants!$B$72),COMPLEX(2,0)))</f>
        <v>0.500000078956823+0.000198691733939781i</v>
      </c>
      <c r="AD68" s="18">
        <f t="shared" si="74"/>
        <v>0.5000001184352203</v>
      </c>
      <c r="AE68" s="18">
        <f t="shared" si="75"/>
        <v>3.9738338420989086E-4</v>
      </c>
      <c r="AF68" s="66" t="str">
        <f t="shared" si="76"/>
        <v>12.4361574036779-2.18485584001188i</v>
      </c>
      <c r="AG68" s="64">
        <f t="shared" si="77"/>
        <v>22.025744209207044</v>
      </c>
      <c r="AH68" s="61">
        <f t="shared" si="78"/>
        <v>-9.9643650158076955</v>
      </c>
      <c r="AI68" s="50" t="str">
        <f t="shared" si="55"/>
        <v>108.866083054159</v>
      </c>
      <c r="AJ68" s="50" t="str">
        <f t="shared" si="56"/>
        <v>1+0.162565989803936i</v>
      </c>
      <c r="AK68" s="50">
        <f t="shared" si="79"/>
        <v>1.0131276824966009</v>
      </c>
      <c r="AL68" s="50">
        <f t="shared" si="80"/>
        <v>0.16115619595671998</v>
      </c>
      <c r="AM68" s="50" t="str">
        <f t="shared" si="57"/>
        <v>1+0.00017882258878433i</v>
      </c>
      <c r="AN68" s="50">
        <f t="shared" si="81"/>
        <v>1.000000015988759</v>
      </c>
      <c r="AO68" s="50">
        <f t="shared" si="82"/>
        <v>1.7882258687822918E-4</v>
      </c>
      <c r="AP68" s="50" t="str">
        <f t="shared" si="58"/>
        <v>1-0.000892271308714193i</v>
      </c>
      <c r="AQ68" s="50">
        <f t="shared" si="83"/>
        <v>1.0000003980739649</v>
      </c>
      <c r="AR68" s="50">
        <f t="shared" si="84"/>
        <v>-8.9227107192094059E-4</v>
      </c>
      <c r="AS68" s="59" t="str">
        <f t="shared" si="85"/>
        <v>106.050795154947-17.3179228514571i</v>
      </c>
      <c r="AT68" s="50">
        <f t="shared" si="86"/>
        <v>40.624571904831953</v>
      </c>
      <c r="AU68" s="61">
        <f t="shared" si="87"/>
        <v>-9.2744474577962226</v>
      </c>
      <c r="AV68" s="32" t="str">
        <f t="shared" si="59"/>
        <v>-0.0000333333333333333</v>
      </c>
      <c r="AW68" s="32" t="str">
        <f t="shared" si="60"/>
        <v>9.53720473516426E-06i</v>
      </c>
      <c r="AX68" s="32">
        <f t="shared" si="88"/>
        <v>9.5372047351642607E-6</v>
      </c>
      <c r="AY68" s="32">
        <f t="shared" si="89"/>
        <v>1.5707963267948966</v>
      </c>
      <c r="AZ68" s="32" t="str">
        <f t="shared" si="61"/>
        <v>1+0.00389104707077014i</v>
      </c>
      <c r="BA68" s="32">
        <f t="shared" si="90"/>
        <v>1.0000075700950004</v>
      </c>
      <c r="BB68" s="32">
        <f t="shared" si="91"/>
        <v>3.8910274338102135E-3</v>
      </c>
      <c r="BC68" s="32" t="str">
        <f t="shared" si="62"/>
        <v>1+0.186770259396967i</v>
      </c>
      <c r="BD68" s="32">
        <f t="shared" si="92"/>
        <v>1.0172920572752007</v>
      </c>
      <c r="BE68" s="32">
        <f t="shared" si="93"/>
        <v>0.18464289995948208</v>
      </c>
      <c r="BF68" s="59" t="str">
        <f t="shared" si="94"/>
        <v>-0.639168563570616+3.49757120888973i</v>
      </c>
      <c r="BG68" s="50">
        <f t="shared" si="95"/>
        <v>11.018000111454924</v>
      </c>
      <c r="BH68" s="61">
        <f t="shared" si="96"/>
        <v>100.35631943480759</v>
      </c>
      <c r="BI68" s="59" t="str">
        <f t="shared" si="97"/>
        <v>-0.307111982446748+44.8928372531939i</v>
      </c>
      <c r="BJ68" s="64">
        <f t="shared" si="98"/>
        <v>33.043744320661965</v>
      </c>
      <c r="BK68" s="61">
        <f t="shared" si="99"/>
        <v>90.391954418999887</v>
      </c>
      <c r="BL68" s="59" t="str">
        <f t="shared" si="105"/>
        <v>-7.21366604167922+381.989279686798i</v>
      </c>
      <c r="BM68" s="64">
        <f t="shared" si="101"/>
        <v>51.642572016286891</v>
      </c>
      <c r="BN68" s="61">
        <f t="shared" si="106"/>
        <v>91.08187197701136</v>
      </c>
      <c r="BO68" s="50">
        <f t="shared" si="103"/>
        <v>33.043744320661965</v>
      </c>
      <c r="BP68" s="61">
        <f t="shared" si="104"/>
        <v>90.391954418999887</v>
      </c>
    </row>
    <row r="69" spans="1:68" x14ac:dyDescent="0.25">
      <c r="A69" s="68" t="s">
        <v>770</v>
      </c>
      <c r="N69" s="11">
        <v>51</v>
      </c>
      <c r="O69" s="51">
        <f t="shared" si="63"/>
        <v>32.359365692962832</v>
      </c>
      <c r="P69" s="49" t="str">
        <f t="shared" si="52"/>
        <v>25.6231073841137</v>
      </c>
      <c r="Q69" s="18" t="str">
        <f t="shared" si="64"/>
        <v>1+0.175826949826134i</v>
      </c>
      <c r="R69" s="18">
        <f t="shared" si="65"/>
        <v>1.0153399018482243</v>
      </c>
      <c r="S69" s="18">
        <f t="shared" si="66"/>
        <v>0.17404793065910834</v>
      </c>
      <c r="T69" s="18" t="str">
        <f t="shared" si="53"/>
        <v>1+0.000182987901964508i</v>
      </c>
      <c r="U69" s="18">
        <f t="shared" si="67"/>
        <v>1.000000016742286</v>
      </c>
      <c r="V69" s="18">
        <f t="shared" si="68"/>
        <v>1.8298789992208416E-4</v>
      </c>
      <c r="W69" s="32" t="str">
        <f t="shared" si="54"/>
        <v>1-0.00410028446994545i</v>
      </c>
      <c r="X69" s="18">
        <f t="shared" si="69"/>
        <v>1.0000084061310357</v>
      </c>
      <c r="Y69" s="18">
        <f t="shared" si="70"/>
        <v>-4.1002614917283013E-3</v>
      </c>
      <c r="Z69" s="32" t="str">
        <f t="shared" si="71"/>
        <v>0.999999973821786+0.000324634092744441i</v>
      </c>
      <c r="AA69" s="18">
        <f t="shared" si="72"/>
        <v>1.0000000265154332</v>
      </c>
      <c r="AB69" s="18">
        <f t="shared" si="73"/>
        <v>3.2463408983867895E-4</v>
      </c>
      <c r="AC69" s="32" t="str">
        <f>IMDIV(IMSUM(COMPLEX(0,2*PI()*O69*Constants!$B$71*Constants!$B$72),COMPLEX(1,0)),IMSUM(COMPLEX(0,2*PI()*O69*Constants!$B$71*Constants!$B$72),COMPLEX(2,0)))</f>
        <v>0.500000082677942+0.000203319857451535i</v>
      </c>
      <c r="AD69" s="18">
        <f t="shared" si="74"/>
        <v>0.50000012401689797</v>
      </c>
      <c r="AE69" s="18">
        <f t="shared" si="75"/>
        <v>4.0663962524940529E-4</v>
      </c>
      <c r="AF69" s="66" t="str">
        <f t="shared" si="76"/>
        <v>12.4189960663088-2.23273024515894i</v>
      </c>
      <c r="AG69" s="64">
        <f t="shared" si="77"/>
        <v>22.019882027007675</v>
      </c>
      <c r="AH69" s="61">
        <f t="shared" si="78"/>
        <v>-10.191956532685271</v>
      </c>
      <c r="AI69" s="50" t="str">
        <f t="shared" si="55"/>
        <v>108.866083054159</v>
      </c>
      <c r="AJ69" s="50" t="str">
        <f t="shared" si="56"/>
        <v>1+0.166352638149553i</v>
      </c>
      <c r="AK69" s="50">
        <f t="shared" si="79"/>
        <v>1.0137421764035055</v>
      </c>
      <c r="AL69" s="50">
        <f t="shared" si="80"/>
        <v>0.16484312060420594</v>
      </c>
      <c r="AM69" s="50" t="str">
        <f t="shared" si="57"/>
        <v>1+0.000182987901964508i</v>
      </c>
      <c r="AN69" s="50">
        <f t="shared" si="81"/>
        <v>1.000000016742286</v>
      </c>
      <c r="AO69" s="50">
        <f t="shared" si="82"/>
        <v>1.8298789992208416E-4</v>
      </c>
      <c r="AP69" s="50" t="str">
        <f t="shared" si="58"/>
        <v>1-0.00091305497742041i</v>
      </c>
      <c r="AQ69" s="50">
        <f t="shared" si="83"/>
        <v>1.0000004168346091</v>
      </c>
      <c r="AR69" s="50">
        <f t="shared" si="84"/>
        <v>-9.1305472369187428E-4</v>
      </c>
      <c r="AS69" s="59" t="str">
        <f t="shared" si="85"/>
        <v>105.921687544661-17.6998317031787i</v>
      </c>
      <c r="AT69" s="50">
        <f t="shared" si="86"/>
        <v>40.619305405235373</v>
      </c>
      <c r="AU69" s="61">
        <f t="shared" si="87"/>
        <v>-9.4866448401515537</v>
      </c>
      <c r="AV69" s="32" t="str">
        <f t="shared" si="59"/>
        <v>-0.0000333333333333333</v>
      </c>
      <c r="AW69" s="32" t="str">
        <f t="shared" si="60"/>
        <v>9.75935477144041E-06i</v>
      </c>
      <c r="AX69" s="32">
        <f t="shared" si="88"/>
        <v>9.7593547714404093E-6</v>
      </c>
      <c r="AY69" s="32">
        <f t="shared" si="89"/>
        <v>1.5707963267948966</v>
      </c>
      <c r="AZ69" s="32" t="str">
        <f t="shared" si="61"/>
        <v>1+0.00398168120015364i</v>
      </c>
      <c r="BA69" s="32">
        <f t="shared" si="90"/>
        <v>1.0000079268611723</v>
      </c>
      <c r="BB69" s="32">
        <f t="shared" si="91"/>
        <v>3.9816601587809907E-3</v>
      </c>
      <c r="BC69" s="32" t="str">
        <f t="shared" si="62"/>
        <v>1+0.191120697607375i</v>
      </c>
      <c r="BD69" s="32">
        <f t="shared" si="92"/>
        <v>1.0180997598732306</v>
      </c>
      <c r="BE69" s="32">
        <f t="shared" si="93"/>
        <v>0.18884337388490158</v>
      </c>
      <c r="BF69" s="59" t="str">
        <f t="shared" si="94"/>
        <v>-0.639168107506873+3.41807130876826i</v>
      </c>
      <c r="BG69" s="50">
        <f t="shared" si="95"/>
        <v>10.824890639649261</v>
      </c>
      <c r="BH69" s="61">
        <f t="shared" si="96"/>
        <v>100.59179599006238</v>
      </c>
      <c r="BI69" s="59" t="str">
        <f t="shared" si="97"/>
        <v>-0.306195021641+43.8761041033276i</v>
      </c>
      <c r="BJ69" s="64">
        <f t="shared" si="98"/>
        <v>32.844772666656937</v>
      </c>
      <c r="BK69" s="61">
        <f t="shared" si="99"/>
        <v>90.399839457377112</v>
      </c>
      <c r="BL69" s="59" t="str">
        <f t="shared" si="105"/>
        <v>-7.20247765719333+373.361049105633i</v>
      </c>
      <c r="BM69" s="64">
        <f t="shared" si="101"/>
        <v>51.444196044884634</v>
      </c>
      <c r="BN69" s="61">
        <f t="shared" si="106"/>
        <v>91.105151149910824</v>
      </c>
      <c r="BO69" s="50">
        <f t="shared" si="103"/>
        <v>32.844772666656937</v>
      </c>
      <c r="BP69" s="61">
        <f t="shared" si="104"/>
        <v>90.399839457377112</v>
      </c>
    </row>
    <row r="70" spans="1:68" x14ac:dyDescent="0.25">
      <c r="A70" t="s">
        <v>410</v>
      </c>
      <c r="B70">
        <f>SQRT((2*IOUT*Lm*Fsw*(VOUT-VIN_var)/(VIN_var^2)))</f>
        <v>3.5925849560819945</v>
      </c>
      <c r="E70" s="47"/>
      <c r="N70" s="11">
        <v>52</v>
      </c>
      <c r="O70" s="51">
        <f t="shared" si="63"/>
        <v>33.113112148259127</v>
      </c>
      <c r="P70" s="49" t="str">
        <f t="shared" si="52"/>
        <v>25.6231073841137</v>
      </c>
      <c r="Q70" s="18" t="str">
        <f t="shared" si="64"/>
        <v>1+0.179922485611183i</v>
      </c>
      <c r="R70" s="18">
        <f t="shared" si="65"/>
        <v>1.0160571346280218</v>
      </c>
      <c r="S70" s="18">
        <f t="shared" si="66"/>
        <v>0.17801785547618956</v>
      </c>
      <c r="T70" s="18" t="str">
        <f t="shared" si="53"/>
        <v>1+0.000187250237752439i</v>
      </c>
      <c r="U70" s="18">
        <f t="shared" si="67"/>
        <v>1.0000000175313255</v>
      </c>
      <c r="V70" s="18">
        <f t="shared" si="68"/>
        <v>1.8725023556394243E-4</v>
      </c>
      <c r="W70" s="32" t="str">
        <f t="shared" si="54"/>
        <v>1-0.0041957923644528i</v>
      </c>
      <c r="X70" s="18">
        <f t="shared" si="69"/>
        <v>1.0000088022980427</v>
      </c>
      <c r="Y70" s="18">
        <f t="shared" si="70"/>
        <v>-4.1957677428612304E-3</v>
      </c>
      <c r="Z70" s="32" t="str">
        <f t="shared" si="71"/>
        <v>0.999999972588045+0.000332195792160808i</v>
      </c>
      <c r="AA70" s="18">
        <f t="shared" si="72"/>
        <v>1.0000000277650671</v>
      </c>
      <c r="AB70" s="18">
        <f t="shared" si="73"/>
        <v>3.3219578904722776E-4</v>
      </c>
      <c r="AC70" s="32" t="str">
        <f>IMDIV(IMSUM(COMPLEX(0,2*PI()*O70*Constants!$B$71*Constants!$B$72),COMPLEX(1,0)),IMSUM(COMPLEX(0,2*PI()*O70*Constants!$B$71*Constants!$B$72),COMPLEX(2,0)))</f>
        <v>0.500000086574433+0.000208055783700302i</v>
      </c>
      <c r="AD70" s="18">
        <f t="shared" si="74"/>
        <v>0.50000012986163278</v>
      </c>
      <c r="AE70" s="18">
        <f t="shared" si="75"/>
        <v>4.1611147133497418E-4</v>
      </c>
      <c r="AF70" s="66" t="str">
        <f t="shared" si="76"/>
        <v>12.4010755209777-2.28151290503894i</v>
      </c>
      <c r="AG70" s="64">
        <f t="shared" si="77"/>
        <v>22.013752047687056</v>
      </c>
      <c r="AH70" s="61">
        <f t="shared" si="78"/>
        <v>-10.424534917597926</v>
      </c>
      <c r="AI70" s="50" t="str">
        <f t="shared" si="55"/>
        <v>108.866083054159</v>
      </c>
      <c r="AJ70" s="50" t="str">
        <f t="shared" si="56"/>
        <v>1+0.170227488865854i</v>
      </c>
      <c r="AK70" s="50">
        <f t="shared" si="79"/>
        <v>1.0143852315395638</v>
      </c>
      <c r="AL70" s="50">
        <f t="shared" si="80"/>
        <v>0.16861124793563334</v>
      </c>
      <c r="AM70" s="50" t="str">
        <f t="shared" si="57"/>
        <v>1+0.000187250237752439i</v>
      </c>
      <c r="AN70" s="50">
        <f t="shared" si="81"/>
        <v>1.0000000175313255</v>
      </c>
      <c r="AO70" s="50">
        <f t="shared" si="82"/>
        <v>1.8725023556394243E-4</v>
      </c>
      <c r="AP70" s="50" t="str">
        <f t="shared" si="58"/>
        <v>1-0.000934322759961371i</v>
      </c>
      <c r="AQ70" s="50">
        <f t="shared" si="83"/>
        <v>1.0000004364794146</v>
      </c>
      <c r="AR70" s="50">
        <f t="shared" si="84"/>
        <v>-9.3432248808635314E-4</v>
      </c>
      <c r="AS70" s="59" t="str">
        <f t="shared" si="85"/>
        <v>105.786830272261-18.0891573315757i</v>
      </c>
      <c r="AT70" s="50">
        <f t="shared" si="86"/>
        <v>40.613797540072483</v>
      </c>
      <c r="AU70" s="61">
        <f t="shared" si="87"/>
        <v>-9.7035169722066357</v>
      </c>
      <c r="AV70" s="32" t="str">
        <f t="shared" si="59"/>
        <v>-0.0000333333333333333</v>
      </c>
      <c r="AW70" s="32" t="str">
        <f t="shared" si="60"/>
        <v>9.98667934679672E-06i</v>
      </c>
      <c r="AX70" s="32">
        <f t="shared" si="88"/>
        <v>9.9866793467967199E-6</v>
      </c>
      <c r="AY70" s="32">
        <f t="shared" si="89"/>
        <v>1.5707963267948966</v>
      </c>
      <c r="AZ70" s="32" t="str">
        <f t="shared" si="61"/>
        <v>1+0.00407442646961326i</v>
      </c>
      <c r="BA70" s="32">
        <f t="shared" si="90"/>
        <v>1.0000083004410796</v>
      </c>
      <c r="BB70" s="32">
        <f t="shared" si="91"/>
        <v>4.0744039233863646E-3</v>
      </c>
      <c r="BC70" s="32" t="str">
        <f t="shared" si="62"/>
        <v>1+0.195572470541437i</v>
      </c>
      <c r="BD70" s="32">
        <f t="shared" si="92"/>
        <v>1.0189448420958227</v>
      </c>
      <c r="BE70" s="32">
        <f t="shared" si="93"/>
        <v>0.193134717863714</v>
      </c>
      <c r="BF70" s="59" t="str">
        <f t="shared" si="94"/>
        <v>-0.639167629950203+3.34038371512703i</v>
      </c>
      <c r="BG70" s="50">
        <f t="shared" si="95"/>
        <v>10.632094199536933</v>
      </c>
      <c r="BH70" s="61">
        <f t="shared" si="96"/>
        <v>100.83235806219913</v>
      </c>
      <c r="BI70" s="59" t="str">
        <f t="shared" si="97"/>
        <v>-0.305237495732559+42.8826199165489i</v>
      </c>
      <c r="BJ70" s="64">
        <f t="shared" si="98"/>
        <v>32.645846247223986</v>
      </c>
      <c r="BK70" s="61">
        <f t="shared" si="99"/>
        <v>90.407823144601196</v>
      </c>
      <c r="BL70" s="59" t="str">
        <f t="shared" si="105"/>
        <v>-7.19079101429927+364.930608935787i</v>
      </c>
      <c r="BM70" s="64">
        <f t="shared" si="101"/>
        <v>51.245891739609412</v>
      </c>
      <c r="BN70" s="61">
        <f t="shared" si="106"/>
        <v>91.128841089992505</v>
      </c>
      <c r="BO70" s="50">
        <f t="shared" si="103"/>
        <v>32.645846247223986</v>
      </c>
      <c r="BP70" s="61">
        <f t="shared" si="104"/>
        <v>90.407823144601196</v>
      </c>
    </row>
    <row r="71" spans="1:68" x14ac:dyDescent="0.25">
      <c r="A71" s="32" t="s">
        <v>390</v>
      </c>
      <c r="B71" s="32">
        <f>(Fsw*Gcomp)/((R_cs*Acs*(VIN_var/Lm))+Vsl)</f>
        <v>9.7777663051986448</v>
      </c>
      <c r="C71" s="32" t="s">
        <v>132</v>
      </c>
      <c r="E71" s="343"/>
      <c r="N71" s="11">
        <v>53</v>
      </c>
      <c r="O71" s="51">
        <f t="shared" si="63"/>
        <v>33.884415613920268</v>
      </c>
      <c r="P71" s="49" t="str">
        <f t="shared" si="52"/>
        <v>25.6231073841137</v>
      </c>
      <c r="Q71" s="18" t="str">
        <f t="shared" si="64"/>
        <v>1+0.184113418679657i</v>
      </c>
      <c r="R71" s="18">
        <f t="shared" si="65"/>
        <v>1.0168076273012072</v>
      </c>
      <c r="S71" s="18">
        <f t="shared" si="66"/>
        <v>0.18207438826765104</v>
      </c>
      <c r="T71" s="18" t="str">
        <f t="shared" si="53"/>
        <v>1+0.000191611856094975i</v>
      </c>
      <c r="U71" s="18">
        <f t="shared" si="67"/>
        <v>1.0000000183575515</v>
      </c>
      <c r="V71" s="18">
        <f t="shared" si="68"/>
        <v>1.9161185374995867E-4</v>
      </c>
      <c r="W71" s="32" t="str">
        <f t="shared" si="54"/>
        <v>1-0.00429352492360963i</v>
      </c>
      <c r="X71" s="18">
        <f t="shared" si="69"/>
        <v>1.0000092171356572</v>
      </c>
      <c r="Y71" s="18">
        <f t="shared" si="70"/>
        <v>-4.2934985411120707E-3</v>
      </c>
      <c r="Z71" s="32" t="str">
        <f t="shared" si="71"/>
        <v>0.999999971296159+0.000339933626183308i</v>
      </c>
      <c r="AA71" s="18">
        <f t="shared" si="72"/>
        <v>1.000000029073594</v>
      </c>
      <c r="AB71" s="18">
        <f t="shared" si="73"/>
        <v>3.3993362284704683E-4</v>
      </c>
      <c r="AC71" s="32" t="str">
        <f>IMDIV(IMSUM(COMPLEX(0,2*PI()*O71*Constants!$B$71*Constants!$B$72),COMPLEX(1,0)),IMSUM(COMPLEX(0,2*PI()*O71*Constants!$B$71*Constants!$B$72),COMPLEX(2,0)))</f>
        <v>0.50000009065456+0.000212902023726665i</v>
      </c>
      <c r="AD71" s="18">
        <f t="shared" si="74"/>
        <v>0.50000013598182136</v>
      </c>
      <c r="AE71" s="18">
        <f t="shared" si="75"/>
        <v>4.2580394451715599E-4</v>
      </c>
      <c r="AF71" s="66" t="str">
        <f t="shared" si="76"/>
        <v>12.3823645408006-2.33121122561219i</v>
      </c>
      <c r="AG71" s="64">
        <f t="shared" si="77"/>
        <v>22.007342442155444</v>
      </c>
      <c r="AH71" s="61">
        <f t="shared" si="78"/>
        <v>-10.662194793372288</v>
      </c>
      <c r="AI71" s="50" t="str">
        <f t="shared" si="55"/>
        <v>108.866083054159</v>
      </c>
      <c r="AJ71" s="50" t="str">
        <f t="shared" si="56"/>
        <v>1+0.174192596449978i</v>
      </c>
      <c r="AK71" s="50">
        <f t="shared" si="79"/>
        <v>1.0150581562935126</v>
      </c>
      <c r="AL71" s="50">
        <f t="shared" si="80"/>
        <v>0.17246214762390699</v>
      </c>
      <c r="AM71" s="50" t="str">
        <f t="shared" si="57"/>
        <v>1+0.000191611856094975i</v>
      </c>
      <c r="AN71" s="50">
        <f t="shared" si="81"/>
        <v>1.0000000183575515</v>
      </c>
      <c r="AO71" s="50">
        <f t="shared" si="82"/>
        <v>1.9161185374995867E-4</v>
      </c>
      <c r="AP71" s="50" t="str">
        <f t="shared" si="58"/>
        <v>1-0.000956085932796881i</v>
      </c>
      <c r="AQ71" s="50">
        <f t="shared" si="83"/>
        <v>1.0000004570500511</v>
      </c>
      <c r="AR71" s="50">
        <f t="shared" si="84"/>
        <v>-9.5608564147755799E-4</v>
      </c>
      <c r="AS71" s="59" t="str">
        <f t="shared" si="85"/>
        <v>105.645983288151-18.485973431801i</v>
      </c>
      <c r="AT71" s="50">
        <f t="shared" si="86"/>
        <v>40.608037574744039</v>
      </c>
      <c r="AU71" s="61">
        <f t="shared" si="87"/>
        <v>-9.925154306197209</v>
      </c>
      <c r="AV71" s="32" t="str">
        <f t="shared" si="59"/>
        <v>-0.0000333333333333333</v>
      </c>
      <c r="AW71" s="32" t="str">
        <f t="shared" si="60"/>
        <v>0.000010219298991732i</v>
      </c>
      <c r="AX71" s="32">
        <f t="shared" si="88"/>
        <v>1.0219298991732001E-5</v>
      </c>
      <c r="AY71" s="32">
        <f t="shared" si="89"/>
        <v>1.5707963267948966</v>
      </c>
      <c r="AZ71" s="32" t="str">
        <f t="shared" si="61"/>
        <v>1+0.00416933205391844i</v>
      </c>
      <c r="BA71" s="32">
        <f t="shared" si="90"/>
        <v>1.0000086916271158</v>
      </c>
      <c r="BB71" s="32">
        <f t="shared" si="91"/>
        <v>4.1693078952124013E-3</v>
      </c>
      <c r="BC71" s="32" t="str">
        <f t="shared" si="62"/>
        <v>1+0.200127938588086i</v>
      </c>
      <c r="BD71" s="32">
        <f t="shared" si="92"/>
        <v>1.0198290012563462</v>
      </c>
      <c r="BE71" s="32">
        <f t="shared" si="93"/>
        <v>0.19751857469581491</v>
      </c>
      <c r="BF71" s="59" t="str">
        <f t="shared" si="94"/>
        <v>-0.639167129887743+3.26446723696332i</v>
      </c>
      <c r="BG71" s="50">
        <f t="shared" si="95"/>
        <v>10.439624456760018</v>
      </c>
      <c r="BH71" s="61">
        <f t="shared" si="96"/>
        <v>101.07809695962347</v>
      </c>
      <c r="BI71" s="59" t="str">
        <f t="shared" si="97"/>
        <v>-0.30423773631518+41.9118569478165i</v>
      </c>
      <c r="BJ71" s="64">
        <f t="shared" si="98"/>
        <v>32.446966898915456</v>
      </c>
      <c r="BK71" s="61">
        <f t="shared" si="99"/>
        <v>90.415902166251172</v>
      </c>
      <c r="BL71" s="59" t="str">
        <f t="shared" si="105"/>
        <v>-7.17858531096719+356.693477742529i</v>
      </c>
      <c r="BM71" s="64">
        <f t="shared" si="101"/>
        <v>51.047662031504075</v>
      </c>
      <c r="BN71" s="61">
        <f t="shared" si="106"/>
        <v>91.152942653426251</v>
      </c>
      <c r="BO71" s="50">
        <f t="shared" si="103"/>
        <v>32.446966898915456</v>
      </c>
      <c r="BP71" s="61">
        <f t="shared" si="104"/>
        <v>90.415902166251172</v>
      </c>
    </row>
    <row r="72" spans="1:68" x14ac:dyDescent="0.25">
      <c r="A72" s="32" t="s">
        <v>389</v>
      </c>
      <c r="B72" s="32">
        <f>(B71*2*VOUT/DC_VIN_var_DCM)*(((VOUT/VIN_var)-1)/((2*VOUT/VIN_var)-1))</f>
        <v>108.86608305415933</v>
      </c>
      <c r="C72" s="32" t="s">
        <v>132</v>
      </c>
      <c r="N72" s="11">
        <v>54</v>
      </c>
      <c r="O72" s="51">
        <f t="shared" si="63"/>
        <v>34.67368504525318</v>
      </c>
      <c r="P72" s="49" t="str">
        <f t="shared" si="52"/>
        <v>25.6231073841137</v>
      </c>
      <c r="Q72" s="18" t="str">
        <f t="shared" si="64"/>
        <v>1+0.188401971119746i</v>
      </c>
      <c r="R72" s="18">
        <f t="shared" si="65"/>
        <v>1.0175928963597405</v>
      </c>
      <c r="S72" s="18">
        <f t="shared" si="66"/>
        <v>0.1862191455812085</v>
      </c>
      <c r="T72" s="18" t="str">
        <f t="shared" si="53"/>
        <v>1+0.000196075069579896i</v>
      </c>
      <c r="U72" s="18">
        <f t="shared" si="67"/>
        <v>1.0000000192227163</v>
      </c>
      <c r="V72" s="18">
        <f t="shared" si="68"/>
        <v>1.9607506706716574E-4</v>
      </c>
      <c r="W72" s="32" t="str">
        <f t="shared" si="54"/>
        <v>1-0.00439353396651249i</v>
      </c>
      <c r="X72" s="18">
        <f t="shared" si="69"/>
        <v>1.0000096515237815</v>
      </c>
      <c r="Y72" s="18">
        <f t="shared" si="70"/>
        <v>-4.3935056971717706E-3</v>
      </c>
      <c r="Z72" s="32" t="str">
        <f t="shared" si="71"/>
        <v>0.999999969943389+0.000347851697513964i</v>
      </c>
      <c r="AA72" s="18">
        <f t="shared" si="72"/>
        <v>1.0000000304437908</v>
      </c>
      <c r="AB72" s="18">
        <f t="shared" si="73"/>
        <v>3.4785169393909557E-4</v>
      </c>
      <c r="AC72" s="32" t="str">
        <f>IMDIV(IMSUM(COMPLEX(0,2*PI()*O72*Constants!$B$71*Constants!$B$72),COMPLEX(1,0)),IMSUM(COMPLEX(0,2*PI()*O72*Constants!$B$71*Constants!$B$72),COMPLEX(2,0)))</f>
        <v>0.500000094926977+0.000217861147060299i</v>
      </c>
      <c r="AD72" s="18">
        <f t="shared" si="74"/>
        <v>0.5000001423904451</v>
      </c>
      <c r="AE72" s="18">
        <f t="shared" si="75"/>
        <v>4.3572218382250397E-4</v>
      </c>
      <c r="AF72" s="66" t="str">
        <f t="shared" si="76"/>
        <v>12.3628308339752-2.38183192248501i</v>
      </c>
      <c r="AG72" s="64">
        <f t="shared" si="77"/>
        <v>22.00064089646899</v>
      </c>
      <c r="AH72" s="61">
        <f t="shared" si="78"/>
        <v>-10.905031558025364</v>
      </c>
      <c r="AI72" s="50" t="str">
        <f t="shared" si="55"/>
        <v>108.866083054159</v>
      </c>
      <c r="AJ72" s="50" t="str">
        <f t="shared" si="56"/>
        <v>1+0.178250063254452i</v>
      </c>
      <c r="AK72" s="50">
        <f t="shared" si="79"/>
        <v>1.0157623172032992</v>
      </c>
      <c r="AL72" s="50">
        <f t="shared" si="80"/>
        <v>0.17639740438532614</v>
      </c>
      <c r="AM72" s="50" t="str">
        <f t="shared" si="57"/>
        <v>1+0.000196075069579896i</v>
      </c>
      <c r="AN72" s="50">
        <f t="shared" si="81"/>
        <v>1.0000000192227163</v>
      </c>
      <c r="AO72" s="50">
        <f t="shared" si="82"/>
        <v>1.9607506706716574E-4</v>
      </c>
      <c r="AP72" s="50" t="str">
        <f t="shared" si="58"/>
        <v>1-0.000978356035049257i</v>
      </c>
      <c r="AQ72" s="50">
        <f t="shared" si="83"/>
        <v>1.0000004785901511</v>
      </c>
      <c r="AR72" s="50">
        <f t="shared" si="84"/>
        <v>-9.7835572289498647E-4</v>
      </c>
      <c r="AS72" s="59" t="str">
        <f t="shared" si="85"/>
        <v>105.498898014509-18.8903491089198i</v>
      </c>
      <c r="AT72" s="50">
        <f t="shared" si="86"/>
        <v>40.602014327818736</v>
      </c>
      <c r="AU72" s="61">
        <f t="shared" si="87"/>
        <v>-10.151648168315388</v>
      </c>
      <c r="AV72" s="32" t="str">
        <f t="shared" si="59"/>
        <v>-0.0000333333333333333</v>
      </c>
      <c r="AW72" s="32" t="str">
        <f t="shared" si="60"/>
        <v>0.0000104573370442612i</v>
      </c>
      <c r="AX72" s="32">
        <f t="shared" si="88"/>
        <v>1.04573370442612E-5</v>
      </c>
      <c r="AY72" s="32">
        <f t="shared" si="89"/>
        <v>1.5707963267948966</v>
      </c>
      <c r="AZ72" s="32" t="str">
        <f t="shared" si="61"/>
        <v>1+0.00426644827326627i</v>
      </c>
      <c r="BA72" s="32">
        <f t="shared" si="90"/>
        <v>1.0000091012490178</v>
      </c>
      <c r="BB72" s="32">
        <f t="shared" si="91"/>
        <v>4.2664223867590846E-3</v>
      </c>
      <c r="BC72" s="32" t="str">
        <f t="shared" si="62"/>
        <v>1+0.204789517116781i</v>
      </c>
      <c r="BD72" s="32">
        <f t="shared" si="92"/>
        <v>1.0207540087214571</v>
      </c>
      <c r="BE72" s="32">
        <f t="shared" si="93"/>
        <v>0.20199659443900678</v>
      </c>
      <c r="BF72" s="59" t="str">
        <f t="shared" si="94"/>
        <v>-0.639166606258899+3.19028162234239i</v>
      </c>
      <c r="BG72" s="50">
        <f t="shared" si="95"/>
        <v>10.247495622180134</v>
      </c>
      <c r="BH72" s="61">
        <f t="shared" si="96"/>
        <v>101.32910434098942</v>
      </c>
      <c r="BI72" s="59" t="str">
        <f t="shared" si="97"/>
        <v>-0.30319401809243+40.9632994363328i</v>
      </c>
      <c r="BJ72" s="64">
        <f t="shared" si="98"/>
        <v>32.248136518649126</v>
      </c>
      <c r="BK72" s="61">
        <f t="shared" si="99"/>
        <v>90.42407278296406</v>
      </c>
      <c r="BL72" s="59" t="str">
        <f t="shared" si="105"/>
        <v>-7.16583900616863+348.645275844056i</v>
      </c>
      <c r="BM72" s="64">
        <f t="shared" si="101"/>
        <v>50.849509949998861</v>
      </c>
      <c r="BN72" s="61">
        <f t="shared" si="106"/>
        <v>91.177456172674042</v>
      </c>
      <c r="BO72" s="50">
        <f t="shared" si="103"/>
        <v>32.248136518649126</v>
      </c>
      <c r="BP72" s="61">
        <f t="shared" si="104"/>
        <v>90.42407278296406</v>
      </c>
    </row>
    <row r="73" spans="1:68" x14ac:dyDescent="0.25">
      <c r="A73" s="32" t="s">
        <v>413</v>
      </c>
      <c r="B73" s="32">
        <f>(IOUT_VAR*((2*VOUT)-VIN_var))/(Cout*VOUT*(VOUT-VIN_var))</f>
        <v>1222.2222222222222</v>
      </c>
      <c r="C73" s="32" t="s">
        <v>330</v>
      </c>
      <c r="N73" s="11">
        <v>55</v>
      </c>
      <c r="O73" s="51">
        <f t="shared" si="63"/>
        <v>35.481338923357555</v>
      </c>
      <c r="P73" s="49" t="str">
        <f t="shared" si="52"/>
        <v>25.6231073841137</v>
      </c>
      <c r="Q73" s="18" t="str">
        <f t="shared" si="64"/>
        <v>1+0.192790416778717i</v>
      </c>
      <c r="R73" s="18">
        <f t="shared" si="65"/>
        <v>1.0184145250347283</v>
      </c>
      <c r="S73" s="18">
        <f t="shared" si="66"/>
        <v>0.19045375512104468</v>
      </c>
      <c r="T73" s="18" t="str">
        <f t="shared" si="53"/>
        <v>1+0.000200642244662069i</v>
      </c>
      <c r="U73" s="18">
        <f t="shared" si="67"/>
        <v>1.000000020128655</v>
      </c>
      <c r="V73" s="18">
        <f t="shared" si="68"/>
        <v>2.0064224196963002E-4</v>
      </c>
      <c r="W73" s="32" t="str">
        <f t="shared" si="54"/>
        <v>1-0.0044958725192797i</v>
      </c>
      <c r="X73" s="18">
        <f t="shared" si="69"/>
        <v>1.0000101063837852</v>
      </c>
      <c r="Y73" s="18">
        <f t="shared" si="70"/>
        <v>-4.495842228151907E-3</v>
      </c>
      <c r="Z73" s="32" t="str">
        <f t="shared" si="71"/>
        <v>0.999999968526865+0.000355954204419004i</v>
      </c>
      <c r="AA73" s="18">
        <f t="shared" si="72"/>
        <v>1.0000000318785627</v>
      </c>
      <c r="AB73" s="18">
        <f t="shared" si="73"/>
        <v>3.5595420058846333E-4</v>
      </c>
      <c r="AC73" s="32" t="str">
        <f>IMDIV(IMSUM(COMPLEX(0,2*PI()*O73*Constants!$B$71*Constants!$B$72),COMPLEX(1,0)),IMSUM(COMPLEX(0,2*PI()*O73*Constants!$B$71*Constants!$B$72),COMPLEX(2,0)))</f>
        <v>0.500000099400747+0.000222935783082324i</v>
      </c>
      <c r="AD73" s="18">
        <f t="shared" si="74"/>
        <v>0.50000014910109802</v>
      </c>
      <c r="AE73" s="18">
        <f t="shared" si="75"/>
        <v>4.4587144797811486E-4</v>
      </c>
      <c r="AF73" s="66" t="str">
        <f t="shared" si="76"/>
        <v>12.3424410283095-2.43338095664332i</v>
      </c>
      <c r="AG73" s="64">
        <f t="shared" si="77"/>
        <v>21.993634595456577</v>
      </c>
      <c r="AH73" s="61">
        <f t="shared" si="78"/>
        <v>-11.153141313446023</v>
      </c>
      <c r="AI73" s="50" t="str">
        <f t="shared" si="55"/>
        <v>108.866083054159</v>
      </c>
      <c r="AJ73" s="50" t="str">
        <f t="shared" si="56"/>
        <v>1+0.182402040601881i</v>
      </c>
      <c r="AK73" s="50">
        <f t="shared" si="79"/>
        <v>1.0164991413748121</v>
      </c>
      <c r="AL73" s="50">
        <f t="shared" si="80"/>
        <v>0.18041861696397687</v>
      </c>
      <c r="AM73" s="50" t="str">
        <f t="shared" si="57"/>
        <v>1+0.000200642244662069i</v>
      </c>
      <c r="AN73" s="50">
        <f t="shared" si="81"/>
        <v>1.000000020128655</v>
      </c>
      <c r="AO73" s="50">
        <f t="shared" si="82"/>
        <v>2.0064224196963002E-4</v>
      </c>
      <c r="AP73" s="50" t="str">
        <f t="shared" si="58"/>
        <v>1-0.00100114487462149i</v>
      </c>
      <c r="AQ73" s="50">
        <f t="shared" si="83"/>
        <v>1.0000005011454043</v>
      </c>
      <c r="AR73" s="50">
        <f t="shared" si="84"/>
        <v>-1.0011445401421721E-3</v>
      </c>
      <c r="AS73" s="59" t="str">
        <f t="shared" si="85"/>
        <v>105.345317184263-19.3023484080603i</v>
      </c>
      <c r="AT73" s="50">
        <f t="shared" si="86"/>
        <v>40.595716155286432</v>
      </c>
      <c r="AU73" s="61">
        <f t="shared" si="87"/>
        <v>-10.383090700799132</v>
      </c>
      <c r="AV73" s="32" t="str">
        <f t="shared" si="59"/>
        <v>-0.0000333333333333333</v>
      </c>
      <c r="AW73" s="32" t="str">
        <f t="shared" si="60"/>
        <v>0.0000107009197153104i</v>
      </c>
      <c r="AX73" s="32">
        <f t="shared" si="88"/>
        <v>1.0700919715310399E-5</v>
      </c>
      <c r="AY73" s="32">
        <f t="shared" si="89"/>
        <v>1.5707963267948966</v>
      </c>
      <c r="AZ73" s="32" t="str">
        <f t="shared" si="61"/>
        <v>1+0.00436582661996169i</v>
      </c>
      <c r="BA73" s="32">
        <f t="shared" si="90"/>
        <v>1.0000095301756255</v>
      </c>
      <c r="BB73" s="32">
        <f t="shared" si="91"/>
        <v>4.3657988820837729E-3</v>
      </c>
      <c r="BC73" s="32" t="str">
        <f t="shared" si="62"/>
        <v>1+0.209559677758162i</v>
      </c>
      <c r="BD73" s="32">
        <f t="shared" si="92"/>
        <v>1.0217217128661331</v>
      </c>
      <c r="BE73" s="32">
        <f t="shared" si="93"/>
        <v>0.20657043268832417</v>
      </c>
      <c r="BF73" s="59" t="str">
        <f t="shared" si="94"/>
        <v>-0.639166057953116+3.1177875370554i</v>
      </c>
      <c r="BG73" s="50">
        <f t="shared" si="95"/>
        <v>10.055722468889165</v>
      </c>
      <c r="BH73" s="61">
        <f t="shared" si="96"/>
        <v>101.58547211508589</v>
      </c>
      <c r="BI73" s="59" t="str">
        <f t="shared" si="97"/>
        <v>-0.302104558052896+40.0364433284605i</v>
      </c>
      <c r="BJ73" s="64">
        <f t="shared" si="98"/>
        <v>32.049357064345742</v>
      </c>
      <c r="BK73" s="61">
        <f t="shared" si="99"/>
        <v>90.432330801639864</v>
      </c>
      <c r="BL73" s="59" t="str">
        <f t="shared" si="105"/>
        <v>-7.15252980593448+340.781722945461i</v>
      </c>
      <c r="BM73" s="64">
        <f t="shared" si="101"/>
        <v>50.651438624175604</v>
      </c>
      <c r="BN73" s="61">
        <f t="shared" si="106"/>
        <v>91.202381414286762</v>
      </c>
      <c r="BO73" s="50">
        <f t="shared" si="103"/>
        <v>32.049357064345742</v>
      </c>
      <c r="BP73" s="61">
        <f t="shared" si="104"/>
        <v>90.432330801639864</v>
      </c>
    </row>
    <row r="74" spans="1:68" x14ac:dyDescent="0.25">
      <c r="A74" s="32"/>
      <c r="B74" s="32">
        <f>B73/(2*PI())</f>
        <v>194.52270822342763</v>
      </c>
      <c r="C74" s="32" t="s">
        <v>58</v>
      </c>
      <c r="N74" s="11">
        <v>56</v>
      </c>
      <c r="O74" s="51">
        <f t="shared" si="63"/>
        <v>36.307805477010156</v>
      </c>
      <c r="P74" s="49" t="str">
        <f t="shared" si="52"/>
        <v>25.6231073841137</v>
      </c>
      <c r="Q74" s="18" t="str">
        <f t="shared" si="64"/>
        <v>1+0.197281082468548i</v>
      </c>
      <c r="R74" s="18">
        <f t="shared" si="65"/>
        <v>1.0192741660122473</v>
      </c>
      <c r="S74" s="18">
        <f t="shared" si="66"/>
        <v>0.19477985436133902</v>
      </c>
      <c r="T74" s="18" t="str">
        <f t="shared" si="53"/>
        <v>1+0.000205315802918177i</v>
      </c>
      <c r="U74" s="18">
        <f t="shared" si="67"/>
        <v>1.0000000210772892</v>
      </c>
      <c r="V74" s="18">
        <f t="shared" si="68"/>
        <v>2.0531580003317666E-4</v>
      </c>
      <c r="W74" s="32" t="str">
        <f t="shared" si="54"/>
        <v>1-0.00460059484316655i</v>
      </c>
      <c r="X74" s="18">
        <f t="shared" si="69"/>
        <v>1.0000105826804588</v>
      </c>
      <c r="Y74" s="18">
        <f t="shared" si="70"/>
        <v>-4.6005623856568935E-3</v>
      </c>
      <c r="Z74" s="32" t="str">
        <f t="shared" si="71"/>
        <v>0.999999967043582+0.000364245442954839i</v>
      </c>
      <c r="AA74" s="18">
        <f t="shared" si="72"/>
        <v>1.0000000333809533</v>
      </c>
      <c r="AB74" s="18">
        <f t="shared" si="73"/>
        <v>3.6424543885034069E-4</v>
      </c>
      <c r="AC74" s="32" t="str">
        <f>IMDIV(IMSUM(COMPLEX(0,2*PI()*O74*Constants!$B$71*Constants!$B$72),COMPLEX(1,0)),IMSUM(COMPLEX(0,2*PI()*O74*Constants!$B$71*Constants!$B$72),COMPLEX(2,0)))</f>
        <v>0.500000104085358+0.000228128622419376i</v>
      </c>
      <c r="AD74" s="18">
        <f t="shared" si="74"/>
        <v>0.50000015612801285</v>
      </c>
      <c r="AE74" s="18">
        <f t="shared" si="75"/>
        <v>4.5625711819960549E-4</v>
      </c>
      <c r="AF74" s="66" t="str">
        <f t="shared" si="76"/>
        <v>12.3211606577538-2.48586346670061i</v>
      </c>
      <c r="AG74" s="64">
        <f t="shared" si="77"/>
        <v>21.986310206124639</v>
      </c>
      <c r="AH74" s="61">
        <f t="shared" si="78"/>
        <v>-11.406620787460403</v>
      </c>
      <c r="AI74" s="50" t="str">
        <f t="shared" si="55"/>
        <v>108.866083054159</v>
      </c>
      <c r="AJ74" s="50" t="str">
        <f t="shared" si="56"/>
        <v>1+0.186650729925615i</v>
      </c>
      <c r="AK74" s="50">
        <f t="shared" si="79"/>
        <v>1.0172701189859874</v>
      </c>
      <c r="AL74" s="50">
        <f t="shared" si="80"/>
        <v>0.18452739701433749</v>
      </c>
      <c r="AM74" s="50" t="str">
        <f t="shared" si="57"/>
        <v>1+0.000205315802918177i</v>
      </c>
      <c r="AN74" s="50">
        <f t="shared" si="81"/>
        <v>1.0000000210772892</v>
      </c>
      <c r="AO74" s="50">
        <f t="shared" si="82"/>
        <v>2.0531580003317666E-4</v>
      </c>
      <c r="AP74" s="50" t="str">
        <f t="shared" si="58"/>
        <v>1-0.00102446453445797i</v>
      </c>
      <c r="AQ74" s="50">
        <f t="shared" si="83"/>
        <v>1.0000005247636534</v>
      </c>
      <c r="AR74" s="50">
        <f t="shared" si="84"/>
        <v>-1.0244641760569337E-3</v>
      </c>
      <c r="AS74" s="59" t="str">
        <f t="shared" si="85"/>
        <v>105.184974691904-19.7220298172927i</v>
      </c>
      <c r="AT74" s="50">
        <f t="shared" si="86"/>
        <v>40.589130934526871</v>
      </c>
      <c r="AU74" s="61">
        <f t="shared" si="87"/>
        <v>-10.61957479819762</v>
      </c>
      <c r="AV74" s="32" t="str">
        <f t="shared" si="59"/>
        <v>-0.0000333333333333333</v>
      </c>
      <c r="AW74" s="32" t="str">
        <f t="shared" si="60"/>
        <v>0.0000109501761556361i</v>
      </c>
      <c r="AX74" s="32">
        <f t="shared" si="88"/>
        <v>1.09501761556361E-5</v>
      </c>
      <c r="AY74" s="32">
        <f t="shared" si="89"/>
        <v>1.5707963267948966</v>
      </c>
      <c r="AZ74" s="32" t="str">
        <f t="shared" si="61"/>
        <v>1+0.00446751978571959i</v>
      </c>
      <c r="BA74" s="32">
        <f t="shared" si="90"/>
        <v>1.0000099793167245</v>
      </c>
      <c r="BB74" s="32">
        <f t="shared" si="91"/>
        <v>4.467490064063934E-3</v>
      </c>
      <c r="BC74" s="32" t="str">
        <f t="shared" si="62"/>
        <v>1+0.21444094971454i</v>
      </c>
      <c r="BD74" s="32">
        <f t="shared" si="92"/>
        <v>1.0227340421216427</v>
      </c>
      <c r="BE74" s="32">
        <f t="shared" si="93"/>
        <v>0.21124174871627846</v>
      </c>
      <c r="BF74" s="59" t="str">
        <f t="shared" si="94"/>
        <v>-0.639165483807483+3.04694654376365i</v>
      </c>
      <c r="BG74" s="50">
        <f t="shared" si="95"/>
        <v>9.8643203492997564</v>
      </c>
      <c r="BH74" s="61">
        <f t="shared" si="96"/>
        <v>101.84729233271835</v>
      </c>
      <c r="BI74" s="59" t="str">
        <f t="shared" si="97"/>
        <v>-0.300967514751185+39.1307960066726i</v>
      </c>
      <c r="BJ74" s="64">
        <f t="shared" si="98"/>
        <v>31.850630555424388</v>
      </c>
      <c r="BK74" s="61">
        <f t="shared" si="99"/>
        <v>90.440671545257956</v>
      </c>
      <c r="BL74" s="59" t="str">
        <f t="shared" si="105"/>
        <v>-7.13863465042504+333.098635823199i</v>
      </c>
      <c r="BM74" s="64">
        <f t="shared" si="101"/>
        <v>50.453451283826624</v>
      </c>
      <c r="BN74" s="61">
        <f t="shared" si="106"/>
        <v>91.227717534520735</v>
      </c>
      <c r="BO74" s="50">
        <f t="shared" si="103"/>
        <v>31.850630555424388</v>
      </c>
      <c r="BP74" s="61">
        <f t="shared" si="104"/>
        <v>90.440671545257956</v>
      </c>
    </row>
    <row r="75" spans="1:68" x14ac:dyDescent="0.25">
      <c r="A75" s="32" t="s">
        <v>392</v>
      </c>
      <c r="B75" s="32">
        <f>1/(Cout*Resr)</f>
        <v>1111111.1111111112</v>
      </c>
      <c r="C75" s="32" t="s">
        <v>330</v>
      </c>
      <c r="N75" s="11">
        <v>57</v>
      </c>
      <c r="O75" s="51">
        <f t="shared" si="63"/>
        <v>37.15352290971726</v>
      </c>
      <c r="P75" s="49" t="str">
        <f t="shared" si="52"/>
        <v>25.6231073841137</v>
      </c>
      <c r="Q75" s="18" t="str">
        <f t="shared" si="64"/>
        <v>1+0.201876349199626i</v>
      </c>
      <c r="R75" s="18">
        <f t="shared" si="65"/>
        <v>1.0201735442394932</v>
      </c>
      <c r="S75" s="18">
        <f t="shared" si="66"/>
        <v>0.19919908903748143</v>
      </c>
      <c r="T75" s="18" t="str">
        <f t="shared" si="53"/>
        <v>1+0.000210098222330667i</v>
      </c>
      <c r="U75" s="18">
        <f t="shared" si="67"/>
        <v>1.0000000220706313</v>
      </c>
      <c r="V75" s="18">
        <f t="shared" si="68"/>
        <v>2.1009821923933345E-4</v>
      </c>
      <c r="W75" s="32" t="str">
        <f t="shared" si="54"/>
        <v>1-0.00470775646333531i</v>
      </c>
      <c r="X75" s="18">
        <f t="shared" si="69"/>
        <v>1.0000110814240601</v>
      </c>
      <c r="Y75" s="18">
        <f t="shared" si="70"/>
        <v>-4.7077216845079276E-3</v>
      </c>
      <c r="Z75" s="32" t="str">
        <f t="shared" si="71"/>
        <v>0.999999965490393+0.000372729809245886i</v>
      </c>
      <c r="AA75" s="18">
        <f t="shared" si="72"/>
        <v>1.0000000349541485</v>
      </c>
      <c r="AB75" s="18">
        <f t="shared" si="73"/>
        <v>3.7272980484783711E-4</v>
      </c>
      <c r="AC75" s="32" t="str">
        <f>IMDIV(IMSUM(COMPLEX(0,2*PI()*O75*Constants!$B$71*Constants!$B$72),COMPLEX(1,0)),IMSUM(COMPLEX(0,2*PI()*O75*Constants!$B$71*Constants!$B$72),COMPLEX(2,0)))</f>
        <v>0.500000108990749+0.000233442418370157i</v>
      </c>
      <c r="AD75" s="18">
        <f t="shared" si="74"/>
        <v>0.50000016348609688</v>
      </c>
      <c r="AE75" s="18">
        <f t="shared" si="75"/>
        <v>4.6688470104402869E-4</v>
      </c>
      <c r="AF75" s="66" t="str">
        <f t="shared" si="76"/>
        <v>12.2989541512166-2.53928369758401i</v>
      </c>
      <c r="AG75" s="64">
        <f t="shared" si="77"/>
        <v>21.978653860874605</v>
      </c>
      <c r="AH75" s="61">
        <f t="shared" si="78"/>
        <v>-11.665567248924699</v>
      </c>
      <c r="AI75" s="50" t="str">
        <f t="shared" si="55"/>
        <v>108.866083054159</v>
      </c>
      <c r="AJ75" s="50" t="str">
        <f t="shared" si="56"/>
        <v>1+0.19099838393697i</v>
      </c>
      <c r="AK75" s="50">
        <f t="shared" si="79"/>
        <v>1.0180768058778935</v>
      </c>
      <c r="AL75" s="50">
        <f t="shared" si="80"/>
        <v>0.18872536787623981</v>
      </c>
      <c r="AM75" s="50" t="str">
        <f t="shared" si="57"/>
        <v>1+0.000210098222330667i</v>
      </c>
      <c r="AN75" s="50">
        <f t="shared" si="81"/>
        <v>1.0000000220706313</v>
      </c>
      <c r="AO75" s="50">
        <f t="shared" si="82"/>
        <v>2.1009821923933345E-4</v>
      </c>
      <c r="AP75" s="50" t="str">
        <f t="shared" si="58"/>
        <v>1-0.001048327378951i</v>
      </c>
      <c r="AQ75" s="50">
        <f t="shared" si="83"/>
        <v>1.0000005494949957</v>
      </c>
      <c r="AR75" s="50">
        <f t="shared" si="84"/>
        <v>-1.048326994917382E-3</v>
      </c>
      <c r="AS75" s="59" t="str">
        <f t="shared" si="85"/>
        <v>105.017595458073-20.1494457424214i</v>
      </c>
      <c r="AT75" s="50">
        <f t="shared" si="86"/>
        <v>40.582246048018085</v>
      </c>
      <c r="AU75" s="61">
        <f t="shared" si="87"/>
        <v>-10.861194037475119</v>
      </c>
      <c r="AV75" s="32" t="str">
        <f t="shared" si="59"/>
        <v>-0.0000333333333333333</v>
      </c>
      <c r="AW75" s="32" t="str">
        <f t="shared" si="60"/>
        <v>0.0000112052385243022i</v>
      </c>
      <c r="AX75" s="32">
        <f t="shared" si="88"/>
        <v>1.12052385243022E-5</v>
      </c>
      <c r="AY75" s="32">
        <f t="shared" si="89"/>
        <v>1.5707963267948966</v>
      </c>
      <c r="AZ75" s="32" t="str">
        <f t="shared" si="61"/>
        <v>1+0.00457158168960247i</v>
      </c>
      <c r="BA75" s="32">
        <f t="shared" si="90"/>
        <v>1.0000104496249749</v>
      </c>
      <c r="BB75" s="32">
        <f t="shared" si="91"/>
        <v>4.5715498422926248E-3</v>
      </c>
      <c r="BC75" s="32" t="str">
        <f t="shared" si="62"/>
        <v>1+0.219435921100919i</v>
      </c>
      <c r="BD75" s="32">
        <f t="shared" si="92"/>
        <v>1.0237930081170747</v>
      </c>
      <c r="BE75" s="32">
        <f t="shared" si="93"/>
        <v>0.21601220346749253</v>
      </c>
      <c r="BF75" s="59" t="str">
        <f t="shared" si="94"/>
        <v>-0.639164882604309+2.97772108161869i</v>
      </c>
      <c r="BG75" s="50">
        <f t="shared" si="95"/>
        <v>9.6733052122667349</v>
      </c>
      <c r="BH75" s="61">
        <f t="shared" si="96"/>
        <v>102.11465707021148</v>
      </c>
      <c r="BI75" s="59" t="str">
        <f t="shared" si="97"/>
        <v>-0.299780987711574+38.2458760244047i</v>
      </c>
      <c r="BJ75" s="64">
        <f t="shared" si="98"/>
        <v>31.651959073141342</v>
      </c>
      <c r="BK75" s="61">
        <f t="shared" si="99"/>
        <v>90.44908982128679</v>
      </c>
      <c r="BL75" s="59" t="str">
        <f t="shared" si="105"/>
        <v>-7.1241297022059+325.591926058904i</v>
      </c>
      <c r="BM75" s="64">
        <f t="shared" si="101"/>
        <v>50.255551260284825</v>
      </c>
      <c r="BN75" s="61">
        <f t="shared" si="106"/>
        <v>91.253463032736363</v>
      </c>
      <c r="BO75" s="50">
        <f t="shared" si="103"/>
        <v>31.651959073141342</v>
      </c>
      <c r="BP75" s="61">
        <f t="shared" si="104"/>
        <v>90.44908982128679</v>
      </c>
    </row>
    <row r="76" spans="1:68" x14ac:dyDescent="0.25">
      <c r="A76" s="32"/>
      <c r="B76" s="32">
        <f>B75/(2*PI())</f>
        <v>176838.82565766151</v>
      </c>
      <c r="C76" s="32" t="s">
        <v>58</v>
      </c>
      <c r="N76" s="11">
        <v>58</v>
      </c>
      <c r="O76" s="51">
        <f t="shared" si="63"/>
        <v>38.018939632056139</v>
      </c>
      <c r="P76" s="49" t="str">
        <f t="shared" si="52"/>
        <v>25.6231073841137</v>
      </c>
      <c r="Q76" s="18" t="str">
        <f t="shared" si="64"/>
        <v>1+0.2065786534432i</v>
      </c>
      <c r="R76" s="18">
        <f t="shared" si="65"/>
        <v>1.0211144598224069</v>
      </c>
      <c r="S76" s="18">
        <f t="shared" si="66"/>
        <v>0.20371311150868229</v>
      </c>
      <c r="T76" s="18" t="str">
        <f t="shared" si="53"/>
        <v>1+0.000214992038601615i</v>
      </c>
      <c r="U76" s="18">
        <f t="shared" si="67"/>
        <v>1.000000023110788</v>
      </c>
      <c r="V76" s="18">
        <f t="shared" si="68"/>
        <v>2.1499203528919141E-4</v>
      </c>
      <c r="W76" s="32" t="str">
        <f t="shared" si="54"/>
        <v>1-0.00481741419829544i</v>
      </c>
      <c r="X76" s="18">
        <f t="shared" si="69"/>
        <v>1.0000116036724562</v>
      </c>
      <c r="Y76" s="18">
        <f t="shared" si="70"/>
        <v>-4.8173769321338414E-3</v>
      </c>
      <c r="Z76" s="32" t="str">
        <f t="shared" si="71"/>
        <v>0.999999963864006+0.000381411801815457i</v>
      </c>
      <c r="AA76" s="18">
        <f t="shared" si="72"/>
        <v>1.0000000366014874</v>
      </c>
      <c r="AB76" s="18">
        <f t="shared" si="73"/>
        <v>3.8141179710286246E-4</v>
      </c>
      <c r="AC76" s="32" t="str">
        <f>IMDIV(IMSUM(COMPLEX(0,2*PI()*O76*Constants!$B$71*Constants!$B$72),COMPLEX(1,0)),IMSUM(COMPLEX(0,2*PI()*O76*Constants!$B$71*Constants!$B$72),COMPLEX(2,0)))</f>
        <v>0.500000114127324+0.000238879988365203i</v>
      </c>
      <c r="AD76" s="18">
        <f t="shared" si="74"/>
        <v>0.50000017119095652</v>
      </c>
      <c r="AE76" s="18">
        <f t="shared" si="75"/>
        <v>4.7775983132922201E-4</v>
      </c>
      <c r="AF76" s="66" t="str">
        <f t="shared" si="76"/>
        <v>12.2757848239631-2.59364492559401i</v>
      </c>
      <c r="AG76" s="64">
        <f t="shared" si="77"/>
        <v>21.970651140570041</v>
      </c>
      <c r="AH76" s="61">
        <f t="shared" si="78"/>
        <v>-11.930078415483797</v>
      </c>
      <c r="AI76" s="50" t="str">
        <f t="shared" si="55"/>
        <v>108.866083054159</v>
      </c>
      <c r="AJ76" s="50" t="str">
        <f t="shared" si="56"/>
        <v>1+0.19544730781965i</v>
      </c>
      <c r="AK76" s="50">
        <f t="shared" si="79"/>
        <v>1.0189208262342806</v>
      </c>
      <c r="AL76" s="50">
        <f t="shared" si="80"/>
        <v>0.19301416323621939</v>
      </c>
      <c r="AM76" s="50" t="str">
        <f t="shared" si="57"/>
        <v>1+0.000214992038601615i</v>
      </c>
      <c r="AN76" s="50">
        <f t="shared" si="81"/>
        <v>1.000000023110788</v>
      </c>
      <c r="AO76" s="50">
        <f t="shared" si="82"/>
        <v>2.1499203528919141E-4</v>
      </c>
      <c r="AP76" s="50" t="str">
        <f t="shared" si="58"/>
        <v>1-0.00107274606049661i</v>
      </c>
      <c r="AQ76" s="50">
        <f t="shared" si="83"/>
        <v>1.0000005753918895</v>
      </c>
      <c r="AR76" s="50">
        <f t="shared" si="84"/>
        <v>-1.0727456489971871E-3</v>
      </c>
      <c r="AS76" s="59" t="str">
        <f t="shared" si="85"/>
        <v>104.842895310012-20.5846419529469i</v>
      </c>
      <c r="AT76" s="50">
        <f t="shared" si="86"/>
        <v>40.575048366811693</v>
      </c>
      <c r="AU76" s="61">
        <f t="shared" si="87"/>
        <v>-11.108042601612063</v>
      </c>
      <c r="AV76" s="32" t="str">
        <f t="shared" si="59"/>
        <v>-0.0000333333333333333</v>
      </c>
      <c r="AW76" s="32" t="str">
        <f t="shared" si="60"/>
        <v>0.0000114662420587528i</v>
      </c>
      <c r="AX76" s="32">
        <f t="shared" si="88"/>
        <v>1.1466242058752799E-5</v>
      </c>
      <c r="AY76" s="32">
        <f t="shared" si="89"/>
        <v>1.5707963267948966</v>
      </c>
      <c r="AZ76" s="32" t="str">
        <f t="shared" si="61"/>
        <v>1+0.00467806750660921i</v>
      </c>
      <c r="BA76" s="32">
        <f t="shared" si="90"/>
        <v>1.0000109420979335</v>
      </c>
      <c r="BB76" s="32">
        <f t="shared" si="91"/>
        <v>4.6780333816220576E-3</v>
      </c>
      <c r="BC76" s="32" t="str">
        <f t="shared" si="62"/>
        <v>1+0.224547240317243i</v>
      </c>
      <c r="BD76" s="32">
        <f t="shared" si="92"/>
        <v>1.0249007089148146</v>
      </c>
      <c r="BE76" s="32">
        <f t="shared" si="93"/>
        <v>0.22088345740115412</v>
      </c>
      <c r="BF76" s="59" t="str">
        <f t="shared" si="94"/>
        <v>-0.639164253068509+2.91007444634687i</v>
      </c>
      <c r="BG76" s="50">
        <f t="shared" si="95"/>
        <v>9.4826936201820704</v>
      </c>
      <c r="BH76" s="61">
        <f t="shared" si="96"/>
        <v>102.38765830415558</v>
      </c>
      <c r="BI76" s="59" t="str">
        <f t="shared" si="97"/>
        <v>-0.298543016969755+37.38121284666i</v>
      </c>
      <c r="BJ76" s="64">
        <f t="shared" si="98"/>
        <v>31.453344760752127</v>
      </c>
      <c r="BK76" s="61">
        <f t="shared" si="99"/>
        <v>90.457579888671773</v>
      </c>
      <c r="BL76" s="59" t="str">
        <f t="shared" si="105"/>
        <v>-7.1089903358932+318.257597821224i</v>
      </c>
      <c r="BM76" s="64">
        <f t="shared" si="101"/>
        <v>50.057741986993769</v>
      </c>
      <c r="BN76" s="61">
        <f t="shared" si="106"/>
        <v>91.279615702543509</v>
      </c>
      <c r="BO76" s="50">
        <f t="shared" si="103"/>
        <v>31.453344760752127</v>
      </c>
      <c r="BP76" s="61">
        <f t="shared" si="104"/>
        <v>90.457579888671773</v>
      </c>
    </row>
    <row r="77" spans="1:68" x14ac:dyDescent="0.25">
      <c r="A77" s="32" t="s">
        <v>393</v>
      </c>
      <c r="B77" s="32">
        <f>2*Fsw/(DC_VIN_var_DCM)</f>
        <v>222680.88570756165</v>
      </c>
      <c r="C77" s="32" t="s">
        <v>330</v>
      </c>
      <c r="N77" s="11">
        <v>59</v>
      </c>
      <c r="O77" s="51">
        <f t="shared" si="63"/>
        <v>38.904514499428053</v>
      </c>
      <c r="P77" s="49" t="str">
        <f t="shared" si="52"/>
        <v>25.6231073841137</v>
      </c>
      <c r="Q77" s="18" t="str">
        <f t="shared" si="64"/>
        <v>1+0.211390488423221i</v>
      </c>
      <c r="R77" s="18">
        <f t="shared" si="65"/>
        <v>1.0220987910157255</v>
      </c>
      <c r="S77" s="18">
        <f t="shared" si="66"/>
        <v>0.20832357898551651</v>
      </c>
      <c r="T77" s="18" t="str">
        <f t="shared" si="53"/>
        <v>1+0.000219999846497186i</v>
      </c>
      <c r="U77" s="18">
        <f t="shared" si="67"/>
        <v>1.000000024199966</v>
      </c>
      <c r="V77" s="18">
        <f t="shared" si="68"/>
        <v>2.1999984294786021E-4</v>
      </c>
      <c r="W77" s="32" t="str">
        <f t="shared" si="54"/>
        <v>1-0.00492962619002954i</v>
      </c>
      <c r="X77" s="18">
        <f t="shared" si="69"/>
        <v>1.000012150533369</v>
      </c>
      <c r="Y77" s="18">
        <f t="shared" si="70"/>
        <v>-4.9295862586441587E-3</v>
      </c>
      <c r="Z77" s="32" t="str">
        <f t="shared" si="71"/>
        <v>0.999999962160969+0.000390296023970933i</v>
      </c>
      <c r="AA77" s="18">
        <f t="shared" si="72"/>
        <v>1.000000038326462</v>
      </c>
      <c r="AB77" s="18">
        <f t="shared" si="73"/>
        <v>3.9029601892129703E-4</v>
      </c>
      <c r="AC77" s="32" t="str">
        <f>IMDIV(IMSUM(COMPLEX(0,2*PI()*O77*Constants!$B$71*Constants!$B$72),COMPLEX(1,0)),IMSUM(COMPLEX(0,2*PI()*O77*Constants!$B$71*Constants!$B$72),COMPLEX(2,0)))</f>
        <v>0.500000119505978+0.000244444215460658i</v>
      </c>
      <c r="AD77" s="18">
        <f t="shared" si="74"/>
        <v>0.5000001792589347</v>
      </c>
      <c r="AE77" s="18">
        <f t="shared" si="75"/>
        <v>4.8888827512114682E-4</v>
      </c>
      <c r="AF77" s="66" t="str">
        <f t="shared" si="76"/>
        <v>12.2516148719149-2.64894937978712i</v>
      </c>
      <c r="AG77" s="64">
        <f t="shared" si="77"/>
        <v>21.962287057494589</v>
      </c>
      <c r="AH77" s="61">
        <f t="shared" si="78"/>
        <v>-12.20025235362896</v>
      </c>
      <c r="AI77" s="50" t="str">
        <f t="shared" si="55"/>
        <v>108.866083054159</v>
      </c>
      <c r="AJ77" s="50" t="str">
        <f t="shared" si="56"/>
        <v>1+0.199999860451987i</v>
      </c>
      <c r="AK77" s="50">
        <f t="shared" si="79"/>
        <v>1.0198038753509493</v>
      </c>
      <c r="AL77" s="50">
        <f t="shared" si="80"/>
        <v>0.19739542566909543</v>
      </c>
      <c r="AM77" s="50" t="str">
        <f t="shared" si="57"/>
        <v>1+0.000219999846497186i</v>
      </c>
      <c r="AN77" s="50">
        <f t="shared" si="81"/>
        <v>1.000000024199966</v>
      </c>
      <c r="AO77" s="50">
        <f t="shared" si="82"/>
        <v>2.1999984294786021E-4</v>
      </c>
      <c r="AP77" s="50" t="str">
        <f t="shared" si="58"/>
        <v>1-0.00109773352620297i</v>
      </c>
      <c r="AQ77" s="50">
        <f t="shared" si="83"/>
        <v>1.0000006025092658</v>
      </c>
      <c r="AR77" s="50">
        <f t="shared" si="84"/>
        <v>-1.0977330852734086E-3</v>
      </c>
      <c r="AS77" s="59" t="str">
        <f t="shared" si="85"/>
        <v>104.660580880113-21.0276569985207i</v>
      </c>
      <c r="AT77" s="50">
        <f t="shared" si="86"/>
        <v>40.567524233804946</v>
      </c>
      <c r="AU77" s="61">
        <f t="shared" si="87"/>
        <v>-11.360215196351069</v>
      </c>
      <c r="AV77" s="32" t="str">
        <f t="shared" si="59"/>
        <v>-0.0000333333333333333</v>
      </c>
      <c r="AW77" s="32" t="str">
        <f t="shared" si="60"/>
        <v>0.0000117333251465166i</v>
      </c>
      <c r="AX77" s="32">
        <f t="shared" si="88"/>
        <v>1.17333251465166E-5</v>
      </c>
      <c r="AY77" s="32">
        <f t="shared" si="89"/>
        <v>1.5707963267948966</v>
      </c>
      <c r="AZ77" s="32" t="str">
        <f t="shared" si="61"/>
        <v>1+0.00478703369692951i</v>
      </c>
      <c r="BA77" s="32">
        <f t="shared" si="90"/>
        <v>1.0000114577801675</v>
      </c>
      <c r="BB77" s="32">
        <f t="shared" si="91"/>
        <v>4.7869971313696134E-3</v>
      </c>
      <c r="BC77" s="32" t="str">
        <f t="shared" si="62"/>
        <v>1+0.229777617452617i</v>
      </c>
      <c r="BD77" s="32">
        <f t="shared" si="92"/>
        <v>1.0260593323400948</v>
      </c>
      <c r="BE77" s="32">
        <f t="shared" si="93"/>
        <v>0.22585716817477075</v>
      </c>
      <c r="BF77" s="59" t="str">
        <f t="shared" si="94"/>
        <v>-0.639163593864933+2.84397077078824i</v>
      </c>
      <c r="BG77" s="50">
        <f t="shared" si="95"/>
        <v>9.2925027659827482</v>
      </c>
      <c r="BH77" s="61">
        <f t="shared" si="96"/>
        <v>102.66638777702214</v>
      </c>
      <c r="BI77" s="59" t="str">
        <f t="shared" si="97"/>
        <v>-0.297251582769983+36.5363465962315i</v>
      </c>
      <c r="BJ77" s="64">
        <f t="shared" si="98"/>
        <v>31.254789823477338</v>
      </c>
      <c r="BK77" s="61">
        <f t="shared" si="99"/>
        <v>90.466135423393169</v>
      </c>
      <c r="BL77" s="59" t="str">
        <f t="shared" si="105"/>
        <v>-7.09319112937087+311.091745694494i</v>
      </c>
      <c r="BM77" s="64">
        <f t="shared" si="101"/>
        <v>49.860026999787706</v>
      </c>
      <c r="BN77" s="61">
        <f t="shared" si="106"/>
        <v>91.30617258067106</v>
      </c>
      <c r="BO77" s="50">
        <f t="shared" si="103"/>
        <v>31.254789823477338</v>
      </c>
      <c r="BP77" s="61">
        <f t="shared" si="104"/>
        <v>90.466135423393169</v>
      </c>
    </row>
    <row r="78" spans="1:68" x14ac:dyDescent="0.25">
      <c r="A78" s="32"/>
      <c r="B78" s="32">
        <f>B77/(2*PI())</f>
        <v>35440.763692439825</v>
      </c>
      <c r="C78" s="32" t="s">
        <v>58</v>
      </c>
      <c r="N78" s="11">
        <v>60</v>
      </c>
      <c r="O78" s="51">
        <f t="shared" si="63"/>
        <v>39.810717055349755</v>
      </c>
      <c r="P78" s="49" t="str">
        <f t="shared" si="52"/>
        <v>25.6231073841137</v>
      </c>
      <c r="Q78" s="18" t="str">
        <f t="shared" si="64"/>
        <v>1+0.216314405438288i</v>
      </c>
      <c r="R78" s="18">
        <f t="shared" si="65"/>
        <v>1.0231284973062378</v>
      </c>
      <c r="S78" s="18">
        <f t="shared" si="66"/>
        <v>0.21303215161593497</v>
      </c>
      <c r="T78" s="18" t="str">
        <f t="shared" si="53"/>
        <v>1+0.000225124301223412i</v>
      </c>
      <c r="U78" s="18">
        <f t="shared" si="67"/>
        <v>1.0000000253404753</v>
      </c>
      <c r="V78" s="18">
        <f t="shared" si="68"/>
        <v>2.2512429742024091E-4</v>
      </c>
      <c r="W78" s="32" t="str">
        <f t="shared" si="54"/>
        <v>1-0.00504445193482089i</v>
      </c>
      <c r="X78" s="18">
        <f t="shared" si="69"/>
        <v>1.0000127231667217</v>
      </c>
      <c r="Y78" s="18">
        <f t="shared" si="70"/>
        <v>-5.044409147599971E-3</v>
      </c>
      <c r="Z78" s="32" t="str">
        <f t="shared" si="71"/>
        <v>0.99999996037767+0.000399387186244496i</v>
      </c>
      <c r="AA78" s="18">
        <f t="shared" si="72"/>
        <v>1.0000000401327322</v>
      </c>
      <c r="AB78" s="18">
        <f t="shared" si="73"/>
        <v>3.9938718083371374E-4</v>
      </c>
      <c r="AC78" s="32" t="str">
        <f>IMDIV(IMSUM(COMPLEX(0,2*PI()*O78*Constants!$B$71*Constants!$B$72),COMPLEX(1,0)),IMSUM(COMPLEX(0,2*PI()*O78*Constants!$B$71*Constants!$B$72),COMPLEX(2,0)))</f>
        <v>0.500000125138119+0.000250138049866832i</v>
      </c>
      <c r="AD78" s="18">
        <f t="shared" si="74"/>
        <v>0.50000018770714338</v>
      </c>
      <c r="AE78" s="18">
        <f t="shared" si="75"/>
        <v>5.0027593279078299E-4</v>
      </c>
      <c r="AF78" s="66" t="str">
        <f t="shared" si="76"/>
        <v>12.2264053691928-2.70519815964733i</v>
      </c>
      <c r="AG78" s="64">
        <f t="shared" si="77"/>
        <v>21.953546038247559</v>
      </c>
      <c r="AH78" s="61">
        <f t="shared" si="78"/>
        <v>-12.476187370683322</v>
      </c>
      <c r="AI78" s="50" t="str">
        <f t="shared" si="55"/>
        <v>108.866083054159</v>
      </c>
      <c r="AJ78" s="50" t="str">
        <f t="shared" si="56"/>
        <v>1+0.204658455657647i</v>
      </c>
      <c r="AK78" s="50">
        <f t="shared" si="79"/>
        <v>1.020727722496148</v>
      </c>
      <c r="AL78" s="50">
        <f t="shared" si="80"/>
        <v>0.2018708050535038</v>
      </c>
      <c r="AM78" s="50" t="str">
        <f t="shared" si="57"/>
        <v>1+0.000225124301223412i</v>
      </c>
      <c r="AN78" s="50">
        <f t="shared" si="81"/>
        <v>1.0000000253404753</v>
      </c>
      <c r="AO78" s="50">
        <f t="shared" si="82"/>
        <v>2.2512429742024091E-4</v>
      </c>
      <c r="AP78" s="50" t="str">
        <f t="shared" si="58"/>
        <v>1-0.00112330302475514i</v>
      </c>
      <c r="AQ78" s="50">
        <f t="shared" si="83"/>
        <v>1.0000006309046436</v>
      </c>
      <c r="AR78" s="50">
        <f t="shared" si="84"/>
        <v>-1.1233025522906189E-3</v>
      </c>
      <c r="AS78" s="59" t="str">
        <f t="shared" si="85"/>
        <v>104.470349525013-21.4785215953172i</v>
      </c>
      <c r="AT78" s="50">
        <f t="shared" si="86"/>
        <v>40.559659446846517</v>
      </c>
      <c r="AU78" s="61">
        <f t="shared" si="87"/>
        <v>-11.617806959728455</v>
      </c>
      <c r="AV78" s="32" t="str">
        <f t="shared" si="59"/>
        <v>-0.0000333333333333333</v>
      </c>
      <c r="AW78" s="32" t="str">
        <f t="shared" si="60"/>
        <v>0.000012006629398582i</v>
      </c>
      <c r="AX78" s="32">
        <f t="shared" si="88"/>
        <v>1.2006629398581999E-5</v>
      </c>
      <c r="AY78" s="32">
        <f t="shared" si="89"/>
        <v>1.5707963267948966</v>
      </c>
      <c r="AZ78" s="32" t="str">
        <f t="shared" si="61"/>
        <v>1+0.00489853803587979i</v>
      </c>
      <c r="BA78" s="32">
        <f t="shared" si="90"/>
        <v>1.0000119977654713</v>
      </c>
      <c r="BB78" s="32">
        <f t="shared" si="91"/>
        <v>4.898498855201841E-3</v>
      </c>
      <c r="BC78" s="32" t="str">
        <f t="shared" si="62"/>
        <v>1+0.23512982572223i</v>
      </c>
      <c r="BD78" s="32">
        <f t="shared" si="92"/>
        <v>1.0272711594044517</v>
      </c>
      <c r="BE78" s="32">
        <f t="shared" si="93"/>
        <v>0.2309349881627335</v>
      </c>
      <c r="BF78" s="59" t="str">
        <f t="shared" si="94"/>
        <v>-0.639162903595503+2.77937500587917i</v>
      </c>
      <c r="BG78" s="50">
        <f t="shared" si="95"/>
        <v>9.1027504900025864</v>
      </c>
      <c r="BH78" s="61">
        <f t="shared" si="96"/>
        <v>102.95093685327554</v>
      </c>
      <c r="BI78" s="59" t="str">
        <f t="shared" si="97"/>
        <v>-0.295904605434801+35.7108278054028i</v>
      </c>
      <c r="BJ78" s="64">
        <f t="shared" si="98"/>
        <v>31.056296528250158</v>
      </c>
      <c r="BK78" s="61">
        <f t="shared" si="99"/>
        <v>90.47474948259223</v>
      </c>
      <c r="BL78" s="59" t="str">
        <f t="shared" si="105"/>
        <v>-7.07670585678376+304.090552553084i</v>
      </c>
      <c r="BM78" s="64">
        <f t="shared" si="101"/>
        <v>49.662409936849123</v>
      </c>
      <c r="BN78" s="61">
        <f t="shared" si="106"/>
        <v>91.333129893547081</v>
      </c>
      <c r="BO78" s="50">
        <f t="shared" si="103"/>
        <v>31.056296528250158</v>
      </c>
      <c r="BP78" s="61">
        <f t="shared" si="104"/>
        <v>90.47474948259223</v>
      </c>
    </row>
    <row r="79" spans="1:68" x14ac:dyDescent="0.25">
      <c r="A79" s="68" t="s">
        <v>768</v>
      </c>
      <c r="N79" s="11">
        <v>61</v>
      </c>
      <c r="O79" s="51">
        <f t="shared" si="63"/>
        <v>40.738027780411279</v>
      </c>
      <c r="P79" s="49" t="str">
        <f t="shared" si="52"/>
        <v>25.6231073841137</v>
      </c>
      <c r="Q79" s="18" t="str">
        <f t="shared" si="64"/>
        <v>1+0.221353015214378i</v>
      </c>
      <c r="R79" s="18">
        <f t="shared" si="65"/>
        <v>1.0242056225897691</v>
      </c>
      <c r="S79" s="18">
        <f t="shared" si="66"/>
        <v>0.21784049042317621</v>
      </c>
      <c r="T79" s="18" t="str">
        <f t="shared" si="53"/>
        <v>1+0.000230368119834019i</v>
      </c>
      <c r="U79" s="18">
        <f t="shared" si="67"/>
        <v>1.0000000265347349</v>
      </c>
      <c r="V79" s="18">
        <f t="shared" si="68"/>
        <v>2.3036811575884774E-4</v>
      </c>
      <c r="W79" s="32" t="str">
        <f t="shared" si="54"/>
        <v>1-0.00516195231479931i</v>
      </c>
      <c r="X79" s="18">
        <f t="shared" si="69"/>
        <v>1.0000133227871018</v>
      </c>
      <c r="Y79" s="18">
        <f t="shared" si="70"/>
        <v>-5.1619064674990663E-3</v>
      </c>
      <c r="Z79" s="32" t="str">
        <f t="shared" si="71"/>
        <v>0.999999958510327+0.000408690108890722i</v>
      </c>
      <c r="AA79" s="18">
        <f t="shared" si="72"/>
        <v>1.0000000420241295</v>
      </c>
      <c r="AB79" s="18">
        <f t="shared" si="73"/>
        <v>4.0869010309296441E-4</v>
      </c>
      <c r="AC79" s="32" t="str">
        <f>IMDIV(IMSUM(COMPLEX(0,2*PI()*O79*Constants!$B$71*Constants!$B$72),COMPLEX(1,0)),IMSUM(COMPLEX(0,2*PI()*O79*Constants!$B$71*Constants!$B$72),COMPLEX(2,0)))</f>
        <v>0.500000131035696+0.000255964510512362i</v>
      </c>
      <c r="AD79" s="18">
        <f t="shared" si="74"/>
        <v>0.50000019655350514</v>
      </c>
      <c r="AE79" s="18">
        <f t="shared" si="75"/>
        <v>5.1192884214221169E-4</v>
      </c>
      <c r="AF79" s="66" t="str">
        <f t="shared" si="76"/>
        <v>12.2001162692701-2.7623911490315i</v>
      </c>
      <c r="AG79" s="64">
        <f t="shared" si="77"/>
        <v>21.944411906631988</v>
      </c>
      <c r="AH79" s="61">
        <f t="shared" si="78"/>
        <v>-12.757981898339818</v>
      </c>
      <c r="AI79" s="50" t="str">
        <f t="shared" si="55"/>
        <v>108.866083054159</v>
      </c>
      <c r="AJ79" s="50" t="str">
        <f t="shared" si="56"/>
        <v>1+0.209425563485472i</v>
      </c>
      <c r="AK79" s="50">
        <f t="shared" si="79"/>
        <v>1.0216942138630363</v>
      </c>
      <c r="AL79" s="50">
        <f t="shared" si="80"/>
        <v>0.20644195685500272</v>
      </c>
      <c r="AM79" s="50" t="str">
        <f t="shared" si="57"/>
        <v>1+0.000230368119834019i</v>
      </c>
      <c r="AN79" s="50">
        <f t="shared" si="81"/>
        <v>1.0000000265347349</v>
      </c>
      <c r="AO79" s="50">
        <f t="shared" si="82"/>
        <v>2.3036811575884774E-4</v>
      </c>
      <c r="AP79" s="50" t="str">
        <f t="shared" si="58"/>
        <v>1-0.00114946811343971i</v>
      </c>
      <c r="AQ79" s="50">
        <f t="shared" si="83"/>
        <v>1.0000006606382537</v>
      </c>
      <c r="AR79" s="50">
        <f t="shared" si="84"/>
        <v>-1.1494676071848726E-3</v>
      </c>
      <c r="AS79" s="59" t="str">
        <f t="shared" si="85"/>
        <v>104.271889267812-21.9372579818452i</v>
      </c>
      <c r="AT79" s="50">
        <f t="shared" si="86"/>
        <v>40.551439241714398</v>
      </c>
      <c r="AU79" s="61">
        <f t="shared" si="87"/>
        <v>-11.880913364024808</v>
      </c>
      <c r="AV79" s="32" t="str">
        <f t="shared" si="59"/>
        <v>-0.0000333333333333333</v>
      </c>
      <c r="AW79" s="32" t="str">
        <f t="shared" si="60"/>
        <v>0.000012286299724481i</v>
      </c>
      <c r="AX79" s="32">
        <f t="shared" si="88"/>
        <v>1.2286299724481E-5</v>
      </c>
      <c r="AY79" s="32">
        <f t="shared" si="89"/>
        <v>1.5707963267948966</v>
      </c>
      <c r="AZ79" s="32" t="str">
        <f t="shared" si="61"/>
        <v>1+0.00501263964453652i</v>
      </c>
      <c r="BA79" s="32">
        <f t="shared" si="90"/>
        <v>1.0000125631991859</v>
      </c>
      <c r="BB79" s="32">
        <f t="shared" si="91"/>
        <v>5.0125976617121917E-3</v>
      </c>
      <c r="BC79" s="32" t="str">
        <f t="shared" si="62"/>
        <v>1+0.240606702937753i</v>
      </c>
      <c r="BD79" s="32">
        <f t="shared" si="92"/>
        <v>1.0285385678226053</v>
      </c>
      <c r="BE79" s="32">
        <f t="shared" si="93"/>
        <v>0.23611856180333327</v>
      </c>
      <c r="BF79" s="59" t="str">
        <f t="shared" si="94"/>
        <v>-0.639162180796279+2.71625290206882i</v>
      </c>
      <c r="BG79" s="50">
        <f t="shared" si="95"/>
        <v>8.9134552965939466</v>
      </c>
      <c r="BH79" s="61">
        <f t="shared" si="96"/>
        <v>103.24139636561661</v>
      </c>
      <c r="BI79" s="59" t="str">
        <f t="shared" si="97"/>
        <v>-0.294499945428806+34.9042171730093i</v>
      </c>
      <c r="BJ79" s="64">
        <f t="shared" si="98"/>
        <v>30.85786720322595</v>
      </c>
      <c r="BK79" s="61">
        <f t="shared" si="99"/>
        <v>90.483414467276788</v>
      </c>
      <c r="BL79" s="59" t="str">
        <f t="shared" si="105"/>
        <v>-7.05950748354343+297.25028748026i</v>
      </c>
      <c r="BM79" s="64">
        <f t="shared" si="101"/>
        <v>49.464894538308357</v>
      </c>
      <c r="BN79" s="61">
        <f t="shared" si="106"/>
        <v>91.360483001591803</v>
      </c>
      <c r="BO79" s="50">
        <f t="shared" si="103"/>
        <v>30.85786720322595</v>
      </c>
      <c r="BP79" s="61">
        <f t="shared" si="104"/>
        <v>90.483414467276788</v>
      </c>
    </row>
    <row r="80" spans="1:68" x14ac:dyDescent="0.25">
      <c r="A80" s="32"/>
      <c r="B80" s="32"/>
      <c r="C80" s="32"/>
      <c r="D80" s="32"/>
      <c r="E80" s="32" t="s">
        <v>764</v>
      </c>
      <c r="F80" s="32"/>
      <c r="N80" s="11">
        <v>62</v>
      </c>
      <c r="O80" s="51">
        <f t="shared" si="63"/>
        <v>41.686938347033561</v>
      </c>
      <c r="P80" s="49" t="str">
        <f t="shared" si="52"/>
        <v>25.6231073841137</v>
      </c>
      <c r="Q80" s="18" t="str">
        <f t="shared" si="64"/>
        <v>1+0.226508989289088i</v>
      </c>
      <c r="R80" s="18">
        <f t="shared" si="65"/>
        <v>1.0253322984421998</v>
      </c>
      <c r="S80" s="18">
        <f t="shared" si="66"/>
        <v>0.22275025508903645</v>
      </c>
      <c r="T80" s="18" t="str">
        <f t="shared" si="53"/>
        <v>1+0.000235734082671045i</v>
      </c>
      <c r="U80" s="18">
        <f t="shared" si="67"/>
        <v>1.0000000277852785</v>
      </c>
      <c r="V80" s="18">
        <f t="shared" si="68"/>
        <v>2.3573407830442032E-4</v>
      </c>
      <c r="W80" s="32" t="str">
        <f t="shared" si="54"/>
        <v>1-0.00528218963022156i</v>
      </c>
      <c r="X80" s="18">
        <f t="shared" si="69"/>
        <v>1.0000139506663344</v>
      </c>
      <c r="Y80" s="18">
        <f t="shared" si="70"/>
        <v>-5.28214050399127E-3</v>
      </c>
      <c r="Z80" s="32" t="str">
        <f t="shared" si="71"/>
        <v>0.999999956554979+0.000418209724442335i</v>
      </c>
      <c r="AA80" s="18">
        <f t="shared" si="72"/>
        <v>1.0000000440046657</v>
      </c>
      <c r="AB80" s="18">
        <f t="shared" si="73"/>
        <v>4.1820971822992584E-4</v>
      </c>
      <c r="AC80" s="32" t="str">
        <f>IMDIV(IMSUM(COMPLEX(0,2*PI()*O80*Constants!$B$71*Constants!$B$72),COMPLEX(1,0)),IMSUM(COMPLEX(0,2*PI()*O80*Constants!$B$71*Constants!$B$72),COMPLEX(2,0)))</f>
        <v>0.500000137211216+0.000261926686644804i</v>
      </c>
      <c r="AD80" s="18">
        <f t="shared" si="74"/>
        <v>0.50000020581678162</v>
      </c>
      <c r="AE80" s="18">
        <f t="shared" si="75"/>
        <v>5.2385318161355234E-4</v>
      </c>
      <c r="AF80" s="66" t="str">
        <f t="shared" si="76"/>
        <v>12.1727064101161-2.820526926394i</v>
      </c>
      <c r="AG80" s="64">
        <f t="shared" si="77"/>
        <v>21.934867866588533</v>
      </c>
      <c r="AH80" s="61">
        <f t="shared" si="78"/>
        <v>-13.045734367378772</v>
      </c>
      <c r="AI80" s="50" t="str">
        <f t="shared" si="55"/>
        <v>108.866083054159</v>
      </c>
      <c r="AJ80" s="50" t="str">
        <f t="shared" si="56"/>
        <v>1+0.214303711519132i</v>
      </c>
      <c r="AK80" s="50">
        <f t="shared" si="79"/>
        <v>1.0227052756150599</v>
      </c>
      <c r="AL80" s="50">
        <f t="shared" si="80"/>
        <v>0.21111054027027334</v>
      </c>
      <c r="AM80" s="50" t="str">
        <f t="shared" si="57"/>
        <v>1+0.000235734082671045i</v>
      </c>
      <c r="AN80" s="50">
        <f t="shared" si="81"/>
        <v>1.0000000277852785</v>
      </c>
      <c r="AO80" s="50">
        <f t="shared" si="82"/>
        <v>2.3573407830442032E-4</v>
      </c>
      <c r="AP80" s="50" t="str">
        <f t="shared" si="58"/>
        <v>1-0.00117624266533303i</v>
      </c>
      <c r="AQ80" s="50">
        <f t="shared" si="83"/>
        <v>1.0000006917731645</v>
      </c>
      <c r="AR80" s="50">
        <f t="shared" si="84"/>
        <v>-1.1762421228712187E-3</v>
      </c>
      <c r="AS80" s="59" t="str">
        <f t="shared" si="85"/>
        <v>104.064878766213-22.4038792438612i</v>
      </c>
      <c r="AT80" s="50">
        <f t="shared" si="86"/>
        <v>40.542848275011885</v>
      </c>
      <c r="AU80" s="61">
        <f t="shared" si="87"/>
        <v>-12.149630109765058</v>
      </c>
      <c r="AV80" s="32" t="str">
        <f t="shared" si="59"/>
        <v>-0.0000333333333333333</v>
      </c>
      <c r="AW80" s="32" t="str">
        <f t="shared" si="60"/>
        <v>0.0000125724844091224i</v>
      </c>
      <c r="AX80" s="32">
        <f t="shared" si="88"/>
        <v>1.25724844091224E-5</v>
      </c>
      <c r="AY80" s="32">
        <f t="shared" si="89"/>
        <v>1.5707963267948966</v>
      </c>
      <c r="AZ80" s="32" t="str">
        <f t="shared" si="61"/>
        <v>1+0.00512939902108292i</v>
      </c>
      <c r="BA80" s="32">
        <f t="shared" si="90"/>
        <v>1.000013155280628</v>
      </c>
      <c r="BB80" s="32">
        <f t="shared" si="91"/>
        <v>5.1293540357081257E-3</v>
      </c>
      <c r="BC80" s="32" t="str">
        <f t="shared" si="62"/>
        <v>1+0.246211153011981i</v>
      </c>
      <c r="BD80" s="32">
        <f t="shared" si="92"/>
        <v>1.0298640356219306</v>
      </c>
      <c r="BE80" s="32">
        <f t="shared" si="93"/>
        <v>0.2414095227680198</v>
      </c>
      <c r="BF80" s="59" t="str">
        <f t="shared" si="94"/>
        <v>-0.639161423934329+2.6545709911594i</v>
      </c>
      <c r="BG80" s="50">
        <f t="shared" si="95"/>
        <v>8.7246363704369472</v>
      </c>
      <c r="BH80" s="61">
        <f t="shared" si="96"/>
        <v>103.53785645100037</v>
      </c>
      <c r="BI80" s="59" t="str">
        <f t="shared" si="97"/>
        <v>-0.293035403634844+34.1160853267134i</v>
      </c>
      <c r="BJ80" s="64">
        <f t="shared" si="98"/>
        <v>30.659504237025487</v>
      </c>
      <c r="BK80" s="61">
        <f t="shared" si="99"/>
        <v>90.492122083621595</v>
      </c>
      <c r="BL80" s="59" t="str">
        <f t="shared" si="105"/>
        <v>-7.04156816357387+290.567303730468i</v>
      </c>
      <c r="BM80" s="64">
        <f t="shared" si="101"/>
        <v>49.267484645448832</v>
      </c>
      <c r="BN80" s="61">
        <f t="shared" si="106"/>
        <v>91.38822634123531</v>
      </c>
      <c r="BO80" s="50">
        <f t="shared" si="103"/>
        <v>30.659504237025487</v>
      </c>
      <c r="BP80" s="61">
        <f t="shared" si="104"/>
        <v>90.492122083621595</v>
      </c>
    </row>
    <row r="81" spans="1:68" x14ac:dyDescent="0.25">
      <c r="A81" s="32" t="s">
        <v>765</v>
      </c>
      <c r="B81" s="32">
        <f t="array" ref="B81">INDEX(BO19:BO560,(MATCH(TRUE,BO19:BO560&lt;0,)-1))</f>
        <v>0.14921841776639391</v>
      </c>
      <c r="C81" s="32">
        <f t="array" ref="C81">INDEX(BO19:BO560,(MATCH(TRUE,BO19:BO560&lt;0,)-0))</f>
        <v>-4.9736743863706266E-2</v>
      </c>
      <c r="D81" s="32"/>
      <c r="E81" s="32"/>
      <c r="F81" s="32"/>
      <c r="N81" s="11">
        <v>63</v>
      </c>
      <c r="O81" s="51">
        <f t="shared" si="63"/>
        <v>42.657951880159267</v>
      </c>
      <c r="P81" s="49" t="str">
        <f t="shared" si="52"/>
        <v>25.6231073841137</v>
      </c>
      <c r="Q81" s="18" t="str">
        <f t="shared" si="64"/>
        <v>1+0.23178506142812i</v>
      </c>
      <c r="R81" s="18">
        <f t="shared" si="65"/>
        <v>1.0265107474845245</v>
      </c>
      <c r="S81" s="18">
        <f t="shared" si="66"/>
        <v>0.2277631015759751</v>
      </c>
      <c r="T81" s="18" t="str">
        <f t="shared" si="53"/>
        <v>1+0.000241225034839012i</v>
      </c>
      <c r="U81" s="18">
        <f t="shared" si="67"/>
        <v>1.0000000290947584</v>
      </c>
      <c r="V81" s="18">
        <f t="shared" si="68"/>
        <v>2.4122503016008937E-4</v>
      </c>
      <c r="W81" s="32" t="str">
        <f t="shared" si="54"/>
        <v>1-0.00540522763250379i</v>
      </c>
      <c r="X81" s="18">
        <f t="shared" si="69"/>
        <v>1.0000146081361807</v>
      </c>
      <c r="Y81" s="18">
        <f t="shared" si="70"/>
        <v>-5.4051749928411708E-3</v>
      </c>
      <c r="Z81" s="32" t="str">
        <f t="shared" si="71"/>
        <v>0.999999954507479+0.000427951080325506i</v>
      </c>
      <c r="AA81" s="18">
        <f t="shared" si="72"/>
        <v>1.0000000460785428</v>
      </c>
      <c r="AB81" s="18">
        <f t="shared" si="73"/>
        <v>4.2795107366878931E-4</v>
      </c>
      <c r="AC81" s="32" t="str">
        <f>IMDIV(IMSUM(COMPLEX(0,2*PI()*O81*Constants!$B$71*Constants!$B$72),COMPLEX(1,0)),IMSUM(COMPLEX(0,2*PI()*O81*Constants!$B$71*Constants!$B$72),COMPLEX(2,0)))</f>
        <v>0.500000143677779+0.000268027739468507i</v>
      </c>
      <c r="AD81" s="18">
        <f t="shared" si="74"/>
        <v>0.50000021551662233</v>
      </c>
      <c r="AE81" s="18">
        <f t="shared" si="75"/>
        <v>5.3605527355243094E-4</v>
      </c>
      <c r="AF81" s="66" t="str">
        <f t="shared" si="76"/>
        <v>12.1441335237459-2.87960267132279i</v>
      </c>
      <c r="AG81" s="64">
        <f t="shared" si="77"/>
        <v>21.924896485244624</v>
      </c>
      <c r="AH81" s="61">
        <f t="shared" si="78"/>
        <v>-13.339543073190278</v>
      </c>
      <c r="AI81" s="50" t="str">
        <f t="shared" si="55"/>
        <v>108.866083054159</v>
      </c>
      <c r="AJ81" s="50" t="str">
        <f t="shared" si="56"/>
        <v>1+0.219295486217284i</v>
      </c>
      <c r="AK81" s="50">
        <f t="shared" si="79"/>
        <v>1.0237629170248721</v>
      </c>
      <c r="AL81" s="50">
        <f t="shared" si="80"/>
        <v>0.21587821622588685</v>
      </c>
      <c r="AM81" s="50" t="str">
        <f t="shared" si="57"/>
        <v>1+0.000241225034839012i</v>
      </c>
      <c r="AN81" s="50">
        <f t="shared" si="81"/>
        <v>1.0000000290947584</v>
      </c>
      <c r="AO81" s="50">
        <f t="shared" si="82"/>
        <v>2.4122503016008937E-4</v>
      </c>
      <c r="AP81" s="50" t="str">
        <f t="shared" si="58"/>
        <v>1-0.00120364087665693i</v>
      </c>
      <c r="AQ81" s="50">
        <f t="shared" si="83"/>
        <v>1.0000007243754176</v>
      </c>
      <c r="AR81" s="50">
        <f t="shared" si="84"/>
        <v>-1.2036402953986495E-3</v>
      </c>
      <c r="AS81" s="59" t="str">
        <f t="shared" si="85"/>
        <v>103.848987309542-22.8783886081865i</v>
      </c>
      <c r="AT81" s="50">
        <f t="shared" si="86"/>
        <v>40.533870607031368</v>
      </c>
      <c r="AU81" s="61">
        <f t="shared" si="87"/>
        <v>-12.424053011393028</v>
      </c>
      <c r="AV81" s="32" t="str">
        <f t="shared" si="59"/>
        <v>-0.0000333333333333333</v>
      </c>
      <c r="AW81" s="32" t="str">
        <f t="shared" si="60"/>
        <v>0.0000128653351914139i</v>
      </c>
      <c r="AX81" s="32">
        <f t="shared" si="88"/>
        <v>1.2865335191413901E-5</v>
      </c>
      <c r="AY81" s="32">
        <f t="shared" si="89"/>
        <v>1.5707963267948966</v>
      </c>
      <c r="AZ81" s="32" t="str">
        <f t="shared" si="61"/>
        <v>1+0.00524887807288591i</v>
      </c>
      <c r="BA81" s="32">
        <f t="shared" si="90"/>
        <v>1.0000137752656331</v>
      </c>
      <c r="BB81" s="32">
        <f t="shared" si="91"/>
        <v>5.2488298702242269E-3</v>
      </c>
      <c r="BC81" s="32" t="str">
        <f t="shared" si="62"/>
        <v>1+0.251946147498524i</v>
      </c>
      <c r="BD81" s="32">
        <f t="shared" si="92"/>
        <v>1.03125014484331</v>
      </c>
      <c r="BE81" s="32">
        <f t="shared" si="93"/>
        <v>0.24680949094693716</v>
      </c>
      <c r="BF81" s="59" t="str">
        <f t="shared" si="94"/>
        <v>-0.639160631404499+2.5942965685609i</v>
      </c>
      <c r="BG81" s="50">
        <f t="shared" si="95"/>
        <v>8.5363135924483249</v>
      </c>
      <c r="BH81" s="61">
        <f t="shared" si="96"/>
        <v>103.84040637608574</v>
      </c>
      <c r="BI81" s="59" t="str">
        <f t="shared" si="97"/>
        <v>-0.291508721866458+33.3460125903961i</v>
      </c>
      <c r="BJ81" s="64">
        <f t="shared" si="98"/>
        <v>30.46121007769294</v>
      </c>
      <c r="BK81" s="61">
        <f t="shared" si="99"/>
        <v>90.500863302895468</v>
      </c>
      <c r="BL81" s="59" t="str">
        <f t="shared" si="105"/>
        <v>-7.02285923906364+284.038036733995i</v>
      </c>
      <c r="BM81" s="64">
        <f t="shared" si="101"/>
        <v>49.070184199479677</v>
      </c>
      <c r="BN81" s="61">
        <f t="shared" si="106"/>
        <v>91.416353364692711</v>
      </c>
      <c r="BO81" s="50">
        <f t="shared" si="103"/>
        <v>30.46121007769294</v>
      </c>
      <c r="BP81" s="61">
        <f t="shared" si="104"/>
        <v>90.500863302895468</v>
      </c>
    </row>
    <row r="82" spans="1:68" x14ac:dyDescent="0.25">
      <c r="A82" s="32" t="s">
        <v>766</v>
      </c>
      <c r="B82" s="32">
        <f t="array" ref="B82">INDEX(O19:O560,(MATCH(TRUE,BO19:BO560&lt;0,)-1))</f>
        <v>1513.5612484362093</v>
      </c>
      <c r="C82" s="32">
        <f t="array" ref="C82">INDEX(O19:O560,(MATCH(TRUE,BO19:BO560&lt;0,)-0))</f>
        <v>1548.8166189124822</v>
      </c>
      <c r="D82" s="32"/>
      <c r="E82" s="32">
        <f>(B81*C82-B82*C81)/(B81-C81)/1000</f>
        <v>1.5400031389462847</v>
      </c>
      <c r="F82" s="111" t="str">
        <f>"Crossover Frequency = "&amp;ROUND(E82,1)&amp;" kHz"</f>
        <v>Crossover Frequency = 1.5 kHz</v>
      </c>
      <c r="N82" s="11">
        <v>64</v>
      </c>
      <c r="O82" s="51">
        <f t="shared" si="63"/>
        <v>43.651583224016633</v>
      </c>
      <c r="P82" s="49" t="str">
        <f t="shared" si="52"/>
        <v>25.6231073841137</v>
      </c>
      <c r="Q82" s="18" t="str">
        <f t="shared" si="64"/>
        <v>1+0.237184029074759i</v>
      </c>
      <c r="R82" s="18">
        <f t="shared" si="65"/>
        <v>1.0277432868416783</v>
      </c>
      <c r="S82" s="18">
        <f t="shared" si="66"/>
        <v>0.23288067958161277</v>
      </c>
      <c r="T82" s="18" t="str">
        <f t="shared" si="53"/>
        <v>1+0.000246843887713441i</v>
      </c>
      <c r="U82" s="18">
        <f t="shared" si="67"/>
        <v>1.000000030465952</v>
      </c>
      <c r="V82" s="18">
        <f t="shared" si="68"/>
        <v>2.4684388269988509E-4</v>
      </c>
      <c r="W82" s="32" t="str">
        <f t="shared" si="54"/>
        <v>1-0.00553113155802341i</v>
      </c>
      <c r="X82" s="18">
        <f t="shared" si="69"/>
        <v>1.0000152965911633</v>
      </c>
      <c r="Y82" s="18">
        <f t="shared" si="70"/>
        <v>-5.5310751536552906E-3</v>
      </c>
      <c r="Z82" s="32" t="str">
        <f t="shared" si="71"/>
        <v>0.999999952363482+0.000437919341536068i</v>
      </c>
      <c r="AA82" s="18">
        <f t="shared" si="72"/>
        <v>1.0000000482501568</v>
      </c>
      <c r="AB82" s="18">
        <f t="shared" si="73"/>
        <v>4.3791933440326776E-4</v>
      </c>
      <c r="AC82" s="32" t="str">
        <f>IMDIV(IMSUM(COMPLEX(0,2*PI()*O82*Constants!$B$71*Constants!$B$72),COMPLEX(1,0)),IMSUM(COMPLEX(0,2*PI()*O82*Constants!$B$71*Constants!$B$72),COMPLEX(2,0)))</f>
        <v>0.500000150449103+0.00027427090382062i</v>
      </c>
      <c r="AD82" s="18">
        <f t="shared" si="74"/>
        <v>0.50000022567360336</v>
      </c>
      <c r="AE82" s="18">
        <f t="shared" si="75"/>
        <v>5.4854158756770493E-4</v>
      </c>
      <c r="AF82" s="66" t="str">
        <f t="shared" si="76"/>
        <v>12.1143542506021-2.93961406744525i</v>
      </c>
      <c r="AG82" s="64">
        <f t="shared" si="77"/>
        <v>21.914479676146076</v>
      </c>
      <c r="AH82" s="61">
        <f t="shared" si="78"/>
        <v>-13.639506031735097</v>
      </c>
      <c r="AI82" s="50" t="str">
        <f t="shared" si="55"/>
        <v>108.866083054159</v>
      </c>
      <c r="AJ82" s="50" t="str">
        <f t="shared" si="56"/>
        <v>1+0.224403534284947i</v>
      </c>
      <c r="AK82" s="50">
        <f t="shared" si="79"/>
        <v>1.0248692337071961</v>
      </c>
      <c r="AL82" s="50">
        <f t="shared" si="80"/>
        <v>0.22074664522508303</v>
      </c>
      <c r="AM82" s="50" t="str">
        <f t="shared" si="57"/>
        <v>1+0.000246843887713441i</v>
      </c>
      <c r="AN82" s="50">
        <f t="shared" si="81"/>
        <v>1.000000030465952</v>
      </c>
      <c r="AO82" s="50">
        <f t="shared" si="82"/>
        <v>2.4684388269988509E-4</v>
      </c>
      <c r="AP82" s="50" t="str">
        <f t="shared" si="58"/>
        <v>1-0.0012316772743057i</v>
      </c>
      <c r="AQ82" s="50">
        <f t="shared" si="83"/>
        <v>1.0000007585141664</v>
      </c>
      <c r="AR82" s="50">
        <f t="shared" si="84"/>
        <v>-1.2316766514762567E-3</v>
      </c>
      <c r="AS82" s="59" t="str">
        <f t="shared" si="85"/>
        <v>103.623874847792-23.3607787054047i</v>
      </c>
      <c r="AT82" s="50">
        <f t="shared" si="86"/>
        <v>40.524489684640905</v>
      </c>
      <c r="AU82" s="61">
        <f t="shared" si="87"/>
        <v>-12.704277874245976</v>
      </c>
      <c r="AV82" s="32" t="str">
        <f t="shared" si="59"/>
        <v>-0.0000333333333333333</v>
      </c>
      <c r="AW82" s="32" t="str">
        <f t="shared" si="60"/>
        <v>0.0000131650073447169i</v>
      </c>
      <c r="AX82" s="32">
        <f t="shared" si="88"/>
        <v>1.31650073447169E-5</v>
      </c>
      <c r="AY82" s="32">
        <f t="shared" si="89"/>
        <v>1.5707963267948966</v>
      </c>
      <c r="AZ82" s="32" t="str">
        <f t="shared" si="61"/>
        <v>1+0.00537114014932025i</v>
      </c>
      <c r="BA82" s="32">
        <f t="shared" si="90"/>
        <v>1.0000144244692193</v>
      </c>
      <c r="BB82" s="32">
        <f t="shared" si="91"/>
        <v>5.3710884992779293E-3</v>
      </c>
      <c r="BC82" s="32" t="str">
        <f t="shared" si="62"/>
        <v>1+0.257814727167373i</v>
      </c>
      <c r="BD82" s="32">
        <f t="shared" si="92"/>
        <v>1.0326995853317591</v>
      </c>
      <c r="BE82" s="32">
        <f t="shared" si="93"/>
        <v>0.25232006924507155</v>
      </c>
      <c r="BF82" s="59" t="str">
        <f t="shared" si="94"/>
        <v>-0.639159801525986+2.5353976759504i</v>
      </c>
      <c r="BG82" s="50">
        <f t="shared" si="95"/>
        <v>8.3485075551918548</v>
      </c>
      <c r="BH82" s="61">
        <f t="shared" si="96"/>
        <v>104.14913435179136</v>
      </c>
      <c r="BI82" s="59" t="str">
        <f t="shared" si="97"/>
        <v>-0.289917583638532+32.5935887565277i</v>
      </c>
      <c r="BJ82" s="64">
        <f t="shared" si="98"/>
        <v>30.262987231337924</v>
      </c>
      <c r="BK82" s="61">
        <f t="shared" si="99"/>
        <v>90.509628320056265</v>
      </c>
      <c r="BL82" s="59" t="str">
        <f t="shared" si="105"/>
        <v>-7.00335124299365+277.659002142906i</v>
      </c>
      <c r="BM82" s="64">
        <f t="shared" si="101"/>
        <v>48.872997239832756</v>
      </c>
      <c r="BN82" s="61">
        <f t="shared" si="106"/>
        <v>91.444856477545386</v>
      </c>
      <c r="BO82" s="50">
        <f t="shared" si="103"/>
        <v>30.262987231337924</v>
      </c>
      <c r="BP82" s="61">
        <f t="shared" si="104"/>
        <v>90.509628320056265</v>
      </c>
    </row>
    <row r="83" spans="1:68" x14ac:dyDescent="0.25">
      <c r="A83" s="32" t="s">
        <v>767</v>
      </c>
      <c r="B83" s="32">
        <f t="array" ref="B83">INDEX(BP19:BP560,(MATCH(TRUE,BO19:BO560&lt;0,)-1))</f>
        <v>69.852875706466776</v>
      </c>
      <c r="C83" s="32">
        <f t="array" ref="C83">INDEX(BP19:BP560,(MATCH(TRUE,BO19:BO560&lt;0,)-0))</f>
        <v>69.370460230741486</v>
      </c>
      <c r="D83" s="32"/>
      <c r="E83" s="32">
        <f>(B81*C83-B83*C81)/(B81-C81)</f>
        <v>69.491059137326516</v>
      </c>
      <c r="F83" s="32" t="str">
        <f>"Phase Margin = "&amp;ROUND(E83,0)&amp;"°"</f>
        <v>Phase Margin = 69°</v>
      </c>
      <c r="N83" s="11">
        <v>65</v>
      </c>
      <c r="O83" s="51">
        <f t="shared" si="63"/>
        <v>44.668359215096324</v>
      </c>
      <c r="P83" s="49" t="str">
        <f t="shared" ref="P83:P146" si="107">COMPLEX(Adc,0)</f>
        <v>25.6231073841137</v>
      </c>
      <c r="Q83" s="18" t="str">
        <f t="shared" ref="Q83:Q146" si="108">IMSUM(COMPLEX(1,0),IMDIV(COMPLEX(0,2*PI()*O83),COMPLEX(wp_lf,0)))</f>
        <v>1+0.242708754833116i</v>
      </c>
      <c r="R83" s="18">
        <f t="shared" si="65"/>
        <v>1.0290323316945107</v>
      </c>
      <c r="S83" s="18">
        <f t="shared" si="66"/>
        <v>0.23810462981931485</v>
      </c>
      <c r="T83" s="18" t="str">
        <f t="shared" ref="T83:T146" si="109">IMSUM(COMPLEX(1,0),IMDIV(COMPLEX(0,2*PI()*O83),COMPLEX(wz_esr,0)))</f>
        <v>1+0.000252593620484502i</v>
      </c>
      <c r="U83" s="18">
        <f t="shared" si="67"/>
        <v>1.0000000319017681</v>
      </c>
      <c r="V83" s="18">
        <f t="shared" si="68"/>
        <v>2.5259361511238004E-4</v>
      </c>
      <c r="W83" s="32" t="str">
        <f t="shared" ref="W83:W146" si="110">IMSUB(COMPLEX(1,0),IMDIV(COMPLEX(0,2*PI()*O83),COMPLEX(wz_rhp,0)))</f>
        <v>1-0.00565996816270828i</v>
      </c>
      <c r="X83" s="18">
        <f t="shared" si="69"/>
        <v>1.0000160174915214</v>
      </c>
      <c r="Y83" s="18">
        <f t="shared" si="70"/>
        <v>-5.6599077243912237E-3</v>
      </c>
      <c r="Z83" s="32" t="str">
        <f t="shared" ref="Z83:Z146" si="111">IMSUM(COMPLEX(1,0),IMDIV(COMPLEX(0,2*PI()*O83),COMPLEX(Q*(wsl/2),0)),IMDIV(IMPOWER(COMPLEX(0,2*PI()*O83),2),IMPOWER(COMPLEX(wsl/2,0),2)))</f>
        <v>0.999999950118442+0.000448119793378061i</v>
      </c>
      <c r="AA83" s="18">
        <f t="shared" si="72"/>
        <v>1.0000000505241164</v>
      </c>
      <c r="AB83" s="18">
        <f t="shared" si="73"/>
        <v>4.4811978573512797E-4</v>
      </c>
      <c r="AC83" s="32" t="str">
        <f>IMDIV(IMSUM(COMPLEX(0,2*PI()*O83*Constants!$B$71*Constants!$B$72),COMPLEX(1,0)),IMSUM(COMPLEX(0,2*PI()*O83*Constants!$B$71*Constants!$B$72),COMPLEX(2,0)))</f>
        <v>0.500000157539548+0.000280659489886146i</v>
      </c>
      <c r="AD83" s="18">
        <f t="shared" si="74"/>
        <v>0.50000023630926627</v>
      </c>
      <c r="AE83" s="18">
        <f t="shared" si="75"/>
        <v>5.613187439592642E-4</v>
      </c>
      <c r="AF83" s="66" t="str">
        <f t="shared" si="76"/>
        <v>12.0833241592207-3.00055520179403i</v>
      </c>
      <c r="AG83" s="64">
        <f t="shared" si="77"/>
        <v>21.903598682748658</v>
      </c>
      <c r="AH83" s="61">
        <f t="shared" si="78"/>
        <v>-13.945720825583216</v>
      </c>
      <c r="AI83" s="50" t="str">
        <f t="shared" ref="AI83:AI146" si="112">COMPLEX($B$72,0)</f>
        <v>108.866083054159</v>
      </c>
      <c r="AJ83" s="50" t="str">
        <f t="shared" ref="AJ83:AJ146" si="113">IMSUM(COMPLEX(1,0),IMDIV(COMPLEX(0,2*PI()*O83),COMPLEX(wp_lf_DCM,0)))</f>
        <v>1+0.22963056407682i</v>
      </c>
      <c r="AK83" s="50">
        <f t="shared" si="79"/>
        <v>1.0260264109457604</v>
      </c>
      <c r="AL83" s="50">
        <f t="shared" si="80"/>
        <v>0.22571748503602168</v>
      </c>
      <c r="AM83" s="50" t="str">
        <f t="shared" ref="AM83:AM146" si="114">IMSUM(COMPLEX(1,0),IMDIV(COMPLEX(0,2*PI()*O83),COMPLEX(wz1_dcm,0)))</f>
        <v>1+0.000252593620484502i</v>
      </c>
      <c r="AN83" s="50">
        <f t="shared" si="81"/>
        <v>1.0000000319017681</v>
      </c>
      <c r="AO83" s="50">
        <f t="shared" si="82"/>
        <v>2.5259361511238004E-4</v>
      </c>
      <c r="AP83" s="50" t="str">
        <f t="shared" ref="AP83:AP146" si="115">IMSUB(COMPLEX(1,0),IMDIV(COMPLEX(0,2*PI()*O83),COMPLEX(wz2_dcm,0)))</f>
        <v>1-0.00126036672354848i</v>
      </c>
      <c r="AQ83" s="50">
        <f t="shared" si="83"/>
        <v>1.0000007942618234</v>
      </c>
      <c r="AR83" s="50">
        <f t="shared" si="84"/>
        <v>-1.2603660561747363E-3</v>
      </c>
      <c r="AS83" s="59" t="str">
        <f t="shared" si="85"/>
        <v>103.389192056042-23.8510308016135i</v>
      </c>
      <c r="AT83" s="50">
        <f t="shared" si="86"/>
        <v>40.514688324256262</v>
      </c>
      <c r="AU83" s="61">
        <f t="shared" si="87"/>
        <v>-12.990400362453819</v>
      </c>
      <c r="AV83" s="32" t="str">
        <f t="shared" ref="AV83:AV146" si="116">COMPLEX(Adc_ea,0)</f>
        <v>-0.0000333333333333333</v>
      </c>
      <c r="AW83" s="32" t="str">
        <f t="shared" ref="AW83:AW146" si="117">COMPLEX(0,2*PI()*O83*wp0_ea)</f>
        <v>0.0000134716597591734i</v>
      </c>
      <c r="AX83" s="32">
        <f t="shared" si="88"/>
        <v>1.3471659759173401E-5</v>
      </c>
      <c r="AY83" s="32">
        <f t="shared" si="89"/>
        <v>1.5707963267948966</v>
      </c>
      <c r="AZ83" s="32" t="str">
        <f t="shared" ref="AZ83:AZ146" si="118">IMSUM(COMPLEX(1,0),IMDIV(COMPLEX(0,2*PI()*O83),COMPLEX(wp1_ea,0)))</f>
        <v>1+0.00549625007535722i</v>
      </c>
      <c r="BA83" s="32">
        <f t="shared" si="90"/>
        <v>1.000015104268376</v>
      </c>
      <c r="BB83" s="32">
        <f t="shared" si="91"/>
        <v>5.4961947313849043E-3</v>
      </c>
      <c r="BC83" s="32" t="str">
        <f t="shared" ref="BC83:BC146" si="119">IMSUM(COMPLEX(1,0),IMDIV(COMPLEX(0,2*PI()*O83),COMPLEX(wz_ea,0)))</f>
        <v>1+0.263820003617147i</v>
      </c>
      <c r="BD83" s="32">
        <f t="shared" si="92"/>
        <v>1.0342151586147592</v>
      </c>
      <c r="BE83" s="32">
        <f t="shared" si="93"/>
        <v>0.25794284018368246</v>
      </c>
      <c r="BF83" s="59" t="str">
        <f t="shared" si="94"/>
        <v>-0.639158932538823+2.47784308432743i</v>
      </c>
      <c r="BG83" s="50">
        <f t="shared" si="95"/>
        <v>8.1612395776882867</v>
      </c>
      <c r="BH83" s="61">
        <f t="shared" si="96"/>
        <v>104.46412733665214</v>
      </c>
      <c r="BI83" s="59" t="str">
        <f t="shared" si="97"/>
        <v>-0.288259615220041+31.8584128634141i</v>
      </c>
      <c r="BJ83" s="64">
        <f t="shared" si="98"/>
        <v>30.064838260436954</v>
      </c>
      <c r="BK83" s="61">
        <f t="shared" si="99"/>
        <v>90.518406511068932</v>
      </c>
      <c r="BL83" s="59" t="str">
        <f t="shared" si="105"/>
        <v>-6.98301390473265+271.426793917374i</v>
      </c>
      <c r="BM83" s="64">
        <f t="shared" si="101"/>
        <v>48.675927901944547</v>
      </c>
      <c r="BN83" s="61">
        <f t="shared" si="106"/>
        <v>91.473726974198328</v>
      </c>
      <c r="BO83" s="50">
        <f t="shared" si="103"/>
        <v>30.064838260436954</v>
      </c>
      <c r="BP83" s="61">
        <f t="shared" si="104"/>
        <v>90.518406511068932</v>
      </c>
    </row>
    <row r="84" spans="1:68" x14ac:dyDescent="0.25">
      <c r="N84" s="11">
        <v>66</v>
      </c>
      <c r="O84" s="51">
        <f t="shared" ref="O84:O118" si="120">10^(1+(N84/100))</f>
        <v>45.70881896148753</v>
      </c>
      <c r="P84" s="49" t="str">
        <f t="shared" si="107"/>
        <v>25.6231073841137</v>
      </c>
      <c r="Q84" s="18" t="str">
        <f t="shared" si="108"/>
        <v>1+0.248362167985915i</v>
      </c>
      <c r="R84" s="18">
        <f t="shared" ref="R84:R147" si="121">IMABS(Q84)</f>
        <v>1.0303803989239431</v>
      </c>
      <c r="S84" s="18">
        <f t="shared" ref="S84:S147" si="122">IMARGUMENT(Q84)</f>
        <v>0.24343658111873143</v>
      </c>
      <c r="T84" s="18" t="str">
        <f t="shared" si="109"/>
        <v>1+0.000258477281736615i</v>
      </c>
      <c r="U84" s="18">
        <f t="shared" ref="U84:U147" si="123">IMABS(T84)</f>
        <v>1.0000000334052519</v>
      </c>
      <c r="V84" s="18">
        <f t="shared" ref="V84:V147" si="124">IMARGUMENT(T84)</f>
        <v>2.5847727598028264E-4</v>
      </c>
      <c r="W84" s="32" t="str">
        <f t="shared" si="110"/>
        <v>1-0.00579180575743156i</v>
      </c>
      <c r="X84" s="18">
        <f t="shared" ref="X84:X147" si="125">IMABS(W84)</f>
        <v>1.0000167723663098</v>
      </c>
      <c r="Y84" s="18">
        <f t="shared" ref="Y84:Y147" si="126">IMARGUMENT(W84)</f>
        <v>-5.7917409966667206E-3</v>
      </c>
      <c r="Z84" s="32" t="str">
        <f t="shared" si="111"/>
        <v>0.999999947767597+0.000458557844266069i</v>
      </c>
      <c r="AA84" s="18">
        <f t="shared" ref="AA84:AA147" si="127">IMABS(Z84)</f>
        <v>1.0000000529052453</v>
      </c>
      <c r="AB84" s="18">
        <f t="shared" ref="AB84:AB147" si="128">IMARGUMENT(Z84)</f>
        <v>4.5855783607651846E-4</v>
      </c>
      <c r="AC84" s="32" t="str">
        <f>IMDIV(IMSUM(COMPLEX(0,2*PI()*O84*Constants!$B$71*Constants!$B$72),COMPLEX(1,0)),IMSUM(COMPLEX(0,2*PI()*O84*Constants!$B$71*Constants!$B$72),COMPLEX(2,0)))</f>
        <v>0.500000164964156+0.000287196884952935i</v>
      </c>
      <c r="AD84" s="18">
        <f t="shared" ref="AD84:AD147" si="129">IMABS(AC84)</f>
        <v>0.50000024744617266</v>
      </c>
      <c r="AE84" s="18">
        <f t="shared" ref="AE84:AE147" si="130">IMARGUMENT(AC84)</f>
        <v>5.7439351722767256E-4</v>
      </c>
      <c r="AF84" s="66" t="str">
        <f t="shared" ref="AF84:AF147" si="131">(IMDIV(IMPRODUCT(P84,T84,W84,AC84),IMPRODUCT(Q84,Z84)))</f>
        <v>12.0509977716563-3.06241846075844i</v>
      </c>
      <c r="AG84" s="64">
        <f t="shared" ref="AG84:AG147" si="132">20*LOG(IMABS(AF84))</f>
        <v>21.892234062256009</v>
      </c>
      <c r="AH84" s="61">
        <f t="shared" ref="AH84:AH147" si="133">(180/PI())*IMARGUMENT(AF84)</f>
        <v>-14.258284439678636</v>
      </c>
      <c r="AI84" s="50" t="str">
        <f t="shared" si="112"/>
        <v>108.866083054159</v>
      </c>
      <c r="AJ84" s="50" t="str">
        <f t="shared" si="113"/>
        <v>1+0.234979347033287i</v>
      </c>
      <c r="AK84" s="50">
        <f t="shared" ref="AK84:AK147" si="134">IMABS(AJ84)</f>
        <v>1.0272367271141496</v>
      </c>
      <c r="AL84" s="50">
        <f t="shared" ref="AL84:AL147" si="135">IMARGUMENT(AJ84)</f>
        <v>0.23079238821502707</v>
      </c>
      <c r="AM84" s="50" t="str">
        <f t="shared" si="114"/>
        <v>1+0.000258477281736615i</v>
      </c>
      <c r="AN84" s="50">
        <f t="shared" ref="AN84:AN147" si="136">IMABS(AM84)</f>
        <v>1.0000000334052519</v>
      </c>
      <c r="AO84" s="50">
        <f t="shared" ref="AO84:AO147" si="137">IMARGUMENT(AM84)</f>
        <v>2.5847727598028264E-4</v>
      </c>
      <c r="AP84" s="50" t="str">
        <f t="shared" si="115"/>
        <v>1-0.00128972443591101i</v>
      </c>
      <c r="AQ84" s="50">
        <f t="shared" ref="AQ84:AQ147" si="138">IMABS(AP84)</f>
        <v>1.0000008316942144</v>
      </c>
      <c r="AR84" s="50">
        <f t="shared" ref="AR84:AR147" si="139">IMARGUMENT(AP84)</f>
        <v>-1.2897237208071921E-3</v>
      </c>
      <c r="AS84" s="59" t="str">
        <f t="shared" ref="AS84:AS147" si="140">(IMDIV(IMPRODUCT(AI84,AM84,AP84),IMPRODUCT(AJ84)))</f>
        <v>103.144580437772-24.3491139996257i</v>
      </c>
      <c r="AT84" s="50">
        <f t="shared" ref="AT84:AT147" si="141">20*LOG(IMABS(AS84))</f>
        <v>40.504448694966214</v>
      </c>
      <c r="AU84" s="61">
        <f t="shared" ref="AU84:AU147" si="142">(180/PI())*IMARGUMENT(AS84)</f>
        <v>-13.282515857392326</v>
      </c>
      <c r="AV84" s="32" t="str">
        <f t="shared" si="116"/>
        <v>-0.0000333333333333333</v>
      </c>
      <c r="AW84" s="32" t="str">
        <f t="shared" si="117"/>
        <v>0.0000137854550259528i</v>
      </c>
      <c r="AX84" s="32">
        <f t="shared" ref="AX84:AX147" si="143">IMABS(AW84)</f>
        <v>1.37854550259528E-5</v>
      </c>
      <c r="AY84" s="32">
        <f t="shared" ref="AY84:AY147" si="144">IMARGUMENT(AW84)</f>
        <v>1.5707963267948966</v>
      </c>
      <c r="AZ84" s="32" t="str">
        <f t="shared" si="118"/>
        <v>1+0.00562427418593561i</v>
      </c>
      <c r="BA84" s="32">
        <f t="shared" ref="BA84:BA147" si="145">IMABS(AZ84)</f>
        <v>1.0000158161049848</v>
      </c>
      <c r="BB84" s="32">
        <f t="shared" ref="BB84:BB147" si="146">IMARGUMENT(AZ84)</f>
        <v>5.6242148838515013E-3</v>
      </c>
      <c r="BC84" s="32" t="str">
        <f t="shared" si="119"/>
        <v>1+0.26996516092491i</v>
      </c>
      <c r="BD84" s="32">
        <f t="shared" ref="BD84:BD147" si="147">IMABS(BC84)</f>
        <v>1.0357997818657874</v>
      </c>
      <c r="BE84" s="32">
        <f t="shared" ref="BE84:BE147" si="148">IMARGUMENT(BC84)</f>
        <v>0.26367936230220579</v>
      </c>
      <c r="BF84" s="59" t="str">
        <f t="shared" ref="BF84:BF147" si="149">IMPRODUCT(AV84,IMDIV(BC84,IMPRODUCT(AW84,AZ84)))</f>
        <v>-0.639158022600083+2.4216022774556i</v>
      </c>
      <c r="BG84" s="50">
        <f t="shared" ref="BG84:BG147" si="150">20*LOG(IMABS(BF84))</f>
        <v>7.9745317195097956</v>
      </c>
      <c r="BH84" s="61">
        <f t="shared" ref="BH84:BH147" si="151">(180/PI())*IMARGUMENT(BF84)</f>
        <v>104.78547082869797</v>
      </c>
      <c r="BI84" s="59" t="str">
        <f t="shared" ref="BI84:BI147" si="152">IMPRODUCT(AF84,BF84)</f>
        <v>-0.286532386995138+31.1400929772076i</v>
      </c>
      <c r="BJ84" s="64">
        <f t="shared" ref="BJ84:BJ147" si="153">20*LOG(IMABS(BI84))</f>
        <v>29.8667657817658</v>
      </c>
      <c r="BK84" s="61">
        <f t="shared" ref="BK84:BK147" si="154">(180/PI())*IMARGUMENT(BI84)</f>
        <v>90.527186389019334</v>
      </c>
      <c r="BL84" s="59" t="str">
        <f t="shared" si="105"/>
        <v>-6.96181615900194+265.338082451376i</v>
      </c>
      <c r="BM84" s="64">
        <f t="shared" ref="BM84:BM147" si="155">20*LOG(IMABS(BL84))</f>
        <v>48.478980414476013</v>
      </c>
      <c r="BN84" s="61">
        <f t="shared" si="106"/>
        <v>91.502954971305641</v>
      </c>
      <c r="BO84" s="50">
        <f t="shared" ref="BO84:BO147" si="156">IF($B$31=0,BM84,BJ84)</f>
        <v>29.8667657817658</v>
      </c>
      <c r="BP84" s="61">
        <f t="shared" ref="BP84:BP147" si="157">IF($B$31=0,BN84,BK84)</f>
        <v>90.527186389019334</v>
      </c>
    </row>
    <row r="85" spans="1:68" ht="16.5" x14ac:dyDescent="0.3">
      <c r="B85" s="336" t="s">
        <v>771</v>
      </c>
      <c r="N85" s="11">
        <v>67</v>
      </c>
      <c r="O85" s="51">
        <f t="shared" si="120"/>
        <v>46.773514128719818</v>
      </c>
      <c r="P85" s="49" t="str">
        <f t="shared" si="107"/>
        <v>25.6231073841137</v>
      </c>
      <c r="Q85" s="18" t="str">
        <f t="shared" si="108"/>
        <v>1+0.254147266047642i</v>
      </c>
      <c r="R85" s="18">
        <f t="shared" si="121"/>
        <v>1.0317901108459466</v>
      </c>
      <c r="S85" s="18">
        <f t="shared" si="122"/>
        <v>0.24887814734043831</v>
      </c>
      <c r="T85" s="18" t="str">
        <f t="shared" si="109"/>
        <v>1+0.000264497991064856i</v>
      </c>
      <c r="U85" s="18">
        <f t="shared" si="123"/>
        <v>1.000000034979593</v>
      </c>
      <c r="V85" s="18">
        <f t="shared" si="124"/>
        <v>2.6449798489683475E-4</v>
      </c>
      <c r="W85" s="32" t="str">
        <f t="shared" si="110"/>
        <v>1-0.00592671424423104i</v>
      </c>
      <c r="X85" s="18">
        <f t="shared" si="125"/>
        <v>1.0000175628166401</v>
      </c>
      <c r="Y85" s="18">
        <f t="shared" si="126"/>
        <v>-5.9266448518871138E-3</v>
      </c>
      <c r="Z85" s="32" t="str">
        <f t="shared" si="111"/>
        <v>0.999999945305959+0.000469239028592838i</v>
      </c>
      <c r="AA85" s="18">
        <f t="shared" si="127"/>
        <v>1.0000000553985919</v>
      </c>
      <c r="AB85" s="18">
        <f t="shared" si="128"/>
        <v>4.6923901981757682E-4</v>
      </c>
      <c r="AC85" s="32" t="str">
        <f>IMDIV(IMSUM(COMPLEX(0,2*PI()*O85*Constants!$B$71*Constants!$B$72),COMPLEX(1,0)),IMSUM(COMPLEX(0,2*PI()*O85*Constants!$B$71*Constants!$B$72),COMPLEX(2,0)))</f>
        <v>0.500000172738674+0.000293886555207547i</v>
      </c>
      <c r="AD85" s="18">
        <f t="shared" si="129"/>
        <v>0.5000002591079441</v>
      </c>
      <c r="AE85" s="18">
        <f t="shared" si="130"/>
        <v>5.8777283966554431E-4</v>
      </c>
      <c r="AF85" s="66" t="str">
        <f t="shared" si="131"/>
        <v>12.0173285951553-3.12519442278516i</v>
      </c>
      <c r="AG85" s="64">
        <f t="shared" si="132"/>
        <v>21.88036566989366</v>
      </c>
      <c r="AH85" s="61">
        <f t="shared" si="133"/>
        <v>-14.57729308649705</v>
      </c>
      <c r="AI85" s="50" t="str">
        <f t="shared" si="112"/>
        <v>108.866083054159</v>
      </c>
      <c r="AJ85" s="50" t="str">
        <f t="shared" si="113"/>
        <v>1+0.24045271914987i</v>
      </c>
      <c r="AK85" s="50">
        <f t="shared" si="134"/>
        <v>1.0285025571900959</v>
      </c>
      <c r="AL85" s="50">
        <f t="shared" si="135"/>
        <v>0.23597299945845504</v>
      </c>
      <c r="AM85" s="50" t="str">
        <f t="shared" si="114"/>
        <v>1+0.000264497991064856i</v>
      </c>
      <c r="AN85" s="50">
        <f t="shared" si="136"/>
        <v>1.000000034979593</v>
      </c>
      <c r="AO85" s="50">
        <f t="shared" si="137"/>
        <v>2.6449798489683475E-4</v>
      </c>
      <c r="AP85" s="50" t="str">
        <f t="shared" si="115"/>
        <v>1-0.00131976597724099i</v>
      </c>
      <c r="AQ85" s="50">
        <f t="shared" si="138"/>
        <v>1.0000008708907382</v>
      </c>
      <c r="AR85" s="50">
        <f t="shared" si="139"/>
        <v>-1.3197652109934797E-3</v>
      </c>
      <c r="AS85" s="59" t="str">
        <f t="shared" si="140"/>
        <v>102.889672470761-24.8549844102615i</v>
      </c>
      <c r="AT85" s="50">
        <f t="shared" si="141"/>
        <v>40.493752301884349</v>
      </c>
      <c r="AU85" s="61">
        <f t="shared" si="142"/>
        <v>-13.580719306326177</v>
      </c>
      <c r="AV85" s="32" t="str">
        <f t="shared" si="116"/>
        <v>-0.0000333333333333333</v>
      </c>
      <c r="AW85" s="32" t="str">
        <f t="shared" si="117"/>
        <v>0.000014106559523459i</v>
      </c>
      <c r="AX85" s="32">
        <f t="shared" si="143"/>
        <v>1.4106559523459E-5</v>
      </c>
      <c r="AY85" s="32">
        <f t="shared" si="144"/>
        <v>1.5707963267948966</v>
      </c>
      <c r="AZ85" s="32" t="str">
        <f t="shared" si="118"/>
        <v>1+0.00575528036113345i</v>
      </c>
      <c r="BA85" s="32">
        <f t="shared" si="145"/>
        <v>1.0000165614888761</v>
      </c>
      <c r="BB85" s="32">
        <f t="shared" si="146"/>
        <v>5.7552168178623226E-3</v>
      </c>
      <c r="BC85" s="32" t="str">
        <f t="shared" si="119"/>
        <v>1+0.276253457334406i</v>
      </c>
      <c r="BD85" s="32">
        <f t="shared" si="147"/>
        <v>1.0374564919500058</v>
      </c>
      <c r="BE85" s="32">
        <f t="shared" si="148"/>
        <v>0.26953116635630781</v>
      </c>
      <c r="BF85" s="59" t="str">
        <f t="shared" si="149"/>
        <v>-0.639157069780029+2.36664543568247i</v>
      </c>
      <c r="BG85" s="50">
        <f t="shared" si="150"/>
        <v>7.7884067940409576</v>
      </c>
      <c r="BH85" s="61">
        <f t="shared" si="151"/>
        <v>105.11324864560873</v>
      </c>
      <c r="BI85" s="59" t="str">
        <f t="shared" si="152"/>
        <v>-0.284733415158403+30.438245978581i</v>
      </c>
      <c r="BJ85" s="64">
        <f t="shared" si="153"/>
        <v>29.668772463934623</v>
      </c>
      <c r="BK85" s="61">
        <f t="shared" si="154"/>
        <v>90.535955559111684</v>
      </c>
      <c r="BL85" s="59" t="str">
        <f t="shared" si="105"/>
        <v>-6.93972615853417+259.389612736882i</v>
      </c>
      <c r="BM85" s="64">
        <f t="shared" si="155"/>
        <v>48.282159095925309</v>
      </c>
      <c r="BN85" s="61">
        <f t="shared" si="106"/>
        <v>91.532529339282547</v>
      </c>
      <c r="BO85" s="50">
        <f t="shared" si="156"/>
        <v>29.668772463934623</v>
      </c>
      <c r="BP85" s="61">
        <f t="shared" si="157"/>
        <v>90.535955559111684</v>
      </c>
    </row>
    <row r="86" spans="1:68" x14ac:dyDescent="0.25">
      <c r="N86" s="11">
        <v>68</v>
      </c>
      <c r="O86" s="51">
        <f t="shared" si="120"/>
        <v>47.863009232263877</v>
      </c>
      <c r="P86" s="49" t="str">
        <f t="shared" si="107"/>
        <v>25.6231073841137</v>
      </c>
      <c r="Q86" s="18" t="str">
        <f t="shared" si="108"/>
        <v>1+0.260067116353865i</v>
      </c>
      <c r="R86" s="18">
        <f t="shared" si="121"/>
        <v>1.0332641990355684</v>
      </c>
      <c r="S86" s="18">
        <f t="shared" si="122"/>
        <v>0.25443092409912293</v>
      </c>
      <c r="T86" s="18" t="str">
        <f t="shared" si="109"/>
        <v>1+0.000270658940729005i</v>
      </c>
      <c r="U86" s="18">
        <f t="shared" si="123"/>
        <v>1.0000000366281303</v>
      </c>
      <c r="V86" s="18">
        <f t="shared" si="124"/>
        <v>2.706589341198512E-4</v>
      </c>
      <c r="W86" s="32" t="str">
        <f t="shared" si="110"/>
        <v>1-0.00606476515337215i</v>
      </c>
      <c r="X86" s="18">
        <f t="shared" si="125"/>
        <v>1.0000183905190771</v>
      </c>
      <c r="Y86" s="18">
        <f t="shared" si="126"/>
        <v>-6.0646907982098491E-3</v>
      </c>
      <c r="Z86" s="32" t="str">
        <f t="shared" si="111"/>
        <v>0.999999942728309+0.000480169009663679i</v>
      </c>
      <c r="AA86" s="18">
        <f t="shared" si="127"/>
        <v>1.0000000580094479</v>
      </c>
      <c r="AB86" s="18">
        <f t="shared" si="128"/>
        <v>4.8016900026081694E-4</v>
      </c>
      <c r="AC86" s="32" t="str">
        <f>IMDIV(IMSUM(COMPLEX(0,2*PI()*O86*Constants!$B$71*Constants!$B$72),COMPLEX(1,0)),IMSUM(COMPLEX(0,2*PI()*O86*Constants!$B$71*Constants!$B$72),COMPLEX(2,0)))</f>
        <v>0.500000180879594+0.000300732047572942i</v>
      </c>
      <c r="AD86" s="18">
        <f t="shared" si="129"/>
        <v>0.50000027131931757</v>
      </c>
      <c r="AE86" s="18">
        <f t="shared" si="130"/>
        <v>6.0146380503253304E-4</v>
      </c>
      <c r="AF86" s="66" t="str">
        <f t="shared" si="131"/>
        <v>11.9822691605874-3.18887174803525i</v>
      </c>
      <c r="AG86" s="64">
        <f t="shared" si="132"/>
        <v>21.867972643719561</v>
      </c>
      <c r="AH86" s="61">
        <f t="shared" si="133"/>
        <v>-14.902842020279563</v>
      </c>
      <c r="AI86" s="50" t="str">
        <f t="shared" si="112"/>
        <v>108.866083054159</v>
      </c>
      <c r="AJ86" s="50" t="str">
        <f t="shared" si="113"/>
        <v>1+0.246053582480914i</v>
      </c>
      <c r="AK86" s="50">
        <f t="shared" si="134"/>
        <v>1.0298263763623905</v>
      </c>
      <c r="AL86" s="50">
        <f t="shared" si="135"/>
        <v>0.24126095277698123</v>
      </c>
      <c r="AM86" s="50" t="str">
        <f t="shared" si="114"/>
        <v>1+0.000270658940729005i</v>
      </c>
      <c r="AN86" s="50">
        <f t="shared" si="136"/>
        <v>1.0000000366281303</v>
      </c>
      <c r="AO86" s="50">
        <f t="shared" si="137"/>
        <v>2.706589341198512E-4</v>
      </c>
      <c r="AP86" s="50" t="str">
        <f t="shared" si="115"/>
        <v>1-0.00135050727596126i</v>
      </c>
      <c r="AQ86" s="50">
        <f t="shared" si="138"/>
        <v>1.0000009119345354</v>
      </c>
      <c r="AR86" s="50">
        <f t="shared" si="139"/>
        <v>-1.3505064549123008E-3</v>
      </c>
      <c r="AS86" s="59" t="str">
        <f t="shared" si="140"/>
        <v>102.624091799467-25.3685842946584i</v>
      </c>
      <c r="AT86" s="50">
        <f t="shared" si="141"/>
        <v>40.482579969810494</v>
      </c>
      <c r="AU86" s="61">
        <f t="shared" si="142"/>
        <v>-13.885105060885193</v>
      </c>
      <c r="AV86" s="32" t="str">
        <f t="shared" si="116"/>
        <v>-0.0000333333333333333</v>
      </c>
      <c r="AW86" s="32" t="str">
        <f t="shared" si="117"/>
        <v>0.0000144351435055469i</v>
      </c>
      <c r="AX86" s="32">
        <f t="shared" si="143"/>
        <v>1.4435143505546899E-5</v>
      </c>
      <c r="AY86" s="32">
        <f t="shared" si="144"/>
        <v>1.5707963267948966</v>
      </c>
      <c r="AZ86" s="32" t="str">
        <f t="shared" si="118"/>
        <v>1+0.00588933806215891i</v>
      </c>
      <c r="BA86" s="32">
        <f t="shared" si="145"/>
        <v>1.0000173420010325</v>
      </c>
      <c r="BB86" s="32">
        <f t="shared" si="146"/>
        <v>5.88926997438095E-3</v>
      </c>
      <c r="BC86" s="32" t="str">
        <f t="shared" si="119"/>
        <v>1+0.282688226983628i</v>
      </c>
      <c r="BD86" s="32">
        <f t="shared" si="147"/>
        <v>1.0391884495485635</v>
      </c>
      <c r="BE86" s="32">
        <f t="shared" si="148"/>
        <v>0.27549975130846055</v>
      </c>
      <c r="BF86" s="59" t="str">
        <f t="shared" si="149"/>
        <v>-0.639156072057996+2.31294342012861i</v>
      </c>
      <c r="BG86" s="50">
        <f t="shared" si="150"/>
        <v>7.6028883807757452</v>
      </c>
      <c r="BH86" s="61">
        <f t="shared" si="151"/>
        <v>105.44754269293341</v>
      </c>
      <c r="BI86" s="59" t="str">
        <f t="shared" si="152"/>
        <v>-0.282860163770553+29.7524973539615i</v>
      </c>
      <c r="BJ86" s="64">
        <f t="shared" si="153"/>
        <v>29.470861024495303</v>
      </c>
      <c r="BK86" s="61">
        <f t="shared" si="154"/>
        <v>90.544700672653846</v>
      </c>
      <c r="BL86" s="59" t="str">
        <f t="shared" si="105"/>
        <v>-6.91671129075837+253.578202565698i</v>
      </c>
      <c r="BM86" s="64">
        <f t="shared" si="155"/>
        <v>48.085468350586247</v>
      </c>
      <c r="BN86" s="61">
        <f t="shared" si="106"/>
        <v>91.562437632048201</v>
      </c>
      <c r="BO86" s="50">
        <f t="shared" si="156"/>
        <v>29.470861024495303</v>
      </c>
      <c r="BP86" s="61">
        <f t="shared" si="157"/>
        <v>90.544700672653846</v>
      </c>
    </row>
    <row r="87" spans="1:68" x14ac:dyDescent="0.25">
      <c r="N87" s="11">
        <v>69</v>
      </c>
      <c r="O87" s="51">
        <f t="shared" si="120"/>
        <v>48.977881936844632</v>
      </c>
      <c r="P87" s="49" t="str">
        <f t="shared" si="107"/>
        <v>25.6231073841137</v>
      </c>
      <c r="Q87" s="18" t="str">
        <f t="shared" si="108"/>
        <v>1+0.266124857687574i</v>
      </c>
      <c r="R87" s="18">
        <f t="shared" si="121"/>
        <v>1.034805508237771</v>
      </c>
      <c r="S87" s="18">
        <f t="shared" si="122"/>
        <v>0.26009648529018259</v>
      </c>
      <c r="T87" s="18" t="str">
        <f t="shared" si="109"/>
        <v>1+0.000276963397346123i</v>
      </c>
      <c r="U87" s="18">
        <f t="shared" si="123"/>
        <v>1.000000038354361</v>
      </c>
      <c r="V87" s="18">
        <f t="shared" si="124"/>
        <v>2.7696339026428711E-4</v>
      </c>
      <c r="W87" s="32" t="str">
        <f t="shared" si="110"/>
        <v>1-0.00620603168127424i</v>
      </c>
      <c r="X87" s="18">
        <f t="shared" si="125"/>
        <v>1.0000192572291942</v>
      </c>
      <c r="Y87" s="18">
        <f t="shared" si="126"/>
        <v>-6.2059520083652536E-3</v>
      </c>
      <c r="Z87" s="32" t="str">
        <f t="shared" si="111"/>
        <v>0.999999940029177+0.000491353582699233i</v>
      </c>
      <c r="AA87" s="18">
        <f t="shared" si="127"/>
        <v>1.0000000607433486</v>
      </c>
      <c r="AB87" s="18">
        <f t="shared" si="128"/>
        <v>4.9135357262388498E-4</v>
      </c>
      <c r="AC87" s="32" t="str">
        <f>IMDIV(IMSUM(COMPLEX(0,2*PI()*O87*Constants!$B$71*Constants!$B$72),COMPLEX(1,0)),IMSUM(COMPLEX(0,2*PI()*O87*Constants!$B$71*Constants!$B$72),COMPLEX(2,0)))</f>
        <v>0.500000189404184+0.000307736991588966i</v>
      </c>
      <c r="AD87" s="18">
        <f t="shared" si="129"/>
        <v>0.50000028410619513</v>
      </c>
      <c r="AE87" s="18">
        <f t="shared" si="130"/>
        <v>6.1547367231589573E-4</v>
      </c>
      <c r="AF87" s="66" t="str">
        <f t="shared" si="131"/>
        <v>11.9457710681593-3.25343706525056i</v>
      </c>
      <c r="AG87" s="64">
        <f t="shared" si="132"/>
        <v>21.855033390078006</v>
      </c>
      <c r="AH87" s="61">
        <f t="shared" si="133"/>
        <v>-15.23502534004713</v>
      </c>
      <c r="AI87" s="50" t="str">
        <f t="shared" si="112"/>
        <v>108.866083054159</v>
      </c>
      <c r="AJ87" s="50" t="str">
        <f t="shared" si="113"/>
        <v>1+0.251784906678294i</v>
      </c>
      <c r="AK87" s="50">
        <f t="shared" si="134"/>
        <v>1.031210763729218</v>
      </c>
      <c r="AL87" s="50">
        <f t="shared" si="135"/>
        <v>0.24665786848632448</v>
      </c>
      <c r="AM87" s="50" t="str">
        <f t="shared" si="114"/>
        <v>1+0.000276963397346123i</v>
      </c>
      <c r="AN87" s="50">
        <f t="shared" si="136"/>
        <v>1.000000038354361</v>
      </c>
      <c r="AO87" s="50">
        <f t="shared" si="137"/>
        <v>2.7696339026428711E-4</v>
      </c>
      <c r="AP87" s="50" t="str">
        <f t="shared" si="115"/>
        <v>1-0.00138196463151533i</v>
      </c>
      <c r="AQ87" s="50">
        <f t="shared" si="138"/>
        <v>1.0000009549126654</v>
      </c>
      <c r="AR87" s="50">
        <f t="shared" si="139"/>
        <v>-1.3819637517455648E-3</v>
      </c>
      <c r="AS87" s="59" t="str">
        <f t="shared" si="140"/>
        <v>102.347453477918-25.8898411788326i</v>
      </c>
      <c r="AT87" s="50">
        <f t="shared" si="141"/>
        <v>40.470911827289427</v>
      </c>
      <c r="AU87" s="61">
        <f t="shared" si="142"/>
        <v>-14.195766705032595</v>
      </c>
      <c r="AV87" s="32" t="str">
        <f t="shared" si="116"/>
        <v>-0.0000333333333333333</v>
      </c>
      <c r="AW87" s="32" t="str">
        <f t="shared" si="117"/>
        <v>0.0000147713811917932i</v>
      </c>
      <c r="AX87" s="32">
        <f t="shared" si="143"/>
        <v>1.47713811917932E-5</v>
      </c>
      <c r="AY87" s="32">
        <f t="shared" si="144"/>
        <v>1.5707963267948966</v>
      </c>
      <c r="AZ87" s="32" t="str">
        <f t="shared" si="118"/>
        <v>1+0.00602651836817954i</v>
      </c>
      <c r="BA87" s="32">
        <f t="shared" si="145"/>
        <v>1.000018159296941</v>
      </c>
      <c r="BB87" s="32">
        <f t="shared" si="146"/>
        <v>6.0264454108825572E-3</v>
      </c>
      <c r="BC87" s="32" t="str">
        <f t="shared" si="119"/>
        <v>1+0.289272881672618i</v>
      </c>
      <c r="BD87" s="32">
        <f t="shared" si="147"/>
        <v>1.0409989433573794</v>
      </c>
      <c r="BE87" s="32">
        <f t="shared" si="148"/>
        <v>0.28158658010812215</v>
      </c>
      <c r="BF87" s="59" t="str">
        <f t="shared" si="149"/>
        <v>-0.639155027318109+2.26046775723754i</v>
      </c>
      <c r="BG87" s="50">
        <f t="shared" si="150"/>
        <v>7.4180008365134871</v>
      </c>
      <c r="BH87" s="61">
        <f t="shared" si="151"/>
        <v>105.78843272020828</v>
      </c>
      <c r="BI87" s="59" t="str">
        <f t="shared" si="152"/>
        <v>-0.280910047204816+29.0824809912331i</v>
      </c>
      <c r="BJ87" s="64">
        <f t="shared" si="153"/>
        <v>29.273034226591488</v>
      </c>
      <c r="BK87" s="61">
        <f t="shared" si="154"/>
        <v>90.553407380161147</v>
      </c>
      <c r="BL87" s="59" t="str">
        <f t="shared" si="105"/>
        <v>-6.89273819886574+247.900740768121i</v>
      </c>
      <c r="BM87" s="64">
        <f t="shared" si="155"/>
        <v>47.888912663802913</v>
      </c>
      <c r="BN87" s="61">
        <f t="shared" si="106"/>
        <v>91.592666015175681</v>
      </c>
      <c r="BO87" s="50">
        <f t="shared" si="156"/>
        <v>29.273034226591488</v>
      </c>
      <c r="BP87" s="61">
        <f t="shared" si="157"/>
        <v>90.553407380161147</v>
      </c>
    </row>
    <row r="88" spans="1:68" x14ac:dyDescent="0.25">
      <c r="N88" s="11">
        <v>70</v>
      </c>
      <c r="O88" s="51">
        <f t="shared" si="120"/>
        <v>50.118723362727238</v>
      </c>
      <c r="P88" s="49" t="str">
        <f t="shared" si="107"/>
        <v>25.6231073841137</v>
      </c>
      <c r="Q88" s="18" t="str">
        <f t="shared" si="108"/>
        <v>1+0.272323701943407i</v>
      </c>
      <c r="R88" s="18">
        <f t="shared" si="121"/>
        <v>1.0364170003623838</v>
      </c>
      <c r="S88" s="18">
        <f t="shared" si="122"/>
        <v>0.26587637941509112</v>
      </c>
      <c r="T88" s="18" t="str">
        <f t="shared" si="109"/>
        <v>1+0.000283414703622558i</v>
      </c>
      <c r="U88" s="18">
        <f t="shared" si="123"/>
        <v>1.0000000401619462</v>
      </c>
      <c r="V88" s="18">
        <f t="shared" si="124"/>
        <v>2.8341469603423416E-4</v>
      </c>
      <c r="W88" s="32" t="str">
        <f t="shared" si="110"/>
        <v>1-0.00635058872932027i</v>
      </c>
      <c r="X88" s="18">
        <f t="shared" si="125"/>
        <v>1.0000201647852951</v>
      </c>
      <c r="Y88" s="18">
        <f t="shared" si="126"/>
        <v>-6.35050335835316E-3</v>
      </c>
      <c r="Z88" s="32" t="str">
        <f t="shared" si="111"/>
        <v>0.999999937202839+0.000502798677908167i</v>
      </c>
      <c r="AA88" s="18">
        <f t="shared" si="127"/>
        <v>1.0000000636060942</v>
      </c>
      <c r="AB88" s="18">
        <f t="shared" si="128"/>
        <v>5.0279866711223724E-4</v>
      </c>
      <c r="AC88" s="32" t="str">
        <f>IMDIV(IMSUM(COMPLEX(0,2*PI()*O88*Constants!$B$71*Constants!$B$72),COMPLEX(1,0)),IMSUM(COMPLEX(0,2*PI()*O88*Constants!$B$71*Constants!$B$72),COMPLEX(2,0)))</f>
        <v>0.500000198330524+0.000314905101336648i</v>
      </c>
      <c r="AD88" s="18">
        <f t="shared" si="129"/>
        <v>0.50000029749569763</v>
      </c>
      <c r="AE88" s="18">
        <f t="shared" si="130"/>
        <v>6.2980986957864677E-4</v>
      </c>
      <c r="AF88" s="66" t="str">
        <f t="shared" si="131"/>
        <v>11.9077850409475-3.31887485613507i</v>
      </c>
      <c r="AG88" s="64">
        <f t="shared" si="132"/>
        <v>21.8415255698126</v>
      </c>
      <c r="AH88" s="61">
        <f t="shared" si="133"/>
        <v>-15.573935781134018</v>
      </c>
      <c r="AI88" s="50" t="str">
        <f t="shared" si="112"/>
        <v>108.866083054159</v>
      </c>
      <c r="AJ88" s="50" t="str">
        <f t="shared" si="113"/>
        <v>1+0.257649730565962i</v>
      </c>
      <c r="AK88" s="50">
        <f t="shared" si="134"/>
        <v>1.0326584060863073</v>
      </c>
      <c r="AL88" s="50">
        <f t="shared" si="135"/>
        <v>0.25216535000872381</v>
      </c>
      <c r="AM88" s="50" t="str">
        <f t="shared" si="114"/>
        <v>1+0.000283414703622558i</v>
      </c>
      <c r="AN88" s="50">
        <f t="shared" si="136"/>
        <v>1.0000000401619462</v>
      </c>
      <c r="AO88" s="50">
        <f t="shared" si="137"/>
        <v>2.8341469603423416E-4</v>
      </c>
      <c r="AP88" s="50" t="str">
        <f t="shared" si="115"/>
        <v>1-0.00141415472300949i</v>
      </c>
      <c r="AQ88" s="50">
        <f t="shared" si="138"/>
        <v>1.0000009999162904</v>
      </c>
      <c r="AR88" s="50">
        <f t="shared" si="139"/>
        <v>-1.4141537803192535E-3</v>
      </c>
      <c r="AS88" s="59" t="str">
        <f t="shared" si="140"/>
        <v>102.059364267304-26.4186669420676i</v>
      </c>
      <c r="AT88" s="50">
        <f t="shared" si="141"/>
        <v>40.458727291162802</v>
      </c>
      <c r="AU88" s="61">
        <f t="shared" si="142"/>
        <v>-14.512796872199146</v>
      </c>
      <c r="AV88" s="32" t="str">
        <f t="shared" si="116"/>
        <v>-0.0000333333333333333</v>
      </c>
      <c r="AW88" s="32" t="str">
        <f t="shared" si="117"/>
        <v>0.0000151154508598697i</v>
      </c>
      <c r="AX88" s="32">
        <f t="shared" si="143"/>
        <v>1.51154508598697E-5</v>
      </c>
      <c r="AY88" s="32">
        <f t="shared" si="144"/>
        <v>1.5707963267948966</v>
      </c>
      <c r="AZ88" s="32" t="str">
        <f t="shared" si="118"/>
        <v>1+0.00616689401400936i</v>
      </c>
      <c r="BA88" s="32">
        <f t="shared" si="145"/>
        <v>1.0000190151101027</v>
      </c>
      <c r="BB88" s="32">
        <f t="shared" si="146"/>
        <v>6.1668158389374681E-3</v>
      </c>
      <c r="BC88" s="32" t="str">
        <f t="shared" si="119"/>
        <v>1+0.29601091267245i</v>
      </c>
      <c r="BD88" s="32">
        <f t="shared" si="147"/>
        <v>1.0428913943557003</v>
      </c>
      <c r="BE88" s="32">
        <f t="shared" si="148"/>
        <v>0.28779307525950559</v>
      </c>
      <c r="BF88" s="59" t="str">
        <f t="shared" si="149"/>
        <v>-0.639153933344813+2.2091906236786i</v>
      </c>
      <c r="BG88" s="50">
        <f t="shared" si="150"/>
        <v>7.233769305308801</v>
      </c>
      <c r="BH88" s="61">
        <f t="shared" si="151"/>
        <v>106.13599606485502</v>
      </c>
      <c r="BI88" s="59" t="str">
        <f t="shared" si="152"/>
        <v>-0.278880433009861+28.4278389798194i</v>
      </c>
      <c r="BJ88" s="64">
        <f t="shared" si="153"/>
        <v>29.07529487512139</v>
      </c>
      <c r="BK88" s="61">
        <f t="shared" si="154"/>
        <v>90.56206028372101</v>
      </c>
      <c r="BL88" s="59" t="str">
        <f t="shared" si="105"/>
        <v>-6.86777280761488+242.354185487676i</v>
      </c>
      <c r="BM88" s="64">
        <f t="shared" si="155"/>
        <v>47.692496596471614</v>
      </c>
      <c r="BN88" s="61">
        <f t="shared" si="106"/>
        <v>91.623199192655875</v>
      </c>
      <c r="BO88" s="50">
        <f t="shared" si="156"/>
        <v>29.07529487512139</v>
      </c>
      <c r="BP88" s="61">
        <f t="shared" si="157"/>
        <v>90.56206028372101</v>
      </c>
    </row>
    <row r="89" spans="1:68" x14ac:dyDescent="0.25">
      <c r="N89" s="11">
        <v>71</v>
      </c>
      <c r="O89" s="51">
        <f t="shared" si="120"/>
        <v>51.28613839913649</v>
      </c>
      <c r="P89" s="49" t="str">
        <f t="shared" si="107"/>
        <v>25.6231073841137</v>
      </c>
      <c r="Q89" s="18" t="str">
        <f t="shared" si="108"/>
        <v>1+0.278666935830641i</v>
      </c>
      <c r="R89" s="18">
        <f t="shared" si="121"/>
        <v>1.0381017585599392</v>
      </c>
      <c r="S89" s="18">
        <f t="shared" si="122"/>
        <v>0.27177212570146675</v>
      </c>
      <c r="T89" s="18" t="str">
        <f t="shared" si="109"/>
        <v>1+0.00029001628012629i</v>
      </c>
      <c r="U89" s="18">
        <f t="shared" si="123"/>
        <v>1.0000000420547206</v>
      </c>
      <c r="V89" s="18">
        <f t="shared" si="124"/>
        <v>2.9001627199525448E-4</v>
      </c>
      <c r="W89" s="32" t="str">
        <f t="shared" si="110"/>
        <v>1-0.00649851294357057i</v>
      </c>
      <c r="X89" s="18">
        <f t="shared" si="125"/>
        <v>1.0000211151123148</v>
      </c>
      <c r="Y89" s="18">
        <f t="shared" si="126"/>
        <v>-6.498421467035523E-3</v>
      </c>
      <c r="Z89" s="32" t="str">
        <f t="shared" si="111"/>
        <v>0.9999999342433+0.000514510363631455i</v>
      </c>
      <c r="AA89" s="18">
        <f t="shared" si="127"/>
        <v>1.0000000666037572</v>
      </c>
      <c r="AB89" s="18">
        <f t="shared" si="128"/>
        <v>5.1451035206340776E-4</v>
      </c>
      <c r="AC89" s="32" t="str">
        <f>IMDIV(IMSUM(COMPLEX(0,2*PI()*O89*Constants!$B$71*Constants!$B$72),COMPLEX(1,0)),IMSUM(COMPLEX(0,2*PI()*O89*Constants!$B$71*Constants!$B$72),COMPLEX(2,0)))</f>
        <v>0.50000020767755+0.000322240177407276i</v>
      </c>
      <c r="AD89" s="18">
        <f t="shared" si="129"/>
        <v>0.50000031151622804</v>
      </c>
      <c r="AE89" s="18">
        <f t="shared" si="130"/>
        <v>6.4447999789723055E-4</v>
      </c>
      <c r="AF89" s="66" t="str">
        <f t="shared" si="131"/>
        <v>11.8682609867968-3.3851673376105i</v>
      </c>
      <c r="AG89" s="64">
        <f t="shared" si="132"/>
        <v>21.827426085361918</v>
      </c>
      <c r="AH89" s="61">
        <f t="shared" si="133"/>
        <v>-15.919664495004673</v>
      </c>
      <c r="AI89" s="50" t="str">
        <f t="shared" si="112"/>
        <v>108.866083054159</v>
      </c>
      <c r="AJ89" s="50" t="str">
        <f t="shared" si="113"/>
        <v>1+0.263651163751173i</v>
      </c>
      <c r="AK89" s="50">
        <f t="shared" si="134"/>
        <v>1.0341721018028613</v>
      </c>
      <c r="AL89" s="50">
        <f t="shared" si="135"/>
        <v>0.25778498047986065</v>
      </c>
      <c r="AM89" s="50" t="str">
        <f t="shared" si="114"/>
        <v>1+0.00029001628012629i</v>
      </c>
      <c r="AN89" s="50">
        <f t="shared" si="136"/>
        <v>1.0000000420547206</v>
      </c>
      <c r="AO89" s="50">
        <f t="shared" si="137"/>
        <v>2.9001627199525448E-4</v>
      </c>
      <c r="AP89" s="50" t="str">
        <f t="shared" si="115"/>
        <v>1-0.00144709461805634i</v>
      </c>
      <c r="AQ89" s="50">
        <f t="shared" si="138"/>
        <v>1.0000010470408687</v>
      </c>
      <c r="AR89" s="50">
        <f t="shared" si="139"/>
        <v>-1.4470936079456096E-3</v>
      </c>
      <c r="AS89" s="59" t="str">
        <f t="shared" si="140"/>
        <v>101.759422992623-26.9549568810902i</v>
      </c>
      <c r="AT89" s="50">
        <f t="shared" si="141"/>
        <v>40.44600505172</v>
      </c>
      <c r="AU89" s="61">
        <f t="shared" si="142"/>
        <v>-14.836287051278534</v>
      </c>
      <c r="AV89" s="32" t="str">
        <f t="shared" si="116"/>
        <v>-0.0000333333333333333</v>
      </c>
      <c r="AW89" s="32" t="str">
        <f t="shared" si="117"/>
        <v>0.0000154675349400688i</v>
      </c>
      <c r="AX89" s="32">
        <f t="shared" si="143"/>
        <v>1.54675349400688E-5</v>
      </c>
      <c r="AY89" s="32">
        <f t="shared" si="144"/>
        <v>1.5707963267948966</v>
      </c>
      <c r="AZ89" s="32" t="str">
        <f t="shared" si="118"/>
        <v>1+0.0063105394286739i</v>
      </c>
      <c r="BA89" s="32">
        <f t="shared" si="145"/>
        <v>1.0000199112557113</v>
      </c>
      <c r="BB89" s="32">
        <f t="shared" si="146"/>
        <v>6.310455662665259E-3</v>
      </c>
      <c r="BC89" s="32" t="str">
        <f t="shared" si="119"/>
        <v>1+0.302905892576348i</v>
      </c>
      <c r="BD89" s="32">
        <f t="shared" si="147"/>
        <v>1.0448693601390913</v>
      </c>
      <c r="BE89" s="32">
        <f t="shared" si="148"/>
        <v>0.29412061417588287</v>
      </c>
      <c r="BF89" s="59" t="str">
        <f t="shared" si="149"/>
        <v>-0.639152787818149+2.15908483159438i</v>
      </c>
      <c r="BG89" s="50">
        <f t="shared" si="150"/>
        <v>7.0502197270201492</v>
      </c>
      <c r="BH89" s="61">
        <f t="shared" si="151"/>
        <v>106.49030738379857</v>
      </c>
      <c r="BI89" s="59" t="str">
        <f t="shared" si="152"/>
        <v>-0.276768645220988+27.788221415061i</v>
      </c>
      <c r="BJ89" s="64">
        <f t="shared" si="153"/>
        <v>28.877645812382063</v>
      </c>
      <c r="BK89" s="61">
        <f t="shared" si="154"/>
        <v>90.570642888793884</v>
      </c>
      <c r="BL89" s="59" t="str">
        <f t="shared" si="105"/>
        <v>-6.84178035425883+236.935562491236i</v>
      </c>
      <c r="BM89" s="64">
        <f t="shared" si="155"/>
        <v>47.496224778740171</v>
      </c>
      <c r="BN89" s="61">
        <f t="shared" si="106"/>
        <v>91.65402033252002</v>
      </c>
      <c r="BO89" s="50">
        <f t="shared" si="156"/>
        <v>28.877645812382063</v>
      </c>
      <c r="BP89" s="61">
        <f t="shared" si="157"/>
        <v>90.570642888793884</v>
      </c>
    </row>
    <row r="90" spans="1:68" x14ac:dyDescent="0.25">
      <c r="N90" s="11">
        <v>72</v>
      </c>
      <c r="O90" s="51">
        <f t="shared" si="120"/>
        <v>52.480746024977286</v>
      </c>
      <c r="P90" s="49" t="str">
        <f t="shared" si="107"/>
        <v>25.6231073841137</v>
      </c>
      <c r="Q90" s="18" t="str">
        <f t="shared" si="108"/>
        <v>1+0.285157922615846i</v>
      </c>
      <c r="R90" s="18">
        <f t="shared" si="121"/>
        <v>1.0398629913746256</v>
      </c>
      <c r="S90" s="18">
        <f t="shared" si="122"/>
        <v>0.27778521001445827</v>
      </c>
      <c r="T90" s="18" t="str">
        <f t="shared" si="109"/>
        <v>1+0.000296771627100565i</v>
      </c>
      <c r="U90" s="18">
        <f t="shared" si="123"/>
        <v>1.0000000440366983</v>
      </c>
      <c r="V90" s="18">
        <f t="shared" si="124"/>
        <v>2.9677161838800349E-4</v>
      </c>
      <c r="W90" s="32" t="str">
        <f t="shared" si="110"/>
        <v>1-0.00664988275540155i</v>
      </c>
      <c r="X90" s="18">
        <f t="shared" si="125"/>
        <v>1.0000221102258993</v>
      </c>
      <c r="Y90" s="18">
        <f t="shared" si="126"/>
        <v>-6.6497847366453165E-3</v>
      </c>
      <c r="Z90" s="32" t="str">
        <f t="shared" si="111"/>
        <v>0.999999931144282+0.000526494849559891i</v>
      </c>
      <c r="AA90" s="18">
        <f t="shared" si="127"/>
        <v>1.0000000697426952</v>
      </c>
      <c r="AB90" s="18">
        <f t="shared" si="128"/>
        <v>5.2649483716450533E-4</v>
      </c>
      <c r="AC90" s="32" t="str">
        <f>IMDIV(IMSUM(COMPLEX(0,2*PI()*O90*Constants!$B$71*Constants!$B$72),COMPLEX(1,0)),IMSUM(COMPLEX(0,2*PI()*O90*Constants!$B$71*Constants!$B$72),COMPLEX(2,0)))</f>
        <v>0.500000217465087+0.000329746108917365i</v>
      </c>
      <c r="AD90" s="18">
        <f t="shared" si="129"/>
        <v>0.50000032619752433</v>
      </c>
      <c r="AE90" s="18">
        <f t="shared" si="130"/>
        <v>6.594918353909591E-4</v>
      </c>
      <c r="AF90" s="66" t="str">
        <f t="shared" si="131"/>
        <v>11.8271480691357-3.45229434236663i</v>
      </c>
      <c r="AG90" s="64">
        <f t="shared" si="132"/>
        <v>21.812711068869749</v>
      </c>
      <c r="AH90" s="61">
        <f t="shared" si="133"/>
        <v>-16.272300817164798</v>
      </c>
      <c r="AI90" s="50" t="str">
        <f t="shared" si="112"/>
        <v>108.866083054159</v>
      </c>
      <c r="AJ90" s="50" t="str">
        <f t="shared" si="113"/>
        <v>1+0.269792388273241i</v>
      </c>
      <c r="AK90" s="50">
        <f t="shared" si="134"/>
        <v>1.0357547647827545</v>
      </c>
      <c r="AL90" s="50">
        <f t="shared" si="135"/>
        <v>0.26351831915636614</v>
      </c>
      <c r="AM90" s="50" t="str">
        <f t="shared" si="114"/>
        <v>1+0.000296771627100565i</v>
      </c>
      <c r="AN90" s="50">
        <f t="shared" si="136"/>
        <v>1.0000000440366983</v>
      </c>
      <c r="AO90" s="50">
        <f t="shared" si="137"/>
        <v>2.9677161838800349E-4</v>
      </c>
      <c r="AP90" s="50" t="str">
        <f t="shared" si="115"/>
        <v>1-0.00148080178182425i</v>
      </c>
      <c r="AQ90" s="50">
        <f t="shared" si="138"/>
        <v>1.0000010963863575</v>
      </c>
      <c r="AR90" s="50">
        <f t="shared" si="139"/>
        <v>-1.4808006994711661E-3</v>
      </c>
      <c r="AS90" s="59" t="str">
        <f t="shared" si="140"/>
        <v>101.44722096279-27.4985887523971i</v>
      </c>
      <c r="AT90" s="50">
        <f t="shared" si="141"/>
        <v>40.432723058557308</v>
      </c>
      <c r="AU90" s="61">
        <f t="shared" si="142"/>
        <v>-15.166327381208038</v>
      </c>
      <c r="AV90" s="32" t="str">
        <f t="shared" si="116"/>
        <v>-0.0000333333333333333</v>
      </c>
      <c r="AW90" s="32" t="str">
        <f t="shared" si="117"/>
        <v>0.0000158278201120301i</v>
      </c>
      <c r="AX90" s="32">
        <f t="shared" si="143"/>
        <v>1.5827820112030101E-5</v>
      </c>
      <c r="AY90" s="32">
        <f t="shared" si="144"/>
        <v>1.5707963267948966</v>
      </c>
      <c r="AZ90" s="32" t="str">
        <f t="shared" si="118"/>
        <v>1+0.00645753077487341i</v>
      </c>
      <c r="BA90" s="32">
        <f t="shared" si="145"/>
        <v>1.0000208496345007</v>
      </c>
      <c r="BB90" s="32">
        <f t="shared" si="146"/>
        <v>6.4574410180790976E-3</v>
      </c>
      <c r="BC90" s="32" t="str">
        <f t="shared" si="119"/>
        <v>1+0.309961477193924i</v>
      </c>
      <c r="BD90" s="32">
        <f t="shared" si="147"/>
        <v>1.0469365393108789</v>
      </c>
      <c r="BE90" s="32">
        <f t="shared" si="148"/>
        <v>0.30057052432049702</v>
      </c>
      <c r="BF90" s="59" t="str">
        <f t="shared" si="149"/>
        <v>-0.639151588308886+2.11012381418522i</v>
      </c>
      <c r="BG90" s="50">
        <f t="shared" si="150"/>
        <v>6.8673788442958363</v>
      </c>
      <c r="BH90" s="61">
        <f t="shared" si="151"/>
        <v>106.85143837280816</v>
      </c>
      <c r="BI90" s="59" t="str">
        <f t="shared" si="152"/>
        <v>-0.274571968147727+27.1632862068114i</v>
      </c>
      <c r="BJ90" s="64">
        <f t="shared" si="153"/>
        <v>28.680089913165588</v>
      </c>
      <c r="BK90" s="61">
        <f t="shared" si="154"/>
        <v>90.579137555643371</v>
      </c>
      <c r="BL90" s="59" t="str">
        <f t="shared" si="105"/>
        <v>-6.81472542497077+231.641963513841i</v>
      </c>
      <c r="BM90" s="64">
        <f t="shared" si="155"/>
        <v>47.300101902853157</v>
      </c>
      <c r="BN90" s="61">
        <f t="shared" si="106"/>
        <v>91.685110991600126</v>
      </c>
      <c r="BO90" s="50">
        <f t="shared" si="156"/>
        <v>28.680089913165588</v>
      </c>
      <c r="BP90" s="61">
        <f t="shared" si="157"/>
        <v>90.579137555643371</v>
      </c>
    </row>
    <row r="91" spans="1:68" x14ac:dyDescent="0.25">
      <c r="N91" s="11">
        <v>73</v>
      </c>
      <c r="O91" s="51">
        <f t="shared" si="120"/>
        <v>53.703179637025293</v>
      </c>
      <c r="P91" s="49" t="str">
        <f t="shared" si="107"/>
        <v>25.6231073841137</v>
      </c>
      <c r="Q91" s="18" t="str">
        <f t="shared" si="108"/>
        <v>1+0.291800103906132i</v>
      </c>
      <c r="R91" s="18">
        <f t="shared" si="121"/>
        <v>1.0417040369700166</v>
      </c>
      <c r="S91" s="18">
        <f t="shared" si="122"/>
        <v>0.28391708055687148</v>
      </c>
      <c r="T91" s="18" t="str">
        <f t="shared" si="109"/>
        <v>1+0.000303684326319765i</v>
      </c>
      <c r="U91" s="18">
        <f t="shared" si="123"/>
        <v>1.0000000461120839</v>
      </c>
      <c r="V91" s="18">
        <f t="shared" si="124"/>
        <v>3.0368431698408723E-4</v>
      </c>
      <c r="W91" s="32" t="str">
        <f t="shared" si="110"/>
        <v>1-0.00680477842309103i</v>
      </c>
      <c r="X91" s="18">
        <f t="shared" si="125"/>
        <v>1.0000231522366807</v>
      </c>
      <c r="Y91" s="18">
        <f t="shared" si="126"/>
        <v>-6.804673394232779E-3</v>
      </c>
      <c r="Z91" s="32" t="str">
        <f t="shared" si="111"/>
        <v>0.999999927899212+0.000538758490026546i</v>
      </c>
      <c r="AA91" s="18">
        <f t="shared" si="127"/>
        <v>1.0000000730295673</v>
      </c>
      <c r="AB91" s="18">
        <f t="shared" si="128"/>
        <v>5.3875847674465089E-4</v>
      </c>
      <c r="AC91" s="32" t="str">
        <f>IMDIV(IMSUM(COMPLEX(0,2*PI()*O91*Constants!$B$71*Constants!$B$72),COMPLEX(1,0)),IMSUM(COMPLEX(0,2*PI()*O91*Constants!$B$71*Constants!$B$72),COMPLEX(2,0)))</f>
        <v>0.500000227713897+0.000337426875570535i</v>
      </c>
      <c r="AD91" s="18">
        <f t="shared" si="129"/>
        <v>0.50000034157072848</v>
      </c>
      <c r="AE91" s="18">
        <f t="shared" si="130"/>
        <v>6.7485334134521804E-4</v>
      </c>
      <c r="AF91" s="66" t="str">
        <f t="shared" si="131"/>
        <v>11.784394787263-3.5202331981899i</v>
      </c>
      <c r="AG91" s="64">
        <f t="shared" si="132"/>
        <v>21.797355871451316</v>
      </c>
      <c r="AH91" s="61">
        <f t="shared" si="133"/>
        <v>-16.631932023016571</v>
      </c>
      <c r="AI91" s="50" t="str">
        <f t="shared" si="112"/>
        <v>108.866083054159</v>
      </c>
      <c r="AJ91" s="50" t="str">
        <f t="shared" si="113"/>
        <v>1+0.276076660290696i</v>
      </c>
      <c r="AK91" s="50">
        <f t="shared" si="134"/>
        <v>1.0374094285079851</v>
      </c>
      <c r="AL91" s="50">
        <f t="shared" si="135"/>
        <v>0.26936689761959698</v>
      </c>
      <c r="AM91" s="50" t="str">
        <f t="shared" si="114"/>
        <v>1+0.000303684326319765i</v>
      </c>
      <c r="AN91" s="50">
        <f t="shared" si="136"/>
        <v>1.0000000461120839</v>
      </c>
      <c r="AO91" s="50">
        <f t="shared" si="137"/>
        <v>3.0368431698408723E-4</v>
      </c>
      <c r="AP91" s="50" t="str">
        <f t="shared" si="115"/>
        <v>1-0.00151529408629761i</v>
      </c>
      <c r="AQ91" s="50">
        <f t="shared" si="138"/>
        <v>1.0000011480574249</v>
      </c>
      <c r="AR91" s="50">
        <f t="shared" si="139"/>
        <v>-1.5152929265354576E-3</v>
      </c>
      <c r="AS91" s="59" t="str">
        <f t="shared" si="140"/>
        <v>101.122342458779-28.0494217955508i</v>
      </c>
      <c r="AT91" s="50">
        <f t="shared" si="141"/>
        <v>40.418858507268283</v>
      </c>
      <c r="AU91" s="61">
        <f t="shared" si="142"/>
        <v>-15.503006433884492</v>
      </c>
      <c r="AV91" s="32" t="str">
        <f t="shared" si="116"/>
        <v>-0.0000333333333333333</v>
      </c>
      <c r="AW91" s="32" t="str">
        <f t="shared" si="117"/>
        <v>0.0000161964974037208i</v>
      </c>
      <c r="AX91" s="32">
        <f t="shared" si="143"/>
        <v>1.61964974037208E-5</v>
      </c>
      <c r="AY91" s="32">
        <f t="shared" si="144"/>
        <v>1.5707963267948966</v>
      </c>
      <c r="AZ91" s="32" t="str">
        <f t="shared" si="118"/>
        <v>1+0.00660794598936526i</v>
      </c>
      <c r="BA91" s="32">
        <f t="shared" si="145"/>
        <v>1.000021832236776</v>
      </c>
      <c r="BB91" s="32">
        <f t="shared" si="146"/>
        <v>6.6078498133407809E-3</v>
      </c>
      <c r="BC91" s="32" t="str">
        <f t="shared" si="119"/>
        <v>1+0.317181407489533i</v>
      </c>
      <c r="BD91" s="32">
        <f t="shared" si="147"/>
        <v>1.0490967759253869</v>
      </c>
      <c r="BE91" s="32">
        <f t="shared" si="148"/>
        <v>0.30714407813539185</v>
      </c>
      <c r="BF91" s="59" t="str">
        <f t="shared" si="149"/>
        <v>-0.639150332273313+2.06228161162286i</v>
      </c>
      <c r="BG91" s="50">
        <f t="shared" si="150"/>
        <v>6.6852742078261116</v>
      </c>
      <c r="BH91" s="61">
        <f t="shared" si="151"/>
        <v>107.21945747363361</v>
      </c>
      <c r="BI91" s="59" t="str">
        <f t="shared" si="152"/>
        <v>-0.272287650667682+26.5526988921794i</v>
      </c>
      <c r="BJ91" s="64">
        <f t="shared" si="153"/>
        <v>28.482630079277431</v>
      </c>
      <c r="BK91" s="61">
        <f t="shared" si="154"/>
        <v>90.587525450617036</v>
      </c>
      <c r="BL91" s="59" t="str">
        <f t="shared" si="105"/>
        <v>-6.78657199716647+226.47054463767i</v>
      </c>
      <c r="BM91" s="64">
        <f t="shared" si="155"/>
        <v>47.104132715094387</v>
      </c>
      <c r="BN91" s="61">
        <f t="shared" si="106"/>
        <v>91.716451039749117</v>
      </c>
      <c r="BO91" s="50">
        <f t="shared" si="156"/>
        <v>28.482630079277431</v>
      </c>
      <c r="BP91" s="61">
        <f t="shared" si="157"/>
        <v>90.587525450617036</v>
      </c>
    </row>
    <row r="92" spans="1:68" x14ac:dyDescent="0.25">
      <c r="N92" s="11">
        <v>74</v>
      </c>
      <c r="O92" s="51">
        <f t="shared" si="120"/>
        <v>54.95408738576247</v>
      </c>
      <c r="P92" s="49" t="str">
        <f t="shared" si="107"/>
        <v>25.6231073841137</v>
      </c>
      <c r="Q92" s="18" t="str">
        <f t="shared" si="108"/>
        <v>1+0.298597001473941i</v>
      </c>
      <c r="R92" s="18">
        <f t="shared" si="121"/>
        <v>1.0436283674226323</v>
      </c>
      <c r="S92" s="18">
        <f t="shared" si="122"/>
        <v>0.29016914335636729</v>
      </c>
      <c r="T92" s="18" t="str">
        <f t="shared" si="109"/>
        <v>1+0.000310758042988518i</v>
      </c>
      <c r="U92" s="18">
        <f t="shared" si="123"/>
        <v>1.0000000482852796</v>
      </c>
      <c r="V92" s="18">
        <f t="shared" si="124"/>
        <v>3.1075803298515899E-4</v>
      </c>
      <c r="W92" s="32" t="str">
        <f t="shared" si="110"/>
        <v>1-0.00696328207437234i</v>
      </c>
      <c r="X92" s="18">
        <f t="shared" si="125"/>
        <v>1.0000242433547535</v>
      </c>
      <c r="Y92" s="18">
        <f t="shared" si="126"/>
        <v>-6.9631695340704684E-3</v>
      </c>
      <c r="Z92" s="32" t="str">
        <f t="shared" si="111"/>
        <v>0.999999924501207+0.000551307787375925i</v>
      </c>
      <c r="AA92" s="18">
        <f t="shared" si="127"/>
        <v>1.000000076471345</v>
      </c>
      <c r="AB92" s="18">
        <f t="shared" si="128"/>
        <v>5.5130777314411775E-4</v>
      </c>
      <c r="AC92" s="32" t="str">
        <f>IMDIV(IMSUM(COMPLEX(0,2*PI()*O92*Constants!$B$71*Constants!$B$72),COMPLEX(1,0)),IMSUM(COMPLEX(0,2*PI()*O92*Constants!$B$71*Constants!$B$72),COMPLEX(2,0)))</f>
        <v>0.500000238445717+0.000345286549767409i</v>
      </c>
      <c r="AD92" s="18">
        <f t="shared" si="129"/>
        <v>0.5000003576684473</v>
      </c>
      <c r="AE92" s="18">
        <f t="shared" si="130"/>
        <v>6.9057266043068841E-4</v>
      </c>
      <c r="AF92" s="66" t="str">
        <f t="shared" si="131"/>
        <v>11.739949066651-3.58895860662222i</v>
      </c>
      <c r="AG92" s="64">
        <f t="shared" si="132"/>
        <v>21.781335053762277</v>
      </c>
      <c r="AH92" s="61">
        <f t="shared" si="133"/>
        <v>-16.998643071566985</v>
      </c>
      <c r="AI92" s="50" t="str">
        <f t="shared" si="112"/>
        <v>108.866083054159</v>
      </c>
      <c r="AJ92" s="50" t="str">
        <f t="shared" si="113"/>
        <v>1+0.282507311807744i</v>
      </c>
      <c r="AK92" s="50">
        <f t="shared" si="134"/>
        <v>1.0391392501608425</v>
      </c>
      <c r="AL92" s="50">
        <f t="shared" si="135"/>
        <v>0.27533221577201911</v>
      </c>
      <c r="AM92" s="50" t="str">
        <f t="shared" si="114"/>
        <v>1+0.000310758042988518i</v>
      </c>
      <c r="AN92" s="50">
        <f t="shared" si="136"/>
        <v>1.0000000482852796</v>
      </c>
      <c r="AO92" s="50">
        <f t="shared" si="137"/>
        <v>3.1075803298515899E-4</v>
      </c>
      <c r="AP92" s="50" t="str">
        <f t="shared" si="115"/>
        <v>1-0.00155058981975282i</v>
      </c>
      <c r="AQ92" s="50">
        <f t="shared" si="138"/>
        <v>1.0000012021636719</v>
      </c>
      <c r="AR92" s="50">
        <f t="shared" si="139"/>
        <v>-1.5505885770453649E-3</v>
      </c>
      <c r="AS92" s="59" t="str">
        <f t="shared" si="140"/>
        <v>100.784365294373-28.6072957407454i</v>
      </c>
      <c r="AT92" s="50">
        <f t="shared" si="141"/>
        <v>40.404387827092421</v>
      </c>
      <c r="AU92" s="61">
        <f t="shared" si="142"/>
        <v>-15.846410985208065</v>
      </c>
      <c r="AV92" s="32" t="str">
        <f t="shared" si="116"/>
        <v>-0.0000333333333333333</v>
      </c>
      <c r="AW92" s="32" t="str">
        <f t="shared" si="117"/>
        <v>0.0000165737622927209i</v>
      </c>
      <c r="AX92" s="32">
        <f t="shared" si="143"/>
        <v>1.6573762292720898E-5</v>
      </c>
      <c r="AY92" s="32">
        <f t="shared" si="144"/>
        <v>1.5707963267948966</v>
      </c>
      <c r="AZ92" s="32" t="str">
        <f t="shared" si="118"/>
        <v>1+0.00676186482428719i</v>
      </c>
      <c r="BA92" s="32">
        <f t="shared" si="145"/>
        <v>1.0000228611466349</v>
      </c>
      <c r="BB92" s="32">
        <f t="shared" si="146"/>
        <v>6.7617617699474979E-3</v>
      </c>
      <c r="BC92" s="32" t="str">
        <f t="shared" si="119"/>
        <v>1+0.324569511565786i</v>
      </c>
      <c r="BD92" s="32">
        <f t="shared" si="147"/>
        <v>1.0513540639756205</v>
      </c>
      <c r="BE92" s="32">
        <f t="shared" si="148"/>
        <v>0.31384248776087681</v>
      </c>
      <c r="BF92" s="59" t="str">
        <f t="shared" si="149"/>
        <v>-0.639149017047903+2.01553285728603i</v>
      </c>
      <c r="BG92" s="50">
        <f t="shared" si="150"/>
        <v>6.5039341796846903</v>
      </c>
      <c r="BH92" s="61">
        <f t="shared" si="151"/>
        <v>107.59442956909351</v>
      </c>
      <c r="BI92" s="59" t="str">
        <f t="shared" si="152"/>
        <v>-0.269912911055861+25.9561324523478i</v>
      </c>
      <c r="BJ92" s="64">
        <f t="shared" si="153"/>
        <v>28.285269233446986</v>
      </c>
      <c r="BK92" s="61">
        <f t="shared" si="154"/>
        <v>90.595786497526518</v>
      </c>
      <c r="BL92" s="59" t="str">
        <f t="shared" si="105"/>
        <v>-6.75728348812424+221.418524704623i</v>
      </c>
      <c r="BM92" s="64">
        <f t="shared" si="155"/>
        <v>46.908322006777119</v>
      </c>
      <c r="BN92" s="61">
        <f t="shared" si="106"/>
        <v>91.748018583885425</v>
      </c>
      <c r="BO92" s="50">
        <f t="shared" si="156"/>
        <v>28.285269233446986</v>
      </c>
      <c r="BP92" s="61">
        <f t="shared" si="157"/>
        <v>90.595786497526518</v>
      </c>
    </row>
    <row r="93" spans="1:68" x14ac:dyDescent="0.25">
      <c r="N93" s="11">
        <v>75</v>
      </c>
      <c r="O93" s="51">
        <f t="shared" si="120"/>
        <v>56.234132519034915</v>
      </c>
      <c r="P93" s="49" t="str">
        <f t="shared" si="107"/>
        <v>25.6231073841137</v>
      </c>
      <c r="Q93" s="18" t="str">
        <f t="shared" si="108"/>
        <v>1+0.30555221912433i</v>
      </c>
      <c r="R93" s="18">
        <f t="shared" si="121"/>
        <v>1.04563959307775</v>
      </c>
      <c r="S93" s="18">
        <f t="shared" si="122"/>
        <v>0.29654275753907233</v>
      </c>
      <c r="T93" s="18" t="str">
        <f t="shared" si="109"/>
        <v>1+0.000317996527685031i</v>
      </c>
      <c r="U93" s="18">
        <f t="shared" si="123"/>
        <v>1.0000000505608946</v>
      </c>
      <c r="V93" s="18">
        <f t="shared" si="124"/>
        <v>3.1799651696623877E-4</v>
      </c>
      <c r="W93" s="32" t="str">
        <f t="shared" si="110"/>
        <v>1-0.0071254777499794i</v>
      </c>
      <c r="X93" s="18">
        <f t="shared" si="125"/>
        <v>1.0000253858943609</v>
      </c>
      <c r="Y93" s="18">
        <f t="shared" si="126"/>
        <v>-7.1253571610386569E-3</v>
      </c>
      <c r="Z93" s="32" t="str">
        <f t="shared" si="111"/>
        <v>0.999999920943058+0.000564149395411592i</v>
      </c>
      <c r="AA93" s="18">
        <f t="shared" si="127"/>
        <v>1.0000000800753281</v>
      </c>
      <c r="AB93" s="18">
        <f t="shared" si="128"/>
        <v>5.6414938016193612E-4</v>
      </c>
      <c r="AC93" s="32" t="str">
        <f>IMDIV(IMSUM(COMPLEX(0,2*PI()*O93*Constants!$B$71*Constants!$B$72),COMPLEX(1,0)),IMSUM(COMPLEX(0,2*PI()*O93*Constants!$B$71*Constants!$B$72),COMPLEX(2,0)))</f>
        <v>0.500000249683311+0.000353329298764643i</v>
      </c>
      <c r="AD93" s="18">
        <f t="shared" si="129"/>
        <v>0.50000037452482649</v>
      </c>
      <c r="AE93" s="18">
        <f t="shared" si="130"/>
        <v>7.0665812702077647E-4</v>
      </c>
      <c r="AF93" s="66" t="str">
        <f t="shared" si="131"/>
        <v>11.6937583598083-3.65844252157469i</v>
      </c>
      <c r="AG93" s="64">
        <f t="shared" si="132"/>
        <v>21.764622378031042</v>
      </c>
      <c r="AH93" s="61">
        <f t="shared" si="133"/>
        <v>-17.372516336950305</v>
      </c>
      <c r="AI93" s="50" t="str">
        <f t="shared" si="112"/>
        <v>108.866083054159</v>
      </c>
      <c r="AJ93" s="50" t="str">
        <f t="shared" si="113"/>
        <v>1+0.289087752440938i</v>
      </c>
      <c r="AK93" s="50">
        <f t="shared" si="134"/>
        <v>1.0409475148206815</v>
      </c>
      <c r="AL93" s="50">
        <f t="shared" si="135"/>
        <v>0.28141573762327193</v>
      </c>
      <c r="AM93" s="50" t="str">
        <f t="shared" si="114"/>
        <v>1+0.000317996527685031i</v>
      </c>
      <c r="AN93" s="50">
        <f t="shared" si="136"/>
        <v>1.0000000505608946</v>
      </c>
      <c r="AO93" s="50">
        <f t="shared" si="137"/>
        <v>3.1799651696623877E-4</v>
      </c>
      <c r="AP93" s="50" t="str">
        <f t="shared" si="115"/>
        <v>1-0.00158670769645493i</v>
      </c>
      <c r="AQ93" s="50">
        <f t="shared" si="138"/>
        <v>1.0000012588198648</v>
      </c>
      <c r="AR93" s="50">
        <f t="shared" si="139"/>
        <v>-1.5867063648699917E-3</v>
      </c>
      <c r="AS93" s="59" t="str">
        <f t="shared" si="140"/>
        <v>100.432861454139-29.1720298044601i</v>
      </c>
      <c r="AT93" s="50">
        <f t="shared" si="141"/>
        <v>40.389286669659015</v>
      </c>
      <c r="AU93" s="61">
        <f t="shared" si="142"/>
        <v>-16.196625774085931</v>
      </c>
      <c r="AV93" s="32" t="str">
        <f t="shared" si="116"/>
        <v>-0.0000333333333333333</v>
      </c>
      <c r="AW93" s="32" t="str">
        <f t="shared" si="117"/>
        <v>0.0000169598148098683i</v>
      </c>
      <c r="AX93" s="32">
        <f t="shared" si="143"/>
        <v>1.6959814809868301E-5</v>
      </c>
      <c r="AY93" s="32">
        <f t="shared" si="144"/>
        <v>1.5707963267948966</v>
      </c>
      <c r="AZ93" s="32" t="str">
        <f t="shared" si="118"/>
        <v>1+0.00691936888944281i</v>
      </c>
      <c r="BA93" s="32">
        <f t="shared" si="145"/>
        <v>1.0000239385463872</v>
      </c>
      <c r="BB93" s="32">
        <f t="shared" si="146"/>
        <v>6.9192584648711045E-3</v>
      </c>
      <c r="BC93" s="32" t="str">
        <f t="shared" si="119"/>
        <v>1+0.332129706693255i</v>
      </c>
      <c r="BD93" s="32">
        <f t="shared" si="147"/>
        <v>1.0537125519173374</v>
      </c>
      <c r="BE93" s="32">
        <f t="shared" si="148"/>
        <v>0.32066689954984751</v>
      </c>
      <c r="BF93" s="59" t="str">
        <f t="shared" si="149"/>
        <v>-0.639147639843626+1.96985276431041i</v>
      </c>
      <c r="BG93" s="50">
        <f t="shared" si="150"/>
        <v>6.3233879345736916</v>
      </c>
      <c r="BH93" s="61">
        <f t="shared" si="151"/>
        <v>107.97641566635447</v>
      </c>
      <c r="BI93" s="59" t="str">
        <f t="shared" si="152"/>
        <v>-0.267444942378495+25.3732671334144i</v>
      </c>
      <c r="BJ93" s="64">
        <f t="shared" si="153"/>
        <v>28.088010312604744</v>
      </c>
      <c r="BK93" s="61">
        <f t="shared" si="154"/>
        <v>90.603899329404172</v>
      </c>
      <c r="BL93" s="59" t="str">
        <f t="shared" si="105"/>
        <v>-6.72682281029343+216.483183762009i</v>
      </c>
      <c r="BM93" s="64">
        <f t="shared" si="155"/>
        <v>46.712674604232717</v>
      </c>
      <c r="BN93" s="61">
        <f t="shared" si="106"/>
        <v>91.779789892268539</v>
      </c>
      <c r="BO93" s="50">
        <f t="shared" si="156"/>
        <v>28.088010312604744</v>
      </c>
      <c r="BP93" s="61">
        <f t="shared" si="157"/>
        <v>90.603899329404172</v>
      </c>
    </row>
    <row r="94" spans="1:68" x14ac:dyDescent="0.25">
      <c r="N94" s="11">
        <v>76</v>
      </c>
      <c r="O94" s="51">
        <f t="shared" si="120"/>
        <v>57.543993733715695</v>
      </c>
      <c r="P94" s="49" t="str">
        <f t="shared" si="107"/>
        <v>25.6231073841137</v>
      </c>
      <c r="Q94" s="18" t="str">
        <f t="shared" si="108"/>
        <v>1+0.312669444605761i</v>
      </c>
      <c r="R94" s="18">
        <f t="shared" si="121"/>
        <v>1.0477414669612324</v>
      </c>
      <c r="S94" s="18">
        <f t="shared" si="122"/>
        <v>0.30303923039015085</v>
      </c>
      <c r="T94" s="18" t="str">
        <f t="shared" si="109"/>
        <v>1+0.000325403618349706i</v>
      </c>
      <c r="U94" s="18">
        <f t="shared" si="123"/>
        <v>1.000000052943756</v>
      </c>
      <c r="V94" s="18">
        <f t="shared" si="124"/>
        <v>3.2540360686431324E-4</v>
      </c>
      <c r="W94" s="32" t="str">
        <f t="shared" si="110"/>
        <v>1-0.00729145144820636i</v>
      </c>
      <c r="X94" s="18">
        <f t="shared" si="125"/>
        <v>1.0000265822788019</v>
      </c>
      <c r="Y94" s="18">
        <f t="shared" si="126"/>
        <v>-7.2913222350138593E-3</v>
      </c>
      <c r="Z94" s="32" t="str">
        <f t="shared" si="111"/>
        <v>0.99999991721722+0.000577290122924107i</v>
      </c>
      <c r="AA94" s="18">
        <f t="shared" si="127"/>
        <v>1.0000000838491629</v>
      </c>
      <c r="AB94" s="18">
        <f t="shared" si="128"/>
        <v>5.7729010658380585E-4</v>
      </c>
      <c r="AC94" s="32" t="str">
        <f>IMDIV(IMSUM(COMPLEX(0,2*PI()*O94*Constants!$B$71*Constants!$B$72),COMPLEX(1,0)),IMSUM(COMPLEX(0,2*PI()*O94*Constants!$B$71*Constants!$B$72),COMPLEX(2,0)))</f>
        <v>0.500000261450517+0.000361559386884241i</v>
      </c>
      <c r="AD94" s="18">
        <f t="shared" si="129"/>
        <v>0.50000039217562187</v>
      </c>
      <c r="AE94" s="18">
        <f t="shared" si="130"/>
        <v>7.2311826960957677E-4</v>
      </c>
      <c r="AF94" s="66" t="str">
        <f t="shared" si="131"/>
        <v>11.6457697582198-3.72865402859542i</v>
      </c>
      <c r="AG94" s="64">
        <f t="shared" si="132"/>
        <v>21.747190801717061</v>
      </c>
      <c r="AH94" s="61">
        <f t="shared" si="133"/>
        <v>-17.753631327797205</v>
      </c>
      <c r="AI94" s="50" t="str">
        <f t="shared" si="112"/>
        <v>108.866083054159</v>
      </c>
      <c r="AJ94" s="50" t="str">
        <f t="shared" si="113"/>
        <v>1+0.295821471227005i</v>
      </c>
      <c r="AK94" s="50">
        <f t="shared" si="134"/>
        <v>1.0428376397306101</v>
      </c>
      <c r="AL94" s="50">
        <f t="shared" si="135"/>
        <v>0.287618886863863</v>
      </c>
      <c r="AM94" s="50" t="str">
        <f t="shared" si="114"/>
        <v>1+0.000325403618349706i</v>
      </c>
      <c r="AN94" s="50">
        <f t="shared" si="136"/>
        <v>1.000000052943756</v>
      </c>
      <c r="AO94" s="50">
        <f t="shared" si="137"/>
        <v>3.2540360686431324E-4</v>
      </c>
      <c r="AP94" s="50" t="str">
        <f t="shared" si="115"/>
        <v>1-0.00162366686658027i</v>
      </c>
      <c r="AQ94" s="50">
        <f t="shared" si="138"/>
        <v>1.000001318146178</v>
      </c>
      <c r="AR94" s="50">
        <f t="shared" si="139"/>
        <v>-1.6236654397614033E-3</v>
      </c>
      <c r="AS94" s="59" t="str">
        <f t="shared" si="140"/>
        <v>100.067397813248-29.743421677581i</v>
      </c>
      <c r="AT94" s="50">
        <f t="shared" si="141"/>
        <v>40.373529898973004</v>
      </c>
      <c r="AU94" s="61">
        <f t="shared" si="142"/>
        <v>-16.553733249277972</v>
      </c>
      <c r="AV94" s="32" t="str">
        <f t="shared" si="116"/>
        <v>-0.0000333333333333333</v>
      </c>
      <c r="AW94" s="32" t="str">
        <f t="shared" si="117"/>
        <v>0.0000173548596453176i</v>
      </c>
      <c r="AX94" s="32">
        <f t="shared" si="143"/>
        <v>1.7354859645317601E-5</v>
      </c>
      <c r="AY94" s="32">
        <f t="shared" si="144"/>
        <v>1.5707963267948966</v>
      </c>
      <c r="AZ94" s="32" t="str">
        <f t="shared" si="118"/>
        <v>1+0.0070805416955723i</v>
      </c>
      <c r="BA94" s="32">
        <f t="shared" si="145"/>
        <v>1.000025066721181</v>
      </c>
      <c r="BB94" s="32">
        <f t="shared" si="146"/>
        <v>7.0804233736721286E-3</v>
      </c>
      <c r="BC94" s="32" t="str">
        <f t="shared" si="119"/>
        <v>1+0.339866001387471i</v>
      </c>
      <c r="BD94" s="32">
        <f t="shared" si="147"/>
        <v>1.0561765472207325</v>
      </c>
      <c r="BE94" s="32">
        <f t="shared" si="148"/>
        <v>0.32761838838290208</v>
      </c>
      <c r="BF94" s="59" t="str">
        <f t="shared" si="149"/>
        <v>-0.639146197740076+1.9252171124461i</v>
      </c>
      <c r="BG94" s="50">
        <f t="shared" si="150"/>
        <v>6.1436654587820456</v>
      </c>
      <c r="BH94" s="61">
        <f t="shared" si="151"/>
        <v>108.36547256874097</v>
      </c>
      <c r="BI94" s="59" t="str">
        <f t="shared" si="152"/>
        <v>-0.264880918479556+24.803790271197i</v>
      </c>
      <c r="BJ94" s="64">
        <f t="shared" si="153"/>
        <v>27.890856260499103</v>
      </c>
      <c r="BK94" s="61">
        <f t="shared" si="154"/>
        <v>90.611841240943761</v>
      </c>
      <c r="BL94" s="59" t="str">
        <f t="shared" si="105"/>
        <v>-6.69515243370182+211.661861541022i</v>
      </c>
      <c r="BM94" s="64">
        <f t="shared" si="155"/>
        <v>46.51719535775505</v>
      </c>
      <c r="BN94" s="61">
        <f t="shared" si="106"/>
        <v>91.811739319463001</v>
      </c>
      <c r="BO94" s="50">
        <f t="shared" si="156"/>
        <v>27.890856260499103</v>
      </c>
      <c r="BP94" s="61">
        <f t="shared" si="157"/>
        <v>90.611841240943761</v>
      </c>
    </row>
    <row r="95" spans="1:68" x14ac:dyDescent="0.25">
      <c r="N95" s="11">
        <v>77</v>
      </c>
      <c r="O95" s="51">
        <f t="shared" si="120"/>
        <v>58.884365535558949</v>
      </c>
      <c r="P95" s="49" t="str">
        <f t="shared" si="107"/>
        <v>25.6231073841137</v>
      </c>
      <c r="Q95" s="18" t="str">
        <f t="shared" si="108"/>
        <v>1+0.31995245156539i</v>
      </c>
      <c r="R95" s="18">
        <f t="shared" si="121"/>
        <v>1.0499378892404556</v>
      </c>
      <c r="S95" s="18">
        <f t="shared" si="122"/>
        <v>0.30965981220314143</v>
      </c>
      <c r="T95" s="18" t="str">
        <f t="shared" si="109"/>
        <v>1+0.000332983242320055i</v>
      </c>
      <c r="U95" s="18">
        <f t="shared" si="123"/>
        <v>1.0000000554389183</v>
      </c>
      <c r="V95" s="18">
        <f t="shared" si="124"/>
        <v>3.3298323001323499E-4</v>
      </c>
      <c r="W95" s="32" t="str">
        <f t="shared" si="110"/>
        <v>1-0.00746129117050493i</v>
      </c>
      <c r="X95" s="18">
        <f t="shared" si="125"/>
        <v>1.0000278350455707</v>
      </c>
      <c r="Y95" s="18">
        <f t="shared" si="126"/>
        <v>-7.4611527162828113E-3</v>
      </c>
      <c r="Z95" s="32" t="str">
        <f t="shared" si="111"/>
        <v>0.999999913315787+0.000590736937301134i</v>
      </c>
      <c r="AA95" s="18">
        <f t="shared" si="127"/>
        <v>1.0000000878008513</v>
      </c>
      <c r="AB95" s="18">
        <f t="shared" si="128"/>
        <v>5.9073691979218633E-4</v>
      </c>
      <c r="AC95" s="32" t="str">
        <f>IMDIV(IMSUM(COMPLEX(0,2*PI()*O95*Constants!$B$71*Constants!$B$72),COMPLEX(1,0)),IMSUM(COMPLEX(0,2*PI()*O95*Constants!$B$71*Constants!$B$72),COMPLEX(2,0)))</f>
        <v>0.500000273772294+0.000369981177774313i</v>
      </c>
      <c r="AD95" s="18">
        <f t="shared" si="129"/>
        <v>0.50000041065827217</v>
      </c>
      <c r="AE95" s="18">
        <f t="shared" si="130"/>
        <v>7.3996181533267738E-4</v>
      </c>
      <c r="AF95" s="66" t="str">
        <f t="shared" si="131"/>
        <v>11.5959301158617-3.79955922557112i</v>
      </c>
      <c r="AG95" s="64">
        <f t="shared" si="132"/>
        <v>21.72901247296911</v>
      </c>
      <c r="AH95" s="61">
        <f t="shared" si="133"/>
        <v>-18.142064394558084</v>
      </c>
      <c r="AI95" s="50" t="str">
        <f t="shared" si="112"/>
        <v>108.866083054159</v>
      </c>
      <c r="AJ95" s="50" t="str">
        <f t="shared" si="113"/>
        <v>1+0.302712038472777i</v>
      </c>
      <c r="AK95" s="50">
        <f t="shared" si="134"/>
        <v>1.0448131786287653</v>
      </c>
      <c r="AL95" s="50">
        <f t="shared" si="135"/>
        <v>0.29394304222540962</v>
      </c>
      <c r="AM95" s="50" t="str">
        <f t="shared" si="114"/>
        <v>1+0.000332983242320055i</v>
      </c>
      <c r="AN95" s="50">
        <f t="shared" si="136"/>
        <v>1.0000000554389183</v>
      </c>
      <c r="AO95" s="50">
        <f t="shared" si="137"/>
        <v>3.3298323001323499E-4</v>
      </c>
      <c r="AP95" s="50" t="str">
        <f t="shared" si="115"/>
        <v>1-0.00166148692637004i</v>
      </c>
      <c r="AQ95" s="50">
        <f t="shared" si="138"/>
        <v>1.0000013802684506</v>
      </c>
      <c r="AR95" s="50">
        <f t="shared" si="139"/>
        <v>-1.6614853975061932E-3</v>
      </c>
      <c r="AS95" s="59" t="str">
        <f t="shared" si="140"/>
        <v>99.6875369436604-30.3212465109512i</v>
      </c>
      <c r="AT95" s="50">
        <f t="shared" si="141"/>
        <v>40.357091582795313</v>
      </c>
      <c r="AU95" s="61">
        <f t="shared" si="142"/>
        <v>-16.917813304023021</v>
      </c>
      <c r="AV95" s="32" t="str">
        <f t="shared" si="116"/>
        <v>-0.0000333333333333333</v>
      </c>
      <c r="AW95" s="32" t="str">
        <f t="shared" si="117"/>
        <v>0.0000177591062570696i</v>
      </c>
      <c r="AX95" s="32">
        <f t="shared" si="143"/>
        <v>1.7759106257069601E-5</v>
      </c>
      <c r="AY95" s="32">
        <f t="shared" si="144"/>
        <v>1.5707963267948966</v>
      </c>
      <c r="AZ95" s="32" t="str">
        <f t="shared" si="118"/>
        <v>1+0.00724546869863082i</v>
      </c>
      <c r="BA95" s="32">
        <f t="shared" si="145"/>
        <v>1.0000262480638511</v>
      </c>
      <c r="BB95" s="32">
        <f t="shared" si="146"/>
        <v>7.2453419146102814E-3</v>
      </c>
      <c r="BC95" s="32" t="str">
        <f t="shared" si="119"/>
        <v>1+0.34778249753428i</v>
      </c>
      <c r="BD95" s="32">
        <f t="shared" si="147"/>
        <v>1.0587505209402173</v>
      </c>
      <c r="BE95" s="32">
        <f t="shared" si="148"/>
        <v>0.33469795179196843</v>
      </c>
      <c r="BF95" s="59" t="str">
        <f t="shared" si="149"/>
        <v>-0.639144687679249+1.88160223521542i</v>
      </c>
      <c r="BG95" s="50">
        <f t="shared" si="150"/>
        <v>5.9647975466597387</v>
      </c>
      <c r="BH95" s="61">
        <f t="shared" si="151"/>
        <v>108.76165253651646</v>
      </c>
      <c r="BI95" s="59" t="str">
        <f t="shared" si="152"/>
        <v>-0.262218000584835+24.2473961199536i</v>
      </c>
      <c r="BJ95" s="64">
        <f t="shared" si="153"/>
        <v>27.693810019628835</v>
      </c>
      <c r="BK95" s="61">
        <f t="shared" si="154"/>
        <v>90.619588141958388</v>
      </c>
      <c r="BL95" s="59" t="str">
        <f t="shared" si="105"/>
        <v>-6.66223445584589+206.951955967599i</v>
      </c>
      <c r="BM95" s="64">
        <f t="shared" si="155"/>
        <v>46.321889129455073</v>
      </c>
      <c r="BN95" s="61">
        <f t="shared" si="106"/>
        <v>91.843839232493437</v>
      </c>
      <c r="BO95" s="50">
        <f t="shared" si="156"/>
        <v>27.693810019628835</v>
      </c>
      <c r="BP95" s="61">
        <f t="shared" si="157"/>
        <v>90.619588141958388</v>
      </c>
    </row>
    <row r="96" spans="1:68" x14ac:dyDescent="0.25">
      <c r="N96" s="11">
        <v>78</v>
      </c>
      <c r="O96" s="51">
        <f t="shared" si="120"/>
        <v>60.255958607435822</v>
      </c>
      <c r="P96" s="49" t="str">
        <f t="shared" si="107"/>
        <v>25.6231073841137</v>
      </c>
      <c r="Q96" s="18" t="str">
        <f t="shared" si="108"/>
        <v>1+0.327405101549911i</v>
      </c>
      <c r="R96" s="18">
        <f t="shared" si="121"/>
        <v>1.0522329117267277</v>
      </c>
      <c r="S96" s="18">
        <f t="shared" si="122"/>
        <v>0.31640569092134418</v>
      </c>
      <c r="T96" s="18" t="str">
        <f t="shared" si="109"/>
        <v>1+0.000340739418413036i</v>
      </c>
      <c r="U96" s="18">
        <f t="shared" si="123"/>
        <v>1.0000000580516739</v>
      </c>
      <c r="V96" s="18">
        <f t="shared" si="124"/>
        <v>3.4073940522604077E-4</v>
      </c>
      <c r="W96" s="32" t="str">
        <f t="shared" si="110"/>
        <v>1-0.00763508696814395i</v>
      </c>
      <c r="X96" s="18">
        <f t="shared" si="125"/>
        <v>1.0000291468517362</v>
      </c>
      <c r="Y96" s="18">
        <f t="shared" si="126"/>
        <v>-7.634938612005592E-3</v>
      </c>
      <c r="Z96" s="32" t="str">
        <f t="shared" si="111"/>
        <v>0.999999909230486+0.000604496968221645i</v>
      </c>
      <c r="AA96" s="18">
        <f t="shared" si="127"/>
        <v>1.0000000919387781</v>
      </c>
      <c r="AB96" s="18">
        <f t="shared" si="128"/>
        <v>6.0449694946046971E-4</v>
      </c>
      <c r="AC96" s="32" t="str">
        <f>IMDIV(IMSUM(COMPLEX(0,2*PI()*O96*Constants!$B$71*Constants!$B$72),COMPLEX(1,0)),IMSUM(COMPLEX(0,2*PI()*O96*Constants!$B$71*Constants!$B$72),COMPLEX(2,0)))</f>
        <v>0.500000286674777+0.000378599136722492i</v>
      </c>
      <c r="AD96" s="18">
        <f t="shared" si="129"/>
        <v>0.50000043001198058</v>
      </c>
      <c r="AE96" s="18">
        <f t="shared" si="130"/>
        <v>7.5719769459322477E-4</v>
      </c>
      <c r="AF96" s="66" t="str">
        <f t="shared" si="131"/>
        <v>11.5441861847561-3.87112110572288i</v>
      </c>
      <c r="AG96" s="64">
        <f t="shared" si="132"/>
        <v>21.710058728064698</v>
      </c>
      <c r="AH96" s="61">
        <f t="shared" si="133"/>
        <v>-18.537888424965328</v>
      </c>
      <c r="AI96" s="50" t="str">
        <f t="shared" si="112"/>
        <v>108.866083054159</v>
      </c>
      <c r="AJ96" s="50" t="str">
        <f t="shared" si="113"/>
        <v>1+0.309763107648215i</v>
      </c>
      <c r="AK96" s="50">
        <f t="shared" si="134"/>
        <v>1.0468778261382174</v>
      </c>
      <c r="AL96" s="50">
        <f t="shared" si="135"/>
        <v>0.30038953262747037</v>
      </c>
      <c r="AM96" s="50" t="str">
        <f t="shared" si="114"/>
        <v>1+0.000340739418413036i</v>
      </c>
      <c r="AN96" s="50">
        <f t="shared" si="136"/>
        <v>1.0000000580516739</v>
      </c>
      <c r="AO96" s="50">
        <f t="shared" si="137"/>
        <v>3.4073940522604077E-4</v>
      </c>
      <c r="AP96" s="50" t="str">
        <f t="shared" si="115"/>
        <v>1-0.00170018792852055i</v>
      </c>
      <c r="AQ96" s="50">
        <f t="shared" si="138"/>
        <v>1.0000014453184518</v>
      </c>
      <c r="AR96" s="50">
        <f t="shared" si="139"/>
        <v>-1.7001862903135512E-3</v>
      </c>
      <c r="AS96" s="59" t="str">
        <f t="shared" si="140"/>
        <v>99.2928380111043-30.9052559039397i</v>
      </c>
      <c r="AT96" s="50">
        <f t="shared" si="141"/>
        <v>40.339944985580303</v>
      </c>
      <c r="AU96" s="61">
        <f t="shared" si="142"/>
        <v>-17.288942998449116</v>
      </c>
      <c r="AV96" s="32" t="str">
        <f t="shared" si="116"/>
        <v>-0.0000333333333333333</v>
      </c>
      <c r="AW96" s="32" t="str">
        <f t="shared" si="117"/>
        <v>0.0000181727689820286i</v>
      </c>
      <c r="AX96" s="32">
        <f t="shared" si="143"/>
        <v>1.8172768982028599E-5</v>
      </c>
      <c r="AY96" s="32">
        <f t="shared" si="144"/>
        <v>1.5707963267948966</v>
      </c>
      <c r="AZ96" s="32" t="str">
        <f t="shared" si="118"/>
        <v>1+0.00741423734509847i</v>
      </c>
      <c r="BA96" s="32">
        <f t="shared" si="145"/>
        <v>1.00002748507999</v>
      </c>
      <c r="BB96" s="32">
        <f t="shared" si="146"/>
        <v>7.4141014937745241E-3</v>
      </c>
      <c r="BC96" s="32" t="str">
        <f t="shared" si="119"/>
        <v>1+0.355883392564727i</v>
      </c>
      <c r="BD96" s="32">
        <f t="shared" si="147"/>
        <v>1.061439112292071</v>
      </c>
      <c r="BE96" s="32">
        <f t="shared" si="148"/>
        <v>0.34190650390220989</v>
      </c>
      <c r="BF96" s="59" t="str">
        <f t="shared" si="149"/>
        <v>-0.639143106459099+1.83898500736432i</v>
      </c>
      <c r="BG96" s="50">
        <f t="shared" si="150"/>
        <v>5.7868157944071976</v>
      </c>
      <c r="BH96" s="61">
        <f t="shared" si="151"/>
        <v>109.16500293719484</v>
      </c>
      <c r="BI96" s="59" t="str">
        <f t="shared" si="152"/>
        <v>-0.259453344551264+23.7037856849799i</v>
      </c>
      <c r="BJ96" s="64">
        <f t="shared" si="153"/>
        <v>27.496874522471902</v>
      </c>
      <c r="BK96" s="61">
        <f t="shared" si="154"/>
        <v>90.627114512229525</v>
      </c>
      <c r="BL96" s="59" t="str">
        <f t="shared" si="105"/>
        <v>-6.62803067945457+202.350921705432i</v>
      </c>
      <c r="BM96" s="64">
        <f t="shared" si="155"/>
        <v>46.126760779987485</v>
      </c>
      <c r="BN96" s="61">
        <f t="shared" si="106"/>
        <v>91.87605993874574</v>
      </c>
      <c r="BO96" s="50">
        <f t="shared" si="156"/>
        <v>27.496874522471902</v>
      </c>
      <c r="BP96" s="61">
        <f t="shared" si="157"/>
        <v>90.627114512229525</v>
      </c>
    </row>
    <row r="97" spans="14:68" x14ac:dyDescent="0.25">
      <c r="N97" s="11">
        <v>79</v>
      </c>
      <c r="O97" s="51">
        <f t="shared" si="120"/>
        <v>61.659500186148257</v>
      </c>
      <c r="P97" s="49" t="str">
        <f t="shared" si="107"/>
        <v>25.6231073841137</v>
      </c>
      <c r="Q97" s="18" t="str">
        <f t="shared" si="108"/>
        <v>1+0.335031346052993i</v>
      </c>
      <c r="R97" s="18">
        <f t="shared" si="121"/>
        <v>1.0546307424108594</v>
      </c>
      <c r="S97" s="18">
        <f t="shared" si="122"/>
        <v>0.32327798657609086</v>
      </c>
      <c r="T97" s="18" t="str">
        <f t="shared" si="109"/>
        <v>1+0.00034867625905588i</v>
      </c>
      <c r="U97" s="18">
        <f t="shared" si="123"/>
        <v>1.000000060787565</v>
      </c>
      <c r="V97" s="18">
        <f t="shared" si="124"/>
        <v>3.4867624492576009E-4</v>
      </c>
      <c r="W97" s="32" t="str">
        <f t="shared" si="110"/>
        <v>1-0.00781293098995583i</v>
      </c>
      <c r="X97" s="18">
        <f t="shared" si="125"/>
        <v>1.000030520479577</v>
      </c>
      <c r="Y97" s="18">
        <f t="shared" si="126"/>
        <v>-7.8127720237515571E-3</v>
      </c>
      <c r="Z97" s="32" t="str">
        <f t="shared" si="111"/>
        <v>0.999999904952651+0.000618577511436172i</v>
      </c>
      <c r="AA97" s="18">
        <f t="shared" si="127"/>
        <v>1.0000000962717199</v>
      </c>
      <c r="AB97" s="18">
        <f t="shared" si="128"/>
        <v>6.1857749133321016E-4</v>
      </c>
      <c r="AC97" s="32" t="str">
        <f>IMDIV(IMSUM(COMPLEX(0,2*PI()*O97*Constants!$B$71*Constants!$B$72),COMPLEX(1,0)),IMSUM(COMPLEX(0,2*PI()*O97*Constants!$B$71*Constants!$B$72),COMPLEX(2,0)))</f>
        <v>0.500000300185335+0.000387417833023199i</v>
      </c>
      <c r="AD97" s="18">
        <f t="shared" si="129"/>
        <v>0.50000045027779982</v>
      </c>
      <c r="AE97" s="18">
        <f t="shared" si="130"/>
        <v>7.7483504579562823E-4</v>
      </c>
      <c r="AF97" s="66" t="str">
        <f t="shared" si="131"/>
        <v>11.4904847629857-3.94329944384148i</v>
      </c>
      <c r="AG97" s="64">
        <f t="shared" si="132"/>
        <v>21.690300091017455</v>
      </c>
      <c r="AH97" s="61">
        <f t="shared" si="133"/>
        <v>-18.941172527917249</v>
      </c>
      <c r="AI97" s="50" t="str">
        <f t="shared" si="112"/>
        <v>108.866083054159</v>
      </c>
      <c r="AJ97" s="50" t="str">
        <f t="shared" si="113"/>
        <v>1+0.316978417323527i</v>
      </c>
      <c r="AK97" s="50">
        <f t="shared" si="134"/>
        <v>1.0490354222088634</v>
      </c>
      <c r="AL97" s="50">
        <f t="shared" si="135"/>
        <v>0.30695963211224486</v>
      </c>
      <c r="AM97" s="50" t="str">
        <f t="shared" si="114"/>
        <v>1+0.00034867625905588i</v>
      </c>
      <c r="AN97" s="50">
        <f t="shared" si="136"/>
        <v>1.000000060787565</v>
      </c>
      <c r="AO97" s="50">
        <f t="shared" si="137"/>
        <v>3.4867624492576009E-4</v>
      </c>
      <c r="AP97" s="50" t="str">
        <f t="shared" si="115"/>
        <v>1-0.00173979039281542i</v>
      </c>
      <c r="AQ97" s="50">
        <f t="shared" si="138"/>
        <v>1.0000015134341602</v>
      </c>
      <c r="AR97" s="50">
        <f t="shared" si="139"/>
        <v>-1.739788637445138E-3</v>
      </c>
      <c r="AS97" s="59" t="str">
        <f t="shared" si="140"/>
        <v>98.882857767091-31.4951769022636i</v>
      </c>
      <c r="AT97" s="50">
        <f t="shared" si="141"/>
        <v>40.322062563140634</v>
      </c>
      <c r="AU97" s="61">
        <f t="shared" si="142"/>
        <v>-17.667196269839746</v>
      </c>
      <c r="AV97" s="32" t="str">
        <f t="shared" si="116"/>
        <v>-0.0000333333333333333</v>
      </c>
      <c r="AW97" s="32" t="str">
        <f t="shared" si="117"/>
        <v>0.0000185960671496469i</v>
      </c>
      <c r="AX97" s="32">
        <f t="shared" si="143"/>
        <v>1.8596067149646899E-5</v>
      </c>
      <c r="AY97" s="32">
        <f t="shared" si="144"/>
        <v>1.5707963267948966</v>
      </c>
      <c r="AZ97" s="32" t="str">
        <f t="shared" si="118"/>
        <v>1+0.00758693711834553i</v>
      </c>
      <c r="BA97" s="32">
        <f t="shared" si="145"/>
        <v>1.0000287803932633</v>
      </c>
      <c r="BB97" s="32">
        <f t="shared" si="146"/>
        <v>7.5867915512555411E-3</v>
      </c>
      <c r="BC97" s="32" t="str">
        <f t="shared" si="119"/>
        <v>1+0.364172981680586i</v>
      </c>
      <c r="BD97" s="32">
        <f t="shared" si="147"/>
        <v>1.0642471332289922</v>
      </c>
      <c r="BE97" s="32">
        <f t="shared" si="148"/>
        <v>0.34924486920403691</v>
      </c>
      <c r="BF97" s="59" t="str">
        <f t="shared" si="149"/>
        <v>-0.639141450726729+1.7973428326007i</v>
      </c>
      <c r="BG97" s="50">
        <f t="shared" si="150"/>
        <v>5.6097525909749413</v>
      </c>
      <c r="BH97" s="61">
        <f t="shared" si="151"/>
        <v>109.5755658860574</v>
      </c>
      <c r="BI97" s="59" t="str">
        <f t="shared" si="152"/>
        <v>-0.256584108781245+23.1726665590466i</v>
      </c>
      <c r="BJ97" s="64">
        <f t="shared" si="153"/>
        <v>27.300052681992376</v>
      </c>
      <c r="BK97" s="61">
        <f t="shared" si="154"/>
        <v>90.634393358140173</v>
      </c>
      <c r="BL97" s="59" t="str">
        <f t="shared" si="105"/>
        <v>-6.59250269848874+197.856268730963i</v>
      </c>
      <c r="BM97" s="64">
        <f t="shared" si="155"/>
        <v>45.931815154115576</v>
      </c>
      <c r="BN97" s="61">
        <f t="shared" si="106"/>
        <v>91.908369616217655</v>
      </c>
      <c r="BO97" s="50">
        <f t="shared" si="156"/>
        <v>27.300052681992376</v>
      </c>
      <c r="BP97" s="61">
        <f t="shared" si="157"/>
        <v>90.634393358140173</v>
      </c>
    </row>
    <row r="98" spans="14:68" x14ac:dyDescent="0.25">
      <c r="N98" s="11">
        <v>80</v>
      </c>
      <c r="O98" s="51">
        <f t="shared" si="120"/>
        <v>63.095734448019364</v>
      </c>
      <c r="P98" s="49" t="str">
        <f t="shared" si="107"/>
        <v>25.6231073841137</v>
      </c>
      <c r="Q98" s="18" t="str">
        <f t="shared" si="108"/>
        <v>1+0.342835228610416i</v>
      </c>
      <c r="R98" s="18">
        <f t="shared" si="121"/>
        <v>1.0571357500228418</v>
      </c>
      <c r="S98" s="18">
        <f t="shared" si="122"/>
        <v>0.33027774552850814</v>
      </c>
      <c r="T98" s="18" t="str">
        <f t="shared" si="109"/>
        <v>1+0.00035679797246655i</v>
      </c>
      <c r="U98" s="18">
        <f t="shared" si="123"/>
        <v>1.0000000636523945</v>
      </c>
      <c r="V98" s="18">
        <f t="shared" si="124"/>
        <v>3.567979573258538E-4</v>
      </c>
      <c r="W98" s="32" t="str">
        <f t="shared" si="110"/>
        <v>1-0.00799491753119492i</v>
      </c>
      <c r="X98" s="18">
        <f t="shared" si="125"/>
        <v>1.0000319588424815</v>
      </c>
      <c r="Y98" s="18">
        <f t="shared" si="126"/>
        <v>-7.9947471961321591E-3</v>
      </c>
      <c r="Z98" s="32" t="str">
        <f t="shared" si="111"/>
        <v>0.999999900473207+0.000632986032635102i</v>
      </c>
      <c r="AA98" s="18">
        <f t="shared" si="127"/>
        <v>1.0000001008088655</v>
      </c>
      <c r="AB98" s="18">
        <f t="shared" si="128"/>
        <v>6.3298601109439058E-4</v>
      </c>
      <c r="AC98" s="32" t="str">
        <f>IMDIV(IMSUM(COMPLEX(0,2*PI()*O98*Constants!$B$71*Constants!$B$72),COMPLEX(1,0)),IMSUM(COMPLEX(0,2*PI()*O98*Constants!$B$71*Constants!$B$72),COMPLEX(2,0)))</f>
        <v>0.500000314332625+0.00039644194240007i</v>
      </c>
      <c r="AD98" s="18">
        <f t="shared" si="129"/>
        <v>0.50000047149871529</v>
      </c>
      <c r="AE98" s="18">
        <f t="shared" si="130"/>
        <v>7.9288322018953965E-4</v>
      </c>
      <c r="AF98" s="66" t="str">
        <f t="shared" si="131"/>
        <v>11.4347728555367-4.01605068679187i</v>
      </c>
      <c r="AG98" s="64">
        <f t="shared" si="132"/>
        <v>21.66970627554544</v>
      </c>
      <c r="AH98" s="61">
        <f t="shared" si="133"/>
        <v>-19.351981706161059</v>
      </c>
      <c r="AI98" s="50" t="str">
        <f t="shared" si="112"/>
        <v>108.866083054159</v>
      </c>
      <c r="AJ98" s="50" t="str">
        <f t="shared" si="113"/>
        <v>1+0.32436179315141i</v>
      </c>
      <c r="AK98" s="50">
        <f t="shared" si="134"/>
        <v>1.0512899566039799</v>
      </c>
      <c r="AL98" s="50">
        <f t="shared" si="135"/>
        <v>0.31365455456980845</v>
      </c>
      <c r="AM98" s="50" t="str">
        <f t="shared" si="114"/>
        <v>1+0.00035679797246655i</v>
      </c>
      <c r="AN98" s="50">
        <f t="shared" si="136"/>
        <v>1.0000000636523945</v>
      </c>
      <c r="AO98" s="50">
        <f t="shared" si="137"/>
        <v>3.567979573258538E-4</v>
      </c>
      <c r="AP98" s="50" t="str">
        <f t="shared" si="115"/>
        <v>1-0.00178031531700539i</v>
      </c>
      <c r="AQ98" s="50">
        <f t="shared" si="138"/>
        <v>1.0000015847600583</v>
      </c>
      <c r="AR98" s="50">
        <f t="shared" si="139"/>
        <v>-1.7803134360924063E-3</v>
      </c>
      <c r="AS98" s="59" t="str">
        <f t="shared" si="140"/>
        <v>98.4571516399512-32.0907110119745i</v>
      </c>
      <c r="AT98" s="50">
        <f t="shared" si="141"/>
        <v>40.303415959216231</v>
      </c>
      <c r="AU98" s="61">
        <f t="shared" si="142"/>
        <v>-18.05264363091068</v>
      </c>
      <c r="AV98" s="32" t="str">
        <f t="shared" si="116"/>
        <v>-0.0000333333333333333</v>
      </c>
      <c r="AW98" s="32" t="str">
        <f t="shared" si="117"/>
        <v>0.000019029225198216i</v>
      </c>
      <c r="AX98" s="32">
        <f t="shared" si="143"/>
        <v>1.9029225198215998E-5</v>
      </c>
      <c r="AY98" s="32">
        <f t="shared" si="144"/>
        <v>1.5707963267948966</v>
      </c>
      <c r="AZ98" s="32" t="str">
        <f t="shared" si="118"/>
        <v>1+0.00776365958607772i</v>
      </c>
      <c r="BA98" s="32">
        <f t="shared" si="145"/>
        <v>1.0000301367509723</v>
      </c>
      <c r="BB98" s="32">
        <f t="shared" si="146"/>
        <v>7.7635036083844597E-3</v>
      </c>
      <c r="BC98" s="32" t="str">
        <f t="shared" si="119"/>
        <v>1+0.372655660131731i</v>
      </c>
      <c r="BD98" s="32">
        <f t="shared" si="147"/>
        <v>1.0671795729998848</v>
      </c>
      <c r="BE98" s="32">
        <f t="shared" si="148"/>
        <v>0.35671377616937278</v>
      </c>
      <c r="BF98" s="59" t="str">
        <f t="shared" si="149"/>
        <v>-0.639139716971286+1.75665363161329i</v>
      </c>
      <c r="BG98" s="50">
        <f t="shared" si="150"/>
        <v>5.4336411058676681</v>
      </c>
      <c r="BH98" s="61">
        <f t="shared" si="151"/>
        <v>109.99337787768434</v>
      </c>
      <c r="BI98" s="59" t="str">
        <f t="shared" si="152"/>
        <v>-0.253607462822684+22.6537527626501i</v>
      </c>
      <c r="BJ98" s="64">
        <f t="shared" si="153"/>
        <v>27.103347381413101</v>
      </c>
      <c r="BK98" s="61">
        <f t="shared" si="154"/>
        <v>90.641396171523283</v>
      </c>
      <c r="BL98" s="59" t="str">
        <f t="shared" si="105"/>
        <v>-6.5556119927198+193.465560940221i</v>
      </c>
      <c r="BM98" s="64">
        <f t="shared" si="155"/>
        <v>45.737057065083881</v>
      </c>
      <c r="BN98" s="61">
        <f t="shared" si="106"/>
        <v>91.940734246773673</v>
      </c>
      <c r="BO98" s="50">
        <f t="shared" si="156"/>
        <v>27.103347381413101</v>
      </c>
      <c r="BP98" s="61">
        <f t="shared" si="157"/>
        <v>90.641396171523283</v>
      </c>
    </row>
    <row r="99" spans="14:68" x14ac:dyDescent="0.25">
      <c r="N99" s="11">
        <v>81</v>
      </c>
      <c r="O99" s="51">
        <f t="shared" si="120"/>
        <v>64.565422903465588</v>
      </c>
      <c r="P99" s="49" t="str">
        <f t="shared" si="107"/>
        <v>25.6231073841137</v>
      </c>
      <c r="Q99" s="18" t="str">
        <f t="shared" si="108"/>
        <v>1+0.350820886944008i</v>
      </c>
      <c r="R99" s="18">
        <f t="shared" si="121"/>
        <v>1.0597524686058439</v>
      </c>
      <c r="S99" s="18">
        <f t="shared" si="122"/>
        <v>0.33740593452324452</v>
      </c>
      <c r="T99" s="18" t="str">
        <f t="shared" si="109"/>
        <v>1+0.000365108864885002i</v>
      </c>
      <c r="U99" s="18">
        <f t="shared" si="123"/>
        <v>1.0000000666522393</v>
      </c>
      <c r="V99" s="18">
        <f t="shared" si="124"/>
        <v>3.6510884866145378E-4</v>
      </c>
      <c r="W99" s="32" t="str">
        <f t="shared" si="110"/>
        <v>1-0.00818114308353431i</v>
      </c>
      <c r="X99" s="18">
        <f t="shared" si="125"/>
        <v>1.0000334649911238</v>
      </c>
      <c r="Y99" s="18">
        <f t="shared" si="126"/>
        <v>-8.1809605665560739E-3</v>
      </c>
      <c r="Z99" s="32" t="str">
        <f t="shared" si="111"/>
        <v>0.999999895782654+0.000647730171407096i</v>
      </c>
      <c r="AA99" s="18">
        <f t="shared" si="127"/>
        <v>1.0000001055598413</v>
      </c>
      <c r="AB99" s="18">
        <f t="shared" si="128"/>
        <v>6.4773014832580781E-4</v>
      </c>
      <c r="AC99" s="32" t="str">
        <f>IMDIV(IMSUM(COMPLEX(0,2*PI()*O99*Constants!$B$71*Constants!$B$72),COMPLEX(1,0)),IMSUM(COMPLEX(0,2*PI()*O99*Constants!$B$71*Constants!$B$72),COMPLEX(2,0)))</f>
        <v>0.500000329146655+0.000405676249484755i</v>
      </c>
      <c r="AD99" s="18">
        <f t="shared" si="129"/>
        <v>0.50000049371973909</v>
      </c>
      <c r="AE99" s="18">
        <f t="shared" si="130"/>
        <v>8.1135178682650432E-4</v>
      </c>
      <c r="AF99" s="66" t="str">
        <f t="shared" si="131"/>
        <v>11.3769978482764-4.089327849403i</v>
      </c>
      <c r="AG99" s="64">
        <f t="shared" si="132"/>
        <v>21.648246189599917</v>
      </c>
      <c r="AH99" s="61">
        <f t="shared" si="133"/>
        <v>-19.770376518261582</v>
      </c>
      <c r="AI99" s="50" t="str">
        <f t="shared" si="112"/>
        <v>108.866083054159</v>
      </c>
      <c r="AJ99" s="50" t="str">
        <f t="shared" si="113"/>
        <v>1+0.331917149895457i</v>
      </c>
      <c r="AK99" s="50">
        <f t="shared" si="134"/>
        <v>1.0536455734233989</v>
      </c>
      <c r="AL99" s="50">
        <f t="shared" si="135"/>
        <v>0.32047544825806501</v>
      </c>
      <c r="AM99" s="50" t="str">
        <f t="shared" si="114"/>
        <v>1+0.000365108864885002i</v>
      </c>
      <c r="AN99" s="50">
        <f t="shared" si="136"/>
        <v>1.0000000666522393</v>
      </c>
      <c r="AO99" s="50">
        <f t="shared" si="137"/>
        <v>3.6510884866145378E-4</v>
      </c>
      <c r="AP99" s="50" t="str">
        <f t="shared" si="115"/>
        <v>1-0.00182178418794171i</v>
      </c>
      <c r="AQ99" s="50">
        <f t="shared" si="138"/>
        <v>1.0000016594474368</v>
      </c>
      <c r="AR99" s="50">
        <f t="shared" si="139"/>
        <v>-1.8217821725073171E-3</v>
      </c>
      <c r="AS99" s="59" t="str">
        <f t="shared" si="140"/>
        <v>98.0152749285768-32.6915332372157i</v>
      </c>
      <c r="AT99" s="50">
        <f t="shared" si="141"/>
        <v>40.283976004132846</v>
      </c>
      <c r="AU99" s="61">
        <f t="shared" si="142"/>
        <v>-18.445351856335982</v>
      </c>
      <c r="AV99" s="32" t="str">
        <f t="shared" si="116"/>
        <v>-0.0000333333333333333</v>
      </c>
      <c r="AW99" s="32" t="str">
        <f t="shared" si="117"/>
        <v>0.0000194724727938668i</v>
      </c>
      <c r="AX99" s="32">
        <f t="shared" si="143"/>
        <v>1.94724727938668E-5</v>
      </c>
      <c r="AY99" s="32">
        <f t="shared" si="144"/>
        <v>1.5707963267948966</v>
      </c>
      <c r="AZ99" s="32" t="str">
        <f t="shared" si="118"/>
        <v>1+0.00794449844888662i</v>
      </c>
      <c r="BA99" s="32">
        <f t="shared" si="145"/>
        <v>1.000031557029879</v>
      </c>
      <c r="BB99" s="32">
        <f t="shared" si="146"/>
        <v>7.9443313160619498E-3</v>
      </c>
      <c r="BC99" s="32" t="str">
        <f t="shared" si="119"/>
        <v>1+0.381335925546558i</v>
      </c>
      <c r="BD99" s="32">
        <f t="shared" si="147"/>
        <v>1.0702416026825203</v>
      </c>
      <c r="BE99" s="32">
        <f t="shared" si="148"/>
        <v>0.3643138507287233</v>
      </c>
      <c r="BF99" s="59" t="str">
        <f t="shared" si="149"/>
        <v>-0.639137901516546+1.71689583036442i</v>
      </c>
      <c r="BG99" s="50">
        <f t="shared" si="150"/>
        <v>5.2585152736445409</v>
      </c>
      <c r="BH99" s="61">
        <f t="shared" si="151"/>
        <v>110.41846940945099</v>
      </c>
      <c r="BI99" s="59" t="str">
        <f t="shared" si="152"/>
        <v>-0.250520596672525+22.1467645880513i</v>
      </c>
      <c r="BJ99" s="64">
        <f t="shared" si="153"/>
        <v>26.906761463244443</v>
      </c>
      <c r="BK99" s="61">
        <f t="shared" si="154"/>
        <v>90.648092891189407</v>
      </c>
      <c r="BL99" s="59" t="str">
        <f t="shared" si="105"/>
        <v>-6.51732003122242+189.176414787488i</v>
      </c>
      <c r="BM99" s="64">
        <f t="shared" si="155"/>
        <v>45.54249127777738</v>
      </c>
      <c r="BN99" s="61">
        <f t="shared" si="106"/>
        <v>91.973117553115017</v>
      </c>
      <c r="BO99" s="50">
        <f t="shared" si="156"/>
        <v>26.906761463244443</v>
      </c>
      <c r="BP99" s="61">
        <f t="shared" si="157"/>
        <v>90.648092891189407</v>
      </c>
    </row>
    <row r="100" spans="14:68" x14ac:dyDescent="0.25">
      <c r="N100" s="11">
        <v>82</v>
      </c>
      <c r="O100" s="51">
        <f t="shared" si="120"/>
        <v>66.069344800759623</v>
      </c>
      <c r="P100" s="49" t="str">
        <f t="shared" si="107"/>
        <v>25.6231073841137</v>
      </c>
      <c r="Q100" s="18" t="str">
        <f t="shared" si="108"/>
        <v>1+0.358992555155523i</v>
      </c>
      <c r="R100" s="18">
        <f t="shared" si="121"/>
        <v>1.0624856020940197</v>
      </c>
      <c r="S100" s="18">
        <f t="shared" si="122"/>
        <v>0.3446634345646799</v>
      </c>
      <c r="T100" s="18" t="str">
        <f t="shared" si="109"/>
        <v>1+0.000373613342856404i</v>
      </c>
      <c r="U100" s="18">
        <f t="shared" si="123"/>
        <v>1.0000000697934626</v>
      </c>
      <c r="V100" s="18">
        <f t="shared" si="124"/>
        <v>3.7361332547255891E-4</v>
      </c>
      <c r="W100" s="32" t="str">
        <f t="shared" si="110"/>
        <v>1-0.00837170638622682i</v>
      </c>
      <c r="X100" s="18">
        <f t="shared" si="125"/>
        <v>1.0000350421199335</v>
      </c>
      <c r="Y100" s="18">
        <f t="shared" si="126"/>
        <v>-8.3715108161312238E-3</v>
      </c>
      <c r="Z100" s="32" t="str">
        <f t="shared" si="111"/>
        <v>0.999999890871042+0.000662817745289694i</v>
      </c>
      <c r="AA100" s="18">
        <f t="shared" si="127"/>
        <v>1.0000001105347236</v>
      </c>
      <c r="AB100" s="18">
        <f t="shared" si="128"/>
        <v>6.6281772055764806E-4</v>
      </c>
      <c r="AC100" s="32" t="str">
        <f>IMDIV(IMSUM(COMPLEX(0,2*PI()*O100*Constants!$B$71*Constants!$B$72),COMPLEX(1,0)),IMSUM(COMPLEX(0,2*PI()*O100*Constants!$B$71*Constants!$B$72),COMPLEX(2,0)))</f>
        <v>0.500000344658849+0.00041512565035346i</v>
      </c>
      <c r="AD100" s="18">
        <f t="shared" si="129"/>
        <v>0.50000051698800618</v>
      </c>
      <c r="AE100" s="18">
        <f t="shared" si="130"/>
        <v>8.3025053763203247E-4</v>
      </c>
      <c r="AF100" s="66" t="str">
        <f t="shared" si="131"/>
        <v>11.3171076952933-4.16308041694375i</v>
      </c>
      <c r="AG100" s="64">
        <f t="shared" si="132"/>
        <v>21.625887942655911</v>
      </c>
      <c r="AH100" s="61">
        <f t="shared" si="133"/>
        <v>-20.196412730462242</v>
      </c>
      <c r="AI100" s="50" t="str">
        <f t="shared" si="112"/>
        <v>108.866083054159</v>
      </c>
      <c r="AJ100" s="50" t="str">
        <f t="shared" si="113"/>
        <v>1+0.339648493505822i</v>
      </c>
      <c r="AK100" s="50">
        <f t="shared" si="134"/>
        <v>1.0561065756545474</v>
      </c>
      <c r="AL100" s="50">
        <f t="shared" si="135"/>
        <v>0.32742339012330302</v>
      </c>
      <c r="AM100" s="50" t="str">
        <f t="shared" si="114"/>
        <v>1+0.000373613342856404i</v>
      </c>
      <c r="AN100" s="50">
        <f t="shared" si="136"/>
        <v>1.0000000697934626</v>
      </c>
      <c r="AO100" s="50">
        <f t="shared" si="137"/>
        <v>3.7361332547255891E-4</v>
      </c>
      <c r="AP100" s="50" t="str">
        <f t="shared" si="115"/>
        <v>1-0.00186421899296864i</v>
      </c>
      <c r="AQ100" s="50">
        <f t="shared" si="138"/>
        <v>1.0000017376547172</v>
      </c>
      <c r="AR100" s="50">
        <f t="shared" si="139"/>
        <v>-1.8642168333919821E-3</v>
      </c>
      <c r="AS100" s="59" t="str">
        <f t="shared" si="140"/>
        <v>97.5567841021245-33.2972911500654i</v>
      </c>
      <c r="AT100" s="50">
        <f t="shared" si="141"/>
        <v>40.263712715740319</v>
      </c>
      <c r="AU100" s="61">
        <f t="shared" si="142"/>
        <v>-18.845383657861866</v>
      </c>
      <c r="AV100" s="32" t="str">
        <f t="shared" si="116"/>
        <v>-0.0000333333333333333</v>
      </c>
      <c r="AW100" s="32" t="str">
        <f t="shared" si="117"/>
        <v>0.0000199260449523415i</v>
      </c>
      <c r="AX100" s="32">
        <f t="shared" si="143"/>
        <v>1.99260449523415E-5</v>
      </c>
      <c r="AY100" s="32">
        <f t="shared" si="144"/>
        <v>1.5707963267948966</v>
      </c>
      <c r="AZ100" s="32" t="str">
        <f t="shared" si="118"/>
        <v>1+0.00812954958993101i</v>
      </c>
      <c r="BA100" s="32">
        <f t="shared" si="145"/>
        <v>1.0000330442423067</v>
      </c>
      <c r="BB100" s="32">
        <f t="shared" si="146"/>
        <v>8.1293705042024371E-3</v>
      </c>
      <c r="BC100" s="32" t="str">
        <f t="shared" si="119"/>
        <v>1+0.390218380316689i</v>
      </c>
      <c r="BD100" s="32">
        <f t="shared" si="147"/>
        <v>1.0734385796760708</v>
      </c>
      <c r="BE100" s="32">
        <f t="shared" si="148"/>
        <v>0.37204560962813976</v>
      </c>
      <c r="BF100" s="59" t="str">
        <f t="shared" si="149"/>
        <v>-0.639136000513119+1.6780483486509i</v>
      </c>
      <c r="BG100" s="50">
        <f t="shared" si="150"/>
        <v>5.0844097749117978</v>
      </c>
      <c r="BH100" s="61">
        <f t="shared" si="151"/>
        <v>110.85086459807522</v>
      </c>
      <c r="BI100" s="59" t="str">
        <f t="shared" si="152"/>
        <v>-0.247320730792643+21.6514284470912i</v>
      </c>
      <c r="BJ100" s="64">
        <f t="shared" si="153"/>
        <v>26.710297717567695</v>
      </c>
      <c r="BK100" s="61">
        <f t="shared" si="154"/>
        <v>90.654451867612977</v>
      </c>
      <c r="BL100" s="59" t="str">
        <f t="shared" si="105"/>
        <v>-6.47758838503822+184.986497955836i</v>
      </c>
      <c r="BM100" s="64">
        <f t="shared" si="155"/>
        <v>45.348122490652116</v>
      </c>
      <c r="BN100" s="61">
        <f t="shared" si="106"/>
        <v>92.00548094021336</v>
      </c>
      <c r="BO100" s="50">
        <f t="shared" si="156"/>
        <v>26.710297717567695</v>
      </c>
      <c r="BP100" s="61">
        <f t="shared" si="157"/>
        <v>90.654451867612977</v>
      </c>
    </row>
    <row r="101" spans="14:68" x14ac:dyDescent="0.25">
      <c r="N101" s="11">
        <v>83</v>
      </c>
      <c r="O101" s="51">
        <f t="shared" si="120"/>
        <v>67.60829753919819</v>
      </c>
      <c r="P101" s="49" t="str">
        <f t="shared" si="107"/>
        <v>25.6231073841137</v>
      </c>
      <c r="Q101" s="18" t="str">
        <f t="shared" si="108"/>
        <v>1+0.367354565971609i</v>
      </c>
      <c r="R101" s="18">
        <f t="shared" si="121"/>
        <v>1.0653400288828865</v>
      </c>
      <c r="S101" s="18">
        <f t="shared" si="122"/>
        <v>0.35205103462830689</v>
      </c>
      <c r="T101" s="18" t="str">
        <f t="shared" si="109"/>
        <v>1+0.000382315915567545i</v>
      </c>
      <c r="U101" s="18">
        <f t="shared" si="123"/>
        <v>1.000000073082727</v>
      </c>
      <c r="V101" s="18">
        <f t="shared" si="124"/>
        <v>3.8231589694041949E-4</v>
      </c>
      <c r="W101" s="32" t="str">
        <f t="shared" si="110"/>
        <v>1-0.00856670847845794i</v>
      </c>
      <c r="X101" s="18">
        <f t="shared" si="125"/>
        <v>1.0000366935738683</v>
      </c>
      <c r="Y101" s="18">
        <f t="shared" si="126"/>
        <v>-8.566498921740261E-3</v>
      </c>
      <c r="Z101" s="32" t="str">
        <f t="shared" si="111"/>
        <v>0.999999885727953+0.000678256753914273i</v>
      </c>
      <c r="AA101" s="18">
        <f t="shared" si="127"/>
        <v>1.0000001157440648</v>
      </c>
      <c r="AB101" s="18">
        <f t="shared" si="128"/>
        <v>6.7825672741340828E-4</v>
      </c>
      <c r="AC101" s="32" t="str">
        <f>IMDIV(IMSUM(COMPLEX(0,2*PI()*O101*Constants!$B$71*Constants!$B$72),COMPLEX(1,0)),IMSUM(COMPLEX(0,2*PI()*O101*Constants!$B$71*Constants!$B$72),COMPLEX(2,0)))</f>
        <v>0.500000360902108+0.00042479515512256i</v>
      </c>
      <c r="AD101" s="18">
        <f t="shared" si="129"/>
        <v>0.50000054135286898</v>
      </c>
      <c r="AE101" s="18">
        <f t="shared" si="130"/>
        <v>8.4958949259575085E-4</v>
      </c>
      <c r="AF101" s="66" t="str">
        <f t="shared" si="131"/>
        <v>11.2550511197438-4.23725425546834i</v>
      </c>
      <c r="AG101" s="64">
        <f t="shared" si="132"/>
        <v>21.602598855971426</v>
      </c>
      <c r="AH101" s="61">
        <f t="shared" si="133"/>
        <v>-20.630140959162347</v>
      </c>
      <c r="AI101" s="50" t="str">
        <f t="shared" si="112"/>
        <v>108.866083054159</v>
      </c>
      <c r="AJ101" s="50" t="str">
        <f t="shared" si="113"/>
        <v>1+0.347559923243223i</v>
      </c>
      <c r="AK101" s="50">
        <f t="shared" si="134"/>
        <v>1.058677429741862</v>
      </c>
      <c r="AL101" s="50">
        <f t="shared" si="135"/>
        <v>0.3344993799290305</v>
      </c>
      <c r="AM101" s="50" t="str">
        <f t="shared" si="114"/>
        <v>1+0.000382315915567545i</v>
      </c>
      <c r="AN101" s="50">
        <f t="shared" si="136"/>
        <v>1.000000073082727</v>
      </c>
      <c r="AO101" s="50">
        <f t="shared" si="137"/>
        <v>3.8231589694041949E-4</v>
      </c>
      <c r="AP101" s="50" t="str">
        <f t="shared" si="115"/>
        <v>1-0.00190764223158149i</v>
      </c>
      <c r="AQ101" s="50">
        <f t="shared" si="138"/>
        <v>1.0000018195477864</v>
      </c>
      <c r="AR101" s="50">
        <f t="shared" si="139"/>
        <v>-1.9076399175536375E-3</v>
      </c>
      <c r="AS101" s="59" t="str">
        <f t="shared" si="140"/>
        <v>97.0812382084657-33.9076040014953i</v>
      </c>
      <c r="AT101" s="50">
        <f t="shared" si="141"/>
        <v>40.242595302827638</v>
      </c>
      <c r="AU101" s="61">
        <f t="shared" si="142"/>
        <v>-19.252797348447572</v>
      </c>
      <c r="AV101" s="32" t="str">
        <f t="shared" si="116"/>
        <v>-0.0000333333333333333</v>
      </c>
      <c r="AW101" s="32" t="str">
        <f t="shared" si="117"/>
        <v>0.0000203901821636024i</v>
      </c>
      <c r="AX101" s="32">
        <f t="shared" si="143"/>
        <v>2.0390182163602399E-5</v>
      </c>
      <c r="AY101" s="32">
        <f t="shared" si="144"/>
        <v>1.5707963267948966</v>
      </c>
      <c r="AZ101" s="32" t="str">
        <f t="shared" si="118"/>
        <v>1+0.00831891112577528i</v>
      </c>
      <c r="BA101" s="32">
        <f t="shared" si="145"/>
        <v>1.0000346015425259</v>
      </c>
      <c r="BB101" s="32">
        <f t="shared" si="146"/>
        <v>8.3187192323184167E-3</v>
      </c>
      <c r="BC101" s="32" t="str">
        <f t="shared" si="119"/>
        <v>1+0.399307734037214i</v>
      </c>
      <c r="BD101" s="32">
        <f t="shared" si="147"/>
        <v>1.0767760521398748</v>
      </c>
      <c r="BE101" s="32">
        <f t="shared" si="148"/>
        <v>0.37990945368782048</v>
      </c>
      <c r="BF101" s="59" t="str">
        <f t="shared" si="149"/>
        <v>-0.639134009930279+1.64009058892646i</v>
      </c>
      <c r="BG101" s="50">
        <f t="shared" si="150"/>
        <v>4.9113600136033542</v>
      </c>
      <c r="BH101" s="61">
        <f t="shared" si="151"/>
        <v>111.29058079046673</v>
      </c>
      <c r="BI101" s="59" t="str">
        <f t="shared" si="152"/>
        <v>-0.244005126849913+21.1674767227696i</v>
      </c>
      <c r="BJ101" s="64">
        <f t="shared" si="153"/>
        <v>26.513958869574765</v>
      </c>
      <c r="BK101" s="61">
        <f t="shared" si="154"/>
        <v>90.660439831304373</v>
      </c>
      <c r="BL101" s="59" t="str">
        <f t="shared" si="105"/>
        <v>-6.43637884927568+180.893528059636i</v>
      </c>
      <c r="BM101" s="64">
        <f t="shared" si="155"/>
        <v>45.153955316430995</v>
      </c>
      <c r="BN101" s="61">
        <f t="shared" si="106"/>
        <v>92.037783442019162</v>
      </c>
      <c r="BO101" s="50">
        <f t="shared" si="156"/>
        <v>26.513958869574765</v>
      </c>
      <c r="BP101" s="61">
        <f t="shared" si="157"/>
        <v>90.660439831304373</v>
      </c>
    </row>
    <row r="102" spans="14:68" x14ac:dyDescent="0.25">
      <c r="N102" s="11">
        <v>84</v>
      </c>
      <c r="O102" s="51">
        <f t="shared" si="120"/>
        <v>69.183097091893657</v>
      </c>
      <c r="P102" s="49" t="str">
        <f t="shared" si="107"/>
        <v>25.6231073841137</v>
      </c>
      <c r="Q102" s="18" t="str">
        <f t="shared" si="108"/>
        <v>1+0.375911353041085i</v>
      </c>
      <c r="R102" s="18">
        <f t="shared" si="121"/>
        <v>1.0683208063803584</v>
      </c>
      <c r="S102" s="18">
        <f t="shared" si="122"/>
        <v>0.3595694252223397</v>
      </c>
      <c r="T102" s="18" t="str">
        <f t="shared" si="109"/>
        <v>1+0.000391221197237669i</v>
      </c>
      <c r="U102" s="18">
        <f t="shared" si="123"/>
        <v>1.0000000765270096</v>
      </c>
      <c r="V102" s="18">
        <f t="shared" si="124"/>
        <v>3.9122117727834448E-4</v>
      </c>
      <c r="W102" s="32" t="str">
        <f t="shared" si="110"/>
        <v>1-0.00876625275291813i</v>
      </c>
      <c r="X102" s="18">
        <f t="shared" si="125"/>
        <v>1.0000384228555061</v>
      </c>
      <c r="Y102" s="18">
        <f t="shared" si="126"/>
        <v>-8.7660282093155427E-3</v>
      </c>
      <c r="Z102" s="32" t="str">
        <f t="shared" si="111"/>
        <v>0.999999880342477+0.000694055383247568i</v>
      </c>
      <c r="AA102" s="18">
        <f t="shared" si="127"/>
        <v>1.0000001211989142</v>
      </c>
      <c r="AB102" s="18">
        <f t="shared" si="128"/>
        <v>6.9405535485138E-4</v>
      </c>
      <c r="AC102" s="32" t="str">
        <f>IMDIV(IMSUM(COMPLEX(0,2*PI()*O102*Constants!$B$71*Constants!$B$72),COMPLEX(1,0)),IMSUM(COMPLEX(0,2*PI()*O102*Constants!$B$71*Constants!$B$72),COMPLEX(2,0)))</f>
        <v>0.500000377910888+0.000434689890604632i</v>
      </c>
      <c r="AD102" s="18">
        <f t="shared" si="129"/>
        <v>0.50000056686601047</v>
      </c>
      <c r="AE102" s="18">
        <f t="shared" si="130"/>
        <v>8.6937890508229532E-4</v>
      </c>
      <c r="AF102" s="66" t="str">
        <f t="shared" si="131"/>
        <v>11.1907778282451-4.31179153139549i</v>
      </c>
      <c r="AG102" s="64">
        <f t="shared" si="132"/>
        <v>21.578345476021504</v>
      </c>
      <c r="AH102" s="61">
        <f t="shared" si="133"/>
        <v>-21.071606304879616</v>
      </c>
      <c r="AI102" s="50" t="str">
        <f t="shared" si="112"/>
        <v>108.866083054159</v>
      </c>
      <c r="AJ102" s="50" t="str">
        <f t="shared" si="113"/>
        <v>1+0.355655633852427i</v>
      </c>
      <c r="AK102" s="50">
        <f t="shared" si="134"/>
        <v>1.0613627701643635</v>
      </c>
      <c r="AL102" s="50">
        <f t="shared" si="135"/>
        <v>0.34170433420277735</v>
      </c>
      <c r="AM102" s="50" t="str">
        <f t="shared" si="114"/>
        <v>1+0.000391221197237669i</v>
      </c>
      <c r="AN102" s="50">
        <f t="shared" si="136"/>
        <v>1.0000000765270096</v>
      </c>
      <c r="AO102" s="50">
        <f t="shared" si="137"/>
        <v>3.9122117727834448E-4</v>
      </c>
      <c r="AP102" s="50" t="str">
        <f t="shared" si="115"/>
        <v>1-0.00195207692735616i</v>
      </c>
      <c r="AQ102" s="50">
        <f t="shared" si="138"/>
        <v>1.0000019053003502</v>
      </c>
      <c r="AR102" s="50">
        <f t="shared" si="139"/>
        <v>-1.9520744478308983E-3</v>
      </c>
      <c r="AS102" s="59" t="str">
        <f t="shared" si="140"/>
        <v>96.588200393562-34.5220618831882i</v>
      </c>
      <c r="AT102" s="50">
        <f t="shared" si="141"/>
        <v>40.220592171215223</v>
      </c>
      <c r="AU102" s="61">
        <f t="shared" si="142"/>
        <v>-19.667646495988794</v>
      </c>
      <c r="AV102" s="32" t="str">
        <f t="shared" si="116"/>
        <v>-0.0000333333333333333</v>
      </c>
      <c r="AW102" s="32" t="str">
        <f t="shared" si="117"/>
        <v>0.0000208651305193423i</v>
      </c>
      <c r="AX102" s="32">
        <f t="shared" si="143"/>
        <v>2.08651305193423E-5</v>
      </c>
      <c r="AY102" s="32">
        <f t="shared" si="144"/>
        <v>1.5707963267948966</v>
      </c>
      <c r="AZ102" s="32" t="str">
        <f t="shared" si="118"/>
        <v>1+0.00851268345841224i</v>
      </c>
      <c r="BA102" s="32">
        <f t="shared" si="145"/>
        <v>1.0000362322334442</v>
      </c>
      <c r="BB102" s="32">
        <f t="shared" si="146"/>
        <v>8.5124778412710104E-3</v>
      </c>
      <c r="BC102" s="32" t="str">
        <f t="shared" si="119"/>
        <v>1+0.408608806003788i</v>
      </c>
      <c r="BD102" s="32">
        <f t="shared" si="147"/>
        <v>1.0802597633642759</v>
      </c>
      <c r="BE102" s="32">
        <f t="shared" si="148"/>
        <v>0.38790566098688589</v>
      </c>
      <c r="BF102" s="59" t="str">
        <f t="shared" si="149"/>
        <v>-0.639131925547449+1.60300242538028i</v>
      </c>
      <c r="BG102" s="50">
        <f t="shared" si="150"/>
        <v>4.7394020903548038</v>
      </c>
      <c r="BH102" s="61">
        <f t="shared" si="151"/>
        <v>111.73762817027763</v>
      </c>
      <c r="BI102" s="59" t="str">
        <f t="shared" si="152"/>
        <v>-0.240571099178869+20.6946476245887i</v>
      </c>
      <c r="BJ102" s="64">
        <f t="shared" si="153"/>
        <v>26.317747566376291</v>
      </c>
      <c r="BK102" s="61">
        <f t="shared" si="154"/>
        <v>90.666021865398008</v>
      </c>
      <c r="BL102" s="59" t="str">
        <f t="shared" si="105"/>
        <v>-6.39365357482136+176.895271379267i</v>
      </c>
      <c r="BM102" s="64">
        <f t="shared" si="155"/>
        <v>44.959994261570046</v>
      </c>
      <c r="BN102" s="61">
        <f t="shared" si="106"/>
        <v>92.069981674288826</v>
      </c>
      <c r="BO102" s="50">
        <f t="shared" si="156"/>
        <v>26.317747566376291</v>
      </c>
      <c r="BP102" s="61">
        <f t="shared" si="157"/>
        <v>90.666021865398008</v>
      </c>
    </row>
    <row r="103" spans="14:68" x14ac:dyDescent="0.25">
      <c r="N103" s="11">
        <v>85</v>
      </c>
      <c r="O103" s="51">
        <f t="shared" si="120"/>
        <v>70.794578438413865</v>
      </c>
      <c r="P103" s="49" t="str">
        <f t="shared" si="107"/>
        <v>25.6231073841137</v>
      </c>
      <c r="Q103" s="18" t="str">
        <f t="shared" si="108"/>
        <v>1+0.384667453285719i</v>
      </c>
      <c r="R103" s="18">
        <f t="shared" si="121"/>
        <v>1.0714331755258097</v>
      </c>
      <c r="S103" s="18">
        <f t="shared" si="122"/>
        <v>0.36721919181702323</v>
      </c>
      <c r="T103" s="18" t="str">
        <f t="shared" si="109"/>
        <v>1+0.000400333909564994i</v>
      </c>
      <c r="U103" s="18">
        <f t="shared" si="123"/>
        <v>1.0000000801336164</v>
      </c>
      <c r="V103" s="18">
        <f t="shared" si="124"/>
        <v>4.0033388817819262E-4</v>
      </c>
      <c r="W103" s="32" t="str">
        <f t="shared" si="110"/>
        <v>1-0.00897044501062301i</v>
      </c>
      <c r="X103" s="18">
        <f t="shared" si="125"/>
        <v>1.0000402336324716</v>
      </c>
      <c r="Y103" s="18">
        <f t="shared" si="126"/>
        <v>-8.9702044083407699E-3</v>
      </c>
      <c r="Z103" s="32" t="str">
        <f t="shared" si="111"/>
        <v>0.999999874703192+0.00071022200993197i</v>
      </c>
      <c r="AA103" s="18">
        <f t="shared" si="127"/>
        <v>1.0000001269108436</v>
      </c>
      <c r="AB103" s="18">
        <f t="shared" si="128"/>
        <v>7.1022197950490636E-4</v>
      </c>
      <c r="AC103" s="32" t="str">
        <f>IMDIV(IMSUM(COMPLEX(0,2*PI()*O103*Constants!$B$71*Constants!$B$72),COMPLEX(1,0)),IMSUM(COMPLEX(0,2*PI()*O103*Constants!$B$71*Constants!$B$72),COMPLEX(2,0)))</f>
        <v>0.500000395721265+0.000444815103026346i</v>
      </c>
      <c r="AD103" s="18">
        <f t="shared" si="129"/>
        <v>0.50000059358154503</v>
      </c>
      <c r="AE103" s="18">
        <f t="shared" si="130"/>
        <v>8.896292672658624E-4</v>
      </c>
      <c r="AF103" s="66" t="str">
        <f t="shared" si="131"/>
        <v>11.1242387387407-4.38663064175791i</v>
      </c>
      <c r="AG103" s="64">
        <f t="shared" si="132"/>
        <v>21.553093591313448</v>
      </c>
      <c r="AH103" s="61">
        <f t="shared" si="133"/>
        <v>-21.520847978696771</v>
      </c>
      <c r="AI103" s="50" t="str">
        <f t="shared" si="112"/>
        <v>108.866083054159</v>
      </c>
      <c r="AJ103" s="50" t="str">
        <f t="shared" si="113"/>
        <v>1+0.363939917786358i</v>
      </c>
      <c r="AK103" s="50">
        <f t="shared" si="134"/>
        <v>1.0641674040104503</v>
      </c>
      <c r="AL103" s="50">
        <f t="shared" si="135"/>
        <v>0.34903908001265221</v>
      </c>
      <c r="AM103" s="50" t="str">
        <f t="shared" si="114"/>
        <v>1+0.000400333909564994i</v>
      </c>
      <c r="AN103" s="50">
        <f t="shared" si="136"/>
        <v>1.0000000801336164</v>
      </c>
      <c r="AO103" s="50">
        <f t="shared" si="137"/>
        <v>4.0033388817819262E-4</v>
      </c>
      <c r="AP103" s="50" t="str">
        <f t="shared" si="115"/>
        <v>1-0.0019975466401565i</v>
      </c>
      <c r="AQ103" s="50">
        <f t="shared" si="138"/>
        <v>1.0000019950942995</v>
      </c>
      <c r="AR103" s="50">
        <f t="shared" si="139"/>
        <v>-1.9975439832976005E-3</v>
      </c>
      <c r="AS103" s="59" t="str">
        <f t="shared" si="140"/>
        <v>96.0772395332663-35.1402249506609i</v>
      </c>
      <c r="AT103" s="50">
        <f t="shared" si="141"/>
        <v>40.197670932729174</v>
      </c>
      <c r="AU103" s="61">
        <f t="shared" si="142"/>
        <v>-20.089979567300055</v>
      </c>
      <c r="AV103" s="32" t="str">
        <f t="shared" si="116"/>
        <v>-0.0000333333333333333</v>
      </c>
      <c r="AW103" s="32" t="str">
        <f t="shared" si="117"/>
        <v>0.0000213511418434663i</v>
      </c>
      <c r="AX103" s="32">
        <f t="shared" si="143"/>
        <v>2.13511418434663E-5</v>
      </c>
      <c r="AY103" s="32">
        <f t="shared" si="144"/>
        <v>1.5707963267948966</v>
      </c>
      <c r="AZ103" s="32" t="str">
        <f t="shared" si="118"/>
        <v>1+0.00871096932849755i</v>
      </c>
      <c r="BA103" s="32">
        <f t="shared" si="145"/>
        <v>1.0000379397736079</v>
      </c>
      <c r="BB103" s="32">
        <f t="shared" si="146"/>
        <v>8.7107490062126747E-3</v>
      </c>
      <c r="BC103" s="32" t="str">
        <f t="shared" si="119"/>
        <v>1+0.418126527767883i</v>
      </c>
      <c r="BD103" s="32">
        <f t="shared" si="147"/>
        <v>1.0838956560588413</v>
      </c>
      <c r="BE103" s="32">
        <f t="shared" si="148"/>
        <v>0.39603438000166596</v>
      </c>
      <c r="BF103" s="59" t="str">
        <f t="shared" si="149"/>
        <v>-0.639129742945256+1.5667641932655i</v>
      </c>
      <c r="BG103" s="50">
        <f t="shared" si="150"/>
        <v>4.5685727717804987</v>
      </c>
      <c r="BH103" s="61">
        <f t="shared" si="151"/>
        <v>112.192009361722</v>
      </c>
      <c r="BI103" s="59" t="str">
        <f t="shared" si="152"/>
        <v>-0.237016026965448+20.2326850476584i</v>
      </c>
      <c r="BJ103" s="64">
        <f t="shared" si="153"/>
        <v>26.121666363093937</v>
      </c>
      <c r="BK103" s="61">
        <f t="shared" si="154"/>
        <v>90.671161383025222</v>
      </c>
      <c r="BL103" s="59" t="str">
        <f t="shared" si="105"/>
        <v>-6.34937520979585+172.989541628269i</v>
      </c>
      <c r="BM103" s="64">
        <f t="shared" si="155"/>
        <v>44.766243704509698</v>
      </c>
      <c r="BN103" s="61">
        <f t="shared" si="106"/>
        <v>92.102029794421924</v>
      </c>
      <c r="BO103" s="50">
        <f t="shared" si="156"/>
        <v>26.121666363093937</v>
      </c>
      <c r="BP103" s="61">
        <f t="shared" si="157"/>
        <v>90.671161383025222</v>
      </c>
    </row>
    <row r="104" spans="14:68" x14ac:dyDescent="0.25">
      <c r="N104" s="11">
        <v>86</v>
      </c>
      <c r="O104" s="51">
        <f t="shared" si="120"/>
        <v>72.443596007499011</v>
      </c>
      <c r="P104" s="49" t="str">
        <f t="shared" si="107"/>
        <v>25.6231073841137</v>
      </c>
      <c r="Q104" s="18" t="str">
        <f t="shared" si="108"/>
        <v>1+0.39362750930576i</v>
      </c>
      <c r="R104" s="18">
        <f t="shared" si="121"/>
        <v>1.0746825652639278</v>
      </c>
      <c r="S104" s="18">
        <f t="shared" si="122"/>
        <v>0.37500080816173131</v>
      </c>
      <c r="T104" s="18" t="str">
        <f t="shared" si="109"/>
        <v>1+0.000409658884230214i</v>
      </c>
      <c r="U104" s="18">
        <f t="shared" si="123"/>
        <v>1.0000000839101972</v>
      </c>
      <c r="V104" s="18">
        <f t="shared" si="124"/>
        <v>4.0965886131384346E-4</v>
      </c>
      <c r="W104" s="32" t="str">
        <f t="shared" si="110"/>
        <v>1-0.00917939351701035i</v>
      </c>
      <c r="X104" s="18">
        <f t="shared" si="125"/>
        <v>1.0000421297452124</v>
      </c>
      <c r="Y104" s="18">
        <f t="shared" si="126"/>
        <v>-9.1791357076066327E-3</v>
      </c>
      <c r="Z104" s="32" t="str">
        <f t="shared" si="111"/>
        <v>0.999999868798135+0.000726765205726935i</v>
      </c>
      <c r="AA104" s="18">
        <f t="shared" si="127"/>
        <v>1.0000001328919668</v>
      </c>
      <c r="AB104" s="18">
        <f t="shared" si="128"/>
        <v>7.2676517312374937E-4</v>
      </c>
      <c r="AC104" s="32" t="str">
        <f>IMDIV(IMSUM(COMPLEX(0,2*PI()*O104*Constants!$B$71*Constants!$B$72),COMPLEX(1,0)),IMSUM(COMPLEX(0,2*PI()*O104*Constants!$B$71*Constants!$B$72),COMPLEX(2,0)))</f>
        <v>0.500000414371018+0.000455176160809641i</v>
      </c>
      <c r="AD104" s="18">
        <f t="shared" si="129"/>
        <v>0.50000062155614078</v>
      </c>
      <c r="AE104" s="18">
        <f t="shared" si="130"/>
        <v>9.103513156912172E-4</v>
      </c>
      <c r="AF104" s="66" t="str">
        <f t="shared" si="131"/>
        <v>11.055386221638-4.46170615662846i</v>
      </c>
      <c r="AG104" s="64">
        <f t="shared" si="132"/>
        <v>21.526808252788907</v>
      </c>
      <c r="AH104" s="61">
        <f t="shared" si="133"/>
        <v>-21.97789892234627</v>
      </c>
      <c r="AI104" s="50" t="str">
        <f t="shared" si="112"/>
        <v>108.866083054159</v>
      </c>
      <c r="AJ104" s="50" t="str">
        <f t="shared" si="113"/>
        <v>1+0.372417167482013i</v>
      </c>
      <c r="AK104" s="50">
        <f t="shared" si="134"/>
        <v>1.0670963155382582</v>
      </c>
      <c r="AL104" s="50">
        <f t="shared" si="135"/>
        <v>0.35650434858772817</v>
      </c>
      <c r="AM104" s="50" t="str">
        <f t="shared" si="114"/>
        <v>1+0.000409658884230214i</v>
      </c>
      <c r="AN104" s="50">
        <f t="shared" si="136"/>
        <v>1.0000000839101972</v>
      </c>
      <c r="AO104" s="50">
        <f t="shared" si="137"/>
        <v>4.0965886131384346E-4</v>
      </c>
      <c r="AP104" s="50" t="str">
        <f t="shared" si="115"/>
        <v>1-0.00204407547862611i</v>
      </c>
      <c r="AQ104" s="50">
        <f t="shared" si="138"/>
        <v>1.0000020891200989</v>
      </c>
      <c r="AR104" s="50">
        <f t="shared" si="139"/>
        <v>-2.0440726317508288E-3</v>
      </c>
      <c r="AS104" s="59" t="str">
        <f t="shared" si="140"/>
        <v>95.5479319782506-35.7616227188147i</v>
      </c>
      <c r="AT104" s="50">
        <f t="shared" si="141"/>
        <v>40.17379841726428</v>
      </c>
      <c r="AU104" s="61">
        <f t="shared" si="142"/>
        <v>-20.519839563161597</v>
      </c>
      <c r="AV104" s="32" t="str">
        <f t="shared" si="116"/>
        <v>-0.0000333333333333333</v>
      </c>
      <c r="AW104" s="32" t="str">
        <f t="shared" si="117"/>
        <v>0.0000218484738256114i</v>
      </c>
      <c r="AX104" s="32">
        <f t="shared" si="143"/>
        <v>2.1848473825611401E-5</v>
      </c>
      <c r="AY104" s="32">
        <f t="shared" si="144"/>
        <v>1.5707963267948966</v>
      </c>
      <c r="AZ104" s="32" t="str">
        <f t="shared" si="118"/>
        <v>1+0.00891387386982411i</v>
      </c>
      <c r="BA104" s="32">
        <f t="shared" si="145"/>
        <v>1.0000397277845352</v>
      </c>
      <c r="BB104" s="32">
        <f t="shared" si="146"/>
        <v>8.9136377907490134E-3</v>
      </c>
      <c r="BC104" s="32" t="str">
        <f t="shared" si="119"/>
        <v>1+0.427865945751558i</v>
      </c>
      <c r="BD104" s="32">
        <f t="shared" si="147"/>
        <v>1.0876898765428844</v>
      </c>
      <c r="BE104" s="32">
        <f t="shared" si="148"/>
        <v>0.40429562272776626</v>
      </c>
      <c r="BF104" s="59" t="str">
        <f t="shared" si="149"/>
        <v>-0.639127457496166+1.53135667847217i</v>
      </c>
      <c r="BG104" s="50">
        <f t="shared" si="150"/>
        <v>4.398909455476133</v>
      </c>
      <c r="BH104" s="61">
        <f t="shared" si="151"/>
        <v>112.65371903239615</v>
      </c>
      <c r="BI104" s="59" t="str">
        <f t="shared" si="152"/>
        <v>-0.23333736714025+19.7813384355755i</v>
      </c>
      <c r="BJ104" s="64">
        <f t="shared" si="153"/>
        <v>25.92571770826504</v>
      </c>
      <c r="BK104" s="61">
        <f t="shared" si="154"/>
        <v>90.675820110049884</v>
      </c>
      <c r="BL104" s="59" t="str">
        <f t="shared" si="105"/>
        <v>-6.30350705081695+169.174198753312i</v>
      </c>
      <c r="BM104" s="64">
        <f t="shared" si="155"/>
        <v>44.572707872740416</v>
      </c>
      <c r="BN104" s="61">
        <f t="shared" si="106"/>
        <v>92.133879469234557</v>
      </c>
      <c r="BO104" s="50">
        <f t="shared" si="156"/>
        <v>25.92571770826504</v>
      </c>
      <c r="BP104" s="61">
        <f t="shared" si="157"/>
        <v>90.675820110049884</v>
      </c>
    </row>
    <row r="105" spans="14:68" x14ac:dyDescent="0.25">
      <c r="N105" s="11">
        <v>87</v>
      </c>
      <c r="O105" s="51">
        <f t="shared" si="120"/>
        <v>74.131024130091816</v>
      </c>
      <c r="P105" s="49" t="str">
        <f t="shared" si="107"/>
        <v>25.6231073841137</v>
      </c>
      <c r="Q105" s="18" t="str">
        <f t="shared" si="108"/>
        <v>1+0.402796271841512i</v>
      </c>
      <c r="R105" s="18">
        <f t="shared" si="121"/>
        <v>1.0780745969595151</v>
      </c>
      <c r="S105" s="18">
        <f t="shared" si="122"/>
        <v>0.3829146295126522</v>
      </c>
      <c r="T105" s="18" t="str">
        <f t="shared" si="109"/>
        <v>1+0.000419201065458332i</v>
      </c>
      <c r="U105" s="18">
        <f t="shared" si="123"/>
        <v>1.0000000878647628</v>
      </c>
      <c r="V105" s="18">
        <f t="shared" si="124"/>
        <v>4.1920104090299872E-4</v>
      </c>
      <c r="W105" s="32" t="str">
        <f t="shared" si="110"/>
        <v>1-0.0093932090593441i</v>
      </c>
      <c r="X105" s="18">
        <f t="shared" si="125"/>
        <v>1.0000441152151403</v>
      </c>
      <c r="Y105" s="18">
        <f t="shared" si="126"/>
        <v>-9.3929328122491045E-3</v>
      </c>
      <c r="Z105" s="32" t="str">
        <f t="shared" si="111"/>
        <v>0.999999862614782+0.000743693742053854i</v>
      </c>
      <c r="AA105" s="18">
        <f t="shared" si="127"/>
        <v>1.0000001391549727</v>
      </c>
      <c r="AB105" s="18">
        <f t="shared" si="128"/>
        <v>7.4369370711891097E-4</v>
      </c>
      <c r="AC105" s="32" t="str">
        <f>IMDIV(IMSUM(COMPLEX(0,2*PI()*O105*Constants!$B$71*Constants!$B$72),COMPLEX(1,0)),IMSUM(COMPLEX(0,2*PI()*O105*Constants!$B$71*Constants!$B$72),COMPLEX(2,0)))</f>
        <v>0.500000433899706+0.000465778557417659i</v>
      </c>
      <c r="AD105" s="18">
        <f t="shared" si="129"/>
        <v>0.50000065084913536</v>
      </c>
      <c r="AE105" s="18">
        <f t="shared" si="130"/>
        <v>9.3155603696414002E-4</v>
      </c>
      <c r="AF105" s="66" t="str">
        <f t="shared" si="131"/>
        <v>10.9841743538724-4.53694877528694i</v>
      </c>
      <c r="AG105" s="64">
        <f t="shared" si="132"/>
        <v>21.499453798012318</v>
      </c>
      <c r="AH105" s="61">
        <f t="shared" si="133"/>
        <v>-22.442785423241446</v>
      </c>
      <c r="AI105" s="50" t="str">
        <f t="shared" si="112"/>
        <v>108.866083054159</v>
      </c>
      <c r="AJ105" s="50" t="str">
        <f t="shared" si="113"/>
        <v>1+0.381091877689393i</v>
      </c>
      <c r="AK105" s="50">
        <f t="shared" si="134"/>
        <v>1.0701546707092517</v>
      </c>
      <c r="AL105" s="50">
        <f t="shared" si="135"/>
        <v>0.36410076879873721</v>
      </c>
      <c r="AM105" s="50" t="str">
        <f t="shared" si="114"/>
        <v>1+0.000419201065458332i</v>
      </c>
      <c r="AN105" s="50">
        <f t="shared" si="136"/>
        <v>1.0000000878647628</v>
      </c>
      <c r="AO105" s="50">
        <f t="shared" si="137"/>
        <v>4.1920104090299872E-4</v>
      </c>
      <c r="AP105" s="50" t="str">
        <f t="shared" si="115"/>
        <v>1-0.00209168811297103i</v>
      </c>
      <c r="AQ105" s="50">
        <f t="shared" si="138"/>
        <v>1.0000021875771883</v>
      </c>
      <c r="AR105" s="50">
        <f t="shared" si="139"/>
        <v>-2.0916850624895676E-3</v>
      </c>
      <c r="AS105" s="59" t="str">
        <f t="shared" si="140"/>
        <v>94.9998634118344-36.3857534416734i</v>
      </c>
      <c r="AT105" s="50">
        <f t="shared" si="141"/>
        <v>40.148940688141209</v>
      </c>
      <c r="AU105" s="61">
        <f t="shared" si="142"/>
        <v>-20.957263645376209</v>
      </c>
      <c r="AV105" s="32" t="str">
        <f t="shared" si="116"/>
        <v>-0.0000333333333333333</v>
      </c>
      <c r="AW105" s="32" t="str">
        <f t="shared" si="117"/>
        <v>0.0000223573901577777i</v>
      </c>
      <c r="AX105" s="32">
        <f t="shared" si="143"/>
        <v>2.2357390157777701E-5</v>
      </c>
      <c r="AY105" s="32">
        <f t="shared" si="144"/>
        <v>1.5707963267948966</v>
      </c>
      <c r="AZ105" s="32" t="str">
        <f t="shared" si="118"/>
        <v>1+0.00912150466506555i</v>
      </c>
      <c r="BA105" s="32">
        <f t="shared" si="145"/>
        <v>1.0000416000583949</v>
      </c>
      <c r="BB105" s="32">
        <f t="shared" si="146"/>
        <v>9.1212517023473473E-3</v>
      </c>
      <c r="BC105" s="32" t="str">
        <f t="shared" si="119"/>
        <v>1+0.437832223923147i</v>
      </c>
      <c r="BD105" s="32">
        <f t="shared" si="147"/>
        <v>1.0916487788228817</v>
      </c>
      <c r="BE105" s="32">
        <f t="shared" si="148"/>
        <v>0.41268925781911464</v>
      </c>
      <c r="BF105" s="59" t="str">
        <f t="shared" si="149"/>
        <v>-0.639125064354696+1.49676110733908i</v>
      </c>
      <c r="BG105" s="50">
        <f t="shared" si="150"/>
        <v>4.2304501305819349</v>
      </c>
      <c r="BH105" s="61">
        <f t="shared" si="151"/>
        <v>113.12274349700056</v>
      </c>
      <c r="BI105" s="59" t="str">
        <f t="shared" si="152"/>
        <v>-0.229532667962734+19.3403626470868i</v>
      </c>
      <c r="BJ105" s="64">
        <f t="shared" si="153"/>
        <v>25.729903928594254</v>
      </c>
      <c r="BK105" s="61">
        <f t="shared" si="154"/>
        <v>90.67995807375911</v>
      </c>
      <c r="BL105" s="59" t="str">
        <f t="shared" si="105"/>
        <v>-6.25601320405016+165.447147767362i</v>
      </c>
      <c r="BM105" s="64">
        <f t="shared" si="155"/>
        <v>44.379390818723138</v>
      </c>
      <c r="BN105" s="61">
        <f t="shared" si="106"/>
        <v>92.16547985162434</v>
      </c>
      <c r="BO105" s="50">
        <f t="shared" si="156"/>
        <v>25.729903928594254</v>
      </c>
      <c r="BP105" s="61">
        <f t="shared" si="157"/>
        <v>90.67995807375911</v>
      </c>
    </row>
    <row r="106" spans="14:68" x14ac:dyDescent="0.25">
      <c r="N106" s="11">
        <v>88</v>
      </c>
      <c r="O106" s="51">
        <f t="shared" si="120"/>
        <v>75.857757502918361</v>
      </c>
      <c r="P106" s="49" t="str">
        <f t="shared" si="107"/>
        <v>25.6231073841137</v>
      </c>
      <c r="Q106" s="18" t="str">
        <f t="shared" si="108"/>
        <v>1+0.412178602292233i</v>
      </c>
      <c r="R106" s="18">
        <f t="shared" si="121"/>
        <v>1.0816150887388631</v>
      </c>
      <c r="S106" s="18">
        <f t="shared" si="122"/>
        <v>0.39096088579662241</v>
      </c>
      <c r="T106" s="18" t="str">
        <f t="shared" si="109"/>
        <v>1+0.000428965512640137i</v>
      </c>
      <c r="U106" s="18">
        <f t="shared" si="123"/>
        <v>1.0000000920057013</v>
      </c>
      <c r="V106" s="18">
        <f t="shared" si="124"/>
        <v>4.2896548632862349E-4</v>
      </c>
      <c r="W106" s="32" t="str">
        <f t="shared" si="110"/>
        <v>1-0.00961200500545491i</v>
      </c>
      <c r="X106" s="18">
        <f t="shared" si="125"/>
        <v>1.000046194253158</v>
      </c>
      <c r="Y106" s="18">
        <f t="shared" si="126"/>
        <v>-9.6117090020980678E-3</v>
      </c>
      <c r="Z106" s="32" t="str">
        <f t="shared" si="111"/>
        <v>0.999999856140016+0.00076101659464676i</v>
      </c>
      <c r="AA106" s="18">
        <f t="shared" si="127"/>
        <v>1.0000001457131444</v>
      </c>
      <c r="AB106" s="18">
        <f t="shared" si="128"/>
        <v>7.6101655721329427E-4</v>
      </c>
      <c r="AC106" s="32" t="str">
        <f>IMDIV(IMSUM(COMPLEX(0,2*PI()*O106*Constants!$B$71*Constants!$B$72),COMPLEX(1,0)),IMSUM(COMPLEX(0,2*PI()*O106*Constants!$B$71*Constants!$B$72),COMPLEX(2,0)))</f>
        <v>0.50000045434875+0.00047662791426694i</v>
      </c>
      <c r="AD106" s="18">
        <f t="shared" si="129"/>
        <v>0.50000068152266053</v>
      </c>
      <c r="AE106" s="18">
        <f t="shared" si="130"/>
        <v>9.5325467357428972E-4</v>
      </c>
      <c r="AF106" s="66" t="str">
        <f t="shared" si="131"/>
        <v>10.9105591853978-4.61228529773911i</v>
      </c>
      <c r="AG106" s="64">
        <f t="shared" si="132"/>
        <v>21.470993879339886</v>
      </c>
      <c r="AH106" s="61">
        <f t="shared" si="133"/>
        <v>-22.915526725918397</v>
      </c>
      <c r="AI106" s="50" t="str">
        <f t="shared" si="112"/>
        <v>108.866083054159</v>
      </c>
      <c r="AJ106" s="50" t="str">
        <f t="shared" si="113"/>
        <v>1+0.38996864785467i</v>
      </c>
      <c r="AK106" s="50">
        <f t="shared" si="134"/>
        <v>1.0733478216820491</v>
      </c>
      <c r="AL106" s="50">
        <f t="shared" si="135"/>
        <v>0.37182886051808145</v>
      </c>
      <c r="AM106" s="50" t="str">
        <f t="shared" si="114"/>
        <v>1+0.000428965512640137i</v>
      </c>
      <c r="AN106" s="50">
        <f t="shared" si="136"/>
        <v>1.0000000920057013</v>
      </c>
      <c r="AO106" s="50">
        <f t="shared" si="137"/>
        <v>4.2896548632862349E-4</v>
      </c>
      <c r="AP106" s="50" t="str">
        <f t="shared" si="115"/>
        <v>1-0.00214040978804021i</v>
      </c>
      <c r="AQ106" s="50">
        <f t="shared" si="138"/>
        <v>1.0000022906744068</v>
      </c>
      <c r="AR106" s="50">
        <f t="shared" si="139"/>
        <v>-2.1404065193908368E-3</v>
      </c>
      <c r="AS106" s="59" t="str">
        <f t="shared" si="140"/>
        <v>94.432630819501-37.0120835886683i</v>
      </c>
      <c r="AT106" s="50">
        <f t="shared" si="141"/>
        <v>40.12306306096572</v>
      </c>
      <c r="AU106" s="61">
        <f t="shared" si="142"/>
        <v>-21.402282756924603</v>
      </c>
      <c r="AV106" s="32" t="str">
        <f t="shared" si="116"/>
        <v>-0.0000333333333333333</v>
      </c>
      <c r="AW106" s="32" t="str">
        <f t="shared" si="117"/>
        <v>0.0000228781606741406i</v>
      </c>
      <c r="AX106" s="32">
        <f t="shared" si="143"/>
        <v>2.2878160674140602E-5</v>
      </c>
      <c r="AY106" s="32">
        <f t="shared" si="144"/>
        <v>1.5707963267948966</v>
      </c>
      <c r="AZ106" s="32" t="str">
        <f t="shared" si="118"/>
        <v>1+0.00933397180281778i</v>
      </c>
      <c r="BA106" s="32">
        <f t="shared" si="145"/>
        <v>1.0000435605660465</v>
      </c>
      <c r="BB106" s="32">
        <f t="shared" si="146"/>
        <v>9.333700749019385E-3</v>
      </c>
      <c r="BC106" s="32" t="str">
        <f t="shared" si="119"/>
        <v>1+0.448030646535254i</v>
      </c>
      <c r="BD106" s="32">
        <f t="shared" si="147"/>
        <v>1.0957789285411532</v>
      </c>
      <c r="BE106" s="32">
        <f t="shared" si="148"/>
        <v>0.4212150037800837</v>
      </c>
      <c r="BF106" s="59" t="str">
        <f t="shared" si="149"/>
        <v>-0.639122558447153+1.46295913669918i</v>
      </c>
      <c r="BG106" s="50">
        <f t="shared" si="150"/>
        <v>4.0632333337585225</v>
      </c>
      <c r="BH106" s="61">
        <f t="shared" si="151"/>
        <v>113.59906032402883</v>
      </c>
      <c r="BI106" s="59" t="str">
        <f t="shared" si="152"/>
        <v>-0.225599583269799+18.9095178265541i</v>
      </c>
      <c r="BJ106" s="64">
        <f t="shared" si="153"/>
        <v>25.534227213098418</v>
      </c>
      <c r="BK106" s="61">
        <f t="shared" si="154"/>
        <v>90.683533598110415</v>
      </c>
      <c r="BL106" s="59" t="str">
        <f t="shared" si="105"/>
        <v>-6.20685875593889+161.806337616579i</v>
      </c>
      <c r="BM106" s="64">
        <f t="shared" si="155"/>
        <v>44.186296394724238</v>
      </c>
      <c r="BN106" s="61">
        <f t="shared" si="106"/>
        <v>92.19677756710422</v>
      </c>
      <c r="BO106" s="50">
        <f t="shared" si="156"/>
        <v>25.534227213098418</v>
      </c>
      <c r="BP106" s="61">
        <f t="shared" si="157"/>
        <v>90.683533598110415</v>
      </c>
    </row>
    <row r="107" spans="14:68" x14ac:dyDescent="0.25">
      <c r="N107" s="11">
        <v>89</v>
      </c>
      <c r="O107" s="51">
        <f t="shared" si="120"/>
        <v>77.624711662869217</v>
      </c>
      <c r="P107" s="49" t="str">
        <f t="shared" si="107"/>
        <v>25.6231073841137</v>
      </c>
      <c r="Q107" s="18" t="str">
        <f t="shared" si="108"/>
        <v>1+0.421779475293718i</v>
      </c>
      <c r="R107" s="18">
        <f t="shared" si="121"/>
        <v>1.0853100597428571</v>
      </c>
      <c r="S107" s="18">
        <f t="shared" si="122"/>
        <v>0.39913967473957801</v>
      </c>
      <c r="T107" s="18" t="str">
        <f t="shared" si="109"/>
        <v>1+0.000438957403014773i</v>
      </c>
      <c r="U107" s="18">
        <f t="shared" si="123"/>
        <v>1.0000000963417963</v>
      </c>
      <c r="V107" s="18">
        <f t="shared" si="124"/>
        <v>4.3895737482147845E-4</v>
      </c>
      <c r="W107" s="32" t="str">
        <f t="shared" si="110"/>
        <v>1-0.00983589736384955i</v>
      </c>
      <c r="X107" s="18">
        <f t="shared" si="125"/>
        <v>1.0000483712685864</v>
      </c>
      <c r="Y107" s="18">
        <f t="shared" si="126"/>
        <v>-9.8355801913668408E-3</v>
      </c>
      <c r="Z107" s="32" t="str">
        <f t="shared" si="111"/>
        <v>0.999999849360103+0.000778742948311394i</v>
      </c>
      <c r="AA107" s="18">
        <f t="shared" si="127"/>
        <v>1.0000001525803923</v>
      </c>
      <c r="AB107" s="18">
        <f t="shared" si="128"/>
        <v>7.7874290820071366E-4</v>
      </c>
      <c r="AC107" s="32" t="str">
        <f>IMDIV(IMSUM(COMPLEX(0,2*PI()*O107*Constants!$B$71*Constants!$B$72),COMPLEX(1,0)),IMSUM(COMPLEX(0,2*PI()*O107*Constants!$B$71*Constants!$B$72),COMPLEX(2,0)))</f>
        <v>0.500000475761527+0.000487729983707428i</v>
      </c>
      <c r="AD107" s="18">
        <f t="shared" si="129"/>
        <v>0.500000713641781</v>
      </c>
      <c r="AE107" s="18">
        <f t="shared" si="130"/>
        <v>9.754587298535641E-4</v>
      </c>
      <c r="AF107" s="66" t="str">
        <f t="shared" si="131"/>
        <v>10.8344990174344-4.68763861323571i</v>
      </c>
      <c r="AG107" s="64">
        <f t="shared" si="132"/>
        <v>21.441391496255356</v>
      </c>
      <c r="AH107" s="61">
        <f t="shared" si="133"/>
        <v>-23.396134641522494</v>
      </c>
      <c r="AI107" s="50" t="str">
        <f t="shared" si="112"/>
        <v>108.866083054159</v>
      </c>
      <c r="AJ107" s="50" t="str">
        <f t="shared" si="113"/>
        <v>1+0.399052184558885i</v>
      </c>
      <c r="AK107" s="50">
        <f t="shared" si="134"/>
        <v>1.0766813112528788</v>
      </c>
      <c r="AL107" s="50">
        <f t="shared" si="135"/>
        <v>0.3796890278808665</v>
      </c>
      <c r="AM107" s="50" t="str">
        <f t="shared" si="114"/>
        <v>1+0.000438957403014773i</v>
      </c>
      <c r="AN107" s="50">
        <f t="shared" si="136"/>
        <v>1.0000000963417963</v>
      </c>
      <c r="AO107" s="50">
        <f t="shared" si="137"/>
        <v>4.3895737482147845E-4</v>
      </c>
      <c r="AP107" s="50" t="str">
        <f t="shared" si="115"/>
        <v>1-0.00219026633671068i</v>
      </c>
      <c r="AQ107" s="50">
        <f t="shared" si="138"/>
        <v>1.0000023986304361</v>
      </c>
      <c r="AR107" s="50">
        <f t="shared" si="139"/>
        <v>-2.1902628342902282E-3</v>
      </c>
      <c r="AS107" s="59" t="str">
        <f t="shared" si="140"/>
        <v>93.8458445676943-37.6400474303412i</v>
      </c>
      <c r="AT107" s="50">
        <f t="shared" si="141"/>
        <v>40.096130126189621</v>
      </c>
      <c r="AU107" s="61">
        <f t="shared" si="142"/>
        <v>-21.854921236464463</v>
      </c>
      <c r="AV107" s="32" t="str">
        <f t="shared" si="116"/>
        <v>-0.0000333333333333333</v>
      </c>
      <c r="AW107" s="32" t="str">
        <f t="shared" si="117"/>
        <v>0.0000234110614941212i</v>
      </c>
      <c r="AX107" s="32">
        <f t="shared" si="143"/>
        <v>2.34110614941212E-5</v>
      </c>
      <c r="AY107" s="32">
        <f t="shared" si="144"/>
        <v>1.5707963267948966</v>
      </c>
      <c r="AZ107" s="32" t="str">
        <f t="shared" si="118"/>
        <v>1+0.0095513879359696i</v>
      </c>
      <c r="BA107" s="32">
        <f t="shared" si="145"/>
        <v>1.0000456134654576</v>
      </c>
      <c r="BB107" s="32">
        <f t="shared" si="146"/>
        <v>9.5510974973073322E-3</v>
      </c>
      <c r="BC107" s="32" t="str">
        <f t="shared" si="119"/>
        <v>1+0.458466620926542i</v>
      </c>
      <c r="BD107" s="32">
        <f t="shared" si="147"/>
        <v>1.1000871067800957</v>
      </c>
      <c r="BE107" s="32">
        <f t="shared" si="148"/>
        <v>0.42987242224972833</v>
      </c>
      <c r="BF107" s="59" t="str">
        <f t="shared" si="149"/>
        <v>-0.639119934460889+1.42993284415304i</v>
      </c>
      <c r="BG107" s="50">
        <f t="shared" si="150"/>
        <v>3.8972981004453011</v>
      </c>
      <c r="BH107" s="61">
        <f t="shared" si="151"/>
        <v>114.08263794766131</v>
      </c>
      <c r="BI107" s="59" t="str">
        <f t="shared" si="152"/>
        <v>-0.22153588735349+18.4885692782408i</v>
      </c>
      <c r="BJ107" s="64">
        <f t="shared" si="153"/>
        <v>25.338689596700643</v>
      </c>
      <c r="BK107" s="61">
        <f t="shared" si="154"/>
        <v>90.686503306138832</v>
      </c>
      <c r="BL107" s="59" t="str">
        <f t="shared" si="105"/>
        <v>-6.15600995340844+158.249760081412i</v>
      </c>
      <c r="BM107" s="64">
        <f t="shared" si="155"/>
        <v>43.993428226634947</v>
      </c>
      <c r="BN107" s="61">
        <f t="shared" si="106"/>
        <v>92.227716711196848</v>
      </c>
      <c r="BO107" s="50">
        <f t="shared" si="156"/>
        <v>25.338689596700643</v>
      </c>
      <c r="BP107" s="61">
        <f t="shared" si="157"/>
        <v>90.686503306138832</v>
      </c>
    </row>
    <row r="108" spans="14:68" x14ac:dyDescent="0.25">
      <c r="N108" s="11">
        <v>90</v>
      </c>
      <c r="O108" s="51">
        <f t="shared" si="120"/>
        <v>79.432823472428197</v>
      </c>
      <c r="P108" s="49" t="str">
        <f t="shared" si="107"/>
        <v>25.6231073841137</v>
      </c>
      <c r="Q108" s="18" t="str">
        <f t="shared" si="108"/>
        <v>1+0.431603981355915i</v>
      </c>
      <c r="R108" s="18">
        <f t="shared" si="121"/>
        <v>1.0891657342765964</v>
      </c>
      <c r="S108" s="18">
        <f t="shared" si="122"/>
        <v>0.40745095499097433</v>
      </c>
      <c r="T108" s="18" t="str">
        <f t="shared" si="109"/>
        <v>1+0.000449182034414776i</v>
      </c>
      <c r="U108" s="18">
        <f t="shared" si="123"/>
        <v>1.000000100882245</v>
      </c>
      <c r="V108" s="18">
        <f t="shared" si="124"/>
        <v>4.4918200420511679E-4</v>
      </c>
      <c r="W108" s="32" t="str">
        <f t="shared" si="110"/>
        <v>1-0.01006500484522i</v>
      </c>
      <c r="X108" s="18">
        <f t="shared" si="125"/>
        <v>1.0000506508785114</v>
      </c>
      <c r="Y108" s="18">
        <f t="shared" si="126"/>
        <v>-1.0064664989711343E-2</v>
      </c>
      <c r="Z108" s="32" t="str">
        <f t="shared" si="111"/>
        <v>0.999999842260664+0.000796882201795103i</v>
      </c>
      <c r="AA108" s="18">
        <f t="shared" si="127"/>
        <v>1.0000001597712853</v>
      </c>
      <c r="AB108" s="18">
        <f t="shared" si="128"/>
        <v>7.9688215881573449E-4</v>
      </c>
      <c r="AC108" s="32" t="str">
        <f>IMDIV(IMSUM(COMPLEX(0,2*PI()*O108*Constants!$B$71*Constants!$B$72),COMPLEX(1,0)),IMSUM(COMPLEX(0,2*PI()*O108*Constants!$B$71*Constants!$B$72),COMPLEX(2,0)))</f>
        <v>0.500000498183454+0.000499090652071844i</v>
      </c>
      <c r="AD108" s="18">
        <f t="shared" si="129"/>
        <v>0.50000074727462274</v>
      </c>
      <c r="AE108" s="18">
        <f t="shared" si="130"/>
        <v>9.9817997807310523E-4</v>
      </c>
      <c r="AF108" s="66" t="str">
        <f t="shared" si="131"/>
        <v>10.7559546916178-4.76292770745634i</v>
      </c>
      <c r="AG108" s="64">
        <f t="shared" si="132"/>
        <v>21.410609032043851</v>
      </c>
      <c r="AH108" s="61">
        <f t="shared" si="133"/>
        <v>-23.884613157138482</v>
      </c>
      <c r="AI108" s="50" t="str">
        <f t="shared" si="112"/>
        <v>108.866083054159</v>
      </c>
      <c r="AJ108" s="50" t="str">
        <f t="shared" si="113"/>
        <v>1+0.408347304013433i</v>
      </c>
      <c r="AK108" s="50">
        <f t="shared" si="134"/>
        <v>1.0801608772284983</v>
      </c>
      <c r="AL108" s="50">
        <f t="shared" si="135"/>
        <v>0.38768155247136071</v>
      </c>
      <c r="AM108" s="50" t="str">
        <f t="shared" si="114"/>
        <v>1+0.000449182034414776i</v>
      </c>
      <c r="AN108" s="50">
        <f t="shared" si="136"/>
        <v>1.000000100882245</v>
      </c>
      <c r="AO108" s="50">
        <f t="shared" si="137"/>
        <v>4.4918200420511679E-4</v>
      </c>
      <c r="AP108" s="50" t="str">
        <f t="shared" si="115"/>
        <v>1-0.00224128419358448i</v>
      </c>
      <c r="AQ108" s="50">
        <f t="shared" si="138"/>
        <v>1.0000025116742639</v>
      </c>
      <c r="AR108" s="50">
        <f t="shared" si="139"/>
        <v>-2.2412804406738603E-3</v>
      </c>
      <c r="AS108" s="59" t="str">
        <f t="shared" si="140"/>
        <v>93.2391305882864-38.2690467467849i</v>
      </c>
      <c r="AT108" s="50">
        <f t="shared" si="141"/>
        <v>40.068105775572633</v>
      </c>
      <c r="AU108" s="61">
        <f t="shared" si="142"/>
        <v>-22.315196428570207</v>
      </c>
      <c r="AV108" s="32" t="str">
        <f t="shared" si="116"/>
        <v>-0.0000333333333333333</v>
      </c>
      <c r="AW108" s="32" t="str">
        <f t="shared" si="117"/>
        <v>0.000023956375168788i</v>
      </c>
      <c r="AX108" s="32">
        <f t="shared" si="143"/>
        <v>2.3956375168787999E-5</v>
      </c>
      <c r="AY108" s="32">
        <f t="shared" si="144"/>
        <v>1.5707963267948966</v>
      </c>
      <c r="AZ108" s="32" t="str">
        <f t="shared" si="118"/>
        <v>1+0.00977386834143263i</v>
      </c>
      <c r="BA108" s="32">
        <f t="shared" si="145"/>
        <v>1.0000477631105205</v>
      </c>
      <c r="BB108" s="32">
        <f t="shared" si="146"/>
        <v>9.7735571316017889E-3</v>
      </c>
      <c r="BC108" s="32" t="str">
        <f t="shared" si="119"/>
        <v>1+0.469145680388767i</v>
      </c>
      <c r="BD108" s="32">
        <f t="shared" si="147"/>
        <v>1.1045803137062686</v>
      </c>
      <c r="BE108" s="32">
        <f t="shared" si="148"/>
        <v>0.4386609114199303</v>
      </c>
      <c r="BF108" s="59" t="str">
        <f t="shared" si="149"/>
        <v>-0.639117186833053+1.39766471856553i</v>
      </c>
      <c r="BG108" s="50">
        <f t="shared" si="150"/>
        <v>3.7326839112969603</v>
      </c>
      <c r="BH108" s="61">
        <f t="shared" si="151"/>
        <v>114.57343528725323</v>
      </c>
      <c r="BI108" s="59" t="str">
        <f t="shared" si="152"/>
        <v>-0.217339490420616+18.0772873444423i</v>
      </c>
      <c r="BJ108" s="64">
        <f t="shared" si="153"/>
        <v>25.143292943340821</v>
      </c>
      <c r="BK108" s="61">
        <f t="shared" si="154"/>
        <v>90.688822130114744</v>
      </c>
      <c r="BL108" s="59" t="str">
        <f t="shared" si="105"/>
        <v>-6.10343439322904+154.77544871256i</v>
      </c>
      <c r="BM108" s="64">
        <f t="shared" si="155"/>
        <v>43.800789686869599</v>
      </c>
      <c r="BN108" s="61">
        <f t="shared" si="106"/>
        <v>92.258238858683029</v>
      </c>
      <c r="BO108" s="50">
        <f t="shared" si="156"/>
        <v>25.143292943340821</v>
      </c>
      <c r="BP108" s="61">
        <f t="shared" si="157"/>
        <v>90.688822130114744</v>
      </c>
    </row>
    <row r="109" spans="14:68" x14ac:dyDescent="0.25">
      <c r="N109" s="11">
        <v>91</v>
      </c>
      <c r="O109" s="51">
        <f t="shared" si="120"/>
        <v>81.283051616409963</v>
      </c>
      <c r="P109" s="49" t="str">
        <f t="shared" si="107"/>
        <v>25.6231073841137</v>
      </c>
      <c r="Q109" s="18" t="str">
        <f t="shared" si="108"/>
        <v>1+0.441657329561981i</v>
      </c>
      <c r="R109" s="18">
        <f t="shared" si="121"/>
        <v>1.0931885458400212</v>
      </c>
      <c r="S109" s="18">
        <f t="shared" si="122"/>
        <v>0.41589453927847947</v>
      </c>
      <c r="T109" s="18" t="str">
        <f t="shared" si="109"/>
        <v>1+0.000459644828075053i</v>
      </c>
      <c r="U109" s="18">
        <f t="shared" si="123"/>
        <v>1.0000001056366783</v>
      </c>
      <c r="V109" s="18">
        <f t="shared" si="124"/>
        <v>4.5964479570482017E-4</v>
      </c>
      <c r="W109" s="32" t="str">
        <f t="shared" si="110"/>
        <v>1-0.0102994489253854i</v>
      </c>
      <c r="X109" s="18">
        <f t="shared" si="125"/>
        <v>1.0000530379175729</v>
      </c>
      <c r="Y109" s="18">
        <f t="shared" si="126"/>
        <v>-1.0299084764689968E-2</v>
      </c>
      <c r="Z109" s="32" t="str">
        <f t="shared" si="111"/>
        <v>0.999999834826638+0.000815443972770186i</v>
      </c>
      <c r="AA109" s="18">
        <f t="shared" si="127"/>
        <v>1.0000001673010741</v>
      </c>
      <c r="AB109" s="18">
        <f t="shared" si="128"/>
        <v>8.1544392671696316E-4</v>
      </c>
      <c r="AC109" s="32" t="str">
        <f>IMDIV(IMSUM(COMPLEX(0,2*PI()*O109*Constants!$B$71*Constants!$B$72),COMPLEX(1,0)),IMSUM(COMPLEX(0,2*PI()*O109*Constants!$B$71*Constants!$B$72),COMPLEX(2,0)))</f>
        <v>0.500000521662093+0.000510715942796097i</v>
      </c>
      <c r="AD109" s="18">
        <f t="shared" si="129"/>
        <v>0.500000782492527</v>
      </c>
      <c r="AE109" s="18">
        <f t="shared" si="130"/>
        <v>1.0214304646822233E-3</v>
      </c>
      <c r="AF109" s="66" t="str">
        <f t="shared" si="131"/>
        <v>10.6748898890052-4.8380676900261i</v>
      </c>
      <c r="AG109" s="64">
        <f t="shared" si="132"/>
        <v>21.378608294965442</v>
      </c>
      <c r="AH109" s="61">
        <f t="shared" si="133"/>
        <v>-24.380958046927962</v>
      </c>
      <c r="AI109" s="50" t="str">
        <f t="shared" si="112"/>
        <v>108.866083054159</v>
      </c>
      <c r="AJ109" s="50" t="str">
        <f t="shared" si="113"/>
        <v>1+0.417858934613685i</v>
      </c>
      <c r="AK109" s="50">
        <f t="shared" si="134"/>
        <v>1.0837924567169139</v>
      </c>
      <c r="AL109" s="50">
        <f t="shared" si="135"/>
        <v>0.39580658646218442</v>
      </c>
      <c r="AM109" s="50" t="str">
        <f t="shared" si="114"/>
        <v>1+0.000459644828075053i</v>
      </c>
      <c r="AN109" s="50">
        <f t="shared" si="136"/>
        <v>1.0000001056366783</v>
      </c>
      <c r="AO109" s="50">
        <f t="shared" si="137"/>
        <v>4.5964479570482017E-4</v>
      </c>
      <c r="AP109" s="50" t="str">
        <f t="shared" si="115"/>
        <v>1-0.00229349040900462i</v>
      </c>
      <c r="AQ109" s="50">
        <f t="shared" si="138"/>
        <v>1.0000026300456695</v>
      </c>
      <c r="AR109" s="50">
        <f t="shared" si="139"/>
        <v>-2.2934863876890115E-3</v>
      </c>
      <c r="AS109" s="59" t="str">
        <f t="shared" si="140"/>
        <v>92.6121326636828-38.8984506724697i</v>
      </c>
      <c r="AT109" s="50">
        <f t="shared" si="141"/>
        <v>40.038953232732133</v>
      </c>
      <c r="AU109" s="61">
        <f t="shared" si="142"/>
        <v>-22.783118291279305</v>
      </c>
      <c r="AV109" s="32" t="str">
        <f t="shared" si="116"/>
        <v>-0.0000333333333333333</v>
      </c>
      <c r="AW109" s="32" t="str">
        <f t="shared" si="117"/>
        <v>0.0000245143908306695i</v>
      </c>
      <c r="AX109" s="32">
        <f t="shared" si="143"/>
        <v>2.45143908306695E-5</v>
      </c>
      <c r="AY109" s="32">
        <f t="shared" si="144"/>
        <v>1.5707963267948966</v>
      </c>
      <c r="AZ109" s="32" t="str">
        <f t="shared" si="118"/>
        <v>1+0.0100015309812627i</v>
      </c>
      <c r="BA109" s="32">
        <f t="shared" si="145"/>
        <v>1.0000500140602815</v>
      </c>
      <c r="BB109" s="32">
        <f t="shared" si="146"/>
        <v>1.0001197514821683E-2</v>
      </c>
      <c r="BC109" s="32" t="str">
        <f t="shared" si="119"/>
        <v>1+0.480073487100611i</v>
      </c>
      <c r="BD109" s="32">
        <f t="shared" si="147"/>
        <v>1.1092657720388475</v>
      </c>
      <c r="BE109" s="32">
        <f t="shared" si="148"/>
        <v>0.44757969963198613</v>
      </c>
      <c r="BF109" s="59" t="str">
        <f t="shared" si="149"/>
        <v>-0.639114309738826+1.36613765078039i</v>
      </c>
      <c r="BG109" s="50">
        <f t="shared" si="150"/>
        <v>3.569430633716808</v>
      </c>
      <c r="BH109" s="61">
        <f t="shared" si="151"/>
        <v>115.07140137696986</v>
      </c>
      <c r="BI109" s="59" t="str">
        <f t="shared" si="152"/>
        <v>-0.213008454580768+17.6754472874856i</v>
      </c>
      <c r="BJ109" s="64">
        <f t="shared" si="153"/>
        <v>24.948038928682227</v>
      </c>
      <c r="BK109" s="61">
        <f t="shared" si="154"/>
        <v>90.69044333004193</v>
      </c>
      <c r="BL109" s="59" t="str">
        <f t="shared" si="105"/>
        <v>-6.04910122010558+151.381477802371i</v>
      </c>
      <c r="BM109" s="64">
        <f t="shared" si="155"/>
        <v>43.60838386644896</v>
      </c>
      <c r="BN109" s="61">
        <f t="shared" si="106"/>
        <v>92.288283085690566</v>
      </c>
      <c r="BO109" s="50">
        <f t="shared" si="156"/>
        <v>24.948038928682227</v>
      </c>
      <c r="BP109" s="61">
        <f t="shared" si="157"/>
        <v>90.69044333004193</v>
      </c>
    </row>
    <row r="110" spans="14:68" x14ac:dyDescent="0.25">
      <c r="N110" s="11">
        <v>92</v>
      </c>
      <c r="O110" s="51">
        <f t="shared" si="120"/>
        <v>83.176377110267126</v>
      </c>
      <c r="P110" s="49" t="str">
        <f t="shared" si="107"/>
        <v>25.6231073841137</v>
      </c>
      <c r="Q110" s="18" t="str">
        <f t="shared" si="108"/>
        <v>1+0.451944850330207i</v>
      </c>
      <c r="R110" s="18">
        <f t="shared" si="121"/>
        <v>1.0973851410238764</v>
      </c>
      <c r="S110" s="18">
        <f t="shared" si="122"/>
        <v>0.42447008763015892</v>
      </c>
      <c r="T110" s="18" t="str">
        <f t="shared" si="109"/>
        <v>1+0.000470351331507293i</v>
      </c>
      <c r="U110" s="18">
        <f t="shared" si="123"/>
        <v>1.0000001106151815</v>
      </c>
      <c r="V110" s="18">
        <f t="shared" si="124"/>
        <v>4.703512968219638E-4</v>
      </c>
      <c r="W110" s="32" t="str">
        <f t="shared" si="110"/>
        <v>1-0.0105393539097005i</v>
      </c>
      <c r="X110" s="18">
        <f t="shared" si="125"/>
        <v>1.000055537448213</v>
      </c>
      <c r="Y110" s="18">
        <f t="shared" si="126"/>
        <v>-1.0538963705655489E-2</v>
      </c>
      <c r="Z110" s="32" t="str">
        <f t="shared" si="111"/>
        <v>0.999999827042257+0.000834438102933309i</v>
      </c>
      <c r="AA110" s="18">
        <f t="shared" si="127"/>
        <v>1.0000001751857306</v>
      </c>
      <c r="AB110" s="18">
        <f t="shared" si="128"/>
        <v>8.3443805358639211E-4</v>
      </c>
      <c r="AC110" s="32" t="str">
        <f>IMDIV(IMSUM(COMPLEX(0,2*PI()*O110*Constants!$B$71*Constants!$B$72),COMPLEX(1,0)),IMSUM(COMPLEX(0,2*PI()*O110*Constants!$B$71*Constants!$B$72),COMPLEX(2,0)))</f>
        <v>0.500000546247243+0.000522612019612287i</v>
      </c>
      <c r="AD110" s="18">
        <f t="shared" si="129"/>
        <v>0.50000081937019314</v>
      </c>
      <c r="AE110" s="18">
        <f t="shared" si="130"/>
        <v>1.0452225166924019E-3</v>
      </c>
      <c r="AF110" s="66" t="str">
        <f t="shared" si="131"/>
        <v>10.5912714376825-4.9129698440125i</v>
      </c>
      <c r="AG110" s="64">
        <f t="shared" si="132"/>
        <v>21.345350564067395</v>
      </c>
      <c r="AH110" s="61">
        <f t="shared" si="133"/>
        <v>-24.885156487212654</v>
      </c>
      <c r="AI110" s="50" t="str">
        <f t="shared" si="112"/>
        <v>108.866083054159</v>
      </c>
      <c r="AJ110" s="50" t="str">
        <f t="shared" si="113"/>
        <v>1+0.427592119552085i</v>
      </c>
      <c r="AK110" s="50">
        <f t="shared" si="134"/>
        <v>1.0875821903208256</v>
      </c>
      <c r="AL110" s="50">
        <f t="shared" si="135"/>
        <v>0.40406414573639182</v>
      </c>
      <c r="AM110" s="50" t="str">
        <f t="shared" si="114"/>
        <v>1+0.000470351331507293i</v>
      </c>
      <c r="AN110" s="50">
        <f t="shared" si="136"/>
        <v>1.0000001106151815</v>
      </c>
      <c r="AO110" s="50">
        <f t="shared" si="137"/>
        <v>4.703512968219638E-4</v>
      </c>
      <c r="AP110" s="50" t="str">
        <f t="shared" si="115"/>
        <v>1-0.00234691266339755i</v>
      </c>
      <c r="AQ110" s="50">
        <f t="shared" si="138"/>
        <v>1.0000027539957326</v>
      </c>
      <c r="AR110" s="50">
        <f t="shared" si="139"/>
        <v>-2.3469083544808834E-3</v>
      </c>
      <c r="AS110" s="59" t="str">
        <f t="shared" si="140"/>
        <v>91.9645148060898-39.5275956913288i</v>
      </c>
      <c r="AT110" s="50">
        <f t="shared" si="141"/>
        <v>40.008635087960968</v>
      </c>
      <c r="AU110" s="61">
        <f t="shared" si="142"/>
        <v>-23.258689002673599</v>
      </c>
      <c r="AV110" s="32" t="str">
        <f t="shared" si="116"/>
        <v>-0.0000333333333333333</v>
      </c>
      <c r="AW110" s="32" t="str">
        <f t="shared" si="117"/>
        <v>0.0000250854043470556i</v>
      </c>
      <c r="AX110" s="32">
        <f t="shared" si="143"/>
        <v>2.5085404347055599E-5</v>
      </c>
      <c r="AY110" s="32">
        <f t="shared" si="144"/>
        <v>1.5707963267948966</v>
      </c>
      <c r="AZ110" s="32" t="str">
        <f t="shared" si="118"/>
        <v>1+0.010234496565205i</v>
      </c>
      <c r="BA110" s="32">
        <f t="shared" si="145"/>
        <v>1.0000523710886062</v>
      </c>
      <c r="BB110" s="32">
        <f t="shared" si="146"/>
        <v>1.0234139250486413E-2</v>
      </c>
      <c r="BC110" s="32" t="str">
        <f t="shared" si="119"/>
        <v>1+0.491255835129841i</v>
      </c>
      <c r="BD110" s="32">
        <f t="shared" si="147"/>
        <v>1.1141509303272683</v>
      </c>
      <c r="BE110" s="32">
        <f t="shared" si="148"/>
        <v>0.45662783919863797</v>
      </c>
      <c r="BF110" s="59" t="str">
        <f t="shared" si="149"/>
        <v>-0.639111297079096+1.33533492454796i</v>
      </c>
      <c r="BG110" s="50">
        <f t="shared" si="150"/>
        <v>3.407578458437607</v>
      </c>
      <c r="BH110" s="61">
        <f t="shared" si="151"/>
        <v>115.57647500825837</v>
      </c>
      <c r="BI110" s="59" t="str">
        <f t="shared" si="152"/>
        <v>-0.20854101029321+17.282829175622i</v>
      </c>
      <c r="BJ110" s="64">
        <f t="shared" si="153"/>
        <v>24.752929022504979</v>
      </c>
      <c r="BK110" s="61">
        <f t="shared" si="154"/>
        <v>90.691318521045716</v>
      </c>
      <c r="BL110" s="59" t="str">
        <f t="shared" si="105"/>
        <v>-5.99298133292697+148.065961392383i</v>
      </c>
      <c r="BM110" s="64">
        <f t="shared" si="155"/>
        <v>43.416213546398581</v>
      </c>
      <c r="BN110" s="61">
        <f t="shared" si="106"/>
        <v>92.317786005584765</v>
      </c>
      <c r="BO110" s="50">
        <f t="shared" si="156"/>
        <v>24.752929022504979</v>
      </c>
      <c r="BP110" s="61">
        <f t="shared" si="157"/>
        <v>90.691318521045716</v>
      </c>
    </row>
    <row r="111" spans="14:68" x14ac:dyDescent="0.25">
      <c r="N111" s="11">
        <v>93</v>
      </c>
      <c r="O111" s="51">
        <f t="shared" si="120"/>
        <v>85.113803820237734</v>
      </c>
      <c r="P111" s="49" t="str">
        <f t="shared" si="107"/>
        <v>25.6231073841137</v>
      </c>
      <c r="Q111" s="18" t="str">
        <f t="shared" si="108"/>
        <v>1+0.462471998240276i</v>
      </c>
      <c r="R111" s="18">
        <f t="shared" si="121"/>
        <v>1.1017623832552796</v>
      </c>
      <c r="S111" s="18">
        <f t="shared" si="122"/>
        <v>0.43317710070423432</v>
      </c>
      <c r="T111" s="18" t="str">
        <f t="shared" si="109"/>
        <v>1+0.000481307221441336i</v>
      </c>
      <c r="U111" s="18">
        <f t="shared" si="123"/>
        <v>1.0000001158283141</v>
      </c>
      <c r="V111" s="18">
        <f t="shared" si="124"/>
        <v>4.8130718427533636E-4</v>
      </c>
      <c r="W111" s="32" t="str">
        <f t="shared" si="110"/>
        <v>1-0.0107848469989633i</v>
      </c>
      <c r="X111" s="18">
        <f t="shared" si="125"/>
        <v>1.0000581547714067</v>
      </c>
      <c r="Y111" s="18">
        <f t="shared" si="126"/>
        <v>-1.0784428889109236E-2</v>
      </c>
      <c r="Z111" s="32" t="str">
        <f t="shared" si="111"/>
        <v>0.99999981889101+0.000853874663223703i</v>
      </c>
      <c r="AA111" s="18">
        <f t="shared" si="127"/>
        <v>1.0000001834419798</v>
      </c>
      <c r="AB111" s="18">
        <f t="shared" si="128"/>
        <v>8.5387461034752894E-4</v>
      </c>
      <c r="AC111" s="32" t="str">
        <f>IMDIV(IMSUM(COMPLEX(0,2*PI()*O111*Constants!$B$71*Constants!$B$72),COMPLEX(1,0)),IMSUM(COMPLEX(0,2*PI()*O111*Constants!$B$71*Constants!$B$72),COMPLEX(2,0)))</f>
        <v>0.500000571991053+0.000534785189816095i</v>
      </c>
      <c r="AD111" s="18">
        <f t="shared" si="129"/>
        <v>0.50000085798584326</v>
      </c>
      <c r="AE111" s="18">
        <f t="shared" si="130"/>
        <v>1.0695687482099021E-3</v>
      </c>
      <c r="AF111" s="66" t="str">
        <f t="shared" si="131"/>
        <v>10.5050696275087-4.98754169900897i</v>
      </c>
      <c r="AG111" s="64">
        <f t="shared" si="132"/>
        <v>21.310796639757946</v>
      </c>
      <c r="AH111" s="61">
        <f t="shared" si="133"/>
        <v>-25.397186677797453</v>
      </c>
      <c r="AI111" s="50" t="str">
        <f t="shared" si="112"/>
        <v>108.866083054159</v>
      </c>
      <c r="AJ111" s="50" t="str">
        <f t="shared" si="113"/>
        <v>1+0.437552019492124i</v>
      </c>
      <c r="AK111" s="50">
        <f t="shared" si="134"/>
        <v>1.0915364262183997</v>
      </c>
      <c r="AL111" s="50">
        <f t="shared" si="135"/>
        <v>0.41245410302557028</v>
      </c>
      <c r="AM111" s="50" t="str">
        <f t="shared" si="114"/>
        <v>1+0.000481307221441336i</v>
      </c>
      <c r="AN111" s="50">
        <f t="shared" si="136"/>
        <v>1.0000001158283141</v>
      </c>
      <c r="AO111" s="50">
        <f t="shared" si="137"/>
        <v>4.8130718427533636E-4</v>
      </c>
      <c r="AP111" s="50" t="str">
        <f t="shared" si="115"/>
        <v>1-0.00240157928194967i</v>
      </c>
      <c r="AQ111" s="50">
        <f t="shared" si="138"/>
        <v>1.0000028837873658</v>
      </c>
      <c r="AR111" s="50">
        <f t="shared" si="139"/>
        <v>-2.4015746648629963E-3</v>
      </c>
      <c r="AS111" s="59" t="str">
        <f t="shared" si="140"/>
        <v>91.2959637228392-40.1557857960339i</v>
      </c>
      <c r="AT111" s="50">
        <f t="shared" si="141"/>
        <v>39.977113337476027</v>
      </c>
      <c r="AU111" s="61">
        <f t="shared" si="142"/>
        <v>-23.741902568393126</v>
      </c>
      <c r="AV111" s="32" t="str">
        <f t="shared" si="116"/>
        <v>-0.0000333333333333333</v>
      </c>
      <c r="AW111" s="32" t="str">
        <f t="shared" si="117"/>
        <v>0.0000256697184768712i</v>
      </c>
      <c r="AX111" s="32">
        <f t="shared" si="143"/>
        <v>2.5669718476871199E-5</v>
      </c>
      <c r="AY111" s="32">
        <f t="shared" si="144"/>
        <v>1.5707963267948966</v>
      </c>
      <c r="AZ111" s="32" t="str">
        <f t="shared" si="118"/>
        <v>1+0.0104728886146957i</v>
      </c>
      <c r="BA111" s="32">
        <f t="shared" si="145"/>
        <v>1.0000548391942994</v>
      </c>
      <c r="BB111" s="32">
        <f t="shared" si="146"/>
        <v>1.04725057462106E-2</v>
      </c>
      <c r="BC111" s="32" t="str">
        <f t="shared" si="119"/>
        <v>1+0.502698653505396i</v>
      </c>
      <c r="BD111" s="32">
        <f t="shared" si="147"/>
        <v>1.1192434660234287</v>
      </c>
      <c r="BE111" s="32">
        <f t="shared" si="148"/>
        <v>0.46580420050086874</v>
      </c>
      <c r="BF111" s="59" t="str">
        <f t="shared" si="149"/>
        <v>-0.639108142467523+1.30524020766108i</v>
      </c>
      <c r="BG111" s="50">
        <f t="shared" si="150"/>
        <v>3.2471678311316614</v>
      </c>
      <c r="BH111" s="61">
        <f t="shared" si="151"/>
        <v>116.08858438798103</v>
      </c>
      <c r="BI111" s="59" t="str">
        <f t="shared" si="152"/>
        <v>-0.203935573196315+16.8992177728365i</v>
      </c>
      <c r="BJ111" s="64">
        <f t="shared" si="153"/>
        <v>24.557964470889608</v>
      </c>
      <c r="BK111" s="61">
        <f t="shared" si="154"/>
        <v>90.69139771018358</v>
      </c>
      <c r="BL111" s="59" t="str">
        <f t="shared" si="105"/>
        <v>-5.93504759847698+144.827052317644i</v>
      </c>
      <c r="BM111" s="64">
        <f t="shared" si="155"/>
        <v>43.224281168607689</v>
      </c>
      <c r="BN111" s="61">
        <f t="shared" si="106"/>
        <v>92.346681819587914</v>
      </c>
      <c r="BO111" s="50">
        <f t="shared" si="156"/>
        <v>24.557964470889608</v>
      </c>
      <c r="BP111" s="61">
        <f t="shared" si="157"/>
        <v>90.69139771018358</v>
      </c>
    </row>
    <row r="112" spans="14:68" x14ac:dyDescent="0.25">
      <c r="N112" s="11">
        <v>94</v>
      </c>
      <c r="O112" s="51">
        <f t="shared" si="120"/>
        <v>87.096358995608071</v>
      </c>
      <c r="P112" s="49" t="str">
        <f t="shared" si="107"/>
        <v>25.6231073841137</v>
      </c>
      <c r="Q112" s="18" t="str">
        <f t="shared" si="108"/>
        <v>1+0.47324435492535i</v>
      </c>
      <c r="R112" s="18">
        <f t="shared" si="121"/>
        <v>1.1063273563772662</v>
      </c>
      <c r="S112" s="18">
        <f t="shared" si="122"/>
        <v>0.44201491326926634</v>
      </c>
      <c r="T112" s="18" t="str">
        <f t="shared" si="109"/>
        <v>1+0.000492518306835039i</v>
      </c>
      <c r="U112" s="18">
        <f t="shared" si="123"/>
        <v>1.0000001212871339</v>
      </c>
      <c r="V112" s="18">
        <f t="shared" si="124"/>
        <v>4.9251826701095312E-4</v>
      </c>
      <c r="W112" s="32" t="str">
        <f t="shared" si="110"/>
        <v>1-0.0110360583568592i</v>
      </c>
      <c r="X112" s="18">
        <f t="shared" si="125"/>
        <v>1.0000608954379009</v>
      </c>
      <c r="Y112" s="18">
        <f t="shared" si="126"/>
        <v>-1.1035610345552224E-2</v>
      </c>
      <c r="Z112" s="32" t="str">
        <f t="shared" si="111"/>
        <v>0.999999810355606+0.000873763959162902i</v>
      </c>
      <c r="AA112" s="18">
        <f t="shared" si="127"/>
        <v>1.0000001920873338</v>
      </c>
      <c r="AB112" s="18">
        <f t="shared" si="128"/>
        <v>8.7376390250506119E-4</v>
      </c>
      <c r="AC112" s="32" t="str">
        <f>IMDIV(IMSUM(COMPLEX(0,2*PI()*O112*Constants!$B$71*Constants!$B$72),COMPLEX(1,0)),IMSUM(COMPLEX(0,2*PI()*O112*Constants!$B$71*Constants!$B$72),COMPLEX(2,0)))</f>
        <v>0.500000598948128+0.000547241907610225i</v>
      </c>
      <c r="AD112" s="18">
        <f t="shared" si="129"/>
        <v>0.50000089842138495</v>
      </c>
      <c r="AE112" s="18">
        <f t="shared" si="130"/>
        <v>1.0944820671203424E-3</v>
      </c>
      <c r="AF112" s="66" t="str">
        <f t="shared" si="131"/>
        <v>10.4162585303084-5.06168712934356i</v>
      </c>
      <c r="AG112" s="64">
        <f t="shared" si="132"/>
        <v>21.274906899236473</v>
      </c>
      <c r="AH112" s="61">
        <f t="shared" si="133"/>
        <v>-25.917017471993923</v>
      </c>
      <c r="AI112" s="50" t="str">
        <f t="shared" si="112"/>
        <v>108.866083054159</v>
      </c>
      <c r="AJ112" s="50" t="str">
        <f t="shared" si="113"/>
        <v>1+0.447743915304581i</v>
      </c>
      <c r="AK112" s="50">
        <f t="shared" si="134"/>
        <v>1.09566172411574</v>
      </c>
      <c r="AL112" s="50">
        <f t="shared" si="135"/>
        <v>0.42097618109997104</v>
      </c>
      <c r="AM112" s="50" t="str">
        <f t="shared" si="114"/>
        <v>1+0.000492518306835039i</v>
      </c>
      <c r="AN112" s="50">
        <f t="shared" si="136"/>
        <v>1.0000001212871339</v>
      </c>
      <c r="AO112" s="50">
        <f t="shared" si="137"/>
        <v>4.9251826701095312E-4</v>
      </c>
      <c r="AP112" s="50" t="str">
        <f t="shared" si="115"/>
        <v>1-0.00245751924962574i</v>
      </c>
      <c r="AQ112" s="50">
        <f t="shared" si="138"/>
        <v>1.0000030196958718</v>
      </c>
      <c r="AR112" s="50">
        <f t="shared" si="139"/>
        <v>-2.4575143023290421E-3</v>
      </c>
      <c r="AS112" s="59" t="str">
        <f t="shared" si="140"/>
        <v>90.6061913580411-40.7822928253248i</v>
      </c>
      <c r="AT112" s="50">
        <f t="shared" si="141"/>
        <v>39.944349427249477</v>
      </c>
      <c r="AU112" s="61">
        <f t="shared" si="142"/>
        <v>-24.23274443214704</v>
      </c>
      <c r="AV112" s="32" t="str">
        <f t="shared" si="116"/>
        <v>-0.0000333333333333333</v>
      </c>
      <c r="AW112" s="32" t="str">
        <f t="shared" si="117"/>
        <v>0.0000262676430312021i</v>
      </c>
      <c r="AX112" s="32">
        <f t="shared" si="143"/>
        <v>2.6267643031202098E-5</v>
      </c>
      <c r="AY112" s="32">
        <f t="shared" si="144"/>
        <v>1.5707963267948966</v>
      </c>
      <c r="AZ112" s="32" t="str">
        <f t="shared" si="118"/>
        <v>1+0.010716833528355i</v>
      </c>
      <c r="BA112" s="32">
        <f t="shared" si="145"/>
        <v>1.0000574236117017</v>
      </c>
      <c r="BB112" s="32">
        <f t="shared" si="146"/>
        <v>1.0716423278654113E-2</v>
      </c>
      <c r="BC112" s="32" t="str">
        <f t="shared" si="119"/>
        <v>1+0.514408009361042i</v>
      </c>
      <c r="BD112" s="32">
        <f t="shared" si="147"/>
        <v>1.1245512883345028</v>
      </c>
      <c r="BE112" s="32">
        <f t="shared" si="148"/>
        <v>0.47510746641079693</v>
      </c>
      <c r="BF112" s="59" t="str">
        <f t="shared" si="149"/>
        <v>-0.639104839217063+1.27583754329468i</v>
      </c>
      <c r="BG112" s="50">
        <f t="shared" si="150"/>
        <v>3.0882393790707425</v>
      </c>
      <c r="BH112" s="61">
        <f t="shared" si="151"/>
        <v>116.60764681514948</v>
      </c>
      <c r="BI112" s="59" t="str">
        <f t="shared" si="152"/>
        <v>-0.199190761228122+16.5244024325971i</v>
      </c>
      <c r="BJ112" s="64">
        <f t="shared" si="153"/>
        <v>24.363146278307212</v>
      </c>
      <c r="BK112" s="61">
        <f t="shared" si="154"/>
        <v>90.69062934315555</v>
      </c>
      <c r="BL112" s="59" t="str">
        <f t="shared" si="105"/>
        <v>-5.87527507176465+141.662941288563i</v>
      </c>
      <c r="BM112" s="64">
        <f t="shared" si="155"/>
        <v>43.032588806320206</v>
      </c>
      <c r="BN112" s="61">
        <f t="shared" si="106"/>
        <v>92.37490238300245</v>
      </c>
      <c r="BO112" s="50">
        <f t="shared" si="156"/>
        <v>24.363146278307212</v>
      </c>
      <c r="BP112" s="61">
        <f t="shared" si="157"/>
        <v>90.69062934315555</v>
      </c>
    </row>
    <row r="113" spans="14:68" x14ac:dyDescent="0.25">
      <c r="N113" s="11">
        <v>95</v>
      </c>
      <c r="O113" s="51">
        <f t="shared" si="120"/>
        <v>89.125093813374562</v>
      </c>
      <c r="P113" s="49" t="str">
        <f t="shared" si="107"/>
        <v>25.6231073841137</v>
      </c>
      <c r="Q113" s="18" t="str">
        <f t="shared" si="108"/>
        <v>1+0.484267632031537i</v>
      </c>
      <c r="R113" s="18">
        <f t="shared" si="121"/>
        <v>1.1110873680469202</v>
      </c>
      <c r="S113" s="18">
        <f t="shared" si="122"/>
        <v>0.45098268788025919</v>
      </c>
      <c r="T113" s="18" t="str">
        <f t="shared" si="109"/>
        <v>1+0.000503990531954278i</v>
      </c>
      <c r="U113" s="18">
        <f t="shared" si="123"/>
        <v>1.0000001270032202</v>
      </c>
      <c r="V113" s="18">
        <f t="shared" si="124"/>
        <v>5.0399048928200147E-4</v>
      </c>
      <c r="W113" s="32" t="str">
        <f t="shared" si="110"/>
        <v>1-0.0112931211789755i</v>
      </c>
      <c r="X113" s="18">
        <f t="shared" si="125"/>
        <v>1.0000637652599773</v>
      </c>
      <c r="Y113" s="18">
        <f t="shared" si="126"/>
        <v>-1.1292641127864241E-2</v>
      </c>
      <c r="Z113" s="32" t="str">
        <f t="shared" si="111"/>
        <v>0.999999801417941+0.000894116536318885i</v>
      </c>
      <c r="AA113" s="18">
        <f t="shared" si="127"/>
        <v>1.0000002011401308</v>
      </c>
      <c r="AB113" s="18">
        <f t="shared" si="128"/>
        <v>8.9411647560891524E-4</v>
      </c>
      <c r="AC113" s="32" t="str">
        <f>IMDIV(IMSUM(COMPLEX(0,2*PI()*O113*Constants!$B$71*Constants!$B$72),COMPLEX(1,0)),IMSUM(COMPLEX(0,2*PI()*O113*Constants!$B$71*Constants!$B$72),COMPLEX(2,0)))</f>
        <v>0.500000627175649+0.000559988777525667i</v>
      </c>
      <c r="AD113" s="18">
        <f t="shared" si="129"/>
        <v>0.50000094076258828</v>
      </c>
      <c r="AE113" s="18">
        <f t="shared" si="130"/>
        <v>1.1199756819287318E-3</v>
      </c>
      <c r="AF113" s="66" t="str">
        <f t="shared" si="131"/>
        <v>10.3248163236033-5.13530647885756i</v>
      </c>
      <c r="AG113" s="64">
        <f t="shared" si="132"/>
        <v>21.237641356850361</v>
      </c>
      <c r="AH113" s="61">
        <f t="shared" si="133"/>
        <v>-26.444608017950117</v>
      </c>
      <c r="AI113" s="50" t="str">
        <f t="shared" si="112"/>
        <v>108.866083054159</v>
      </c>
      <c r="AJ113" s="50" t="str">
        <f t="shared" si="113"/>
        <v>1+0.458173210867526i</v>
      </c>
      <c r="AK113" s="50">
        <f t="shared" si="134"/>
        <v>1.0999648590553512</v>
      </c>
      <c r="AL113" s="50">
        <f t="shared" si="135"/>
        <v>0.42962994604963972</v>
      </c>
      <c r="AM113" s="50" t="str">
        <f t="shared" si="114"/>
        <v>1+0.000503990531954278i</v>
      </c>
      <c r="AN113" s="50">
        <f t="shared" si="136"/>
        <v>1.0000001270032202</v>
      </c>
      <c r="AO113" s="50">
        <f t="shared" si="137"/>
        <v>5.0399048928200147E-4</v>
      </c>
      <c r="AP113" s="50" t="str">
        <f t="shared" si="115"/>
        <v>1-0.00251476222653708i</v>
      </c>
      <c r="AQ113" s="50">
        <f t="shared" si="138"/>
        <v>1.0000031620095289</v>
      </c>
      <c r="AR113" s="50">
        <f t="shared" si="139"/>
        <v>-2.5147569254140648E-3</v>
      </c>
      <c r="AS113" s="59" t="str">
        <f t="shared" si="140"/>
        <v>89.8949374990186-41.4063569929663i</v>
      </c>
      <c r="AT113" s="50">
        <f t="shared" si="141"/>
        <v>39.910304301549246</v>
      </c>
      <c r="AU113" s="61">
        <f t="shared" si="142"/>
        <v>-24.73119109145453</v>
      </c>
      <c r="AV113" s="32" t="str">
        <f t="shared" si="116"/>
        <v>-0.0000333333333333333</v>
      </c>
      <c r="AW113" s="32" t="str">
        <f t="shared" si="117"/>
        <v>0.0000268794950375615i</v>
      </c>
      <c r="AX113" s="32">
        <f t="shared" si="143"/>
        <v>2.6879495037561499E-5</v>
      </c>
      <c r="AY113" s="32">
        <f t="shared" si="144"/>
        <v>1.5707963267948966</v>
      </c>
      <c r="AZ113" s="32" t="str">
        <f t="shared" si="118"/>
        <v>1+0.0109664606490051i</v>
      </c>
      <c r="BA113" s="32">
        <f t="shared" si="145"/>
        <v>1.0000601298217853</v>
      </c>
      <c r="BB113" s="32">
        <f t="shared" si="146"/>
        <v>1.0966021059958123E-2</v>
      </c>
      <c r="BC113" s="32" t="str">
        <f t="shared" si="119"/>
        <v>1+0.526390111152246i</v>
      </c>
      <c r="BD113" s="32">
        <f t="shared" si="147"/>
        <v>1.1300825408433111</v>
      </c>
      <c r="BE113" s="32">
        <f t="shared" si="148"/>
        <v>0.4845361270936584</v>
      </c>
      <c r="BF113" s="59" t="str">
        <f t="shared" si="149"/>
        <v>-0.639101380325806+1.24711134154421i</v>
      </c>
      <c r="BG113" s="50">
        <f t="shared" si="150"/>
        <v>2.9308338328930206</v>
      </c>
      <c r="BH113" s="61">
        <f t="shared" si="151"/>
        <v>117.13356837929402</v>
      </c>
      <c r="BI113" s="59" t="str">
        <f t="shared" si="152"/>
        <v>-0.194305411936558+16.1581769955604i</v>
      </c>
      <c r="BJ113" s="64">
        <f t="shared" si="153"/>
        <v>24.16847518974339</v>
      </c>
      <c r="BK113" s="61">
        <f t="shared" si="154"/>
        <v>90.688960361343902</v>
      </c>
      <c r="BL113" s="59" t="str">
        <f t="shared" si="105"/>
        <v>-5.81364122196815+138.571856010902i</v>
      </c>
      <c r="BM113" s="64">
        <f t="shared" si="155"/>
        <v>42.841138134442275</v>
      </c>
      <c r="BN113" s="61">
        <f t="shared" si="106"/>
        <v>92.402377287839485</v>
      </c>
      <c r="BO113" s="50">
        <f t="shared" si="156"/>
        <v>24.16847518974339</v>
      </c>
      <c r="BP113" s="61">
        <f t="shared" si="157"/>
        <v>90.688960361343902</v>
      </c>
    </row>
    <row r="114" spans="14:68" x14ac:dyDescent="0.25">
      <c r="N114" s="11">
        <v>96</v>
      </c>
      <c r="O114" s="51">
        <f t="shared" si="120"/>
        <v>91.201083935590972</v>
      </c>
      <c r="P114" s="49" t="str">
        <f t="shared" si="107"/>
        <v>25.6231073841137</v>
      </c>
      <c r="Q114" s="18" t="str">
        <f t="shared" si="108"/>
        <v>1+0.495547674246266i</v>
      </c>
      <c r="R114" s="18">
        <f t="shared" si="121"/>
        <v>1.1160499529370911</v>
      </c>
      <c r="S114" s="18">
        <f t="shared" si="122"/>
        <v>0.46007940879856873</v>
      </c>
      <c r="T114" s="18" t="str">
        <f t="shared" si="109"/>
        <v>1+0.000515729979524662i</v>
      </c>
      <c r="U114" s="18">
        <f t="shared" si="123"/>
        <v>1.0000001329886972</v>
      </c>
      <c r="V114" s="18">
        <f t="shared" si="124"/>
        <v>5.1572993380049432E-4</v>
      </c>
      <c r="W114" s="32" t="str">
        <f t="shared" si="110"/>
        <v>1-0.011556171763423i</v>
      </c>
      <c r="X114" s="18">
        <f t="shared" si="125"/>
        <v>1.0000667703237749</v>
      </c>
      <c r="Y114" s="18">
        <f t="shared" si="126"/>
        <v>-1.1555657381244609E-2</v>
      </c>
      <c r="Z114" s="32" t="str">
        <f t="shared" si="111"/>
        <v>0.999999792059057+0.000914943185897455i</v>
      </c>
      <c r="AA114" s="18">
        <f t="shared" si="127"/>
        <v>1.0000002106195733</v>
      </c>
      <c r="AB114" s="18">
        <f t="shared" si="128"/>
        <v>9.1494312084555067E-4</v>
      </c>
      <c r="AC114" s="32" t="str">
        <f>IMDIV(IMSUM(COMPLEX(0,2*PI()*O114*Constants!$B$71*Constants!$B$72),COMPLEX(1,0)),IMSUM(COMPLEX(0,2*PI()*O114*Constants!$B$71*Constants!$B$72),COMPLEX(2,0)))</f>
        <v>0.500000656733487+0.000573032557922628i</v>
      </c>
      <c r="AD114" s="18">
        <f t="shared" si="129"/>
        <v>0.50000098509926039</v>
      </c>
      <c r="AE114" s="18">
        <f t="shared" si="130"/>
        <v>1.1460631087586914E-3</v>
      </c>
      <c r="AF114" s="66" t="str">
        <f t="shared" si="131"/>
        <v>10.2307256157474-5.20829671357453i</v>
      </c>
      <c r="AG114" s="64">
        <f t="shared" si="132"/>
        <v>21.198959729416647</v>
      </c>
      <c r="AH114" s="61">
        <f t="shared" si="133"/>
        <v>-26.97990741403272</v>
      </c>
      <c r="AI114" s="50" t="str">
        <f t="shared" si="112"/>
        <v>108.866083054159</v>
      </c>
      <c r="AJ114" s="50" t="str">
        <f t="shared" si="113"/>
        <v>1+0.468845435931511i</v>
      </c>
      <c r="AK114" s="50">
        <f t="shared" si="134"/>
        <v>1.1044528250648864</v>
      </c>
      <c r="AL114" s="50">
        <f t="shared" si="135"/>
        <v>0.43841480069824112</v>
      </c>
      <c r="AM114" s="50" t="str">
        <f t="shared" si="114"/>
        <v>1+0.000515729979524662i</v>
      </c>
      <c r="AN114" s="50">
        <f t="shared" si="136"/>
        <v>1.0000001329886972</v>
      </c>
      <c r="AO114" s="50">
        <f t="shared" si="137"/>
        <v>5.1572993380049432E-4</v>
      </c>
      <c r="AP114" s="50" t="str">
        <f t="shared" si="115"/>
        <v>1-0.00257333856366774i</v>
      </c>
      <c r="AQ114" s="50">
        <f t="shared" si="138"/>
        <v>1.0000033110302002</v>
      </c>
      <c r="AR114" s="50">
        <f t="shared" si="139"/>
        <v>-2.5733328834131059E-3</v>
      </c>
      <c r="AS114" s="59" t="str">
        <f t="shared" si="140"/>
        <v>89.1619724341971-42.0271876214388i</v>
      </c>
      <c r="AT114" s="50">
        <f t="shared" si="141"/>
        <v>39.87493845629637</v>
      </c>
      <c r="AU114" s="61">
        <f t="shared" si="142"/>
        <v>-25.237209721004838</v>
      </c>
      <c r="AV114" s="32" t="str">
        <f t="shared" si="116"/>
        <v>-0.0000333333333333333</v>
      </c>
      <c r="AW114" s="32" t="str">
        <f t="shared" si="117"/>
        <v>0.000027505598907982i</v>
      </c>
      <c r="AX114" s="32">
        <f t="shared" si="143"/>
        <v>2.7505598907982E-5</v>
      </c>
      <c r="AY114" s="32">
        <f t="shared" si="144"/>
        <v>1.5707963267948966</v>
      </c>
      <c r="AZ114" s="32" t="str">
        <f t="shared" si="118"/>
        <v>1+0.0112219023322496i</v>
      </c>
      <c r="BA114" s="32">
        <f t="shared" si="145"/>
        <v>1.0000629635637721</v>
      </c>
      <c r="BB114" s="32">
        <f t="shared" si="146"/>
        <v>1.1221431305701052E-2</v>
      </c>
      <c r="BC114" s="32" t="str">
        <f t="shared" si="119"/>
        <v>1+0.538651311947981i</v>
      </c>
      <c r="BD114" s="32">
        <f t="shared" si="147"/>
        <v>1.1358456038842961</v>
      </c>
      <c r="BE114" s="32">
        <f t="shared" si="148"/>
        <v>0.49408847524316546</v>
      </c>
      <c r="BF114" s="59" t="str">
        <f t="shared" si="149"/>
        <v>-0.639097758462153+1.21904637115867i</v>
      </c>
      <c r="BG114" s="50">
        <f t="shared" si="150"/>
        <v>2.7749919435800141</v>
      </c>
      <c r="BH114" s="61">
        <f t="shared" si="151"/>
        <v>117.66624368357481</v>
      </c>
      <c r="BI114" s="59" t="str">
        <f t="shared" si="152"/>
        <v>-0.189278599864835+15.8003396912482i</v>
      </c>
      <c r="BJ114" s="64">
        <f t="shared" si="153"/>
        <v>23.973951672996662</v>
      </c>
      <c r="BK114" s="61">
        <f t="shared" si="154"/>
        <v>90.686336269542082</v>
      </c>
      <c r="BL114" s="59" t="str">
        <f t="shared" ref="BL114:BL177" si="158">IMPRODUCT(AS114,BF114)</f>
        <v>-5.7501261628401+135.552060344587i</v>
      </c>
      <c r="BM114" s="64">
        <f t="shared" si="155"/>
        <v>42.649930399876368</v>
      </c>
      <c r="BN114" s="61">
        <f t="shared" ref="BN114:BN177" si="159">(180/PI())*IMARGUMENT(BL114)</f>
        <v>92.429033962569974</v>
      </c>
      <c r="BO114" s="50">
        <f t="shared" si="156"/>
        <v>23.973951672996662</v>
      </c>
      <c r="BP114" s="61">
        <f t="shared" si="157"/>
        <v>90.686336269542082</v>
      </c>
    </row>
    <row r="115" spans="14:68" x14ac:dyDescent="0.25">
      <c r="N115" s="11">
        <v>97</v>
      </c>
      <c r="O115" s="51">
        <f t="shared" si="120"/>
        <v>93.325430079699174</v>
      </c>
      <c r="P115" s="49" t="str">
        <f t="shared" si="107"/>
        <v>25.6231073841137</v>
      </c>
      <c r="Q115" s="18" t="str">
        <f t="shared" si="108"/>
        <v>1+0.507090462397231i</v>
      </c>
      <c r="R115" s="18">
        <f t="shared" si="121"/>
        <v>1.1212228757273184</v>
      </c>
      <c r="S115" s="18">
        <f t="shared" si="122"/>
        <v>0.46930387620576985</v>
      </c>
      <c r="T115" s="18" t="str">
        <f t="shared" si="109"/>
        <v>1+0.000527742873956684i</v>
      </c>
      <c r="U115" s="18">
        <f t="shared" si="123"/>
        <v>1.0000001392562607</v>
      </c>
      <c r="V115" s="18">
        <f t="shared" si="124"/>
        <v>5.277428249623559E-4</v>
      </c>
      <c r="W115" s="32" t="str">
        <f t="shared" si="110"/>
        <v>1-0.0118253495831035i</v>
      </c>
      <c r="X115" s="18">
        <f t="shared" si="125"/>
        <v>1.0000699170021878</v>
      </c>
      <c r="Y115" s="18">
        <f t="shared" si="126"/>
        <v>-1.1824798414750214E-2</v>
      </c>
      <c r="Z115" s="32" t="str">
        <f t="shared" si="111"/>
        <v>0.999999782259102+0.000936254950463895i</v>
      </c>
      <c r="AA115" s="18">
        <f t="shared" si="127"/>
        <v>1.0000002205457674</v>
      </c>
      <c r="AB115" s="18">
        <f t="shared" si="128"/>
        <v>9.3625488075952431E-4</v>
      </c>
      <c r="AC115" s="32" t="str">
        <f>IMDIV(IMSUM(COMPLEX(0,2*PI()*O115*Constants!$B$71*Constants!$B$72),COMPLEX(1,0)),IMSUM(COMPLEX(0,2*PI()*O115*Constants!$B$71*Constants!$B$72),COMPLEX(2,0)))</f>
        <v>0.500000687684341+0.000586380164572959i</v>
      </c>
      <c r="AD115" s="18">
        <f t="shared" si="129"/>
        <v>0.50000103152544739</v>
      </c>
      <c r="AE115" s="18">
        <f t="shared" si="130"/>
        <v>1.172758178514434E-3</v>
      </c>
      <c r="AF115" s="66" t="str">
        <f t="shared" si="131"/>
        <v>10.1339737701079-5.28055160342605i</v>
      </c>
      <c r="AG115" s="64">
        <f t="shared" si="132"/>
        <v>21.1588215065117</v>
      </c>
      <c r="AH115" s="61">
        <f t="shared" si="133"/>
        <v>-27.522854381137932</v>
      </c>
      <c r="AI115" s="50" t="str">
        <f t="shared" si="112"/>
        <v>108.866083054159</v>
      </c>
      <c r="AJ115" s="50" t="str">
        <f t="shared" si="113"/>
        <v>1+0.479766249051532i</v>
      </c>
      <c r="AK115" s="50">
        <f t="shared" si="134"/>
        <v>1.109132838630692</v>
      </c>
      <c r="AL115" s="50">
        <f t="shared" si="135"/>
        <v>0.44732997819406756</v>
      </c>
      <c r="AM115" s="50" t="str">
        <f t="shared" si="114"/>
        <v>1+0.000527742873956684i</v>
      </c>
      <c r="AN115" s="50">
        <f t="shared" si="136"/>
        <v>1.0000001392562607</v>
      </c>
      <c r="AO115" s="50">
        <f t="shared" si="137"/>
        <v>5.277428249623559E-4</v>
      </c>
      <c r="AP115" s="50" t="str">
        <f t="shared" si="115"/>
        <v>1-0.00263327931896702i</v>
      </c>
      <c r="AQ115" s="50">
        <f t="shared" si="138"/>
        <v>1.0000034670739757</v>
      </c>
      <c r="AR115" s="50">
        <f t="shared" si="139"/>
        <v>-2.6332732324656602E-3</v>
      </c>
      <c r="AS115" s="59" t="str">
        <f t="shared" si="140"/>
        <v>88.4070996472603-42.6439640927871i</v>
      </c>
      <c r="AT115" s="50">
        <f t="shared" si="141"/>
        <v>39.838211997320798</v>
      </c>
      <c r="AU115" s="61">
        <f t="shared" si="142"/>
        <v>-25.750757806185597</v>
      </c>
      <c r="AV115" s="32" t="str">
        <f t="shared" si="116"/>
        <v>-0.0000333333333333333</v>
      </c>
      <c r="AW115" s="32" t="str">
        <f t="shared" si="117"/>
        <v>0.0000281462866110231i</v>
      </c>
      <c r="AX115" s="32">
        <f t="shared" si="143"/>
        <v>2.81462866110231E-5</v>
      </c>
      <c r="AY115" s="32">
        <f t="shared" si="144"/>
        <v>1.5707963267948966</v>
      </c>
      <c r="AZ115" s="32" t="str">
        <f t="shared" si="118"/>
        <v>1+0.0114832940166501i</v>
      </c>
      <c r="BA115" s="32">
        <f t="shared" si="145"/>
        <v>1.0000659308472981</v>
      </c>
      <c r="BB115" s="32">
        <f t="shared" si="146"/>
        <v>1.1482789304407126E-2</v>
      </c>
      <c r="BC115" s="32" t="str">
        <f t="shared" si="119"/>
        <v>1+0.551198112799204i</v>
      </c>
      <c r="BD115" s="32">
        <f t="shared" si="147"/>
        <v>1.1418490966644428</v>
      </c>
      <c r="BE115" s="32">
        <f t="shared" si="148"/>
        <v>0.50376260180535504</v>
      </c>
      <c r="BF115" s="59" t="str">
        <f t="shared" si="149"/>
        <v>-0.639093965949323+1.19162775146359i</v>
      </c>
      <c r="BG115" s="50">
        <f t="shared" si="150"/>
        <v>2.6207543947893281</v>
      </c>
      <c r="BH115" s="61">
        <f t="shared" si="151"/>
        <v>118.20555559579569</v>
      </c>
      <c r="BI115" s="59" t="str">
        <f t="shared" si="152"/>
        <v>-0.184109653886632+15.4506930436983i</v>
      </c>
      <c r="BJ115" s="64">
        <f t="shared" si="153"/>
        <v>23.779575901301033</v>
      </c>
      <c r="BK115" s="61">
        <f t="shared" si="154"/>
        <v>90.682701214657754</v>
      </c>
      <c r="BL115" s="59" t="str">
        <f t="shared" si="158"/>
        <v>-5.68471288626261+132.601853501942i</v>
      </c>
      <c r="BM115" s="64">
        <f t="shared" si="155"/>
        <v>42.458966392110113</v>
      </c>
      <c r="BN115" s="61">
        <f t="shared" si="159"/>
        <v>92.454797789610097</v>
      </c>
      <c r="BO115" s="50">
        <f t="shared" si="156"/>
        <v>23.779575901301033</v>
      </c>
      <c r="BP115" s="61">
        <f t="shared" si="157"/>
        <v>90.682701214657754</v>
      </c>
    </row>
    <row r="116" spans="14:68" x14ac:dyDescent="0.25">
      <c r="N116" s="11">
        <v>98</v>
      </c>
      <c r="O116" s="51">
        <f t="shared" si="120"/>
        <v>95.499258602143655</v>
      </c>
      <c r="P116" s="49" t="str">
        <f t="shared" si="107"/>
        <v>25.6231073841137</v>
      </c>
      <c r="Q116" s="18" t="str">
        <f t="shared" si="108"/>
        <v>1+0.518902116623494i</v>
      </c>
      <c r="R116" s="18">
        <f t="shared" si="121"/>
        <v>1.1266141338703071</v>
      </c>
      <c r="S116" s="18">
        <f t="shared" si="122"/>
        <v>0.47865470076344058</v>
      </c>
      <c r="T116" s="18" t="str">
        <f t="shared" si="109"/>
        <v>1+0.00054003558464598i</v>
      </c>
      <c r="U116" s="18">
        <f t="shared" si="123"/>
        <v>1.0000001458192058</v>
      </c>
      <c r="V116" s="18">
        <f t="shared" si="124"/>
        <v>5.4003553214761202E-4</v>
      </c>
      <c r="W116" s="32" t="str">
        <f t="shared" si="110"/>
        <v>1-0.0121007973596599i</v>
      </c>
      <c r="X116" s="18">
        <f t="shared" si="125"/>
        <v>1.0000732119683735</v>
      </c>
      <c r="Y116" s="18">
        <f t="shared" si="126"/>
        <v>-1.2100206774463964E-2</v>
      </c>
      <c r="Z116" s="32" t="str">
        <f t="shared" si="111"/>
        <v>0.99999977199729+0.000958063129797868i</v>
      </c>
      <c r="AA116" s="18">
        <f t="shared" si="127"/>
        <v>1.0000002309397698</v>
      </c>
      <c r="AB116" s="18">
        <f t="shared" si="128"/>
        <v>9.5806305510828923E-4</v>
      </c>
      <c r="AC116" s="32" t="str">
        <f>IMDIV(IMSUM(COMPLEX(0,2*PI()*O116*Constants!$B$71*Constants!$B$72),COMPLEX(1,0)),IMSUM(COMPLEX(0,2*PI()*O116*Constants!$B$71*Constants!$B$72),COMPLEX(2,0)))</f>
        <v>0.500000720093858+0.00060003867432596i</v>
      </c>
      <c r="AD116" s="18">
        <f t="shared" si="129"/>
        <v>0.50000108013962052</v>
      </c>
      <c r="AE116" s="18">
        <f t="shared" si="130"/>
        <v>1.2000750442093511E-3</v>
      </c>
      <c r="AF116" s="66" t="str">
        <f t="shared" si="131"/>
        <v>10.0345532257216-5.35196193401332i</v>
      </c>
      <c r="AG116" s="64">
        <f t="shared" si="132"/>
        <v>21.117186025696</v>
      </c>
      <c r="AH116" s="61">
        <f t="shared" si="133"/>
        <v>-28.073376954908763</v>
      </c>
      <c r="AI116" s="50" t="str">
        <f t="shared" si="112"/>
        <v>108.866083054159</v>
      </c>
      <c r="AJ116" s="50" t="str">
        <f t="shared" si="113"/>
        <v>1+0.490941440587255i</v>
      </c>
      <c r="AK116" s="50">
        <f t="shared" si="134"/>
        <v>1.1140123419809536</v>
      </c>
      <c r="AL116" s="50">
        <f t="shared" si="135"/>
        <v>0.45637453582513543</v>
      </c>
      <c r="AM116" s="50" t="str">
        <f t="shared" si="114"/>
        <v>1+0.00054003558464598i</v>
      </c>
      <c r="AN116" s="50">
        <f t="shared" si="136"/>
        <v>1.0000001458192058</v>
      </c>
      <c r="AO116" s="50">
        <f t="shared" si="137"/>
        <v>5.4003553214761202E-4</v>
      </c>
      <c r="AP116" s="50" t="str">
        <f t="shared" si="115"/>
        <v>1-0.00269461627381679i</v>
      </c>
      <c r="AQ116" s="50">
        <f t="shared" si="138"/>
        <v>1.0000036304718414</v>
      </c>
      <c r="AR116" s="50">
        <f t="shared" si="139"/>
        <v>-2.6946097520143602E-3</v>
      </c>
      <c r="AS116" s="59" t="str">
        <f t="shared" si="140"/>
        <v>87.6301585304706-43.2558370280929i</v>
      </c>
      <c r="AT116" s="50">
        <f t="shared" si="141"/>
        <v>39.800084703564082</v>
      </c>
      <c r="AU116" s="61">
        <f t="shared" si="142"/>
        <v>-26.271782789468293</v>
      </c>
      <c r="AV116" s="32" t="str">
        <f t="shared" si="116"/>
        <v>-0.0000333333333333333</v>
      </c>
      <c r="AW116" s="32" t="str">
        <f t="shared" si="117"/>
        <v>0.0000288018978477856i</v>
      </c>
      <c r="AX116" s="32">
        <f t="shared" si="143"/>
        <v>2.8801897847785598E-5</v>
      </c>
      <c r="AY116" s="32">
        <f t="shared" si="144"/>
        <v>1.5707963267948966</v>
      </c>
      <c r="AZ116" s="32" t="str">
        <f t="shared" si="118"/>
        <v>1+0.0117507742955375i</v>
      </c>
      <c r="BA116" s="32">
        <f t="shared" si="145"/>
        <v>1.000069037965152</v>
      </c>
      <c r="BB116" s="32">
        <f t="shared" si="146"/>
        <v>1.1750233488641898E-2</v>
      </c>
      <c r="BC116" s="32" t="str">
        <f t="shared" si="119"/>
        <v>1+0.564037166185802i</v>
      </c>
      <c r="BD116" s="32">
        <f t="shared" si="147"/>
        <v>1.1481018791200153</v>
      </c>
      <c r="BE116" s="32">
        <f t="shared" si="148"/>
        <v>0.51355639224636995</v>
      </c>
      <c r="BF116" s="59" t="str">
        <f t="shared" si="149"/>
        <v>-0.639089994749113+1.16484094446991i</v>
      </c>
      <c r="BG116" s="50">
        <f t="shared" si="150"/>
        <v>2.468161710739472</v>
      </c>
      <c r="BH116" s="61">
        <f t="shared" si="151"/>
        <v>118.7513750304897</v>
      </c>
      <c r="BI116" s="59" t="str">
        <f t="shared" si="152"/>
        <v>-0.178798174353031+15.1090437810892i</v>
      </c>
      <c r="BJ116" s="64">
        <f t="shared" si="153"/>
        <v>23.585347736435498</v>
      </c>
      <c r="BK116" s="61">
        <f t="shared" si="154"/>
        <v>90.677998075580931</v>
      </c>
      <c r="BL116" s="59" t="str">
        <f t="shared" si="158"/>
        <v>-5.61738749746215+129.719569285834i</v>
      </c>
      <c r="BM116" s="64">
        <f t="shared" si="155"/>
        <v>42.268246414303576</v>
      </c>
      <c r="BN116" s="61">
        <f t="shared" si="159"/>
        <v>92.479592241021393</v>
      </c>
      <c r="BO116" s="50">
        <f t="shared" si="156"/>
        <v>23.585347736435498</v>
      </c>
      <c r="BP116" s="61">
        <f t="shared" si="157"/>
        <v>90.677998075580931</v>
      </c>
    </row>
    <row r="117" spans="14:68" x14ac:dyDescent="0.25">
      <c r="N117" s="11">
        <v>99</v>
      </c>
      <c r="O117" s="51">
        <f t="shared" si="120"/>
        <v>97.723722095581124</v>
      </c>
      <c r="P117" s="49" t="str">
        <f t="shared" si="107"/>
        <v>25.6231073841137</v>
      </c>
      <c r="Q117" s="18" t="str">
        <f t="shared" si="108"/>
        <v>1+0.530988899620471i</v>
      </c>
      <c r="R117" s="18">
        <f t="shared" si="121"/>
        <v>1.1322319601213167</v>
      </c>
      <c r="S117" s="18">
        <f t="shared" si="122"/>
        <v>0.48813029857243262</v>
      </c>
      <c r="T117" s="18" t="str">
        <f t="shared" si="109"/>
        <v>1+0.000552614629350471i</v>
      </c>
      <c r="U117" s="18">
        <f t="shared" si="123"/>
        <v>1.0000001526914526</v>
      </c>
      <c r="V117" s="18">
        <f t="shared" si="124"/>
        <v>5.5261457309745674E-4</v>
      </c>
      <c r="W117" s="32" t="str">
        <f t="shared" si="110"/>
        <v>1-0.0123826611391494i</v>
      </c>
      <c r="X117" s="18">
        <f t="shared" si="125"/>
        <v>1.0000766622098962</v>
      </c>
      <c r="Y117" s="18">
        <f t="shared" si="126"/>
        <v>-1.2382028318330504E-2</v>
      </c>
      <c r="Z117" s="32" t="str">
        <f t="shared" si="111"/>
        <v>0.999999761251854+0.000980379286884724i</v>
      </c>
      <c r="AA117" s="18">
        <f t="shared" si="127"/>
        <v>1.0000002418236262</v>
      </c>
      <c r="AB117" s="18">
        <f t="shared" si="128"/>
        <v>9.8037920685339853E-4</v>
      </c>
      <c r="AC117" s="32" t="str">
        <f>IMDIV(IMSUM(COMPLEX(0,2*PI()*O117*Constants!$B$71*Constants!$B$72),COMPLEX(1,0)),IMSUM(COMPLEX(0,2*PI()*O117*Constants!$B$71*Constants!$B$72),COMPLEX(2,0)))</f>
        <v>0.500000754030785+0.00061401532885954i</v>
      </c>
      <c r="AD117" s="18">
        <f t="shared" si="129"/>
        <v>0.50000113104489841</v>
      </c>
      <c r="AE117" s="18">
        <f t="shared" si="130"/>
        <v>1.2280281884650324E-3</v>
      </c>
      <c r="AF117" s="66" t="str">
        <f t="shared" si="131"/>
        <v>9.93246181165191-5.42241574916473i</v>
      </c>
      <c r="AG117" s="64">
        <f t="shared" si="132"/>
        <v>21.074012552599406</v>
      </c>
      <c r="AH117" s="61">
        <f t="shared" si="133"/>
        <v>-28.631392200929977</v>
      </c>
      <c r="AI117" s="50" t="str">
        <f t="shared" si="112"/>
        <v>108.866083054159</v>
      </c>
      <c r="AJ117" s="50" t="str">
        <f t="shared" si="113"/>
        <v>1+0.502376935773156i</v>
      </c>
      <c r="AK117" s="50">
        <f t="shared" si="134"/>
        <v>1.1190990061638093</v>
      </c>
      <c r="AL117" s="50">
        <f t="shared" si="135"/>
        <v>0.46554734910767159</v>
      </c>
      <c r="AM117" s="50" t="str">
        <f t="shared" si="114"/>
        <v>1+0.000552614629350471i</v>
      </c>
      <c r="AN117" s="50">
        <f t="shared" si="136"/>
        <v>1.0000001526914526</v>
      </c>
      <c r="AO117" s="50">
        <f t="shared" si="137"/>
        <v>5.5261457309745674E-4</v>
      </c>
      <c r="AP117" s="50" t="str">
        <f t="shared" si="115"/>
        <v>1-0.00275738194988239i</v>
      </c>
      <c r="AQ117" s="50">
        <f t="shared" si="138"/>
        <v>1.0000038015703829</v>
      </c>
      <c r="AR117" s="50">
        <f t="shared" si="139"/>
        <v>-2.7573749616466164E-3</v>
      </c>
      <c r="AS117" s="59" t="str">
        <f t="shared" si="140"/>
        <v>86.8310270982468-43.8619297058852i</v>
      </c>
      <c r="AT117" s="50">
        <f t="shared" si="141"/>
        <v>39.760516095250267</v>
      </c>
      <c r="AU117" s="61">
        <f t="shared" si="142"/>
        <v>-26.800221732474593</v>
      </c>
      <c r="AV117" s="32" t="str">
        <f t="shared" si="116"/>
        <v>-0.0000333333333333333</v>
      </c>
      <c r="AW117" s="32" t="str">
        <f t="shared" si="117"/>
        <v>0.0000294727802320251i</v>
      </c>
      <c r="AX117" s="32">
        <f t="shared" si="143"/>
        <v>2.9472780232025101E-5</v>
      </c>
      <c r="AY117" s="32">
        <f t="shared" si="144"/>
        <v>1.5707963267948966</v>
      </c>
      <c r="AZ117" s="32" t="str">
        <f t="shared" si="118"/>
        <v>1+0.0120244849904964i</v>
      </c>
      <c r="BA117" s="32">
        <f t="shared" si="145"/>
        <v>1.0000722915066125</v>
      </c>
      <c r="BB117" s="32">
        <f t="shared" si="146"/>
        <v>1.2023905507729703E-2</v>
      </c>
      <c r="BC117" s="32" t="str">
        <f t="shared" si="119"/>
        <v>1+0.577175279543826i</v>
      </c>
      <c r="BD117" s="32">
        <f t="shared" si="147"/>
        <v>1.1546130535016887</v>
      </c>
      <c r="BE117" s="32">
        <f t="shared" si="148"/>
        <v>0.52346752341936553</v>
      </c>
      <c r="BF117" s="59" t="str">
        <f t="shared" si="149"/>
        <v>-0.639085836444896+1.13867174716449i</v>
      </c>
      <c r="BG117" s="50">
        <f t="shared" si="150"/>
        <v>2.3172541598916854</v>
      </c>
      <c r="BH117" s="61">
        <f t="shared" si="151"/>
        <v>119.30356076523813</v>
      </c>
      <c r="BI117" s="59" t="str">
        <f t="shared" si="152"/>
        <v>-0.173344049902898+14.7752027493252i</v>
      </c>
      <c r="BJ117" s="64">
        <f t="shared" si="153"/>
        <v>23.39126671249111</v>
      </c>
      <c r="BK117" s="61">
        <f t="shared" si="154"/>
        <v>90.672168564308151</v>
      </c>
      <c r="BL117" s="59" t="str">
        <f t="shared" si="158"/>
        <v>-5.54813945024615+126.903575368221i</v>
      </c>
      <c r="BM117" s="64">
        <f t="shared" si="155"/>
        <v>42.077770255141971</v>
      </c>
      <c r="BN117" s="61">
        <f t="shared" si="159"/>
        <v>92.503339032763535</v>
      </c>
      <c r="BO117" s="50">
        <f t="shared" si="156"/>
        <v>23.39126671249111</v>
      </c>
      <c r="BP117" s="61">
        <f t="shared" si="157"/>
        <v>90.672168564308151</v>
      </c>
    </row>
    <row r="118" spans="14:68" x14ac:dyDescent="0.25">
      <c r="N118" s="11">
        <v>100</v>
      </c>
      <c r="O118" s="51">
        <f t="shared" si="120"/>
        <v>100</v>
      </c>
      <c r="P118" s="49" t="str">
        <f t="shared" si="107"/>
        <v>25.6231073841137</v>
      </c>
      <c r="Q118" s="18" t="str">
        <f t="shared" si="108"/>
        <v>1+0.543357219960497i</v>
      </c>
      <c r="R118" s="18">
        <f t="shared" si="121"/>
        <v>1.1380848248189588</v>
      </c>
      <c r="S118" s="18">
        <f t="shared" si="122"/>
        <v>0.49772888658626274</v>
      </c>
      <c r="T118" s="18" t="str">
        <f t="shared" si="109"/>
        <v>1+0.000565486677646164i</v>
      </c>
      <c r="U118" s="18">
        <f t="shared" si="123"/>
        <v>1.0000001598875785</v>
      </c>
      <c r="V118" s="18">
        <f t="shared" si="124"/>
        <v>5.6548661736997375E-4</v>
      </c>
      <c r="W118" s="32" t="str">
        <f t="shared" si="110"/>
        <v>1-0.0126710903694788i</v>
      </c>
      <c r="X118" s="18">
        <f t="shared" si="125"/>
        <v>1.0000802750435345</v>
      </c>
      <c r="Y118" s="18">
        <f t="shared" si="126"/>
        <v>-1.2670412292694184E-2</v>
      </c>
      <c r="Z118" s="32" t="str">
        <f t="shared" si="111"/>
        <v>0.99999975+0.00100321525404634i</v>
      </c>
      <c r="AA118" s="18">
        <f t="shared" si="127"/>
        <v>1.000000253220422</v>
      </c>
      <c r="AB118" s="18">
        <f t="shared" si="128"/>
        <v>1.0032151682912306E-3</v>
      </c>
      <c r="AC118" s="32" t="str">
        <f>IMDIV(IMSUM(COMPLEX(0,2*PI()*O118*Constants!$B$71*Constants!$B$72),COMPLEX(1,0)),IMSUM(COMPLEX(0,2*PI()*O118*Constants!$B$71*Constants!$B$72),COMPLEX(2,0)))</f>
        <v>0.500000789567105+0.000628317538518671i</v>
      </c>
      <c r="AD118" s="18">
        <f t="shared" si="129"/>
        <v>0.500001184349255</v>
      </c>
      <c r="AE118" s="18">
        <f t="shared" si="130"/>
        <v>1.2566324311846942E-3</v>
      </c>
      <c r="AF118" s="66" t="str">
        <f t="shared" si="131"/>
        <v>9.82770305208375-5.49179862479588i</v>
      </c>
      <c r="AG118" s="64">
        <f t="shared" si="132"/>
        <v>21.029260365747852</v>
      </c>
      <c r="AH118" s="61">
        <f t="shared" si="133"/>
        <v>-29.196805956034545</v>
      </c>
      <c r="AI118" s="50" t="str">
        <f t="shared" si="112"/>
        <v>108.866083054159</v>
      </c>
      <c r="AJ118" s="50" t="str">
        <f t="shared" si="113"/>
        <v>1+0.514078797860149i</v>
      </c>
      <c r="AK118" s="50">
        <f t="shared" si="134"/>
        <v>1.1244007339064377</v>
      </c>
      <c r="AL118" s="50">
        <f t="shared" si="135"/>
        <v>0.47484710619921994</v>
      </c>
      <c r="AM118" s="50" t="str">
        <f t="shared" si="114"/>
        <v>1+0.000565486677646164i</v>
      </c>
      <c r="AN118" s="50">
        <f t="shared" si="136"/>
        <v>1.0000001598875785</v>
      </c>
      <c r="AO118" s="50">
        <f t="shared" si="137"/>
        <v>5.6548661736997375E-4</v>
      </c>
      <c r="AP118" s="50" t="str">
        <f t="shared" si="115"/>
        <v>1-0.0028216096263561i</v>
      </c>
      <c r="AQ118" s="50">
        <f t="shared" si="138"/>
        <v>1.0000039807325185</v>
      </c>
      <c r="AR118" s="50">
        <f t="shared" si="139"/>
        <v>-2.8216021383281691E-3</v>
      </c>
      <c r="AS118" s="59" t="str">
        <f t="shared" si="140"/>
        <v>86.0096246802075-44.4613397283183i</v>
      </c>
      <c r="AT118" s="50">
        <f t="shared" si="141"/>
        <v>39.719465507003655</v>
      </c>
      <c r="AU118" s="61">
        <f t="shared" si="142"/>
        <v>-27.336000996660545</v>
      </c>
      <c r="AV118" s="32" t="str">
        <f t="shared" si="116"/>
        <v>-0.0000333333333333333</v>
      </c>
      <c r="AW118" s="32" t="str">
        <f t="shared" si="117"/>
        <v>0.000030159289474462i</v>
      </c>
      <c r="AX118" s="32">
        <f t="shared" si="143"/>
        <v>3.0159289474462E-5</v>
      </c>
      <c r="AY118" s="32">
        <f t="shared" si="144"/>
        <v>1.5707963267948966</v>
      </c>
      <c r="AZ118" s="32" t="str">
        <f t="shared" si="118"/>
        <v>1+0.01230457122656i</v>
      </c>
      <c r="BA118" s="32">
        <f t="shared" si="145"/>
        <v>1.000075698371413</v>
      </c>
      <c r="BB118" s="32">
        <f t="shared" si="146"/>
        <v>1.23039503021268E-2</v>
      </c>
      <c r="BC118" s="32" t="str">
        <f t="shared" si="119"/>
        <v>1+0.590619418874883i</v>
      </c>
      <c r="BD118" s="32">
        <f t="shared" si="147"/>
        <v>1.1613919656826046</v>
      </c>
      <c r="BE118" s="32">
        <f t="shared" si="148"/>
        <v>0.53349346108487783</v>
      </c>
      <c r="BF118" s="59" t="str">
        <f t="shared" si="149"/>
        <v>-0.639081482223839+1.11310628397798i</v>
      </c>
      <c r="BG118" s="50">
        <f t="shared" si="150"/>
        <v>2.1680716547247201</v>
      </c>
      <c r="BH118" s="61">
        <f t="shared" si="151"/>
        <v>119.86195929433974</v>
      </c>
      <c r="BI118" s="59" t="str">
        <f t="shared" si="152"/>
        <v>-0.167747473779507+14.4489848295534i</v>
      </c>
      <c r="BJ118" s="64">
        <f t="shared" si="153"/>
        <v>23.197332020472579</v>
      </c>
      <c r="BK118" s="61">
        <f t="shared" si="154"/>
        <v>90.665153338305174</v>
      </c>
      <c r="BL118" s="59" t="str">
        <f t="shared" si="158"/>
        <v>-5.47696178047217+124.152272609358i</v>
      </c>
      <c r="BM118" s="64">
        <f t="shared" si="155"/>
        <v>41.887537161728396</v>
      </c>
      <c r="BN118" s="61">
        <f t="shared" si="159"/>
        <v>92.525958297679168</v>
      </c>
      <c r="BO118" s="50">
        <f t="shared" si="156"/>
        <v>23.197332020472579</v>
      </c>
      <c r="BP118" s="61">
        <f t="shared" si="157"/>
        <v>90.665153338305174</v>
      </c>
    </row>
    <row r="119" spans="14:68" x14ac:dyDescent="0.25">
      <c r="N119" s="11">
        <v>1</v>
      </c>
      <c r="O119" s="51">
        <f>10^(2+(N119/100))</f>
        <v>102.32929922807544</v>
      </c>
      <c r="P119" s="49" t="str">
        <f t="shared" si="107"/>
        <v>25.6231073841137</v>
      </c>
      <c r="Q119" s="18" t="str">
        <f t="shared" si="108"/>
        <v>1+0.556013635490729i</v>
      </c>
      <c r="R119" s="18">
        <f t="shared" si="121"/>
        <v>1.1441814379073003</v>
      </c>
      <c r="S119" s="18">
        <f t="shared" si="122"/>
        <v>0.50744847853392405</v>
      </c>
      <c r="T119" s="18" t="str">
        <f t="shared" si="109"/>
        <v>1+0.000578658554463445i</v>
      </c>
      <c r="U119" s="18">
        <f t="shared" si="123"/>
        <v>1.0000001674228474</v>
      </c>
      <c r="V119" s="18">
        <f t="shared" si="124"/>
        <v>5.7865848987634404E-4</v>
      </c>
      <c r="W119" s="32" t="str">
        <f t="shared" si="110"/>
        <v>1-0.0129662379796439i</v>
      </c>
      <c r="X119" s="18">
        <f t="shared" si="125"/>
        <v>1.0000840581307877</v>
      </c>
      <c r="Y119" s="18">
        <f t="shared" si="126"/>
        <v>-1.296551141057699E-2</v>
      </c>
      <c r="Z119" s="32" t="str">
        <f t="shared" si="111"/>
        <v>0.999999738217863+0.00102658313921478i</v>
      </c>
      <c r="AA119" s="18">
        <f t="shared" si="127"/>
        <v>1.0000002651543329</v>
      </c>
      <c r="AB119" s="18">
        <f t="shared" si="128"/>
        <v>1.0265830473265257E-3</v>
      </c>
      <c r="AC119" s="32" t="str">
        <f>IMDIV(IMSUM(COMPLEX(0,2*PI()*O119*Constants!$B$71*Constants!$B$72),COMPLEX(1,0)),IMSUM(COMPLEX(0,2*PI()*O119*Constants!$B$71*Constants!$B$72),COMPLEX(2,0)))</f>
        <v>0.500000826778195+0.000642952886243216i</v>
      </c>
      <c r="AD119" s="18">
        <f t="shared" si="129"/>
        <v>0.50000124016575453</v>
      </c>
      <c r="AE119" s="18">
        <f t="shared" si="130"/>
        <v>1.2859029374050631E-3</v>
      </c>
      <c r="AF119" s="66" t="str">
        <f t="shared" si="131"/>
        <v>9.72028645902993-5.55999397429369i</v>
      </c>
      <c r="AG119" s="64">
        <f t="shared" si="132"/>
        <v>20.982888845967373</v>
      </c>
      <c r="AH119" s="61">
        <f t="shared" si="133"/>
        <v>-29.76951259888892</v>
      </c>
      <c r="AI119" s="50" t="str">
        <f t="shared" si="112"/>
        <v>108.866083054159</v>
      </c>
      <c r="AJ119" s="50" t="str">
        <f t="shared" si="113"/>
        <v>1+0.526053231330405i</v>
      </c>
      <c r="AK119" s="50">
        <f t="shared" si="134"/>
        <v>1.1299256622420613</v>
      </c>
      <c r="AL119" s="50">
        <f t="shared" si="135"/>
        <v>0.48427230268935817</v>
      </c>
      <c r="AM119" s="50" t="str">
        <f t="shared" si="114"/>
        <v>1+0.000578658554463445i</v>
      </c>
      <c r="AN119" s="50">
        <f t="shared" si="136"/>
        <v>1.0000001674228474</v>
      </c>
      <c r="AO119" s="50">
        <f t="shared" si="137"/>
        <v>5.7865848987634404E-4</v>
      </c>
      <c r="AP119" s="50" t="str">
        <f t="shared" si="115"/>
        <v>1-0.00288733335760211i</v>
      </c>
      <c r="AQ119" s="50">
        <f t="shared" si="138"/>
        <v>1.0000041683382714</v>
      </c>
      <c r="AR119" s="50">
        <f t="shared" si="139"/>
        <v>-2.8873253340374301E-3</v>
      </c>
      <c r="AS119" s="59" t="str">
        <f t="shared" si="140"/>
        <v>85.1659145711944-45.0531409422496i</v>
      </c>
      <c r="AT119" s="50">
        <f t="shared" si="141"/>
        <v>39.676892165857375</v>
      </c>
      <c r="AU119" s="61">
        <f t="shared" si="142"/>
        <v>-27.879035945654355</v>
      </c>
      <c r="AV119" s="32" t="str">
        <f t="shared" si="116"/>
        <v>-0.0000333333333333333</v>
      </c>
      <c r="AW119" s="32" t="str">
        <f t="shared" si="117"/>
        <v>0.0000308617895713837i</v>
      </c>
      <c r="AX119" s="32">
        <f t="shared" si="143"/>
        <v>3.0861789571383699E-5</v>
      </c>
      <c r="AY119" s="32">
        <f t="shared" si="144"/>
        <v>1.5707963267948966</v>
      </c>
      <c r="AZ119" s="32" t="str">
        <f t="shared" si="118"/>
        <v>1+0.0125911815091583i</v>
      </c>
      <c r="BA119" s="32">
        <f t="shared" si="145"/>
        <v>1.000079265784366</v>
      </c>
      <c r="BB119" s="32">
        <f t="shared" si="146"/>
        <v>1.2590516179489102E-2</v>
      </c>
      <c r="BC119" s="32" t="str">
        <f t="shared" si="119"/>
        <v>1+0.604376712439599i</v>
      </c>
      <c r="BD119" s="32">
        <f t="shared" si="147"/>
        <v>1.1684482061860071</v>
      </c>
      <c r="BE119" s="32">
        <f t="shared" si="148"/>
        <v>0.54363145813748137</v>
      </c>
      <c r="BF119" s="59" t="str">
        <f t="shared" si="149"/>
        <v>-0.639076922858259+1.08813099942641i</v>
      </c>
      <c r="BG119" s="50">
        <f t="shared" si="150"/>
        <v>2.0206536479542394</v>
      </c>
      <c r="BH119" s="61">
        <f t="shared" si="151"/>
        <v>120.42640472284468</v>
      </c>
      <c r="BI119" s="59" t="str">
        <f t="shared" si="152"/>
        <v>-0.162008959484641+14.1302088595773i</v>
      </c>
      <c r="BJ119" s="64">
        <f t="shared" si="153"/>
        <v>23.003542493921607</v>
      </c>
      <c r="BK119" s="61">
        <f t="shared" si="154"/>
        <v>90.656892123955757</v>
      </c>
      <c r="BL119" s="59" t="str">
        <f t="shared" si="158"/>
        <v>-5.40385133577932+121.46409441789i</v>
      </c>
      <c r="BM119" s="64">
        <f t="shared" si="155"/>
        <v>41.697545813811594</v>
      </c>
      <c r="BN119" s="61">
        <f t="shared" si="159"/>
        <v>92.547368777190329</v>
      </c>
      <c r="BO119" s="50">
        <f t="shared" si="156"/>
        <v>23.003542493921607</v>
      </c>
      <c r="BP119" s="61">
        <f t="shared" si="157"/>
        <v>90.656892123955757</v>
      </c>
    </row>
    <row r="120" spans="14:68" x14ac:dyDescent="0.25">
      <c r="N120" s="11">
        <v>2</v>
      </c>
      <c r="O120" s="51">
        <f t="shared" ref="O120:O183" si="160">10^(2+(N120/100))</f>
        <v>104.71285480508998</v>
      </c>
      <c r="P120" s="49" t="str">
        <f t="shared" si="107"/>
        <v>25.6231073841137</v>
      </c>
      <c r="Q120" s="18" t="str">
        <f t="shared" si="108"/>
        <v>1+0.568964856810209i</v>
      </c>
      <c r="R120" s="18">
        <f t="shared" si="121"/>
        <v>1.1505307506907678</v>
      </c>
      <c r="S120" s="18">
        <f t="shared" si="122"/>
        <v>0.51728688140754764</v>
      </c>
      <c r="T120" s="18" t="str">
        <f t="shared" si="109"/>
        <v>1+0.000592137243705754i</v>
      </c>
      <c r="U120" s="18">
        <f t="shared" si="123"/>
        <v>1.0000001753132424</v>
      </c>
      <c r="V120" s="18">
        <f t="shared" si="124"/>
        <v>5.9213717449942908E-4</v>
      </c>
      <c r="W120" s="32" t="str">
        <f t="shared" si="110"/>
        <v>1-0.0132682604608141i</v>
      </c>
      <c r="X120" s="18">
        <f t="shared" si="125"/>
        <v>1.0000880194941124</v>
      </c>
      <c r="Y120" s="18">
        <f t="shared" si="126"/>
        <v>-1.3267481931732961E-2</v>
      </c>
      <c r="Z120" s="32" t="str">
        <f t="shared" si="111"/>
        <v>0.999999725880451+0.00105049533235206i</v>
      </c>
      <c r="AA120" s="18">
        <f t="shared" si="127"/>
        <v>1.0000002776506716</v>
      </c>
      <c r="AB120" s="18">
        <f t="shared" si="128"/>
        <v>1.0504952338920221E-3</v>
      </c>
      <c r="AC120" s="32" t="str">
        <f>IMDIV(IMSUM(COMPLEX(0,2*PI()*O120*Constants!$B$71*Constants!$B$72),COMPLEX(1,0)),IMSUM(COMPLEX(0,2*PI()*O120*Constants!$B$71*Constants!$B$72),COMPLEX(2,0)))</f>
        <v>0.500000865742983+0.000657929131587139i</v>
      </c>
      <c r="AD120" s="18">
        <f t="shared" si="129"/>
        <v>0.5000012986127883</v>
      </c>
      <c r="AE120" s="18">
        <f t="shared" si="130"/>
        <v>1.3158552253307837E-3</v>
      </c>
      <c r="AF120" s="66" t="str">
        <f t="shared" si="131"/>
        <v>9.61022780938059-5.62688338532982i</v>
      </c>
      <c r="AG120" s="64">
        <f t="shared" si="132"/>
        <v>20.93485757015122</v>
      </c>
      <c r="AH120" s="61">
        <f t="shared" si="133"/>
        <v>-30.349394853038497</v>
      </c>
      <c r="AI120" s="50" t="str">
        <f t="shared" si="112"/>
        <v>108.866083054159</v>
      </c>
      <c r="AJ120" s="50" t="str">
        <f t="shared" si="113"/>
        <v>1+0.53830658518705i</v>
      </c>
      <c r="AK120" s="50">
        <f t="shared" si="134"/>
        <v>1.1356821648928641</v>
      </c>
      <c r="AL120" s="50">
        <f t="shared" si="135"/>
        <v>0.4938212368222647</v>
      </c>
      <c r="AM120" s="50" t="str">
        <f t="shared" si="114"/>
        <v>1+0.000592137243705754i</v>
      </c>
      <c r="AN120" s="50">
        <f t="shared" si="136"/>
        <v>1.0000001753132424</v>
      </c>
      <c r="AO120" s="50">
        <f t="shared" si="137"/>
        <v>5.9213717449942908E-4</v>
      </c>
      <c r="AP120" s="50" t="str">
        <f t="shared" si="115"/>
        <v>1-0.0029545879912127i</v>
      </c>
      <c r="AQ120" s="50">
        <f t="shared" si="138"/>
        <v>1.0000043647855732</v>
      </c>
      <c r="AR120" s="50">
        <f t="shared" si="139"/>
        <v>-2.9545793938102753E-3</v>
      </c>
      <c r="AS120" s="59" t="str">
        <f t="shared" si="140"/>
        <v>84.2999066141558-45.6363856203429i</v>
      </c>
      <c r="AT120" s="50">
        <f t="shared" si="141"/>
        <v>39.632755274052485</v>
      </c>
      <c r="AU120" s="61">
        <f t="shared" si="142"/>
        <v>-28.429230672356134</v>
      </c>
      <c r="AV120" s="32" t="str">
        <f t="shared" si="116"/>
        <v>-0.0000333333333333333</v>
      </c>
      <c r="AW120" s="32" t="str">
        <f t="shared" si="117"/>
        <v>0.0000315806529976402i</v>
      </c>
      <c r="AX120" s="32">
        <f t="shared" si="143"/>
        <v>3.1580652997640199E-5</v>
      </c>
      <c r="AY120" s="32">
        <f t="shared" si="144"/>
        <v>1.5707963267948966</v>
      </c>
      <c r="AZ120" s="32" t="str">
        <f t="shared" si="118"/>
        <v>1+0.0128844678028567i</v>
      </c>
      <c r="BA120" s="32">
        <f t="shared" si="145"/>
        <v>1.0000830013106727</v>
      </c>
      <c r="BB120" s="32">
        <f t="shared" si="146"/>
        <v>1.2883754892467358E-2</v>
      </c>
      <c r="BC120" s="32" t="str">
        <f t="shared" si="119"/>
        <v>1+0.618454454537122i</v>
      </c>
      <c r="BD120" s="32">
        <f t="shared" si="147"/>
        <v>1.1757916109314648</v>
      </c>
      <c r="BE120" s="32">
        <f t="shared" si="148"/>
        <v>0.55387855358935301</v>
      </c>
      <c r="BF120" s="59" t="str">
        <f t="shared" si="149"/>
        <v>-0.639072148686123+1.06373265092222i</v>
      </c>
      <c r="BG120" s="50">
        <f t="shared" si="150"/>
        <v>1.8750390255974667</v>
      </c>
      <c r="BH120" s="61">
        <f t="shared" si="151"/>
        <v>120.99671870386113</v>
      </c>
      <c r="BI120" s="59" t="str">
        <f t="shared" si="152"/>
        <v>-0.156129355596902+13.8186975591078i</v>
      </c>
      <c r="BJ120" s="64">
        <f t="shared" si="153"/>
        <v>22.809896595748668</v>
      </c>
      <c r="BK120" s="61">
        <f t="shared" si="154"/>
        <v>90.64732385082263</v>
      </c>
      <c r="BL120" s="59" t="str">
        <f t="shared" si="158"/>
        <v>-5.32880899951203+118.837506151833i</v>
      </c>
      <c r="BM120" s="64">
        <f t="shared" si="155"/>
        <v>41.50779429964998</v>
      </c>
      <c r="BN120" s="61">
        <f t="shared" si="159"/>
        <v>92.567488031504993</v>
      </c>
      <c r="BO120" s="50">
        <f t="shared" si="156"/>
        <v>22.809896595748668</v>
      </c>
      <c r="BP120" s="61">
        <f t="shared" si="157"/>
        <v>90.64732385082263</v>
      </c>
    </row>
    <row r="121" spans="14:68" x14ac:dyDescent="0.25">
      <c r="N121" s="11">
        <v>3</v>
      </c>
      <c r="O121" s="51">
        <f t="shared" si="160"/>
        <v>107.15193052376065</v>
      </c>
      <c r="P121" s="49" t="str">
        <f t="shared" si="107"/>
        <v>25.6231073841137</v>
      </c>
      <c r="Q121" s="18" t="str">
        <f t="shared" si="108"/>
        <v>1+0.582217750827909i</v>
      </c>
      <c r="R121" s="18">
        <f t="shared" si="121"/>
        <v>1.1571419573151382</v>
      </c>
      <c r="S121" s="18">
        <f t="shared" si="122"/>
        <v>0.52724169256984577</v>
      </c>
      <c r="T121" s="18" t="str">
        <f t="shared" si="109"/>
        <v>1+0.000605929891952539i</v>
      </c>
      <c r="U121" s="18">
        <f t="shared" si="123"/>
        <v>1.0000001835755001</v>
      </c>
      <c r="V121" s="18">
        <f t="shared" si="124"/>
        <v>6.0592981779662659E-4</v>
      </c>
      <c r="W121" s="32" t="str">
        <f t="shared" si="110"/>
        <v>1-0.0135773179493069i</v>
      </c>
      <c r="X121" s="18">
        <f t="shared" si="125"/>
        <v>1.0000921675339212</v>
      </c>
      <c r="Y121" s="18">
        <f t="shared" si="126"/>
        <v>-1.3576483744518914E-2</v>
      </c>
      <c r="Z121" s="32" t="str">
        <f t="shared" si="111"/>
        <v>0.999999712961595+0.0010749645120195i</v>
      </c>
      <c r="AA121" s="18">
        <f t="shared" si="127"/>
        <v>1.0000002907359449</v>
      </c>
      <c r="AB121" s="18">
        <f t="shared" si="128"/>
        <v>1.0749644065176692E-3</v>
      </c>
      <c r="AC121" s="32" t="str">
        <f>IMDIV(IMSUM(COMPLEX(0,2*PI()*O121*Constants!$B$71*Constants!$B$72),COMPLEX(1,0)),IMSUM(COMPLEX(0,2*PI()*O121*Constants!$B$71*Constants!$B$72),COMPLEX(2,0)))</f>
        <v>0.500000906544119+0.000673254214831308i</v>
      </c>
      <c r="AD121" s="18">
        <f t="shared" si="129"/>
        <v>0.50000135981432947</v>
      </c>
      <c r="AE121" s="18">
        <f t="shared" si="130"/>
        <v>1.3465051745557011E-3</v>
      </c>
      <c r="AF121" s="66" t="str">
        <f t="shared" si="131"/>
        <v>9.49754940292139-5.69234698766188i</v>
      </c>
      <c r="AG121" s="64">
        <f t="shared" si="132"/>
        <v>20.885126409125764</v>
      </c>
      <c r="AH121" s="61">
        <f t="shared" si="133"/>
        <v>-30.936323625559936</v>
      </c>
      <c r="AI121" s="50" t="str">
        <f t="shared" si="112"/>
        <v>108.866083054159</v>
      </c>
      <c r="AJ121" s="50" t="str">
        <f t="shared" si="113"/>
        <v>1+0.550845356320491i</v>
      </c>
      <c r="AK121" s="50">
        <f t="shared" si="134"/>
        <v>1.1416788543981398</v>
      </c>
      <c r="AL121" s="50">
        <f t="shared" si="135"/>
        <v>0.50349200520623993</v>
      </c>
      <c r="AM121" s="50" t="str">
        <f t="shared" si="114"/>
        <v>1+0.000605929891952539i</v>
      </c>
      <c r="AN121" s="50">
        <f t="shared" si="136"/>
        <v>1.0000001835755001</v>
      </c>
      <c r="AO121" s="50">
        <f t="shared" si="137"/>
        <v>6.0592981779662659E-4</v>
      </c>
      <c r="AP121" s="50" t="str">
        <f t="shared" si="115"/>
        <v>1-0.00302340918648483i</v>
      </c>
      <c r="AQ121" s="50">
        <f t="shared" si="138"/>
        <v>1.0000045704911098</v>
      </c>
      <c r="AR121" s="50">
        <f t="shared" si="139"/>
        <v>-3.0233999742044315E-3</v>
      </c>
      <c r="AS121" s="59" t="str">
        <f t="shared" si="140"/>
        <v>83.4116596902803-46.2101069050363i</v>
      </c>
      <c r="AT121" s="50">
        <f t="shared" si="141"/>
        <v>39.587014096479678</v>
      </c>
      <c r="AU121" s="61">
        <f t="shared" si="142"/>
        <v>-28.986477753957438</v>
      </c>
      <c r="AV121" s="32" t="str">
        <f t="shared" si="116"/>
        <v>-0.0000333333333333333</v>
      </c>
      <c r="AW121" s="32" t="str">
        <f t="shared" si="117"/>
        <v>0.0000323162609041354i</v>
      </c>
      <c r="AX121" s="32">
        <f t="shared" si="143"/>
        <v>3.23162609041354E-5</v>
      </c>
      <c r="AY121" s="32">
        <f t="shared" si="144"/>
        <v>1.5707963267948966</v>
      </c>
      <c r="AZ121" s="32" t="str">
        <f t="shared" si="118"/>
        <v>1+0.0131845856119303i</v>
      </c>
      <c r="BA121" s="32">
        <f t="shared" si="145"/>
        <v>1.0000869128719556</v>
      </c>
      <c r="BB121" s="32">
        <f t="shared" si="146"/>
        <v>1.3183821718270644E-2</v>
      </c>
      <c r="BC121" s="32" t="str">
        <f t="shared" si="119"/>
        <v>1+0.632860109372653i</v>
      </c>
      <c r="BD121" s="32">
        <f t="shared" si="147"/>
        <v>1.1834322617011783</v>
      </c>
      <c r="BE121" s="32">
        <f t="shared" si="148"/>
        <v>0.56423157235839394</v>
      </c>
      <c r="BF121" s="59" t="str">
        <f t="shared" si="149"/>
        <v>-0.639067149590639+1.03989830175119i</v>
      </c>
      <c r="BG121" s="50">
        <f t="shared" si="150"/>
        <v>1.7312659973401565</v>
      </c>
      <c r="BH121" s="61">
        <f t="shared" si="151"/>
        <v>121.57271042185636</v>
      </c>
      <c r="BI121" s="59" t="str">
        <f t="shared" si="152"/>
        <v>-0.150109859573157+13.5142774587819i</v>
      </c>
      <c r="BJ121" s="64">
        <f t="shared" si="153"/>
        <v>22.616392406465909</v>
      </c>
      <c r="BK121" s="61">
        <f t="shared" si="154"/>
        <v>90.636386796296421</v>
      </c>
      <c r="BL121" s="59" t="str">
        <f t="shared" si="158"/>
        <v>-5.25183990660365+116.271004560251i</v>
      </c>
      <c r="BM121" s="64">
        <f t="shared" si="155"/>
        <v>41.318280093819837</v>
      </c>
      <c r="BN121" s="61">
        <f t="shared" si="159"/>
        <v>92.586232667898898</v>
      </c>
      <c r="BO121" s="50">
        <f t="shared" si="156"/>
        <v>22.616392406465909</v>
      </c>
      <c r="BP121" s="61">
        <f t="shared" si="157"/>
        <v>90.636386796296421</v>
      </c>
    </row>
    <row r="122" spans="14:68" x14ac:dyDescent="0.25">
      <c r="N122" s="11">
        <v>4</v>
      </c>
      <c r="O122" s="51">
        <f t="shared" si="160"/>
        <v>109.64781961431861</v>
      </c>
      <c r="P122" s="49" t="str">
        <f t="shared" si="107"/>
        <v>25.6231073841137</v>
      </c>
      <c r="Q122" s="18" t="str">
        <f t="shared" si="108"/>
        <v>1+0.595779344403662i</v>
      </c>
      <c r="R122" s="18">
        <f t="shared" si="121"/>
        <v>1.1640244959699333</v>
      </c>
      <c r="S122" s="18">
        <f t="shared" si="122"/>
        <v>0.53731029753519743</v>
      </c>
      <c r="T122" s="18" t="str">
        <f t="shared" si="109"/>
        <v>1+0.000620043812248468i</v>
      </c>
      <c r="U122" s="18">
        <f t="shared" si="123"/>
        <v>1.000000192227146</v>
      </c>
      <c r="V122" s="18">
        <f t="shared" si="124"/>
        <v>6.2004373278897699E-4</v>
      </c>
      <c r="W122" s="32" t="str">
        <f t="shared" si="110"/>
        <v>1-0.0138935743114934i</v>
      </c>
      <c r="X122" s="18">
        <f t="shared" si="125"/>
        <v>1.0000965110463835</v>
      </c>
      <c r="Y122" s="18">
        <f t="shared" si="126"/>
        <v>-1.3892680449617273E-2</v>
      </c>
      <c r="Z122" s="32" t="str">
        <f t="shared" si="111"/>
        <v>0.999999699433891+0.00110000365210006i</v>
      </c>
      <c r="AA122" s="18">
        <f t="shared" si="127"/>
        <v>1.0000003044379073</v>
      </c>
      <c r="AB122" s="18">
        <f t="shared" si="128"/>
        <v>1.1000035390528132E-3</v>
      </c>
      <c r="AC122" s="32" t="str">
        <f>IMDIV(IMSUM(COMPLEX(0,2*PI()*O122*Constants!$B$71*Constants!$B$72),COMPLEX(1,0)),IMSUM(COMPLEX(0,2*PI()*O122*Constants!$B$71*Constants!$B$72),COMPLEX(2,0)))</f>
        <v>0.500000949268146+0.000688936261191987i</v>
      </c>
      <c r="AD122" s="18">
        <f t="shared" si="129"/>
        <v>0.50000142390019153</v>
      </c>
      <c r="AE122" s="18">
        <f t="shared" si="130"/>
        <v>1.3778690344752363E-3</v>
      </c>
      <c r="AF122" s="66" t="str">
        <f t="shared" si="131"/>
        <v>9.38228029787296-5.75626385110846i</v>
      </c>
      <c r="AG122" s="64">
        <f t="shared" si="132"/>
        <v>20.833655629297692</v>
      </c>
      <c r="AH122" s="61">
        <f t="shared" si="133"/>
        <v>-31.530157884409935</v>
      </c>
      <c r="AI122" s="50" t="str">
        <f t="shared" si="112"/>
        <v>108.866083054159</v>
      </c>
      <c r="AJ122" s="50" t="str">
        <f t="shared" si="113"/>
        <v>1+0.563676192953153i</v>
      </c>
      <c r="AK122" s="50">
        <f t="shared" si="134"/>
        <v>1.1479245839784773</v>
      </c>
      <c r="AL122" s="50">
        <f t="shared" si="135"/>
        <v>0.51328249906561385</v>
      </c>
      <c r="AM122" s="50" t="str">
        <f t="shared" si="114"/>
        <v>1+0.000620043812248468i</v>
      </c>
      <c r="AN122" s="50">
        <f t="shared" si="136"/>
        <v>1.000000192227146</v>
      </c>
      <c r="AO122" s="50">
        <f t="shared" si="137"/>
        <v>6.2004373278897699E-4</v>
      </c>
      <c r="AP122" s="50" t="str">
        <f t="shared" si="115"/>
        <v>1-0.00309383343332718i</v>
      </c>
      <c r="AQ122" s="50">
        <f t="shared" si="138"/>
        <v>1.0000047858912042</v>
      </c>
      <c r="AR122" s="50">
        <f t="shared" si="139"/>
        <v>-3.0938235621934388E-3</v>
      </c>
      <c r="AS122" s="59" t="str">
        <f t="shared" si="140"/>
        <v>82.501284089561-46.7733215156972i</v>
      </c>
      <c r="AT122" s="50">
        <f t="shared" si="141"/>
        <v>39.539628052572183</v>
      </c>
      <c r="AU122" s="61">
        <f t="shared" si="142"/>
        <v>-29.550658038056788</v>
      </c>
      <c r="AV122" s="32" t="str">
        <f t="shared" si="116"/>
        <v>-0.0000333333333333333</v>
      </c>
      <c r="AW122" s="32" t="str">
        <f t="shared" si="117"/>
        <v>0.0000330690033199183i</v>
      </c>
      <c r="AX122" s="32">
        <f t="shared" si="143"/>
        <v>3.3069003319918299E-5</v>
      </c>
      <c r="AY122" s="32">
        <f t="shared" si="144"/>
        <v>1.5707963267948966</v>
      </c>
      <c r="AZ122" s="32" t="str">
        <f t="shared" si="118"/>
        <v>1+0.0134916940628139i</v>
      </c>
      <c r="BA122" s="32">
        <f t="shared" si="145"/>
        <v>1.0000910087630448</v>
      </c>
      <c r="BB122" s="32">
        <f t="shared" si="146"/>
        <v>1.34908755400333E-2</v>
      </c>
      <c r="BC122" s="32" t="str">
        <f t="shared" si="119"/>
        <v>1+0.647601315015068i</v>
      </c>
      <c r="BD122" s="32">
        <f t="shared" si="147"/>
        <v>1.1913804863305615</v>
      </c>
      <c r="BE122" s="32">
        <f t="shared" si="148"/>
        <v>0.57468712590489557</v>
      </c>
      <c r="BF122" s="59" t="str">
        <f t="shared" si="149"/>
        <v>-0.639061914978869+1.01661531421132i</v>
      </c>
      <c r="BG122" s="50">
        <f t="shared" si="150"/>
        <v>1.5893719847114163</v>
      </c>
      <c r="BH122" s="61">
        <f t="shared" si="151"/>
        <v>122.15417662447378</v>
      </c>
      <c r="BI122" s="59" t="str">
        <f t="shared" si="152"/>
        <v>-0.143952030349318+13.2167788328538i</v>
      </c>
      <c r="BJ122" s="64">
        <f t="shared" si="153"/>
        <v>22.423027614009104</v>
      </c>
      <c r="BK122" s="61">
        <f t="shared" si="154"/>
        <v>90.624018740063832</v>
      </c>
      <c r="BL122" s="59" t="str">
        <f t="shared" si="158"/>
        <v>-5.17295364910295+113.76311726529i</v>
      </c>
      <c r="BM122" s="64">
        <f t="shared" si="155"/>
        <v>41.129000037283575</v>
      </c>
      <c r="BN122" s="61">
        <f t="shared" si="159"/>
        <v>92.603518586416982</v>
      </c>
      <c r="BO122" s="50">
        <f t="shared" si="156"/>
        <v>22.423027614009104</v>
      </c>
      <c r="BP122" s="61">
        <f t="shared" si="157"/>
        <v>90.624018740063832</v>
      </c>
    </row>
    <row r="123" spans="14:68" x14ac:dyDescent="0.25">
      <c r="N123" s="11">
        <v>5</v>
      </c>
      <c r="O123" s="51">
        <f t="shared" si="160"/>
        <v>112.20184543019634</v>
      </c>
      <c r="P123" s="49" t="str">
        <f t="shared" si="107"/>
        <v>25.6231073841137</v>
      </c>
      <c r="Q123" s="18" t="str">
        <f t="shared" si="108"/>
        <v>1+0.609656828073889i</v>
      </c>
      <c r="R123" s="18">
        <f t="shared" si="121"/>
        <v>1.1711880498097287</v>
      </c>
      <c r="S123" s="18">
        <f t="shared" si="122"/>
        <v>0.54748986847643322</v>
      </c>
      <c r="T123" s="18" t="str">
        <f t="shared" si="109"/>
        <v>1+0.000634486487980901i</v>
      </c>
      <c r="U123" s="18">
        <f t="shared" si="123"/>
        <v>1.0000002012865314</v>
      </c>
      <c r="V123" s="18">
        <f t="shared" si="124"/>
        <v>6.3448640283852336E-4</v>
      </c>
      <c r="W123" s="32" t="str">
        <f t="shared" si="110"/>
        <v>1-0.0142171972306832i</v>
      </c>
      <c r="X123" s="18">
        <f t="shared" si="125"/>
        <v>1.0001010592420629</v>
      </c>
      <c r="Y123" s="18">
        <f t="shared" si="126"/>
        <v>-1.4216239445653823E-2</v>
      </c>
      <c r="Z123" s="32" t="str">
        <f t="shared" si="111"/>
        <v>0.999999685268647+0.00112562602867723i</v>
      </c>
      <c r="AA123" s="18">
        <f t="shared" si="127"/>
        <v>1.0000003187856239</v>
      </c>
      <c r="AB123" s="18">
        <f t="shared" si="128"/>
        <v>1.1256259075449234E-3</v>
      </c>
      <c r="AC123" s="32" t="str">
        <f>IMDIV(IMSUM(COMPLEX(0,2*PI()*O123*Constants!$B$71*Constants!$B$72),COMPLEX(1,0)),IMSUM(COMPLEX(0,2*PI()*O123*Constants!$B$71*Constants!$B$72),COMPLEX(2,0)))</f>
        <v>0.500000994005687+0.000704983585127274i</v>
      </c>
      <c r="AD123" s="18">
        <f t="shared" si="129"/>
        <v>0.5000014910063072</v>
      </c>
      <c r="AE123" s="18">
        <f t="shared" si="130"/>
        <v>1.4099634328943033E-3</v>
      </c>
      <c r="AF123" s="66" t="str">
        <f t="shared" si="131"/>
        <v>9.26445652047859-5.81851241249014i</v>
      </c>
      <c r="AG123" s="64">
        <f t="shared" si="132"/>
        <v>20.780405997714418</v>
      </c>
      <c r="AH123" s="61">
        <f t="shared" si="133"/>
        <v>-32.130744577454706</v>
      </c>
      <c r="AI123" s="50" t="str">
        <f t="shared" si="112"/>
        <v>108.866083054159</v>
      </c>
      <c r="AJ123" s="50" t="str">
        <f t="shared" si="113"/>
        <v>1+0.576805898164456i</v>
      </c>
      <c r="AK123" s="50">
        <f t="shared" si="134"/>
        <v>1.1544284491285308</v>
      </c>
      <c r="AL123" s="50">
        <f t="shared" si="135"/>
        <v>0.52319040109025494</v>
      </c>
      <c r="AM123" s="50" t="str">
        <f t="shared" si="114"/>
        <v>1+0.000634486487980901i</v>
      </c>
      <c r="AN123" s="50">
        <f t="shared" si="136"/>
        <v>1.0000002012865314</v>
      </c>
      <c r="AO123" s="50">
        <f t="shared" si="137"/>
        <v>6.3448640283852336E-4</v>
      </c>
      <c r="AP123" s="50" t="str">
        <f t="shared" si="115"/>
        <v>1-0.00316589807160761i</v>
      </c>
      <c r="AQ123" s="50">
        <f t="shared" si="138"/>
        <v>1.0000050114427426</v>
      </c>
      <c r="AR123" s="50">
        <f t="shared" si="139"/>
        <v>-3.1658874945001045E-3</v>
      </c>
      <c r="AS123" s="59" t="str">
        <f t="shared" si="140"/>
        <v>81.5689437339036-47.3250327164676i</v>
      </c>
      <c r="AT123" s="50">
        <f t="shared" si="141"/>
        <v>39.490556812403504</v>
      </c>
      <c r="AU123" s="61">
        <f t="shared" si="142"/>
        <v>-30.121640463035366</v>
      </c>
      <c r="AV123" s="32" t="str">
        <f t="shared" si="116"/>
        <v>-0.0000333333333333333</v>
      </c>
      <c r="AW123" s="32" t="str">
        <f t="shared" si="117"/>
        <v>0.0000338392793589813i</v>
      </c>
      <c r="AX123" s="32">
        <f t="shared" si="143"/>
        <v>3.38392793589813E-5</v>
      </c>
      <c r="AY123" s="32">
        <f t="shared" si="144"/>
        <v>1.5707963267948966</v>
      </c>
      <c r="AZ123" s="32" t="str">
        <f t="shared" si="118"/>
        <v>1+0.0138059559884733i</v>
      </c>
      <c r="BA123" s="32">
        <f t="shared" si="145"/>
        <v>1.000095297669555</v>
      </c>
      <c r="BB123" s="32">
        <f t="shared" si="146"/>
        <v>1.3805078930025791E-2</v>
      </c>
      <c r="BC123" s="32" t="str">
        <f t="shared" si="119"/>
        <v>1+0.66268588744672i</v>
      </c>
      <c r="BD123" s="32">
        <f t="shared" si="147"/>
        <v>1.1996468586300915</v>
      </c>
      <c r="BE123" s="32">
        <f t="shared" si="148"/>
        <v>0.58524161375626071</v>
      </c>
      <c r="BF123" s="59" t="str">
        <f t="shared" si="149"/>
        <v>-0.639056433759356+0.993871342910262i</v>
      </c>
      <c r="BG123" s="50">
        <f t="shared" si="150"/>
        <v>1.4493935076244986</v>
      </c>
      <c r="BH123" s="61">
        <f t="shared" si="151"/>
        <v>122.74090170512373</v>
      </c>
      <c r="BI123" s="59" t="str">
        <f t="shared" si="152"/>
        <v>-0.137657799554055+12.9260356354523i</v>
      </c>
      <c r="BJ123" s="64">
        <f t="shared" si="153"/>
        <v>22.229799505338931</v>
      </c>
      <c r="BK123" s="61">
        <f t="shared" si="154"/>
        <v>90.610157127669027</v>
      </c>
      <c r="BL123" s="59" t="str">
        <f t="shared" si="158"/>
        <v>-5.09216446891826+111.312402283917i</v>
      </c>
      <c r="BM123" s="64">
        <f t="shared" si="155"/>
        <v>40.939950320028004</v>
      </c>
      <c r="BN123" s="61">
        <f t="shared" si="159"/>
        <v>92.619261242088371</v>
      </c>
      <c r="BO123" s="50">
        <f t="shared" si="156"/>
        <v>22.229799505338931</v>
      </c>
      <c r="BP123" s="61">
        <f t="shared" si="157"/>
        <v>90.610157127669027</v>
      </c>
    </row>
    <row r="124" spans="14:68" x14ac:dyDescent="0.25">
      <c r="N124" s="11">
        <v>6</v>
      </c>
      <c r="O124" s="51">
        <f t="shared" si="160"/>
        <v>114.81536214968835</v>
      </c>
      <c r="P124" s="49" t="str">
        <f t="shared" si="107"/>
        <v>25.6231073841137</v>
      </c>
      <c r="Q124" s="18" t="str">
        <f t="shared" si="108"/>
        <v>1+0.623857559864124i</v>
      </c>
      <c r="R124" s="18">
        <f t="shared" si="121"/>
        <v>1.1786425475943159</v>
      </c>
      <c r="S124" s="18">
        <f t="shared" si="122"/>
        <v>0.55777736350692309</v>
      </c>
      <c r="T124" s="18" t="str">
        <f t="shared" si="109"/>
        <v>1+0.000649265576847683i</v>
      </c>
      <c r="U124" s="18">
        <f t="shared" si="123"/>
        <v>1.0000002107728725</v>
      </c>
      <c r="V124" s="18">
        <f t="shared" si="124"/>
        <v>6.4926548561598275E-4</v>
      </c>
      <c r="W124" s="32" t="str">
        <f t="shared" si="110"/>
        <v>1-0.0145483582960314i</v>
      </c>
      <c r="X124" s="18">
        <f t="shared" si="125"/>
        <v>1.0001058217654319</v>
      </c>
      <c r="Y124" s="18">
        <f t="shared" si="126"/>
        <v>-1.4547332016746987E-2</v>
      </c>
      <c r="Z124" s="32" t="str">
        <f t="shared" si="111"/>
        <v>0.999999670435815+0.00115184522707422i</v>
      </c>
      <c r="AA124" s="18">
        <f t="shared" si="127"/>
        <v>1.0000003338095271</v>
      </c>
      <c r="AB124" s="18">
        <f t="shared" si="128"/>
        <v>1.1518450972786167E-3</v>
      </c>
      <c r="AC124" s="32" t="str">
        <f>IMDIV(IMSUM(COMPLEX(0,2*PI()*O124*Constants!$B$71*Constants!$B$72),COMPLEX(1,0)),IMSUM(COMPLEX(0,2*PI()*O124*Constants!$B$71*Constants!$B$72),COMPLEX(2,0)))</f>
        <v>0.500001040851634+0.000721404694743788i</v>
      </c>
      <c r="AD124" s="18">
        <f t="shared" si="129"/>
        <v>0.50000156127501338</v>
      </c>
      <c r="AE124" s="18">
        <f t="shared" si="130"/>
        <v>1.4428053848353872E-3</v>
      </c>
      <c r="AF124" s="66" t="str">
        <f t="shared" si="131"/>
        <v>9.14412124518079-5.87897092991366i</v>
      </c>
      <c r="AG124" s="64">
        <f t="shared" si="132"/>
        <v>20.725338890113335</v>
      </c>
      <c r="AH124" s="61">
        <f t="shared" si="133"/>
        <v>-32.73791859602396</v>
      </c>
      <c r="AI124" s="50" t="str">
        <f t="shared" si="112"/>
        <v>108.866083054159</v>
      </c>
      <c r="AJ124" s="50" t="str">
        <f t="shared" si="113"/>
        <v>1+0.590241433497894i</v>
      </c>
      <c r="AK124" s="50">
        <f t="shared" si="134"/>
        <v>1.1611997889328298</v>
      </c>
      <c r="AL124" s="50">
        <f t="shared" si="135"/>
        <v>0.533213182937046</v>
      </c>
      <c r="AM124" s="50" t="str">
        <f t="shared" si="114"/>
        <v>1+0.000649265576847683i</v>
      </c>
      <c r="AN124" s="50">
        <f t="shared" si="136"/>
        <v>1.0000002107728725</v>
      </c>
      <c r="AO124" s="50">
        <f t="shared" si="137"/>
        <v>6.4926548561598275E-4</v>
      </c>
      <c r="AP124" s="50" t="str">
        <f t="shared" si="115"/>
        <v>1-0.00323964131095122i</v>
      </c>
      <c r="AQ124" s="50">
        <f t="shared" si="138"/>
        <v>1.000005247624143</v>
      </c>
      <c r="AR124" s="50">
        <f t="shared" si="139"/>
        <v>-3.2396299773795466E-3</v>
      </c>
      <c r="AS124" s="59" t="str">
        <f t="shared" si="140"/>
        <v>80.6148582242122-47.8642335392989i</v>
      </c>
      <c r="AT124" s="50">
        <f t="shared" si="141"/>
        <v>39.439760396696059</v>
      </c>
      <c r="AU124" s="61">
        <f t="shared" si="142"/>
        <v>-30.699281915808424</v>
      </c>
      <c r="AV124" s="32" t="str">
        <f t="shared" si="116"/>
        <v>-0.0000333333333333333</v>
      </c>
      <c r="AW124" s="32" t="str">
        <f t="shared" si="117"/>
        <v>0.0000346274974318764i</v>
      </c>
      <c r="AX124" s="32">
        <f t="shared" si="143"/>
        <v>3.4627497431876403E-5</v>
      </c>
      <c r="AY124" s="32">
        <f t="shared" si="144"/>
        <v>1.5707963267948966</v>
      </c>
      <c r="AZ124" s="32" t="str">
        <f t="shared" si="118"/>
        <v>1+0.0141275380147413i</v>
      </c>
      <c r="BA124" s="32">
        <f t="shared" si="145"/>
        <v>1.0000997886862881</v>
      </c>
      <c r="BB124" s="32">
        <f t="shared" si="146"/>
        <v>1.4126598234747344E-2</v>
      </c>
      <c r="BC124" s="32" t="str">
        <f t="shared" si="119"/>
        <v>1+0.678121824707581i</v>
      </c>
      <c r="BD124" s="32">
        <f t="shared" si="147"/>
        <v>1.2082421980483629</v>
      </c>
      <c r="BE124" s="32">
        <f t="shared" si="148"/>
        <v>0.59589122595411048</v>
      </c>
      <c r="BF124" s="59" t="str">
        <f t="shared" si="149"/>
        <v>-0.639050694318699+0.971654328217422i</v>
      </c>
      <c r="BG124" s="50">
        <f t="shared" si="150"/>
        <v>1.3113660698847318</v>
      </c>
      <c r="BH124" s="61">
        <f t="shared" si="151"/>
        <v>123.33265783831907</v>
      </c>
      <c r="BI124" s="59" t="str">
        <f t="shared" si="152"/>
        <v>-0.131229481152141+12.6418854402656i</v>
      </c>
      <c r="BJ124" s="64">
        <f t="shared" si="153"/>
        <v>22.03670495999809</v>
      </c>
      <c r="BK124" s="61">
        <f t="shared" si="154"/>
        <v>90.594739242295105</v>
      </c>
      <c r="BL124" s="59" t="str">
        <f t="shared" si="158"/>
        <v>-5.00949143531701+108.917447588511i</v>
      </c>
      <c r="BM124" s="64">
        <f t="shared" si="155"/>
        <v>40.751126466580786</v>
      </c>
      <c r="BN124" s="61">
        <f t="shared" si="159"/>
        <v>92.633375922510623</v>
      </c>
      <c r="BO124" s="50">
        <f t="shared" si="156"/>
        <v>22.03670495999809</v>
      </c>
      <c r="BP124" s="61">
        <f t="shared" si="157"/>
        <v>90.594739242295105</v>
      </c>
    </row>
    <row r="125" spans="14:68" x14ac:dyDescent="0.25">
      <c r="N125" s="11">
        <v>7</v>
      </c>
      <c r="O125" s="51">
        <f t="shared" si="160"/>
        <v>117.48975549395293</v>
      </c>
      <c r="P125" s="49" t="str">
        <f t="shared" si="107"/>
        <v>25.6231073841137</v>
      </c>
      <c r="Q125" s="18" t="str">
        <f t="shared" si="108"/>
        <v>1+0.638389069190328i</v>
      </c>
      <c r="R125" s="18">
        <f t="shared" si="121"/>
        <v>1.1863981640502035</v>
      </c>
      <c r="S125" s="18">
        <f t="shared" si="122"/>
        <v>0.5681695267843051</v>
      </c>
      <c r="T125" s="18" t="str">
        <f t="shared" si="109"/>
        <v>1+0.000664388914917355i</v>
      </c>
      <c r="U125" s="18">
        <f t="shared" si="123"/>
        <v>1.0000002207062908</v>
      </c>
      <c r="V125" s="18">
        <f t="shared" si="124"/>
        <v>6.6438881716082807E-4</v>
      </c>
      <c r="W125" s="32" t="str">
        <f t="shared" si="110"/>
        <v>1-0.0148872330935185i</v>
      </c>
      <c r="X125" s="18">
        <f t="shared" si="125"/>
        <v>1.0001108087153048</v>
      </c>
      <c r="Y125" s="18">
        <f t="shared" si="126"/>
        <v>-1.4886133422033045E-2</v>
      </c>
      <c r="Z125" s="32" t="str">
        <f t="shared" si="111"/>
        <v>0.999999654903934+0.00117867514905708i</v>
      </c>
      <c r="AA125" s="18">
        <f t="shared" si="127"/>
        <v>1.000000349541486</v>
      </c>
      <c r="AB125" s="18">
        <f t="shared" si="128"/>
        <v>1.1786750099785858E-3</v>
      </c>
      <c r="AC125" s="32" t="str">
        <f>IMDIV(IMSUM(COMPLEX(0,2*PI()*O125*Constants!$B$71*Constants!$B$72),COMPLEX(1,0)),IMSUM(COMPLEX(0,2*PI()*O125*Constants!$B$71*Constants!$B$72),COMPLEX(2,0)))</f>
        <v>0.500001089905353+0.000738208296305872i</v>
      </c>
      <c r="AD125" s="18">
        <f t="shared" si="129"/>
        <v>0.50000163485535687</v>
      </c>
      <c r="AE125" s="18">
        <f t="shared" si="130"/>
        <v>1.4764123015512556E-3</v>
      </c>
      <c r="AF125" s="66" t="str">
        <f t="shared" si="131"/>
        <v>9.02132494199998-5.93751796235328i</v>
      </c>
      <c r="AG125" s="64">
        <f t="shared" si="132"/>
        <v>20.668416401486311</v>
      </c>
      <c r="AH125" s="61">
        <f t="shared" si="133"/>
        <v>-33.351502785647227</v>
      </c>
      <c r="AI125" s="50" t="str">
        <f t="shared" si="112"/>
        <v>108.866083054159</v>
      </c>
      <c r="AJ125" s="50" t="str">
        <f t="shared" si="113"/>
        <v>1+0.603989922652141i</v>
      </c>
      <c r="AK125" s="50">
        <f t="shared" si="134"/>
        <v>1.1682481871012422</v>
      </c>
      <c r="AL125" s="50">
        <f t="shared" si="135"/>
        <v>0.5433481034362142</v>
      </c>
      <c r="AM125" s="50" t="str">
        <f t="shared" si="114"/>
        <v>1+0.000664388914917355i</v>
      </c>
      <c r="AN125" s="50">
        <f t="shared" si="136"/>
        <v>1.0000002207062908</v>
      </c>
      <c r="AO125" s="50">
        <f t="shared" si="137"/>
        <v>6.6438881716082807E-4</v>
      </c>
      <c r="AP125" s="50" t="str">
        <f t="shared" si="115"/>
        <v>1-0.00331510225099962i</v>
      </c>
      <c r="AQ125" s="50">
        <f t="shared" si="138"/>
        <v>1.0000054949363701</v>
      </c>
      <c r="AR125" s="50">
        <f t="shared" si="139"/>
        <v>-3.3150901068623785E-3</v>
      </c>
      <c r="AS125" s="59" t="str">
        <f t="shared" si="140"/>
        <v>79.6393046824644-48.3899102534306i</v>
      </c>
      <c r="AT125" s="50">
        <f t="shared" si="141"/>
        <v>39.387199280390803</v>
      </c>
      <c r="AU125" s="61">
        <f t="shared" si="142"/>
        <v>-31.283427129982528</v>
      </c>
      <c r="AV125" s="32" t="str">
        <f t="shared" si="116"/>
        <v>-0.0000333333333333333</v>
      </c>
      <c r="AW125" s="32" t="str">
        <f t="shared" si="117"/>
        <v>0.0000354340754622589i</v>
      </c>
      <c r="AX125" s="32">
        <f t="shared" si="143"/>
        <v>3.5434075462258898E-5</v>
      </c>
      <c r="AY125" s="32">
        <f t="shared" si="144"/>
        <v>1.5707963267948966</v>
      </c>
      <c r="AZ125" s="32" t="str">
        <f t="shared" si="118"/>
        <v>1+0.0144566106486647i</v>
      </c>
      <c r="BA125" s="32">
        <f t="shared" si="145"/>
        <v>1.0001044913365038</v>
      </c>
      <c r="BB125" s="32">
        <f t="shared" si="146"/>
        <v>1.4455603661940743E-2</v>
      </c>
      <c r="BC125" s="32" t="str">
        <f t="shared" si="119"/>
        <v>1+0.693917311135905i</v>
      </c>
      <c r="BD125" s="32">
        <f t="shared" si="147"/>
        <v>1.2171775690892781</v>
      </c>
      <c r="BE125" s="32">
        <f t="shared" si="148"/>
        <v>0.60663194645214169</v>
      </c>
      <c r="BF125" s="59" t="str">
        <f t="shared" si="149"/>
        <v>-0.639044684497033+0.949952489867586i</v>
      </c>
      <c r="BG125" s="50">
        <f t="shared" si="150"/>
        <v>1.1753240443127075</v>
      </c>
      <c r="BH125" s="61">
        <f t="shared" si="151"/>
        <v>123.92920516937076</v>
      </c>
      <c r="BI125" s="59" t="str">
        <f t="shared" si="152"/>
        <v>-0.124669779334578+12.364169383505i</v>
      </c>
      <c r="BJ125" s="64">
        <f t="shared" si="153"/>
        <v>21.843740445799046</v>
      </c>
      <c r="BK125" s="61">
        <f t="shared" si="154"/>
        <v>90.577702383723533</v>
      </c>
      <c r="BL125" s="59" t="str">
        <f t="shared" si="158"/>
        <v>-4.92495860465311+106.576870705174i</v>
      </c>
      <c r="BM125" s="64">
        <f t="shared" si="155"/>
        <v>40.562523324703534</v>
      </c>
      <c r="BN125" s="61">
        <f t="shared" si="159"/>
        <v>92.645778039388219</v>
      </c>
      <c r="BO125" s="50">
        <f t="shared" si="156"/>
        <v>21.843740445799046</v>
      </c>
      <c r="BP125" s="61">
        <f t="shared" si="157"/>
        <v>90.577702383723533</v>
      </c>
    </row>
    <row r="126" spans="14:68" x14ac:dyDescent="0.25">
      <c r="N126" s="11">
        <v>8</v>
      </c>
      <c r="O126" s="51">
        <f t="shared" si="160"/>
        <v>120.22644346174135</v>
      </c>
      <c r="P126" s="49" t="str">
        <f t="shared" si="107"/>
        <v>25.6231073841137</v>
      </c>
      <c r="Q126" s="18" t="str">
        <f t="shared" si="108"/>
        <v>1+0.653259060851097i</v>
      </c>
      <c r="R126" s="18">
        <f t="shared" si="121"/>
        <v>1.1944653199587074</v>
      </c>
      <c r="S126" s="18">
        <f t="shared" si="122"/>
        <v>0.57866288947826205</v>
      </c>
      <c r="T126" s="18" t="str">
        <f t="shared" si="109"/>
        <v>1+0.000679864520783944i</v>
      </c>
      <c r="U126" s="18">
        <f t="shared" si="123"/>
        <v>1.0000002311078566</v>
      </c>
      <c r="V126" s="18">
        <f t="shared" si="124"/>
        <v>6.798644160359395E-4</v>
      </c>
      <c r="W126" s="32" t="str">
        <f t="shared" si="110"/>
        <v>1-0.0152340012990476i</v>
      </c>
      <c r="X126" s="18">
        <f t="shared" si="125"/>
        <v>1.000116030666232</v>
      </c>
      <c r="Y126" s="18">
        <f t="shared" si="126"/>
        <v>-1.5232822987204693E-2</v>
      </c>
      <c r="Z126" s="32" t="str">
        <f t="shared" si="111"/>
        <v>0.999999638640057+0.00120613002020559i</v>
      </c>
      <c r="AA126" s="18">
        <f t="shared" si="127"/>
        <v>1.0000003660148682</v>
      </c>
      <c r="AB126" s="18">
        <f t="shared" si="128"/>
        <v>1.2061298711803009E-3</v>
      </c>
      <c r="AC126" s="32" t="str">
        <f>IMDIV(IMSUM(COMPLEX(0,2*PI()*O126*Constants!$B$71*Constants!$B$72),COMPLEX(1,0)),IMSUM(COMPLEX(0,2*PI()*O126*Constants!$B$71*Constants!$B$72),COMPLEX(2,0)))</f>
        <v>0.500001141270893+0.00075540329884974i</v>
      </c>
      <c r="AD126" s="18">
        <f t="shared" si="129"/>
        <v>0.50000171190340881</v>
      </c>
      <c r="AE126" s="18">
        <f t="shared" si="130"/>
        <v>1.5108019997471674E-3</v>
      </c>
      <c r="AF126" s="66" t="str">
        <f t="shared" si="131"/>
        <v>8.89612548784876-5.99403287205092i</v>
      </c>
      <c r="AG126" s="64">
        <f t="shared" si="132"/>
        <v>20.609601458632408</v>
      </c>
      <c r="AH126" s="61">
        <f t="shared" si="133"/>
        <v>-33.971308006404207</v>
      </c>
      <c r="AI126" s="50" t="str">
        <f t="shared" si="112"/>
        <v>108.866083054159</v>
      </c>
      <c r="AJ126" s="50" t="str">
        <f t="shared" si="113"/>
        <v>1+0.618058655258132i</v>
      </c>
      <c r="AK126" s="50">
        <f t="shared" si="134"/>
        <v>1.1755834727230092</v>
      </c>
      <c r="AL126" s="50">
        <f t="shared" si="135"/>
        <v>0.55359220755318839</v>
      </c>
      <c r="AM126" s="50" t="str">
        <f t="shared" si="114"/>
        <v>1+0.000679864520783944i</v>
      </c>
      <c r="AN126" s="50">
        <f t="shared" si="136"/>
        <v>1.0000002311078566</v>
      </c>
      <c r="AO126" s="50">
        <f t="shared" si="137"/>
        <v>6.798644160359395E-4</v>
      </c>
      <c r="AP126" s="50" t="str">
        <f t="shared" si="115"/>
        <v>1-0.00339232090214207i</v>
      </c>
      <c r="AQ126" s="50">
        <f t="shared" si="138"/>
        <v>1.0000057539039979</v>
      </c>
      <c r="AR126" s="50">
        <f t="shared" si="139"/>
        <v>-3.3923078894686144E-3</v>
      </c>
      <c r="AS126" s="59" t="str">
        <f t="shared" si="140"/>
        <v>78.6426193597965-48.9010460691867i</v>
      </c>
      <c r="AT126" s="50">
        <f t="shared" si="141"/>
        <v>39.33283449937737</v>
      </c>
      <c r="AU126" s="61">
        <f t="shared" si="142"/>
        <v>-31.873908627323498</v>
      </c>
      <c r="AV126" s="32" t="str">
        <f t="shared" si="116"/>
        <v>-0.0000333333333333333</v>
      </c>
      <c r="AW126" s="32" t="str">
        <f t="shared" si="117"/>
        <v>0.000036259441108477i</v>
      </c>
      <c r="AX126" s="32">
        <f t="shared" si="143"/>
        <v>3.6259441108477002E-5</v>
      </c>
      <c r="AY126" s="32">
        <f t="shared" si="144"/>
        <v>1.5707963267948966</v>
      </c>
      <c r="AZ126" s="32" t="str">
        <f t="shared" si="118"/>
        <v>1+0.0147933483689099i</v>
      </c>
      <c r="BA126" s="32">
        <f t="shared" si="145"/>
        <v>1.0001094155920962</v>
      </c>
      <c r="BB126" s="32">
        <f t="shared" si="146"/>
        <v>1.4792269369570555E-2</v>
      </c>
      <c r="BC126" s="32" t="str">
        <f t="shared" si="119"/>
        <v>1+0.710080721707676i</v>
      </c>
      <c r="BD126" s="32">
        <f t="shared" si="147"/>
        <v>1.226464280499393</v>
      </c>
      <c r="BE126" s="32">
        <f t="shared" si="148"/>
        <v>0.61745955748648773</v>
      </c>
      <c r="BF126" s="59" t="str">
        <f t="shared" si="149"/>
        <v>-0.639038391562349+0.928754320712389i</v>
      </c>
      <c r="BG126" s="50">
        <f t="shared" si="150"/>
        <v>1.0413005581653008</v>
      </c>
      <c r="BH126" s="61">
        <f t="shared" si="151"/>
        <v>124.53029205969412</v>
      </c>
      <c r="BI126" s="59" t="str">
        <f t="shared" si="152"/>
        <v>-0.117981794482307+12.0927321099664i</v>
      </c>
      <c r="BJ126" s="64">
        <f t="shared" si="153"/>
        <v>21.650902016797701</v>
      </c>
      <c r="BK126" s="61">
        <f t="shared" si="154"/>
        <v>90.558984053289919</v>
      </c>
      <c r="BL126" s="59" t="str">
        <f t="shared" si="158"/>
        <v>-4.83859515982167+104.28931834832i</v>
      </c>
      <c r="BM126" s="64">
        <f t="shared" si="155"/>
        <v>40.374135057542652</v>
      </c>
      <c r="BN126" s="61">
        <f t="shared" si="159"/>
        <v>92.656383432370632</v>
      </c>
      <c r="BO126" s="50">
        <f t="shared" si="156"/>
        <v>21.650902016797701</v>
      </c>
      <c r="BP126" s="61">
        <f t="shared" si="157"/>
        <v>90.558984053289919</v>
      </c>
    </row>
    <row r="127" spans="14:68" x14ac:dyDescent="0.25">
      <c r="N127" s="11">
        <v>9</v>
      </c>
      <c r="O127" s="51">
        <f t="shared" si="160"/>
        <v>123.02687708123821</v>
      </c>
      <c r="P127" s="49" t="str">
        <f t="shared" si="107"/>
        <v>25.6231073841137</v>
      </c>
      <c r="Q127" s="18" t="str">
        <f t="shared" si="108"/>
        <v>1+0.668475419112834i</v>
      </c>
      <c r="R127" s="18">
        <f t="shared" si="121"/>
        <v>1.2028546819786998</v>
      </c>
      <c r="S127" s="18">
        <f t="shared" si="122"/>
        <v>0.58925377163995518</v>
      </c>
      <c r="T127" s="18" t="str">
        <f t="shared" si="109"/>
        <v>1+0.000695700599818523i</v>
      </c>
      <c r="U127" s="18">
        <f t="shared" si="123"/>
        <v>1.000000241999633</v>
      </c>
      <c r="V127" s="18">
        <f t="shared" si="124"/>
        <v>6.9570048757901552E-4</v>
      </c>
      <c r="W127" s="32" t="str">
        <f t="shared" si="110"/>
        <v>1-0.0155888467737113i</v>
      </c>
      <c r="X127" s="18">
        <f t="shared" si="125"/>
        <v>1.0001214986909013</v>
      </c>
      <c r="Y127" s="18">
        <f t="shared" si="126"/>
        <v>-1.5587584198107969E-2</v>
      </c>
      <c r="Z127" s="32" t="str">
        <f t="shared" si="111"/>
        <v>0.999999621609688+0.00123422439745582i</v>
      </c>
      <c r="AA127" s="18">
        <f t="shared" si="127"/>
        <v>1.0000003832646178</v>
      </c>
      <c r="AB127" s="18">
        <f t="shared" si="128"/>
        <v>1.2342242377723466E-3</v>
      </c>
      <c r="AC127" s="32" t="str">
        <f>IMDIV(IMSUM(COMPLEX(0,2*PI()*O127*Constants!$B$71*Constants!$B$72),COMPLEX(1,0)),IMSUM(COMPLEX(0,2*PI()*O127*Constants!$B$71*Constants!$B$72),COMPLEX(2,0)))</f>
        <v>0.500001195057204+0.000772998818904994i</v>
      </c>
      <c r="AD127" s="18">
        <f t="shared" si="129"/>
        <v>0.50000179258259292</v>
      </c>
      <c r="AE127" s="18">
        <f t="shared" si="130"/>
        <v>1.5459927110173894E-3</v>
      </c>
      <c r="AF127" s="66" t="str">
        <f t="shared" si="131"/>
        <v>8.76858823869897-6.04839634682861i</v>
      </c>
      <c r="AG127" s="64">
        <f t="shared" si="132"/>
        <v>20.548857934125671</v>
      </c>
      <c r="AH127" s="61">
        <f t="shared" si="133"/>
        <v>-34.597133245045789</v>
      </c>
      <c r="AI127" s="50" t="str">
        <f t="shared" si="112"/>
        <v>108.866083054159</v>
      </c>
      <c r="AJ127" s="50" t="str">
        <f t="shared" si="113"/>
        <v>1+0.632455090744113i</v>
      </c>
      <c r="AK127" s="50">
        <f t="shared" si="134"/>
        <v>1.1832157207407887</v>
      </c>
      <c r="AL127" s="50">
        <f t="shared" si="135"/>
        <v>0.56394232615373541</v>
      </c>
      <c r="AM127" s="50" t="str">
        <f t="shared" si="114"/>
        <v>1+0.000695700599818523i</v>
      </c>
      <c r="AN127" s="50">
        <f t="shared" si="136"/>
        <v>1.000000241999633</v>
      </c>
      <c r="AO127" s="50">
        <f t="shared" si="137"/>
        <v>6.9570048757901552E-4</v>
      </c>
      <c r="AP127" s="50" t="str">
        <f t="shared" si="115"/>
        <v>1-0.0034713382067295i</v>
      </c>
      <c r="AQ127" s="50">
        <f t="shared" si="138"/>
        <v>1.0000060250763221</v>
      </c>
      <c r="AR127" s="50">
        <f t="shared" si="139"/>
        <v>-3.4713242634032168E-3</v>
      </c>
      <c r="AS127" s="59" t="str">
        <f t="shared" si="140"/>
        <v>77.6251989820107-49.3966250604396i</v>
      </c>
      <c r="AT127" s="50">
        <f t="shared" si="141"/>
        <v>39.276627759930335</v>
      </c>
      <c r="AU127" s="61">
        <f t="shared" si="142"/>
        <v>-32.47054670527006</v>
      </c>
      <c r="AV127" s="32" t="str">
        <f t="shared" si="116"/>
        <v>-0.0000333333333333333</v>
      </c>
      <c r="AW127" s="32" t="str">
        <f t="shared" si="117"/>
        <v>0.0000371040319903212i</v>
      </c>
      <c r="AX127" s="32">
        <f t="shared" si="143"/>
        <v>3.7104031990321202E-5</v>
      </c>
      <c r="AY127" s="32">
        <f t="shared" si="144"/>
        <v>1.5707963267948966</v>
      </c>
      <c r="AZ127" s="32" t="str">
        <f t="shared" si="118"/>
        <v>1+0.0151379297182734i</v>
      </c>
      <c r="BA127" s="32">
        <f t="shared" si="145"/>
        <v>1.0001145718947182</v>
      </c>
      <c r="BB127" s="32">
        <f t="shared" si="146"/>
        <v>1.513677355680427E-2</v>
      </c>
      <c r="BC127" s="32" t="str">
        <f t="shared" si="119"/>
        <v>1+0.726620626477125i</v>
      </c>
      <c r="BD127" s="32">
        <f t="shared" si="147"/>
        <v>1.2361138842444939</v>
      </c>
      <c r="BE127" s="32">
        <f t="shared" si="148"/>
        <v>0.62836964493301983</v>
      </c>
      <c r="BF127" s="59" t="str">
        <f t="shared" si="149"/>
        <v>-0.639031802183626+0.908048580616509i</v>
      </c>
      <c r="BG127" s="50">
        <f t="shared" si="150"/>
        <v>0.9093273795727691</v>
      </c>
      <c r="BH127" s="61">
        <f t="shared" si="151"/>
        <v>125.13565538854594</v>
      </c>
      <c r="BI127" s="59" t="str">
        <f t="shared" si="152"/>
        <v>-0.111169027038152+11.827421721996i</v>
      </c>
      <c r="BJ127" s="64">
        <f t="shared" si="153"/>
        <v>21.458185313698472</v>
      </c>
      <c r="BK127" s="61">
        <f t="shared" si="154"/>
        <v>90.538522143500145</v>
      </c>
      <c r="BL127" s="59" t="str">
        <f t="shared" si="158"/>
        <v>-4.75043552695881+102.05346608985i</v>
      </c>
      <c r="BM127" s="64">
        <f t="shared" si="155"/>
        <v>40.185955139503065</v>
      </c>
      <c r="BN127" s="61">
        <f t="shared" si="159"/>
        <v>92.665108683275903</v>
      </c>
      <c r="BO127" s="50">
        <f t="shared" si="156"/>
        <v>21.458185313698472</v>
      </c>
      <c r="BP127" s="61">
        <f t="shared" si="157"/>
        <v>90.538522143500145</v>
      </c>
    </row>
    <row r="128" spans="14:68" x14ac:dyDescent="0.25">
      <c r="N128" s="11">
        <v>10</v>
      </c>
      <c r="O128" s="51">
        <f t="shared" si="160"/>
        <v>125.89254117941677</v>
      </c>
      <c r="P128" s="49" t="str">
        <f t="shared" si="107"/>
        <v>25.6231073841137</v>
      </c>
      <c r="Q128" s="18" t="str">
        <f t="shared" si="108"/>
        <v>1+0.684046211890103i</v>
      </c>
      <c r="R128" s="18">
        <f t="shared" si="121"/>
        <v>1.2115771622151021</v>
      </c>
      <c r="S128" s="18">
        <f t="shared" si="122"/>
        <v>0.59993828500531332</v>
      </c>
      <c r="T128" s="18" t="str">
        <f t="shared" si="109"/>
        <v>1+0.000711905548519811i</v>
      </c>
      <c r="U128" s="18">
        <f t="shared" si="123"/>
        <v>1.0000002534047228</v>
      </c>
      <c r="V128" s="18">
        <f t="shared" si="124"/>
        <v>7.1190542825301354E-4</v>
      </c>
      <c r="W128" s="32" t="str">
        <f t="shared" si="110"/>
        <v>1-0.0159519576612773i</v>
      </c>
      <c r="X128" s="18">
        <f t="shared" si="125"/>
        <v>1.0001272243835917</v>
      </c>
      <c r="Y128" s="18">
        <f t="shared" si="126"/>
        <v>-1.5950604796438585E-2</v>
      </c>
      <c r="Z128" s="32" t="str">
        <f t="shared" si="111"/>
        <v>0.999999603776702+0.00126297317681848i</v>
      </c>
      <c r="AA128" s="18">
        <f t="shared" si="127"/>
        <v>1.0000004013273227</v>
      </c>
      <c r="AB128" s="18">
        <f t="shared" si="128"/>
        <v>1.2629730057145574E-3</v>
      </c>
      <c r="AC128" s="32" t="str">
        <f>IMDIV(IMSUM(COMPLEX(0,2*PI()*O128*Constants!$B$71*Constants!$B$72),COMPLEX(1,0)),IMSUM(COMPLEX(0,2*PI()*O128*Constants!$B$71*Constants!$B$72),COMPLEX(2,0)))</f>
        <v>0.500001251378374+0.000791004185325995i</v>
      </c>
      <c r="AD128" s="18">
        <f t="shared" si="129"/>
        <v>0.50000187706403787</v>
      </c>
      <c r="AE128" s="18">
        <f t="shared" si="130"/>
        <v>1.5820030915009264E-3</v>
      </c>
      <c r="AF128" s="66" t="str">
        <f t="shared" si="131"/>
        <v>8.6387860597549-6.10049093898604i</v>
      </c>
      <c r="AG128" s="64">
        <f t="shared" si="132"/>
        <v>20.4861507610769</v>
      </c>
      <c r="AH128" s="61">
        <f t="shared" si="133"/>
        <v>-35.228765780733603</v>
      </c>
      <c r="AI128" s="50" t="str">
        <f t="shared" si="112"/>
        <v>108.866083054159</v>
      </c>
      <c r="AJ128" s="50" t="str">
        <f t="shared" si="113"/>
        <v>1+0.647186862290738i</v>
      </c>
      <c r="AK128" s="50">
        <f t="shared" si="134"/>
        <v>1.1911552521488249</v>
      </c>
      <c r="AL128" s="50">
        <f t="shared" si="135"/>
        <v>0.57439507661648193</v>
      </c>
      <c r="AM128" s="50" t="str">
        <f t="shared" si="114"/>
        <v>1+0.000711905548519811i</v>
      </c>
      <c r="AN128" s="50">
        <f t="shared" si="136"/>
        <v>1.0000002534047228</v>
      </c>
      <c r="AO128" s="50">
        <f t="shared" si="137"/>
        <v>7.1190542825301354E-4</v>
      </c>
      <c r="AP128" s="50" t="str">
        <f t="shared" si="115"/>
        <v>1-0.00355219606078273i</v>
      </c>
      <c r="AQ128" s="50">
        <f t="shared" si="138"/>
        <v>1.0000063090285252</v>
      </c>
      <c r="AR128" s="50">
        <f t="shared" si="139"/>
        <v>-3.5521811202445294E-3</v>
      </c>
      <c r="AS128" s="59" t="str">
        <f t="shared" si="140"/>
        <v>76.5875018047483-49.8756362865072i</v>
      </c>
      <c r="AT128" s="50">
        <f t="shared" si="141"/>
        <v>39.218541550345329</v>
      </c>
      <c r="AU128" s="61">
        <f t="shared" si="142"/>
        <v>-33.073149473022674</v>
      </c>
      <c r="AV128" s="32" t="str">
        <f t="shared" si="116"/>
        <v>-0.0000333333333333333</v>
      </c>
      <c r="AW128" s="32" t="str">
        <f t="shared" si="117"/>
        <v>0.0000379682959210566i</v>
      </c>
      <c r="AX128" s="32">
        <f t="shared" si="143"/>
        <v>3.79682959210566E-5</v>
      </c>
      <c r="AY128" s="32">
        <f t="shared" si="144"/>
        <v>1.5707963267948966</v>
      </c>
      <c r="AZ128" s="32" t="str">
        <f t="shared" si="118"/>
        <v>1+0.0154905373983477i</v>
      </c>
      <c r="BA128" s="32">
        <f t="shared" si="145"/>
        <v>1.000119971177903</v>
      </c>
      <c r="BB128" s="32">
        <f t="shared" si="146"/>
        <v>1.548929855703959E-2</v>
      </c>
      <c r="BC128" s="32" t="str">
        <f t="shared" si="119"/>
        <v>1+0.743545795120693i</v>
      </c>
      <c r="BD128" s="32">
        <f t="shared" si="147"/>
        <v>1.246138174297563</v>
      </c>
      <c r="BE128" s="32">
        <f t="shared" si="148"/>
        <v>0.63935760465817504</v>
      </c>
      <c r="BF128" s="59" t="str">
        <f t="shared" si="149"/>
        <v>-0.639024902402703+0.887824290495176i</v>
      </c>
      <c r="BG128" s="50">
        <f t="shared" si="150"/>
        <v>0.77943480573409651</v>
      </c>
      <c r="BH128" s="61">
        <f t="shared" si="151"/>
        <v>125.74502091157088</v>
      </c>
      <c r="BI128" s="59" t="str">
        <f t="shared" si="152"/>
        <v>-0.104235379135176+11.5680897311356i</v>
      </c>
      <c r="BJ128" s="64">
        <f t="shared" si="153"/>
        <v>21.265585566810966</v>
      </c>
      <c r="BK128" s="61">
        <f t="shared" si="154"/>
        <v>90.51625513083728</v>
      </c>
      <c r="BL128" s="59" t="str">
        <f t="shared" si="158"/>
        <v>-4.66051946698241+99.8680180608566i</v>
      </c>
      <c r="BM128" s="64">
        <f t="shared" si="155"/>
        <v>39.99797635607942</v>
      </c>
      <c r="BN128" s="61">
        <f t="shared" si="159"/>
        <v>92.671871438548223</v>
      </c>
      <c r="BO128" s="50">
        <f t="shared" si="156"/>
        <v>21.265585566810966</v>
      </c>
      <c r="BP128" s="61">
        <f t="shared" si="157"/>
        <v>90.51625513083728</v>
      </c>
    </row>
    <row r="129" spans="14:68" x14ac:dyDescent="0.25">
      <c r="N129" s="11">
        <v>11</v>
      </c>
      <c r="O129" s="51">
        <f t="shared" si="160"/>
        <v>128.82495516931343</v>
      </c>
      <c r="P129" s="49" t="str">
        <f t="shared" si="107"/>
        <v>25.6231073841137</v>
      </c>
      <c r="Q129" s="18" t="str">
        <f t="shared" si="108"/>
        <v>1+0.699979695023338i</v>
      </c>
      <c r="R129" s="18">
        <f t="shared" si="121"/>
        <v>1.2206439175471957</v>
      </c>
      <c r="S129" s="18">
        <f t="shared" si="122"/>
        <v>0.61071233675809666</v>
      </c>
      <c r="T129" s="18" t="str">
        <f t="shared" si="109"/>
        <v>1+0.00072848795896611i</v>
      </c>
      <c r="U129" s="18">
        <f t="shared" si="123"/>
        <v>1.0000002653473179</v>
      </c>
      <c r="V129" s="18">
        <f t="shared" si="124"/>
        <v>7.284878300979165E-4</v>
      </c>
      <c r="W129" s="32" t="str">
        <f t="shared" si="110"/>
        <v>1-0.0163235264879443i</v>
      </c>
      <c r="X129" s="18">
        <f t="shared" si="125"/>
        <v>1.0001332198847324</v>
      </c>
      <c r="Y129" s="18">
        <f t="shared" si="126"/>
        <v>-1.6322076877580756E-2</v>
      </c>
      <c r="Z129" s="32" t="str">
        <f t="shared" si="111"/>
        <v>0.999999585103273+0.00129239160127691i</v>
      </c>
      <c r="AA129" s="18">
        <f t="shared" si="127"/>
        <v>1.0000004202412964</v>
      </c>
      <c r="AB129" s="18">
        <f t="shared" si="128"/>
        <v>1.2923914179357565E-3</v>
      </c>
      <c r="AC129" s="32" t="str">
        <f>IMDIV(IMSUM(COMPLEX(0,2*PI()*O129*Constants!$B$71*Constants!$B$72),COMPLEX(1,0)),IMSUM(COMPLEX(0,2*PI()*O129*Constants!$B$71*Constants!$B$72),COMPLEX(2,0)))</f>
        <v>0.500001310353866+0.000809428944235649i</v>
      </c>
      <c r="AD129" s="18">
        <f t="shared" si="129"/>
        <v>0.50000196552693543</v>
      </c>
      <c r="AE129" s="18">
        <f t="shared" si="130"/>
        <v>1.6188522317616182E-3</v>
      </c>
      <c r="AF129" s="66" t="str">
        <f t="shared" si="131"/>
        <v>8.50679931108837-6.15020161705535i</v>
      </c>
      <c r="AG129" s="64">
        <f t="shared" si="132"/>
        <v>20.42144604802963</v>
      </c>
      <c r="AH129" s="61">
        <f t="shared" si="133"/>
        <v>-35.865981405884753</v>
      </c>
      <c r="AI129" s="50" t="str">
        <f t="shared" si="112"/>
        <v>108.866083054159</v>
      </c>
      <c r="AJ129" s="50" t="str">
        <f t="shared" si="113"/>
        <v>1+0.662261780878282i</v>
      </c>
      <c r="AK129" s="50">
        <f t="shared" si="134"/>
        <v>1.1994126339221518</v>
      </c>
      <c r="AL129" s="50">
        <f t="shared" si="135"/>
        <v>0.58494686433245868</v>
      </c>
      <c r="AM129" s="50" t="str">
        <f t="shared" si="114"/>
        <v>1+0.00072848795896611i</v>
      </c>
      <c r="AN129" s="50">
        <f t="shared" si="136"/>
        <v>1.0000002653473179</v>
      </c>
      <c r="AO129" s="50">
        <f t="shared" si="137"/>
        <v>7.284878300979165E-4</v>
      </c>
      <c r="AP129" s="50" t="str">
        <f t="shared" si="115"/>
        <v>1-0.00363493733620627i</v>
      </c>
      <c r="AQ129" s="50">
        <f t="shared" si="138"/>
        <v>1.000006606362897</v>
      </c>
      <c r="AR129" s="50">
        <f t="shared" si="139"/>
        <v>-3.634921327136869E-3</v>
      </c>
      <c r="AS129" s="59" t="str">
        <f t="shared" si="140"/>
        <v>75.530048351904-50.33707809065i</v>
      </c>
      <c r="AT129" s="50">
        <f t="shared" si="141"/>
        <v>39.158539254220202</v>
      </c>
      <c r="AU129" s="61">
        <f t="shared" si="142"/>
        <v>-33.681512938477205</v>
      </c>
      <c r="AV129" s="32" t="str">
        <f t="shared" si="116"/>
        <v>-0.0000333333333333333</v>
      </c>
      <c r="AW129" s="32" t="str">
        <f t="shared" si="117"/>
        <v>0.0000388526911448592i</v>
      </c>
      <c r="AX129" s="32">
        <f t="shared" si="143"/>
        <v>3.8852691144859199E-5</v>
      </c>
      <c r="AY129" s="32">
        <f t="shared" si="144"/>
        <v>1.5707963267948966</v>
      </c>
      <c r="AZ129" s="32" t="str">
        <f t="shared" si="118"/>
        <v>1+0.0158513583663922i</v>
      </c>
      <c r="BA129" s="32">
        <f t="shared" si="145"/>
        <v>1.0001256248902235</v>
      </c>
      <c r="BB129" s="32">
        <f t="shared" si="146"/>
        <v>1.5850030933019649E-2</v>
      </c>
      <c r="BC129" s="32" t="str">
        <f t="shared" si="119"/>
        <v>1+0.760865201586827i</v>
      </c>
      <c r="BD129" s="32">
        <f t="shared" si="147"/>
        <v>1.2565491852632602</v>
      </c>
      <c r="BE129" s="32">
        <f t="shared" si="148"/>
        <v>0.65041864986148656</v>
      </c>
      <c r="BF129" s="59" t="str">
        <f t="shared" si="149"/>
        <v>-0.639017677604813+0.868070726489946i</v>
      </c>
      <c r="BG129" s="50">
        <f t="shared" si="150"/>
        <v>0.65165155363336902</v>
      </c>
      <c r="BH129" s="61">
        <f t="shared" si="151"/>
        <v>126.3581036760466</v>
      </c>
      <c r="BI129" s="59" t="str">
        <f t="shared" si="152"/>
        <v>-0.097185153845035+11.3145910122127i</v>
      </c>
      <c r="BJ129" s="64">
        <f t="shared" si="153"/>
        <v>21.07309760166298</v>
      </c>
      <c r="BK129" s="61">
        <f t="shared" si="154"/>
        <v>90.492122270161843</v>
      </c>
      <c r="BL129" s="59" t="str">
        <f t="shared" si="158"/>
        <v>-4.56889213968124+97.7317066835573i</v>
      </c>
      <c r="BM129" s="64">
        <f t="shared" si="155"/>
        <v>39.810190807853573</v>
      </c>
      <c r="BN129" s="61">
        <f t="shared" si="159"/>
        <v>92.676590737569413</v>
      </c>
      <c r="BO129" s="50">
        <f t="shared" si="156"/>
        <v>21.07309760166298</v>
      </c>
      <c r="BP129" s="61">
        <f t="shared" si="157"/>
        <v>90.492122270161843</v>
      </c>
    </row>
    <row r="130" spans="14:68" x14ac:dyDescent="0.25">
      <c r="N130" s="11">
        <v>12</v>
      </c>
      <c r="O130" s="51">
        <f t="shared" si="160"/>
        <v>131.82567385564084</v>
      </c>
      <c r="P130" s="49" t="str">
        <f t="shared" si="107"/>
        <v>25.6231073841137</v>
      </c>
      <c r="Q130" s="18" t="str">
        <f t="shared" si="108"/>
        <v>1+0.716284316656202i</v>
      </c>
      <c r="R130" s="18">
        <f t="shared" si="121"/>
        <v>1.2300663487339381</v>
      </c>
      <c r="S130" s="18">
        <f t="shared" si="122"/>
        <v>0.62157163427181228</v>
      </c>
      <c r="T130" s="18" t="str">
        <f t="shared" si="109"/>
        <v>1+0.000745456623370931i</v>
      </c>
      <c r="U130" s="18">
        <f t="shared" si="123"/>
        <v>1.0000002778527501</v>
      </c>
      <c r="V130" s="18">
        <f t="shared" si="124"/>
        <v>7.4545648528617596E-4</v>
      </c>
      <c r="W130" s="32" t="str">
        <f t="shared" si="110"/>
        <v>1-0.0167037502644227i</v>
      </c>
      <c r="X130" s="18">
        <f t="shared" si="125"/>
        <v>1.0001394979066152</v>
      </c>
      <c r="Y130" s="18">
        <f t="shared" si="126"/>
        <v>-1.6702196990633869E-2</v>
      </c>
      <c r="Z130" s="32" t="str">
        <f t="shared" si="111"/>
        <v>0.999999565549793+0.00132249526886917i</v>
      </c>
      <c r="AA130" s="18">
        <f t="shared" si="127"/>
        <v>1.0000004400466584</v>
      </c>
      <c r="AB130" s="18">
        <f t="shared" si="128"/>
        <v>1.3224950724155867E-3</v>
      </c>
      <c r="AC130" s="32" t="str">
        <f>IMDIV(IMSUM(COMPLEX(0,2*PI()*O130*Constants!$B$71*Constants!$B$72),COMPLEX(1,0)),IMSUM(COMPLEX(0,2*PI()*O130*Constants!$B$71*Constants!$B$72),COMPLEX(2,0)))</f>
        <v>0.500001372108771+0.000828282864084207i</v>
      </c>
      <c r="AD130" s="18">
        <f t="shared" si="129"/>
        <v>0.50000205815892074</v>
      </c>
      <c r="AE130" s="18">
        <f t="shared" si="130"/>
        <v>1.6565596668977095E-3</v>
      </c>
      <c r="AF130" s="66" t="str">
        <f t="shared" si="131"/>
        <v>8.37271578654603-6.19741632630941i</v>
      </c>
      <c r="AG130" s="64">
        <f t="shared" si="132"/>
        <v>20.35471119329182</v>
      </c>
      <c r="AH130" s="61">
        <f t="shared" si="133"/>
        <v>-36.508544703217297</v>
      </c>
      <c r="AI130" s="50" t="str">
        <f t="shared" si="112"/>
        <v>108.866083054159</v>
      </c>
      <c r="AJ130" s="50" t="str">
        <f t="shared" si="113"/>
        <v>1+0.677687839428119i</v>
      </c>
      <c r="AK130" s="50">
        <f t="shared" si="134"/>
        <v>1.2079986786866748</v>
      </c>
      <c r="AL130" s="50">
        <f t="shared" si="135"/>
        <v>0.59559388512614064</v>
      </c>
      <c r="AM130" s="50" t="str">
        <f t="shared" si="114"/>
        <v>1+0.000745456623370931i</v>
      </c>
      <c r="AN130" s="50">
        <f t="shared" si="136"/>
        <v>1.0000002778527501</v>
      </c>
      <c r="AO130" s="50">
        <f t="shared" si="137"/>
        <v>7.4545648528617596E-4</v>
      </c>
      <c r="AP130" s="50" t="str">
        <f t="shared" si="115"/>
        <v>1-0.00371960590351956i</v>
      </c>
      <c r="AQ130" s="50">
        <f t="shared" si="138"/>
        <v>1.0000069177101114</v>
      </c>
      <c r="AR130" s="50">
        <f t="shared" si="139"/>
        <v>-3.7195887494990468E-3</v>
      </c>
      <c r="AS130" s="59" t="str">
        <f t="shared" si="140"/>
        <v>74.4534218126366-50.7799625487842i</v>
      </c>
      <c r="AT130" s="50">
        <f t="shared" si="141"/>
        <v>39.096585264778092</v>
      </c>
      <c r="AU130" s="61">
        <f t="shared" si="142"/>
        <v>-34.295421147980505</v>
      </c>
      <c r="AV130" s="32" t="str">
        <f t="shared" si="116"/>
        <v>-0.0000333333333333333</v>
      </c>
      <c r="AW130" s="32" t="str">
        <f t="shared" si="117"/>
        <v>0.0000397576865797829i</v>
      </c>
      <c r="AX130" s="32">
        <f t="shared" si="143"/>
        <v>3.9757686579782901E-5</v>
      </c>
      <c r="AY130" s="32">
        <f t="shared" si="144"/>
        <v>1.5707963267948966</v>
      </c>
      <c r="AZ130" s="32" t="str">
        <f t="shared" si="118"/>
        <v>1+0.0162205839344601i</v>
      </c>
      <c r="BA130" s="32">
        <f t="shared" si="145"/>
        <v>1.0001315450195414</v>
      </c>
      <c r="BB130" s="32">
        <f t="shared" si="146"/>
        <v>1.6219161574078846E-2</v>
      </c>
      <c r="BC130" s="32" t="str">
        <f t="shared" si="119"/>
        <v>1+0.778588028854084i</v>
      </c>
      <c r="BD130" s="32">
        <f t="shared" si="147"/>
        <v>1.2673591908669333</v>
      </c>
      <c r="BE130" s="32">
        <f t="shared" si="148"/>
        <v>0.66154781939922103</v>
      </c>
      <c r="BF130" s="59" t="str">
        <f t="shared" si="149"/>
        <v>-0.639010112487783+0.848777414279559i</v>
      </c>
      <c r="BG130" s="50">
        <f t="shared" si="150"/>
        <v>0.52600465405022201</v>
      </c>
      <c r="BH130" s="61">
        <f t="shared" si="151"/>
        <v>126.97460849222269</v>
      </c>
      <c r="BI130" s="59" t="str">
        <f t="shared" si="152"/>
        <v>-0.0900230519301903+11.0667837596108i</v>
      </c>
      <c r="BJ130" s="64">
        <f t="shared" si="153"/>
        <v>20.880715847342056</v>
      </c>
      <c r="BK130" s="61">
        <f t="shared" si="154"/>
        <v>90.466063789005403</v>
      </c>
      <c r="BL130" s="59" t="str">
        <f t="shared" si="158"/>
        <v>-4.47560413822338+95.643292430819i</v>
      </c>
      <c r="BM130" s="64">
        <f t="shared" si="155"/>
        <v>39.622589918828311</v>
      </c>
      <c r="BN130" s="61">
        <f t="shared" si="159"/>
        <v>92.67918734424218</v>
      </c>
      <c r="BO130" s="50">
        <f t="shared" si="156"/>
        <v>20.880715847342056</v>
      </c>
      <c r="BP130" s="61">
        <f t="shared" si="157"/>
        <v>90.466063789005403</v>
      </c>
    </row>
    <row r="131" spans="14:68" x14ac:dyDescent="0.25">
      <c r="N131" s="11">
        <v>13</v>
      </c>
      <c r="O131" s="51">
        <f t="shared" si="160"/>
        <v>134.89628825916537</v>
      </c>
      <c r="P131" s="49" t="str">
        <f t="shared" si="107"/>
        <v>25.6231073841137</v>
      </c>
      <c r="Q131" s="18" t="str">
        <f t="shared" si="108"/>
        <v>1+0.732968721714899i</v>
      </c>
      <c r="R131" s="18">
        <f t="shared" si="121"/>
        <v>1.2398560993165186</v>
      </c>
      <c r="S131" s="18">
        <f t="shared" si="122"/>
        <v>0.63251169084200976</v>
      </c>
      <c r="T131" s="18" t="str">
        <f t="shared" si="109"/>
        <v>1+0.000762820538744746i</v>
      </c>
      <c r="U131" s="18">
        <f t="shared" si="123"/>
        <v>1.0000002909475447</v>
      </c>
      <c r="V131" s="18">
        <f t="shared" si="124"/>
        <v>7.6282039078426746E-4</v>
      </c>
      <c r="W131" s="32" t="str">
        <f t="shared" si="110"/>
        <v>1-0.0170928305903915i</v>
      </c>
      <c r="X131" s="18">
        <f t="shared" si="125"/>
        <v>1.0001460717603163</v>
      </c>
      <c r="Y131" s="18">
        <f t="shared" si="126"/>
        <v>-1.7091166240668698E-2</v>
      </c>
      <c r="Z131" s="32" t="str">
        <f t="shared" si="111"/>
        <v>0.999999545074785+0.00135330014095827i</v>
      </c>
      <c r="AA131" s="18">
        <f t="shared" si="127"/>
        <v>1.000000460785418</v>
      </c>
      <c r="AB131" s="18">
        <f t="shared" si="128"/>
        <v>1.3532999304544664E-3</v>
      </c>
      <c r="AC131" s="32" t="str">
        <f>IMDIV(IMSUM(COMPLEX(0,2*PI()*O131*Constants!$B$71*Constants!$B$72),COMPLEX(1,0)),IMSUM(COMPLEX(0,2*PI()*O131*Constants!$B$71*Constants!$B$72),COMPLEX(2,0)))</f>
        <v>0.50000143677408+0.000847575940825767i</v>
      </c>
      <c r="AD131" s="18">
        <f t="shared" si="129"/>
        <v>0.50000215515647517</v>
      </c>
      <c r="AE131" s="18">
        <f t="shared" si="130"/>
        <v>1.6951453868862335E-3</v>
      </c>
      <c r="AF131" s="66" t="str">
        <f t="shared" si="131"/>
        <v>8.23663060415652-6.24202655358297i</v>
      </c>
      <c r="AG131" s="64">
        <f t="shared" si="132"/>
        <v>20.285914997977127</v>
      </c>
      <c r="AH131" s="61">
        <f t="shared" si="133"/>
        <v>-37.156209379659764</v>
      </c>
      <c r="AI131" s="50" t="str">
        <f t="shared" si="112"/>
        <v>108.866083054159</v>
      </c>
      <c r="AJ131" s="50" t="str">
        <f t="shared" si="113"/>
        <v>1+0.693473217040679i</v>
      </c>
      <c r="AK131" s="50">
        <f t="shared" si="134"/>
        <v>1.2169244441429996</v>
      </c>
      <c r="AL131" s="50">
        <f t="shared" si="135"/>
        <v>0.60633212862655006</v>
      </c>
      <c r="AM131" s="50" t="str">
        <f t="shared" si="114"/>
        <v>1+0.000762820538744746i</v>
      </c>
      <c r="AN131" s="50">
        <f t="shared" si="136"/>
        <v>1.0000002909475447</v>
      </c>
      <c r="AO131" s="50">
        <f t="shared" si="137"/>
        <v>7.6282039078426746E-4</v>
      </c>
      <c r="AP131" s="50" t="str">
        <f t="shared" si="115"/>
        <v>1-0.00380624665511768i</v>
      </c>
      <c r="AQ131" s="50">
        <f t="shared" si="138"/>
        <v>1.000007243730564</v>
      </c>
      <c r="AR131" s="50">
        <f t="shared" si="139"/>
        <v>-3.8062282742607288E-3</v>
      </c>
      <c r="AS131" s="59" t="str">
        <f t="shared" si="140"/>
        <v>73.3582680746518-51.2033200386156i</v>
      </c>
      <c r="AT131" s="50">
        <f t="shared" si="141"/>
        <v>39.032645099588763</v>
      </c>
      <c r="AU131" s="61">
        <f t="shared" si="142"/>
        <v>-34.914646380544738</v>
      </c>
      <c r="AV131" s="32" t="str">
        <f t="shared" si="116"/>
        <v>-0.0000333333333333333</v>
      </c>
      <c r="AW131" s="32" t="str">
        <f t="shared" si="117"/>
        <v>0.0000406837620663864i</v>
      </c>
      <c r="AX131" s="32">
        <f t="shared" si="143"/>
        <v>4.0683762066386398E-5</v>
      </c>
      <c r="AY131" s="32">
        <f t="shared" si="144"/>
        <v>1.5707963267948966</v>
      </c>
      <c r="AZ131" s="32" t="str">
        <f t="shared" si="118"/>
        <v>1+0.0165984098708347i</v>
      </c>
      <c r="BA131" s="32">
        <f t="shared" si="145"/>
        <v>1.000137744118399</v>
      </c>
      <c r="BB131" s="32">
        <f t="shared" si="146"/>
        <v>1.6596885795563694E-2</v>
      </c>
      <c r="BC131" s="32" t="str">
        <f t="shared" si="119"/>
        <v>1+0.796723673800069i</v>
      </c>
      <c r="BD131" s="32">
        <f t="shared" si="147"/>
        <v>1.2785807023389173</v>
      </c>
      <c r="BE131" s="32">
        <f t="shared" si="148"/>
        <v>0.67273998706943172</v>
      </c>
      <c r="BF131" s="59" t="str">
        <f t="shared" si="149"/>
        <v>-0.639002191029753+0.829934123522896i</v>
      </c>
      <c r="BG131" s="50">
        <f t="shared" si="150"/>
        <v>0.40251934963993607</v>
      </c>
      <c r="BH131" s="61">
        <f t="shared" si="151"/>
        <v>127.59423045961756</v>
      </c>
      <c r="BI131" s="59" t="str">
        <f t="shared" si="152"/>
        <v>-0.0827541660042099+10.8245294454479i</v>
      </c>
      <c r="BJ131" s="64">
        <f t="shared" si="153"/>
        <v>20.688434347617051</v>
      </c>
      <c r="BK131" s="61">
        <f t="shared" si="154"/>
        <v>90.438021079957821</v>
      </c>
      <c r="BL131" s="59" t="str">
        <f t="shared" si="158"/>
        <v>-4.3807114921397+93.6015636103668i</v>
      </c>
      <c r="BM131" s="64">
        <f t="shared" si="155"/>
        <v>39.435164449228694</v>
      </c>
      <c r="BN131" s="61">
        <f t="shared" si="159"/>
        <v>92.679584079072839</v>
      </c>
      <c r="BO131" s="50">
        <f t="shared" si="156"/>
        <v>20.688434347617051</v>
      </c>
      <c r="BP131" s="61">
        <f t="shared" si="157"/>
        <v>90.438021079957821</v>
      </c>
    </row>
    <row r="132" spans="14:68" x14ac:dyDescent="0.25">
      <c r="N132" s="11">
        <v>14</v>
      </c>
      <c r="O132" s="51">
        <f t="shared" si="160"/>
        <v>138.0384264602886</v>
      </c>
      <c r="P132" s="49" t="str">
        <f t="shared" si="107"/>
        <v>25.6231073841137</v>
      </c>
      <c r="Q132" s="18" t="str">
        <f t="shared" si="108"/>
        <v>1+0.750041756491839i</v>
      </c>
      <c r="R132" s="18">
        <f t="shared" si="121"/>
        <v>1.2500250543414573</v>
      </c>
      <c r="S132" s="18">
        <f t="shared" si="122"/>
        <v>0.64352783241243039</v>
      </c>
      <c r="T132" s="18" t="str">
        <f t="shared" si="109"/>
        <v>1+0.000780588911665328i</v>
      </c>
      <c r="U132" s="18">
        <f t="shared" si="123"/>
        <v>1.0000003046594781</v>
      </c>
      <c r="V132" s="18">
        <f t="shared" si="124"/>
        <v>7.8058875312282151E-4</v>
      </c>
      <c r="W132" s="32" t="str">
        <f t="shared" si="110"/>
        <v>1-0.0174909737613898i</v>
      </c>
      <c r="X132" s="18">
        <f t="shared" si="125"/>
        <v>1.0001529553838859</v>
      </c>
      <c r="Y132" s="18">
        <f t="shared" si="126"/>
        <v>-1.7489190393261005E-2</v>
      </c>
      <c r="Z132" s="32" t="str">
        <f t="shared" si="111"/>
        <v>0.99999952363482+0.00138482255069516i</v>
      </c>
      <c r="AA132" s="18">
        <f t="shared" si="127"/>
        <v>1.0000004825015656</v>
      </c>
      <c r="AB132" s="18">
        <f t="shared" si="128"/>
        <v>1.3848223251362738E-3</v>
      </c>
      <c r="AC132" s="32" t="str">
        <f>IMDIV(IMSUM(COMPLEX(0,2*PI()*O132*Constants!$B$71*Constants!$B$72),COMPLEX(1,0)),IMSUM(COMPLEX(0,2*PI()*O132*Constants!$B$71*Constants!$B$72),COMPLEX(2,0)))</f>
        <v>0.500001504486952+0.00086731840321518i</v>
      </c>
      <c r="AD132" s="18">
        <f t="shared" si="129"/>
        <v>0.50000225672533516</v>
      </c>
      <c r="AE132" s="18">
        <f t="shared" si="130"/>
        <v>1.7346298471676348E-3</v>
      </c>
      <c r="AF132" s="66" t="str">
        <f t="shared" si="131"/>
        <v>8.09864604672947-6.28392789167038i</v>
      </c>
      <c r="AG132" s="64">
        <f t="shared" si="132"/>
        <v>20.215027777003257</v>
      </c>
      <c r="AH132" s="61">
        <f t="shared" si="133"/>
        <v>-37.808718657325393</v>
      </c>
      <c r="AI132" s="50" t="str">
        <f t="shared" si="112"/>
        <v>108.866083054159</v>
      </c>
      <c r="AJ132" s="50" t="str">
        <f t="shared" si="113"/>
        <v>1+0.709626283332117i</v>
      </c>
      <c r="AK132" s="50">
        <f t="shared" si="134"/>
        <v>1.2262012322599232</v>
      </c>
      <c r="AL132" s="50">
        <f t="shared" si="135"/>
        <v>0.61715738261034825</v>
      </c>
      <c r="AM132" s="50" t="str">
        <f t="shared" si="114"/>
        <v>1+0.000780588911665328i</v>
      </c>
      <c r="AN132" s="50">
        <f t="shared" si="136"/>
        <v>1.0000003046594781</v>
      </c>
      <c r="AO132" s="50">
        <f t="shared" si="137"/>
        <v>7.8058875312282151E-4</v>
      </c>
      <c r="AP132" s="50" t="str">
        <f t="shared" si="115"/>
        <v>1-0.00389490552907398i</v>
      </c>
      <c r="AQ132" s="50">
        <f t="shared" si="138"/>
        <v>1.0000075851157733</v>
      </c>
      <c r="AR132" s="50">
        <f t="shared" si="139"/>
        <v>-3.8948858336389789E-3</v>
      </c>
      <c r="AS132" s="59" t="str">
        <f t="shared" si="140"/>
        <v>72.2452953741934-51.6062038961476i</v>
      </c>
      <c r="AT132" s="50">
        <f t="shared" si="141"/>
        <v>38.966685515002595</v>
      </c>
      <c r="AU132" s="61">
        <f t="shared" si="142"/>
        <v>-35.538949397776989</v>
      </c>
      <c r="AV132" s="32" t="str">
        <f t="shared" si="116"/>
        <v>-0.0000333333333333333</v>
      </c>
      <c r="AW132" s="32" t="str">
        <f t="shared" si="117"/>
        <v>0.0000416314086221508i</v>
      </c>
      <c r="AX132" s="32">
        <f t="shared" si="143"/>
        <v>4.16314086221508E-5</v>
      </c>
      <c r="AY132" s="32">
        <f t="shared" si="144"/>
        <v>1.5707963267948966</v>
      </c>
      <c r="AZ132" s="32" t="str">
        <f t="shared" si="118"/>
        <v>1+0.0169850365038289i</v>
      </c>
      <c r="BA132" s="32">
        <f t="shared" si="145"/>
        <v>1.0001442353306029</v>
      </c>
      <c r="BB132" s="32">
        <f t="shared" si="146"/>
        <v>1.6983403440472923E-2</v>
      </c>
      <c r="BC132" s="32" t="str">
        <f t="shared" si="119"/>
        <v>1+0.815281752183789i</v>
      </c>
      <c r="BD132" s="32">
        <f t="shared" si="147"/>
        <v>1.2902264667273993</v>
      </c>
      <c r="BE132" s="32">
        <f t="shared" si="148"/>
        <v>0.68398987182946724</v>
      </c>
      <c r="BF132" s="59" t="str">
        <f t="shared" si="149"/>
        <v>-0.638993896455403+0.811530862431029i</v>
      </c>
      <c r="BG132" s="50">
        <f t="shared" si="150"/>
        <v>0.28121899785227922</v>
      </c>
      <c r="BH132" s="61">
        <f t="shared" si="151"/>
        <v>128.21665554661547</v>
      </c>
      <c r="BI132" s="59" t="str">
        <f t="shared" si="152"/>
        <v>-0.0753839720311493+10.5876927793693i</v>
      </c>
      <c r="BJ132" s="64">
        <f t="shared" si="153"/>
        <v>20.496246774855575</v>
      </c>
      <c r="BK132" s="61">
        <f t="shared" si="154"/>
        <v>90.40793688929007</v>
      </c>
      <c r="BL132" s="59" t="str">
        <f t="shared" si="158"/>
        <v>-4.28427563709516+91.605336170475i</v>
      </c>
      <c r="BM132" s="64">
        <f t="shared" si="155"/>
        <v>39.24790451285488</v>
      </c>
      <c r="BN132" s="61">
        <f t="shared" si="159"/>
        <v>92.677706148838482</v>
      </c>
      <c r="BO132" s="50">
        <f t="shared" si="156"/>
        <v>20.496246774855575</v>
      </c>
      <c r="BP132" s="61">
        <f t="shared" si="157"/>
        <v>90.40793688929007</v>
      </c>
    </row>
    <row r="133" spans="14:68" x14ac:dyDescent="0.25">
      <c r="N133" s="11">
        <v>15</v>
      </c>
      <c r="O133" s="51">
        <f t="shared" si="160"/>
        <v>141.25375446227542</v>
      </c>
      <c r="P133" s="49" t="str">
        <f t="shared" si="107"/>
        <v>25.6231073841137</v>
      </c>
      <c r="Q133" s="18" t="str">
        <f t="shared" si="108"/>
        <v>1+0.767512473336047i</v>
      </c>
      <c r="R133" s="18">
        <f t="shared" si="121"/>
        <v>1.2605853389304575</v>
      </c>
      <c r="S133" s="18">
        <f t="shared" si="122"/>
        <v>0.65461520528989769</v>
      </c>
      <c r="T133" s="18" t="str">
        <f t="shared" si="109"/>
        <v>1+0.00079877116315919i</v>
      </c>
      <c r="U133" s="18">
        <f t="shared" si="123"/>
        <v>1.0000003190176348</v>
      </c>
      <c r="V133" s="18">
        <f t="shared" si="124"/>
        <v>7.9877099327783658E-4</v>
      </c>
      <c r="W133" s="32" t="str">
        <f t="shared" si="110"/>
        <v>1-0.0178983908781967i</v>
      </c>
      <c r="X133" s="18">
        <f t="shared" si="125"/>
        <v>1.0001601633718615</v>
      </c>
      <c r="Y133" s="18">
        <f t="shared" si="126"/>
        <v>-1.7896479981345189E-2</v>
      </c>
      <c r="Z133" s="32" t="str">
        <f t="shared" si="111"/>
        <v>0.999999501184421+0.00141707921167871i</v>
      </c>
      <c r="AA133" s="18">
        <f t="shared" si="127"/>
        <v>1.0000005052411638</v>
      </c>
      <c r="AB133" s="18">
        <f t="shared" si="128"/>
        <v>1.417078969988012E-3</v>
      </c>
      <c r="AC133" s="32" t="str">
        <f>IMDIV(IMSUM(COMPLEX(0,2*PI()*O133*Constants!$B$71*Constants!$B$72),COMPLEX(1,0)),IMSUM(COMPLEX(0,2*PI()*O133*Constants!$B$71*Constants!$B$72),COMPLEX(2,0)))</f>
        <v>0.500001575391014+0.000887520718228183i</v>
      </c>
      <c r="AD133" s="18">
        <f t="shared" si="129"/>
        <v>0.50000236308093693</v>
      </c>
      <c r="AE133" s="18">
        <f t="shared" si="130"/>
        <v>1.7750339794761309E-3</v>
      </c>
      <c r="AF133" s="66" t="str">
        <f t="shared" si="131"/>
        <v>7.95887135185578-6.32302059832518i</v>
      </c>
      <c r="AG133" s="64">
        <f t="shared" si="132"/>
        <v>20.142021467281396</v>
      </c>
      <c r="AH133" s="61">
        <f t="shared" si="133"/>
        <v>-38.465805721261006</v>
      </c>
      <c r="AI133" s="50" t="str">
        <f t="shared" si="112"/>
        <v>108.866083054159</v>
      </c>
      <c r="AJ133" s="50" t="str">
        <f t="shared" si="113"/>
        <v>1+0.726155602871992i</v>
      </c>
      <c r="AK133" s="50">
        <f t="shared" si="134"/>
        <v>1.2358405882565866</v>
      </c>
      <c r="AL133" s="50">
        <f t="shared" si="135"/>
        <v>0.62806523833157168</v>
      </c>
      <c r="AM133" s="50" t="str">
        <f t="shared" si="114"/>
        <v>1+0.00079877116315919i</v>
      </c>
      <c r="AN133" s="50">
        <f t="shared" si="136"/>
        <v>1.0000003190176348</v>
      </c>
      <c r="AO133" s="50">
        <f t="shared" si="137"/>
        <v>7.9877099327783658E-4</v>
      </c>
      <c r="AP133" s="50" t="str">
        <f t="shared" si="115"/>
        <v>1-0.00398562953349697i</v>
      </c>
      <c r="AQ133" s="50">
        <f t="shared" si="138"/>
        <v>1.0000079425898467</v>
      </c>
      <c r="AR133" s="50">
        <f t="shared" si="139"/>
        <v>-3.9856084294671934E-3</v>
      </c>
      <c r="AS133" s="59" t="str">
        <f t="shared" si="140"/>
        <v>71.1152735464807-51.9876951235783i</v>
      </c>
      <c r="AT133" s="50">
        <f t="shared" si="141"/>
        <v>38.898674619582479</v>
      </c>
      <c r="AU133" s="61">
        <f t="shared" si="142"/>
        <v>-36.168079750365145</v>
      </c>
      <c r="AV133" s="32" t="str">
        <f t="shared" si="116"/>
        <v>-0.0000333333333333333</v>
      </c>
      <c r="AW133" s="32" t="str">
        <f t="shared" si="117"/>
        <v>0.0000426011287018235i</v>
      </c>
      <c r="AX133" s="32">
        <f t="shared" si="143"/>
        <v>4.2601128701823498E-5</v>
      </c>
      <c r="AY133" s="32">
        <f t="shared" si="144"/>
        <v>1.5707963267948966</v>
      </c>
      <c r="AZ133" s="32" t="str">
        <f t="shared" si="118"/>
        <v>1+0.0173806688280009i</v>
      </c>
      <c r="BA133" s="32">
        <f t="shared" si="145"/>
        <v>1.0001510324190586</v>
      </c>
      <c r="BB133" s="32">
        <f t="shared" si="146"/>
        <v>1.7378918983359585E-2</v>
      </c>
      <c r="BC133" s="32" t="str">
        <f t="shared" si="119"/>
        <v>1+0.834272103744045i</v>
      </c>
      <c r="BD133" s="32">
        <f t="shared" si="147"/>
        <v>1.3023094651754301</v>
      </c>
      <c r="BE133" s="32">
        <f t="shared" si="148"/>
        <v>0.69529204890765262</v>
      </c>
      <c r="BF133" s="59" t="str">
        <f t="shared" si="149"/>
        <v>-0.638985211200603+0.793557872465509i</v>
      </c>
      <c r="BG133" s="50">
        <f t="shared" si="150"/>
        <v>0.16212497944244375</v>
      </c>
      <c r="BH133" s="61">
        <f t="shared" si="151"/>
        <v>128.84156122116588</v>
      </c>
      <c r="BI133" s="59" t="str">
        <f t="shared" si="152"/>
        <v>-0.0679183181214755+10.3561416696519i</v>
      </c>
      <c r="BJ133" s="64">
        <f t="shared" si="153"/>
        <v>20.304146446723802</v>
      </c>
      <c r="BK133" s="61">
        <f t="shared" si="154"/>
        <v>90.375755499904869</v>
      </c>
      <c r="BL133" s="59" t="str">
        <f t="shared" si="158"/>
        <v>-4.18636335003431+89.6534535237201i</v>
      </c>
      <c r="BM133" s="64">
        <f t="shared" si="155"/>
        <v>39.060799599024925</v>
      </c>
      <c r="BN133" s="61">
        <f t="shared" si="159"/>
        <v>92.673481470800738</v>
      </c>
      <c r="BO133" s="50">
        <f t="shared" si="156"/>
        <v>20.304146446723802</v>
      </c>
      <c r="BP133" s="61">
        <f t="shared" si="157"/>
        <v>90.375755499904869</v>
      </c>
    </row>
    <row r="134" spans="14:68" x14ac:dyDescent="0.25">
      <c r="N134" s="11">
        <v>16</v>
      </c>
      <c r="O134" s="51">
        <f t="shared" si="160"/>
        <v>144.54397707459285</v>
      </c>
      <c r="P134" s="49" t="str">
        <f t="shared" si="107"/>
        <v>25.6231073841137</v>
      </c>
      <c r="Q134" s="18" t="str">
        <f t="shared" si="108"/>
        <v>1+0.785390135452846i</v>
      </c>
      <c r="R134" s="18">
        <f t="shared" si="121"/>
        <v>1.2715493167261109</v>
      </c>
      <c r="S134" s="18">
        <f t="shared" si="122"/>
        <v>0.66576878483396806</v>
      </c>
      <c r="T134" s="18" t="str">
        <f t="shared" si="109"/>
        <v>1+0.000817376933696747i</v>
      </c>
      <c r="U134" s="18">
        <f t="shared" si="123"/>
        <v>1.0000003340524701</v>
      </c>
      <c r="V134" s="18">
        <f t="shared" si="124"/>
        <v>8.173767516656004E-4</v>
      </c>
      <c r="W134" s="32" t="str">
        <f t="shared" si="110"/>
        <v>1-0.0183152979587604i</v>
      </c>
      <c r="X134" s="18">
        <f t="shared" si="125"/>
        <v>1.0001677110061684</v>
      </c>
      <c r="Y134" s="18">
        <f t="shared" si="126"/>
        <v>-1.8313250414436714E-2</v>
      </c>
      <c r="Z134" s="32" t="str">
        <f t="shared" si="111"/>
        <v>0.999999477675967+0.00145008722681756i</v>
      </c>
      <c r="AA134" s="18">
        <f t="shared" si="127"/>
        <v>1.0000005290524461</v>
      </c>
      <c r="AB134" s="18">
        <f t="shared" si="128"/>
        <v>1.4500869678413151E-3</v>
      </c>
      <c r="AC134" s="32" t="str">
        <f>IMDIV(IMSUM(COMPLEX(0,2*PI()*O134*Constants!$B$71*Constants!$B$72),COMPLEX(1,0)),IMSUM(COMPLEX(0,2*PI()*O134*Constants!$B$71*Constants!$B$72),COMPLEX(2,0)))</f>
        <v>0.50000164963666+0.000908193596607596i</v>
      </c>
      <c r="AD134" s="18">
        <f t="shared" si="129"/>
        <v>0.50000247444886736</v>
      </c>
      <c r="AE134" s="18">
        <f t="shared" si="130"/>
        <v>1.8163792029215389E-3</v>
      </c>
      <c r="AF134" s="66" t="str">
        <f t="shared" si="131"/>
        <v>7.81742245107263-6.35921014470733i</v>
      </c>
      <c r="AG134" s="64">
        <f t="shared" si="132"/>
        <v>20.066869732320782</v>
      </c>
      <c r="AH134" s="61">
        <f t="shared" si="133"/>
        <v>-39.127194223172182</v>
      </c>
      <c r="AI134" s="50" t="str">
        <f t="shared" si="112"/>
        <v>108.866083054159</v>
      </c>
      <c r="AJ134" s="50" t="str">
        <f t="shared" si="113"/>
        <v>1+0.743069939724316i</v>
      </c>
      <c r="AK134" s="50">
        <f t="shared" si="134"/>
        <v>1.2458542993953581</v>
      </c>
      <c r="AL134" s="50">
        <f t="shared" si="135"/>
        <v>0.63905109684481853</v>
      </c>
      <c r="AM134" s="50" t="str">
        <f t="shared" si="114"/>
        <v>1+0.000817376933696747i</v>
      </c>
      <c r="AN134" s="50">
        <f t="shared" si="136"/>
        <v>1.0000003340524701</v>
      </c>
      <c r="AO134" s="50">
        <f t="shared" si="137"/>
        <v>8.173767516656004E-4</v>
      </c>
      <c r="AP134" s="50" t="str">
        <f t="shared" si="115"/>
        <v>1-0.00407846677145466i</v>
      </c>
      <c r="AQ134" s="50">
        <f t="shared" si="138"/>
        <v>1.0000083169110174</v>
      </c>
      <c r="AR134" s="50">
        <f t="shared" si="139"/>
        <v>-4.0784441580894943E-3</v>
      </c>
      <c r="AS134" s="59" t="str">
        <f t="shared" si="140"/>
        <v>69.969032864035-52.3469071099716i</v>
      </c>
      <c r="AT134" s="50">
        <f t="shared" si="141"/>
        <v>38.82858198578942</v>
      </c>
      <c r="AU134" s="61">
        <f t="shared" si="142"/>
        <v>-36.801776141509905</v>
      </c>
      <c r="AV134" s="32" t="str">
        <f t="shared" si="116"/>
        <v>-0.0000333333333333333</v>
      </c>
      <c r="AW134" s="32" t="str">
        <f t="shared" si="117"/>
        <v>0.0000435934364638265i</v>
      </c>
      <c r="AX134" s="32">
        <f t="shared" si="143"/>
        <v>4.3593436463826501E-5</v>
      </c>
      <c r="AY134" s="32">
        <f t="shared" si="144"/>
        <v>1.5707963267948966</v>
      </c>
      <c r="AZ134" s="32" t="str">
        <f t="shared" si="118"/>
        <v>1+0.0177855166128459i</v>
      </c>
      <c r="BA134" s="32">
        <f t="shared" si="145"/>
        <v>1.0001581497949141</v>
      </c>
      <c r="BB134" s="32">
        <f t="shared" si="146"/>
        <v>1.77836416365439E-2</v>
      </c>
      <c r="BC134" s="32" t="str">
        <f t="shared" si="119"/>
        <v>1+0.853704797416604i</v>
      </c>
      <c r="BD134" s="32">
        <f t="shared" si="147"/>
        <v>1.3148429111997086</v>
      </c>
      <c r="BE134" s="32">
        <f t="shared" si="148"/>
        <v>0.70664096176167412</v>
      </c>
      <c r="BF134" s="59" t="str">
        <f t="shared" si="149"/>
        <v>-0.638976116875403+0.776005623160049i</v>
      </c>
      <c r="BG134" s="50">
        <f t="shared" si="150"/>
        <v>4.5256613301576085E-2</v>
      </c>
      <c r="BH134" s="61">
        <f t="shared" si="151"/>
        <v>129.46861712986225</v>
      </c>
      <c r="BI134" s="59" t="str">
        <f t="shared" si="152"/>
        <v>-0.0603634106116671+10.1297471853097i</v>
      </c>
      <c r="BJ134" s="64">
        <f t="shared" si="153"/>
        <v>20.112126345622329</v>
      </c>
      <c r="BK134" s="61">
        <f t="shared" si="154"/>
        <v>90.34142290669007</v>
      </c>
      <c r="BL134" s="59" t="str">
        <f t="shared" si="158"/>
        <v>-4.08704664861383+87.7447863851285i</v>
      </c>
      <c r="BM134" s="64">
        <f t="shared" si="155"/>
        <v>38.873838599090988</v>
      </c>
      <c r="BN134" s="61">
        <f t="shared" si="159"/>
        <v>92.666840988352348</v>
      </c>
      <c r="BO134" s="50">
        <f t="shared" si="156"/>
        <v>20.112126345622329</v>
      </c>
      <c r="BP134" s="61">
        <f t="shared" si="157"/>
        <v>90.34142290669007</v>
      </c>
    </row>
    <row r="135" spans="14:68" x14ac:dyDescent="0.25">
      <c r="N135" s="11">
        <v>17</v>
      </c>
      <c r="O135" s="51">
        <f t="shared" si="160"/>
        <v>147.91083881682084</v>
      </c>
      <c r="P135" s="49" t="str">
        <f t="shared" si="107"/>
        <v>25.6231073841137</v>
      </c>
      <c r="Q135" s="18" t="str">
        <f t="shared" si="108"/>
        <v>1+0.80368422181533i</v>
      </c>
      <c r="R135" s="18">
        <f t="shared" si="121"/>
        <v>1.2829295882451666</v>
      </c>
      <c r="S135" s="18">
        <f t="shared" si="122"/>
        <v>0.67698338509814415</v>
      </c>
      <c r="T135" s="18" t="str">
        <f t="shared" si="109"/>
        <v>1+0.000836416088303812i</v>
      </c>
      <c r="U135" s="18">
        <f t="shared" si="123"/>
        <v>1.0000003497958752</v>
      </c>
      <c r="V135" s="18">
        <f t="shared" si="124"/>
        <v>8.3641589325392804E-4</v>
      </c>
      <c r="W135" s="32" t="str">
        <f t="shared" si="110"/>
        <v>1-0.0187419160527336i</v>
      </c>
      <c r="X135" s="18">
        <f t="shared" si="125"/>
        <v>1.0001756142884746</v>
      </c>
      <c r="Y135" s="18">
        <f t="shared" si="126"/>
        <v>-1.8739722090267599E-2</v>
      </c>
      <c r="Z135" s="32" t="str">
        <f t="shared" si="111"/>
        <v>0.999999453059594+0.00148386409739824i</v>
      </c>
      <c r="AA135" s="18">
        <f t="shared" si="127"/>
        <v>1.00000055398592</v>
      </c>
      <c r="AB135" s="18">
        <f t="shared" si="128"/>
        <v>1.4838638199001976E-3</v>
      </c>
      <c r="AC135" s="32" t="str">
        <f>IMDIV(IMSUM(COMPLEX(0,2*PI()*O135*Constants!$B$71*Constants!$B$72),COMPLEX(1,0)),IMSUM(COMPLEX(0,2*PI()*O135*Constants!$B$71*Constants!$B$72),COMPLEX(2,0)))</f>
        <v>0.500001727381372+0.000929347998538523i</v>
      </c>
      <c r="AD135" s="18">
        <f t="shared" si="129"/>
        <v>0.50000259106534473</v>
      </c>
      <c r="AE135" s="18">
        <f t="shared" si="130"/>
        <v>1.8586874353283341E-3</v>
      </c>
      <c r="AF135" s="66" t="str">
        <f t="shared" si="131"/>
        <v>7.67442165854727-6.39240774801433i</v>
      </c>
      <c r="AG135" s="64">
        <f t="shared" si="132"/>
        <v>19.989548062474583</v>
      </c>
      <c r="AH135" s="61">
        <f t="shared" si="133"/>
        <v>-39.792598839796838</v>
      </c>
      <c r="AI135" s="50" t="str">
        <f t="shared" si="112"/>
        <v>108.866083054159</v>
      </c>
      <c r="AJ135" s="50" t="str">
        <f t="shared" si="113"/>
        <v>1+0.760378262094375i</v>
      </c>
      <c r="AK135" s="50">
        <f t="shared" si="134"/>
        <v>1.2562543936104908</v>
      </c>
      <c r="AL135" s="50">
        <f t="shared" si="135"/>
        <v>0.65011017632030899</v>
      </c>
      <c r="AM135" s="50" t="str">
        <f t="shared" si="114"/>
        <v>1+0.000836416088303812i</v>
      </c>
      <c r="AN135" s="50">
        <f t="shared" si="136"/>
        <v>1.0000003497958752</v>
      </c>
      <c r="AO135" s="50">
        <f t="shared" si="137"/>
        <v>8.3641589325392804E-4</v>
      </c>
      <c r="AP135" s="50" t="str">
        <f t="shared" si="115"/>
        <v>1-0.00417346646647947i</v>
      </c>
      <c r="AQ135" s="50">
        <f t="shared" si="138"/>
        <v>1.0000087088732512</v>
      </c>
      <c r="AR135" s="50">
        <f t="shared" si="139"/>
        <v>-4.1734422358335353E-3</v>
      </c>
      <c r="AS135" s="59" t="str">
        <f t="shared" si="140"/>
        <v>68.8074624545024-52.6829903239049i</v>
      </c>
      <c r="AT135" s="50">
        <f t="shared" si="141"/>
        <v>38.756378759161066</v>
      </c>
      <c r="AU135" s="61">
        <f t="shared" si="142"/>
        <v>-37.439766847213306</v>
      </c>
      <c r="AV135" s="32" t="str">
        <f t="shared" si="116"/>
        <v>-0.0000333333333333333</v>
      </c>
      <c r="AW135" s="32" t="str">
        <f t="shared" si="117"/>
        <v>0.0000446088580428699i</v>
      </c>
      <c r="AX135" s="32">
        <f t="shared" si="143"/>
        <v>4.46088580428699E-5</v>
      </c>
      <c r="AY135" s="32">
        <f t="shared" si="144"/>
        <v>1.5707963267948966</v>
      </c>
      <c r="AZ135" s="32" t="str">
        <f t="shared" si="118"/>
        <v>1+0.0181997945140181i</v>
      </c>
      <c r="BA135" s="32">
        <f t="shared" si="145"/>
        <v>1.0001656025480743</v>
      </c>
      <c r="BB135" s="32">
        <f t="shared" si="146"/>
        <v>1.8197785458679408E-2</v>
      </c>
      <c r="BC135" s="32" t="str">
        <f t="shared" si="119"/>
        <v>1+0.873590136672872i</v>
      </c>
      <c r="BD135" s="32">
        <f t="shared" si="147"/>
        <v>1.3278402490104475</v>
      </c>
      <c r="BE135" s="32">
        <f t="shared" si="148"/>
        <v>0.71803093482718006</v>
      </c>
      <c r="BF135" s="59" t="str">
        <f t="shared" si="149"/>
        <v>-0.638966594225316+0.758864807062819i</v>
      </c>
      <c r="BG135" s="50">
        <f t="shared" si="150"/>
        <v>-6.9368921700572378E-2</v>
      </c>
      <c r="BH135" s="61">
        <f t="shared" si="151"/>
        <v>130.09748582216363</v>
      </c>
      <c r="BI135" s="59" t="str">
        <f t="shared" si="152"/>
        <v>-0.0527257974471853+9.90838351888043i</v>
      </c>
      <c r="BJ135" s="64">
        <f t="shared" si="153"/>
        <v>19.92017914077401</v>
      </c>
      <c r="BK135" s="61">
        <f t="shared" si="154"/>
        <v>90.30488698236681</v>
      </c>
      <c r="BL135" s="59" t="str">
        <f t="shared" si="158"/>
        <v>-3.98640265419724+85.8782326208889i</v>
      </c>
      <c r="BM135" s="64">
        <f t="shared" si="155"/>
        <v>38.687009837460486</v>
      </c>
      <c r="BN135" s="61">
        <f t="shared" si="159"/>
        <v>92.657718974950342</v>
      </c>
      <c r="BO135" s="50">
        <f t="shared" si="156"/>
        <v>19.92017914077401</v>
      </c>
      <c r="BP135" s="61">
        <f t="shared" si="157"/>
        <v>90.30488698236681</v>
      </c>
    </row>
    <row r="136" spans="14:68" x14ac:dyDescent="0.25">
      <c r="N136" s="11">
        <v>18</v>
      </c>
      <c r="O136" s="51">
        <f t="shared" si="160"/>
        <v>151.3561248436209</v>
      </c>
      <c r="P136" s="49" t="str">
        <f t="shared" si="107"/>
        <v>25.6231073841137</v>
      </c>
      <c r="Q136" s="18" t="str">
        <f t="shared" si="108"/>
        <v>1+0.822404432190238i</v>
      </c>
      <c r="R136" s="18">
        <f t="shared" si="121"/>
        <v>1.2947389891735506</v>
      </c>
      <c r="S136" s="18">
        <f t="shared" si="122"/>
        <v>0.68825366939017507</v>
      </c>
      <c r="T136" s="18" t="str">
        <f t="shared" si="109"/>
        <v>1+0.000855898721792171i</v>
      </c>
      <c r="U136" s="18">
        <f t="shared" si="123"/>
        <v>1.0000003662812438</v>
      </c>
      <c r="V136" s="18">
        <f t="shared" si="124"/>
        <v>8.558985127924589E-4</v>
      </c>
      <c r="W136" s="32" t="str">
        <f t="shared" si="110"/>
        <v>1-0.0191784713586764i</v>
      </c>
      <c r="X136" s="18">
        <f t="shared" si="125"/>
        <v>1.0001838899740665</v>
      </c>
      <c r="Y136" s="18">
        <f t="shared" si="126"/>
        <v>-1.9176120508882344E-2</v>
      </c>
      <c r="Z136" s="32" t="str">
        <f t="shared" si="111"/>
        <v>0.999999427283087+0.00151842773236463i</v>
      </c>
      <c r="AA136" s="18">
        <f t="shared" si="127"/>
        <v>1.000000580094472</v>
      </c>
      <c r="AB136" s="18">
        <f t="shared" si="128"/>
        <v>1.5184274350201251E-3</v>
      </c>
      <c r="AC136" s="32" t="str">
        <f>IMDIV(IMSUM(COMPLEX(0,2*PI()*O136*Constants!$B$71*Constants!$B$72),COMPLEX(1,0)),IMSUM(COMPLEX(0,2*PI()*O136*Constants!$B$71*Constants!$B$72),COMPLEX(2,0)))</f>
        <v>0.500001808790054+0.000950995139455533i</v>
      </c>
      <c r="AD136" s="18">
        <f t="shared" si="129"/>
        <v>0.5000027131777196</v>
      </c>
      <c r="AE136" s="18">
        <f t="shared" si="130"/>
        <v>1.9019811048378585E-3</v>
      </c>
      <c r="AF136" s="66" t="str">
        <f t="shared" si="131"/>
        <v>7.52999731024652-6.42253088299838i</v>
      </c>
      <c r="AG136" s="64">
        <f t="shared" si="132"/>
        <v>19.910033870063518</v>
      </c>
      <c r="AH136" s="61">
        <f t="shared" si="133"/>
        <v>-40.461725884070688</v>
      </c>
      <c r="AI136" s="50" t="str">
        <f t="shared" si="112"/>
        <v>108.866083054159</v>
      </c>
      <c r="AJ136" s="50" t="str">
        <f t="shared" si="113"/>
        <v>1+0.778089747083793i</v>
      </c>
      <c r="AK136" s="50">
        <f t="shared" si="134"/>
        <v>1.2670531380005028</v>
      </c>
      <c r="AL136" s="50">
        <f t="shared" si="135"/>
        <v>0.66123752034047156</v>
      </c>
      <c r="AM136" s="50" t="str">
        <f t="shared" si="114"/>
        <v>1+0.000855898721792171i</v>
      </c>
      <c r="AN136" s="50">
        <f t="shared" si="136"/>
        <v>1.0000003662812438</v>
      </c>
      <c r="AO136" s="50">
        <f t="shared" si="137"/>
        <v>8.558985127924589E-4</v>
      </c>
      <c r="AP136" s="50" t="str">
        <f t="shared" si="115"/>
        <v>1-0.00427067898866716i</v>
      </c>
      <c r="AQ136" s="50">
        <f t="shared" si="138"/>
        <v>1.0000091193079312</v>
      </c>
      <c r="AR136" s="50">
        <f t="shared" si="139"/>
        <v>-4.2706530250750507E-3</v>
      </c>
      <c r="AS136" s="59" t="str">
        <f t="shared" si="140"/>
        <v>67.6315082940716-52.9951369355749i</v>
      </c>
      <c r="AT136" s="50">
        <f t="shared" si="141"/>
        <v>38.682037764208388</v>
      </c>
      <c r="AU136" s="61">
        <f t="shared" si="142"/>
        <v>-38.081770192831975</v>
      </c>
      <c r="AV136" s="32" t="str">
        <f t="shared" si="116"/>
        <v>-0.0000333333333333333</v>
      </c>
      <c r="AW136" s="32" t="str">
        <f t="shared" si="117"/>
        <v>0.0000456479318289158i</v>
      </c>
      <c r="AX136" s="32">
        <f t="shared" si="143"/>
        <v>4.5647931828915799E-5</v>
      </c>
      <c r="AY136" s="32">
        <f t="shared" si="144"/>
        <v>1.5707963267948966</v>
      </c>
      <c r="AZ136" s="32" t="str">
        <f t="shared" si="118"/>
        <v>1+0.0186237221871445i</v>
      </c>
      <c r="BA136" s="32">
        <f t="shared" si="145"/>
        <v>1.0001734064791485</v>
      </c>
      <c r="BB136" s="32">
        <f t="shared" si="146"/>
        <v>1.8621569465721279E-2</v>
      </c>
      <c r="BC136" s="32" t="str">
        <f t="shared" si="119"/>
        <v>1+0.893938664982936i</v>
      </c>
      <c r="BD136" s="32">
        <f t="shared" si="147"/>
        <v>1.3413151519130297</v>
      </c>
      <c r="BE136" s="32">
        <f t="shared" si="148"/>
        <v>0.72945618699156622</v>
      </c>
      <c r="BF136" s="59" t="str">
        <f t="shared" si="149"/>
        <v>-0.638956623090763+0.742126334796666i</v>
      </c>
      <c r="BG136" s="50">
        <f t="shared" si="150"/>
        <v>-0.18173665721305338</v>
      </c>
      <c r="BH136" s="61">
        <f t="shared" si="151"/>
        <v>130.72782351602712</v>
      </c>
      <c r="BI136" s="59" t="str">
        <f t="shared" si="152"/>
        <v>-0.045012348919661+9.69192794957878i</v>
      </c>
      <c r="BJ136" s="64">
        <f t="shared" si="153"/>
        <v>19.72829721285046</v>
      </c>
      <c r="BK136" s="61">
        <f t="shared" si="154"/>
        <v>90.266097631956427</v>
      </c>
      <c r="BL136" s="59" t="str">
        <f t="shared" si="158"/>
        <v>-3.8845134180693+84.0527171036372i</v>
      </c>
      <c r="BM136" s="64">
        <f t="shared" si="155"/>
        <v>38.500301106995337</v>
      </c>
      <c r="BN136" s="61">
        <f t="shared" si="159"/>
        <v>92.646053323195147</v>
      </c>
      <c r="BO136" s="50">
        <f t="shared" si="156"/>
        <v>19.72829721285046</v>
      </c>
      <c r="BP136" s="61">
        <f t="shared" si="157"/>
        <v>90.266097631956427</v>
      </c>
    </row>
    <row r="137" spans="14:68" x14ac:dyDescent="0.25">
      <c r="N137" s="11">
        <v>19</v>
      </c>
      <c r="O137" s="51">
        <f t="shared" si="160"/>
        <v>154.8816618912482</v>
      </c>
      <c r="P137" s="49" t="str">
        <f t="shared" si="107"/>
        <v>25.6231073841137</v>
      </c>
      <c r="Q137" s="18" t="str">
        <f t="shared" si="108"/>
        <v>1+0.841560692280903i</v>
      </c>
      <c r="R137" s="18">
        <f t="shared" si="121"/>
        <v>1.306990588639533</v>
      </c>
      <c r="S137" s="18">
        <f t="shared" si="122"/>
        <v>0.69957416170967435</v>
      </c>
      <c r="T137" s="18" t="str">
        <f t="shared" si="109"/>
        <v>1+0.000875835164111983i</v>
      </c>
      <c r="U137" s="18">
        <f t="shared" si="123"/>
        <v>1.0000003835435438</v>
      </c>
      <c r="V137" s="18">
        <f t="shared" si="124"/>
        <v>8.7583494016476129E-4</v>
      </c>
      <c r="W137" s="32" t="str">
        <f t="shared" si="110"/>
        <v>1-0.0196251953439907i</v>
      </c>
      <c r="X137" s="18">
        <f t="shared" si="125"/>
        <v>1.0001925556073139</v>
      </c>
      <c r="Y137" s="18">
        <f t="shared" si="126"/>
        <v>-1.9622676389243556E-2</v>
      </c>
      <c r="Z137" s="32" t="str">
        <f t="shared" si="111"/>
        <v>0.99999940029177+0.00155379645781348i</v>
      </c>
      <c r="AA137" s="18">
        <f t="shared" si="127"/>
        <v>1.0000006074334815</v>
      </c>
      <c r="AB137" s="18">
        <f t="shared" si="128"/>
        <v>1.5537961392031085E-3</v>
      </c>
      <c r="AC137" s="32" t="str">
        <f>IMDIV(IMSUM(COMPLEX(0,2*PI()*O137*Constants!$B$71*Constants!$B$72),COMPLEX(1,0)),IMSUM(COMPLEX(0,2*PI()*O137*Constants!$B$71*Constants!$B$72),COMPLEX(2,0)))</f>
        <v>0.50000189403538+0.000973146495984897i</v>
      </c>
      <c r="AD137" s="18">
        <f t="shared" si="129"/>
        <v>0.50000284104499848</v>
      </c>
      <c r="AE137" s="18">
        <f t="shared" si="130"/>
        <v>1.9462831617797806E-3</v>
      </c>
      <c r="AF137" s="66" t="str">
        <f t="shared" si="131"/>
        <v>7.38428335518388-6.44950376711447i</v>
      </c>
      <c r="AG137" s="64">
        <f t="shared" si="132"/>
        <v>19.828306578631604</v>
      </c>
      <c r="AH137" s="61">
        <f t="shared" si="133"/>
        <v>-41.134273966692703</v>
      </c>
      <c r="AI137" s="50" t="str">
        <f t="shared" si="112"/>
        <v>108.866083054159</v>
      </c>
      <c r="AJ137" s="50" t="str">
        <f t="shared" si="113"/>
        <v>1+0.796213785556349i</v>
      </c>
      <c r="AK137" s="50">
        <f t="shared" si="134"/>
        <v>1.2782630372149435</v>
      </c>
      <c r="AL137" s="50">
        <f t="shared" si="135"/>
        <v>0.67242800715861095</v>
      </c>
      <c r="AM137" s="50" t="str">
        <f t="shared" si="114"/>
        <v>1+0.000875835164111983i</v>
      </c>
      <c r="AN137" s="50">
        <f t="shared" si="136"/>
        <v>1.0000003835435438</v>
      </c>
      <c r="AO137" s="50">
        <f t="shared" si="137"/>
        <v>8.7583494016476129E-4</v>
      </c>
      <c r="AP137" s="50" t="str">
        <f t="shared" si="115"/>
        <v>1-0.00437015588138376i</v>
      </c>
      <c r="AQ137" s="50">
        <f t="shared" si="138"/>
        <v>1.0000095490856213</v>
      </c>
      <c r="AR137" s="50">
        <f t="shared" si="139"/>
        <v>-4.3701280609079289E-3</v>
      </c>
      <c r="AS137" s="59" t="str">
        <f t="shared" si="140"/>
        <v>66.4421707774244-53.2825853246988i</v>
      </c>
      <c r="AT137" s="50">
        <f t="shared" si="141"/>
        <v>38.605533606255193</v>
      </c>
      <c r="AU137" s="61">
        <f t="shared" si="142"/>
        <v>-38.727495084781246</v>
      </c>
      <c r="AV137" s="32" t="str">
        <f t="shared" si="116"/>
        <v>-0.0000333333333333333</v>
      </c>
      <c r="AW137" s="32" t="str">
        <f t="shared" si="117"/>
        <v>0.0000467112087526391i</v>
      </c>
      <c r="AX137" s="32">
        <f t="shared" si="143"/>
        <v>4.6711208752639097E-5</v>
      </c>
      <c r="AY137" s="32">
        <f t="shared" si="144"/>
        <v>1.5707963267948966</v>
      </c>
      <c r="AZ137" s="32" t="str">
        <f t="shared" si="118"/>
        <v>1+0.0190575244042885i</v>
      </c>
      <c r="BA137" s="32">
        <f t="shared" si="145"/>
        <v>1.0001815781329009</v>
      </c>
      <c r="BB137" s="32">
        <f t="shared" si="146"/>
        <v>1.9055217744341265E-2</v>
      </c>
      <c r="BC137" s="32" t="str">
        <f t="shared" si="119"/>
        <v>1+0.91476117140585i</v>
      </c>
      <c r="BD137" s="32">
        <f t="shared" si="147"/>
        <v>1.3552815208331452</v>
      </c>
      <c r="BE137" s="32">
        <f t="shared" si="148"/>
        <v>0.74091084571982913</v>
      </c>
      <c r="BF137" s="59" t="str">
        <f t="shared" si="149"/>
        <v>-0.638946182364653+0.725781330234636i</v>
      </c>
      <c r="BG137" s="50">
        <f t="shared" si="150"/>
        <v>-0.29183389764635403</v>
      </c>
      <c r="BH137" s="61">
        <f t="shared" si="151"/>
        <v>131.35928090076104</v>
      </c>
      <c r="BI137" s="59" t="str">
        <f t="shared" si="152"/>
        <v>-0.0372302358439542+9.48026080649907i</v>
      </c>
      <c r="BJ137" s="64">
        <f t="shared" si="153"/>
        <v>19.536472680985245</v>
      </c>
      <c r="BK137" s="61">
        <f t="shared" si="154"/>
        <v>90.225006934068332</v>
      </c>
      <c r="BL137" s="59" t="str">
        <f t="shared" si="158"/>
        <v>-3.78146571095524+82.2671915702511i</v>
      </c>
      <c r="BM137" s="64">
        <f t="shared" si="155"/>
        <v>38.313699708608837</v>
      </c>
      <c r="BN137" s="61">
        <f t="shared" si="159"/>
        <v>92.631785815979796</v>
      </c>
      <c r="BO137" s="50">
        <f t="shared" si="156"/>
        <v>19.536472680985245</v>
      </c>
      <c r="BP137" s="61">
        <f t="shared" si="157"/>
        <v>90.225006934068332</v>
      </c>
    </row>
    <row r="138" spans="14:68" x14ac:dyDescent="0.25">
      <c r="N138" s="11">
        <v>20</v>
      </c>
      <c r="O138" s="51">
        <f t="shared" si="160"/>
        <v>158.48931924611153</v>
      </c>
      <c r="P138" s="49" t="str">
        <f t="shared" si="107"/>
        <v>25.6231073841137</v>
      </c>
      <c r="Q138" s="18" t="str">
        <f t="shared" si="108"/>
        <v>1+0.861163158989989i</v>
      </c>
      <c r="R138" s="18">
        <f t="shared" si="121"/>
        <v>1.3196976875033224</v>
      </c>
      <c r="S138" s="18">
        <f t="shared" si="122"/>
        <v>0.71093925901213295</v>
      </c>
      <c r="T138" s="18" t="str">
        <f t="shared" si="109"/>
        <v>1+0.000896235985828858i</v>
      </c>
      <c r="U138" s="18">
        <f t="shared" si="123"/>
        <v>1.0000004016193904</v>
      </c>
      <c r="V138" s="18">
        <f t="shared" si="124"/>
        <v>8.9623574586509191E-4</v>
      </c>
      <c r="W138" s="32" t="str">
        <f t="shared" si="110"/>
        <v>1-0.0200823248676466i</v>
      </c>
      <c r="X138" s="18">
        <f t="shared" si="125"/>
        <v>1.0002016295588054</v>
      </c>
      <c r="Y138" s="18">
        <f t="shared" si="126"/>
        <v>-2.0079625788391946E-2</v>
      </c>
      <c r="Z138" s="32" t="str">
        <f t="shared" si="111"/>
        <v>0.999999372028392+0.00158998902671119i</v>
      </c>
      <c r="AA138" s="18">
        <f t="shared" si="127"/>
        <v>1.0000006360609395</v>
      </c>
      <c r="AB138" s="18">
        <f t="shared" si="128"/>
        <v>1.5899886853140326E-3</v>
      </c>
      <c r="AC138" s="32" t="str">
        <f>IMDIV(IMSUM(COMPLEX(0,2*PI()*O138*Constants!$B$71*Constants!$B$72),COMPLEX(1,0)),IMSUM(COMPLEX(0,2*PI()*O138*Constants!$B$71*Constants!$B$72),COMPLEX(2,0)))</f>
        <v>0.500001983298163+0.000995813812024985i</v>
      </c>
      <c r="AD138" s="18">
        <f t="shared" si="129"/>
        <v>0.50000297493839441</v>
      </c>
      <c r="AE138" s="18">
        <f t="shared" si="130"/>
        <v>1.9916170908189311E-3</v>
      </c>
      <c r="AF138" s="66" t="str">
        <f t="shared" si="131"/>
        <v>7.23741890096647-6.47325781417289i</v>
      </c>
      <c r="AG138" s="64">
        <f t="shared" si="132"/>
        <v>19.74434770561977</v>
      </c>
      <c r="AH138" s="61">
        <f t="shared" si="133"/>
        <v>-41.809934705175351</v>
      </c>
      <c r="AI138" s="50" t="str">
        <f t="shared" si="112"/>
        <v>108.866083054159</v>
      </c>
      <c r="AJ138" s="50" t="str">
        <f t="shared" si="113"/>
        <v>1+0.814759987117144i</v>
      </c>
      <c r="AK138" s="50">
        <f t="shared" si="134"/>
        <v>1.2898968317687771</v>
      </c>
      <c r="AL138" s="50">
        <f t="shared" si="135"/>
        <v>0.68367635989096776</v>
      </c>
      <c r="AM138" s="50" t="str">
        <f t="shared" si="114"/>
        <v>1+0.000896235985828858i</v>
      </c>
      <c r="AN138" s="50">
        <f t="shared" si="136"/>
        <v>1.0000004016193904</v>
      </c>
      <c r="AO138" s="50">
        <f t="shared" si="137"/>
        <v>8.9623574586509191E-4</v>
      </c>
      <c r="AP138" s="50" t="str">
        <f t="shared" si="115"/>
        <v>1-0.00447194988859453i</v>
      </c>
      <c r="AQ138" s="50">
        <f t="shared" si="138"/>
        <v>1.0000099991179119</v>
      </c>
      <c r="AR138" s="50">
        <f t="shared" si="139"/>
        <v>-4.4719200784336943E-3</v>
      </c>
      <c r="AS138" s="59" t="str">
        <f t="shared" si="140"/>
        <v>65.2405018701986-53.5446244299954i</v>
      </c>
      <c r="AT138" s="50">
        <f t="shared" si="141"/>
        <v>38.526842768450997</v>
      </c>
      <c r="AU138" s="61">
        <f t="shared" si="142"/>
        <v>-39.376641595746825</v>
      </c>
      <c r="AV138" s="32" t="str">
        <f t="shared" si="116"/>
        <v>-0.0000333333333333333</v>
      </c>
      <c r="AW138" s="32" t="str">
        <f t="shared" si="117"/>
        <v>0.000047799252577539i</v>
      </c>
      <c r="AX138" s="32">
        <f t="shared" si="143"/>
        <v>4.7799252577538997E-5</v>
      </c>
      <c r="AY138" s="32">
        <f t="shared" si="144"/>
        <v>1.5707963267948966</v>
      </c>
      <c r="AZ138" s="32" t="str">
        <f t="shared" si="118"/>
        <v>1+0.0195014311731279i</v>
      </c>
      <c r="BA138" s="32">
        <f t="shared" si="145"/>
        <v>1.0001901348332727</v>
      </c>
      <c r="BB138" s="32">
        <f t="shared" si="146"/>
        <v>1.949895956783939E-2</v>
      </c>
      <c r="BC138" s="32" t="str">
        <f t="shared" si="119"/>
        <v>1+0.936068696310142i</v>
      </c>
      <c r="BD138" s="32">
        <f t="shared" si="147"/>
        <v>1.3697534830077158</v>
      </c>
      <c r="BE138" s="32">
        <f t="shared" si="148"/>
        <v>0.7523889617520132</v>
      </c>
      <c r="BF138" s="59" t="str">
        <f t="shared" si="149"/>
        <v>-0.638935249947989+0.709821125788156i</v>
      </c>
      <c r="BG138" s="50">
        <f t="shared" si="150"/>
        <v>-0.39965027362840772</v>
      </c>
      <c r="BH138" s="61">
        <f t="shared" si="151"/>
        <v>131.99150397248687</v>
      </c>
      <c r="BI138" s="59" t="str">
        <f t="shared" si="152"/>
        <v>-0.0293869052941318+9.27326543156083i</v>
      </c>
      <c r="BJ138" s="64">
        <f t="shared" si="153"/>
        <v>19.344697431991364</v>
      </c>
      <c r="BK138" s="61">
        <f t="shared" si="154"/>
        <v>90.181569267311502</v>
      </c>
      <c r="BL138" s="59" t="str">
        <f t="shared" si="158"/>
        <v>-3.67735077636424+80.520634478039i</v>
      </c>
      <c r="BM138" s="64">
        <f t="shared" si="155"/>
        <v>38.127192494822594</v>
      </c>
      <c r="BN138" s="61">
        <f t="shared" si="159"/>
        <v>92.614862376740007</v>
      </c>
      <c r="BO138" s="50">
        <f t="shared" si="156"/>
        <v>19.344697431991364</v>
      </c>
      <c r="BP138" s="61">
        <f t="shared" si="157"/>
        <v>90.181569267311502</v>
      </c>
    </row>
    <row r="139" spans="14:68" x14ac:dyDescent="0.25">
      <c r="N139" s="11">
        <v>21</v>
      </c>
      <c r="O139" s="51">
        <f t="shared" si="160"/>
        <v>162.18100973589304</v>
      </c>
      <c r="P139" s="49" t="str">
        <f t="shared" si="107"/>
        <v>25.6231073841137</v>
      </c>
      <c r="Q139" s="18" t="str">
        <f t="shared" si="108"/>
        <v>1+0.881222225804809i</v>
      </c>
      <c r="R139" s="18">
        <f t="shared" si="121"/>
        <v>1.3328738167029848</v>
      </c>
      <c r="S139" s="18">
        <f t="shared" si="122"/>
        <v>0.72234324423956686</v>
      </c>
      <c r="T139" s="18" t="str">
        <f t="shared" si="109"/>
        <v>1+0.0009171120037285i</v>
      </c>
      <c r="U139" s="18">
        <f t="shared" si="123"/>
        <v>1.0000004205471253</v>
      </c>
      <c r="V139" s="18">
        <f t="shared" si="124"/>
        <v>9.1711174660269793E-4</v>
      </c>
      <c r="W139" s="32" t="str">
        <f t="shared" si="110"/>
        <v>1-0.0205501023057682i</v>
      </c>
      <c r="X139" s="18">
        <f t="shared" si="125"/>
        <v>1.0002111310642257</v>
      </c>
      <c r="Y139" s="18">
        <f t="shared" si="126"/>
        <v>-2.0547210223211154E-2</v>
      </c>
      <c r="Z139" s="32" t="str">
        <f t="shared" si="111"/>
        <v>0.999999342433002+0.00162702462883686i</v>
      </c>
      <c r="AA139" s="18">
        <f t="shared" si="127"/>
        <v>1.0000006660375678</v>
      </c>
      <c r="AB139" s="18">
        <f t="shared" si="128"/>
        <v>1.6270242630232216E-3</v>
      </c>
      <c r="AC139" s="32" t="str">
        <f>IMDIV(IMSUM(COMPLEX(0,2*PI()*O139*Constants!$B$71*Constants!$B$72),COMPLEX(1,0)),IMSUM(COMPLEX(0,2*PI()*O139*Constants!$B$71*Constants!$B$72),COMPLEX(2,0)))</f>
        <v>0.500002076767738+0.00101900910496806i</v>
      </c>
      <c r="AD139" s="18">
        <f t="shared" si="129"/>
        <v>0.50000311514190288</v>
      </c>
      <c r="AE139" s="18">
        <f t="shared" si="130"/>
        <v>2.0380069233839424E-3</v>
      </c>
      <c r="AF139" s="66" t="str">
        <f t="shared" si="131"/>
        <v>7.0895477164809-6.49373205157942i</v>
      </c>
      <c r="AG139" s="64">
        <f t="shared" si="132"/>
        <v>19.658140937780416</v>
      </c>
      <c r="AH139" s="61">
        <f t="shared" si="133"/>
        <v>-42.488393476958912</v>
      </c>
      <c r="AI139" s="50" t="str">
        <f t="shared" si="112"/>
        <v>108.866083054159</v>
      </c>
      <c r="AJ139" s="50" t="str">
        <f t="shared" si="113"/>
        <v>1+0.833738185207728i</v>
      </c>
      <c r="AK139" s="50">
        <f t="shared" si="134"/>
        <v>1.3019674963198873</v>
      </c>
      <c r="AL139" s="50">
        <f t="shared" si="135"/>
        <v>0.69497715760413614</v>
      </c>
      <c r="AM139" s="50" t="str">
        <f t="shared" si="114"/>
        <v>1+0.0009171120037285i</v>
      </c>
      <c r="AN139" s="50">
        <f t="shared" si="136"/>
        <v>1.0000004205471253</v>
      </c>
      <c r="AO139" s="50">
        <f t="shared" si="137"/>
        <v>9.1711174660269793E-4</v>
      </c>
      <c r="AP139" s="50" t="str">
        <f t="shared" si="115"/>
        <v>1-0.00457611498282946i</v>
      </c>
      <c r="AQ139" s="50">
        <f t="shared" si="138"/>
        <v>1.0000104703593538</v>
      </c>
      <c r="AR139" s="50">
        <f t="shared" si="139"/>
        <v>-4.576083040684696E-3</v>
      </c>
      <c r="AS139" s="59" t="str">
        <f t="shared" si="140"/>
        <v>64.0276018551286-53.7805978961161i</v>
      </c>
      <c r="AT139" s="50">
        <f t="shared" si="141"/>
        <v>38.445943703201536</v>
      </c>
      <c r="AU139" s="61">
        <f t="shared" si="142"/>
        <v>-40.02890160122567</v>
      </c>
      <c r="AV139" s="32" t="str">
        <f t="shared" si="116"/>
        <v>-0.0000333333333333333</v>
      </c>
      <c r="AW139" s="32" t="str">
        <f t="shared" si="117"/>
        <v>0.0000489126401988534i</v>
      </c>
      <c r="AX139" s="32">
        <f t="shared" si="143"/>
        <v>4.8912640198853398E-5</v>
      </c>
      <c r="AY139" s="32">
        <f t="shared" si="144"/>
        <v>1.5707963267948966</v>
      </c>
      <c r="AZ139" s="32" t="str">
        <f t="shared" si="118"/>
        <v>1+0.0199556778589072i</v>
      </c>
      <c r="BA139" s="32">
        <f t="shared" si="145"/>
        <v>1.0001990947200505</v>
      </c>
      <c r="BB139" s="32">
        <f t="shared" si="146"/>
        <v>1.9953029514596786E-2</v>
      </c>
      <c r="BC139" s="32" t="str">
        <f t="shared" si="119"/>
        <v>1+0.957872537227546i</v>
      </c>
      <c r="BD139" s="32">
        <f t="shared" si="147"/>
        <v>1.3847453908840919</v>
      </c>
      <c r="BE139" s="32">
        <f t="shared" si="148"/>
        <v>0.76388452428517872</v>
      </c>
      <c r="BF139" s="59" t="str">
        <f t="shared" si="149"/>
        <v>-0.638923802703359+0.694237257805436i</v>
      </c>
      <c r="BG139" s="50">
        <f t="shared" si="150"/>
        <v>-0.50517778621120335</v>
      </c>
      <c r="BH139" s="61">
        <f t="shared" si="151"/>
        <v>132.62413489721297</v>
      </c>
      <c r="BI139" s="59" t="str">
        <f t="shared" si="152"/>
        <v>-0.021490054049127+9.0708281419023i</v>
      </c>
      <c r="BJ139" s="64">
        <f t="shared" si="153"/>
        <v>19.152963151569214</v>
      </c>
      <c r="BK139" s="61">
        <f t="shared" si="154"/>
        <v>90.135741420254021</v>
      </c>
      <c r="BL139" s="59" t="str">
        <f t="shared" si="158"/>
        <v>-3.57226404871896+78.8120508552095i</v>
      </c>
      <c r="BM139" s="64">
        <f t="shared" si="155"/>
        <v>37.94076591699033</v>
      </c>
      <c r="BN139" s="61">
        <f t="shared" si="159"/>
        <v>92.595233295987256</v>
      </c>
      <c r="BO139" s="50">
        <f t="shared" si="156"/>
        <v>19.152963151569214</v>
      </c>
      <c r="BP139" s="61">
        <f t="shared" si="157"/>
        <v>90.135741420254021</v>
      </c>
    </row>
    <row r="140" spans="14:68" x14ac:dyDescent="0.25">
      <c r="N140" s="11">
        <v>22</v>
      </c>
      <c r="O140" s="51">
        <f t="shared" si="160"/>
        <v>165.95869074375622</v>
      </c>
      <c r="P140" s="49" t="str">
        <f t="shared" si="107"/>
        <v>25.6231073841137</v>
      </c>
      <c r="Q140" s="18" t="str">
        <f t="shared" si="108"/>
        <v>1+0.901748528308113i</v>
      </c>
      <c r="R140" s="18">
        <f t="shared" si="121"/>
        <v>1.3465327356978172</v>
      </c>
      <c r="S140" s="18">
        <f t="shared" si="122"/>
        <v>0.73378030004965289</v>
      </c>
      <c r="T140" s="18" t="str">
        <f t="shared" si="109"/>
        <v>1+0.000938474286551938i</v>
      </c>
      <c r="U140" s="18">
        <f t="shared" si="123"/>
        <v>1.0000004403668963</v>
      </c>
      <c r="V140" s="18">
        <f t="shared" si="124"/>
        <v>9.3847401103668373E-4</v>
      </c>
      <c r="W140" s="32" t="str">
        <f t="shared" si="110"/>
        <v>1-0.0210287756801453i</v>
      </c>
      <c r="X140" s="18">
        <f t="shared" si="125"/>
        <v>1.0002210802650611</v>
      </c>
      <c r="Y140" s="18">
        <f t="shared" si="126"/>
        <v>-2.1025676794845773E-2</v>
      </c>
      <c r="Z140" s="32" t="str">
        <f t="shared" si="111"/>
        <v>0.999999311442824+0.00166492290095696i</v>
      </c>
      <c r="AA140" s="18">
        <f t="shared" si="127"/>
        <v>1.0000006974269509</v>
      </c>
      <c r="AB140" s="18">
        <f t="shared" si="128"/>
        <v>1.6649225089805924E-3</v>
      </c>
      <c r="AC140" s="32" t="str">
        <f>IMDIV(IMSUM(COMPLEX(0,2*PI()*O140*Constants!$B$71*Constants!$B$72),COMPLEX(1,0)),IMSUM(COMPLEX(0,2*PI()*O140*Constants!$B$71*Constants!$B$72),COMPLEX(2,0)))</f>
        <v>0.50000217464236+0.00104274467206673i</v>
      </c>
      <c r="AD140" s="18">
        <f t="shared" si="129"/>
        <v>0.50000326195289979</v>
      </c>
      <c r="AE140" s="18">
        <f t="shared" si="130"/>
        <v>2.0854772503841471E-3</v>
      </c>
      <c r="AF140" s="66" t="str">
        <f t="shared" si="131"/>
        <v>6.94081769515258-6.51087349653942i</v>
      </c>
      <c r="AG140" s="64">
        <f t="shared" si="132"/>
        <v>19.56967219870333</v>
      </c>
      <c r="AH140" s="61">
        <f t="shared" si="133"/>
        <v>-43.169330212687356</v>
      </c>
      <c r="AI140" s="50" t="str">
        <f t="shared" si="112"/>
        <v>108.866083054159</v>
      </c>
      <c r="AJ140" s="50" t="str">
        <f t="shared" si="113"/>
        <v>1+0.853158442319944i</v>
      </c>
      <c r="AK140" s="50">
        <f t="shared" si="134"/>
        <v>1.3144882379472984</v>
      </c>
      <c r="AL140" s="50">
        <f t="shared" si="135"/>
        <v>0.70632484725063782</v>
      </c>
      <c r="AM140" s="50" t="str">
        <f t="shared" si="114"/>
        <v>1+0.000938474286551938i</v>
      </c>
      <c r="AN140" s="50">
        <f t="shared" si="136"/>
        <v>1.0000004403668963</v>
      </c>
      <c r="AO140" s="50">
        <f t="shared" si="137"/>
        <v>9.3847401103668373E-4</v>
      </c>
      <c r="AP140" s="50" t="str">
        <f t="shared" si="115"/>
        <v>1-0.00468270639380037i</v>
      </c>
      <c r="AQ140" s="50">
        <f t="shared" si="138"/>
        <v>1.0000109638094827</v>
      </c>
      <c r="AR140" s="50">
        <f t="shared" si="139"/>
        <v>-4.6826721671958706E-3</v>
      </c>
      <c r="AS140" s="59" t="str">
        <f t="shared" si="140"/>
        <v>62.8046156883061-53.9899079746997i</v>
      </c>
      <c r="AT140" s="50">
        <f t="shared" si="141"/>
        <v>38.362816917289955</v>
      </c>
      <c r="AU140" s="61">
        <f t="shared" si="142"/>
        <v>-40.683959464692677</v>
      </c>
      <c r="AV140" s="32" t="str">
        <f t="shared" si="116"/>
        <v>-0.0000333333333333333</v>
      </c>
      <c r="AW140" s="32" t="str">
        <f t="shared" si="117"/>
        <v>0.0000500519619494366i</v>
      </c>
      <c r="AX140" s="32">
        <f t="shared" si="143"/>
        <v>5.0051961949436603E-5</v>
      </c>
      <c r="AY140" s="32">
        <f t="shared" si="144"/>
        <v>1.5707963267948966</v>
      </c>
      <c r="AZ140" s="32" t="str">
        <f t="shared" si="118"/>
        <v>1+0.020420505309232i</v>
      </c>
      <c r="BA140" s="32">
        <f t="shared" si="145"/>
        <v>1.0002084767872568</v>
      </c>
      <c r="BB140" s="32">
        <f t="shared" si="146"/>
        <v>2.0417667589120794E-2</v>
      </c>
      <c r="BC140" s="32" t="str">
        <f t="shared" si="119"/>
        <v>1+0.980184254843137i</v>
      </c>
      <c r="BD140" s="32">
        <f t="shared" si="147"/>
        <v>1.4002718212698546</v>
      </c>
      <c r="BE140" s="32">
        <f t="shared" si="148"/>
        <v>0.77539147654723029</v>
      </c>
      <c r="BF140" s="59" t="str">
        <f t="shared" si="149"/>
        <v>-0.638911816406343+0.679021462077533i</v>
      </c>
      <c r="BG140" s="50">
        <f t="shared" si="150"/>
        <v>-0.60841084144200008</v>
      </c>
      <c r="BH140" s="61">
        <f t="shared" si="151"/>
        <v>133.25681289621571</v>
      </c>
      <c r="BI140" s="59" t="str">
        <f t="shared" si="152"/>
        <v>-0.0135475999331645+8.87283819144204i</v>
      </c>
      <c r="BJ140" s="64">
        <f t="shared" si="153"/>
        <v>18.961261357261336</v>
      </c>
      <c r="BK140" s="61">
        <f t="shared" si="154"/>
        <v>90.087482683528336</v>
      </c>
      <c r="BL140" s="59" t="str">
        <f t="shared" si="158"/>
        <v>-3.46630483770591+77.1404721416179i</v>
      </c>
      <c r="BM140" s="64">
        <f t="shared" si="155"/>
        <v>37.754406075847967</v>
      </c>
      <c r="BN140" s="61">
        <f t="shared" si="159"/>
        <v>92.572853431523015</v>
      </c>
      <c r="BO140" s="50">
        <f t="shared" si="156"/>
        <v>18.961261357261336</v>
      </c>
      <c r="BP140" s="61">
        <f t="shared" si="157"/>
        <v>90.087482683528336</v>
      </c>
    </row>
    <row r="141" spans="14:68" x14ac:dyDescent="0.25">
      <c r="N141" s="11">
        <v>23</v>
      </c>
      <c r="O141" s="51">
        <f t="shared" si="160"/>
        <v>169.82436524617444</v>
      </c>
      <c r="P141" s="49" t="str">
        <f t="shared" si="107"/>
        <v>25.6231073841137</v>
      </c>
      <c r="Q141" s="18" t="str">
        <f t="shared" si="108"/>
        <v>1+0.922752949817172i</v>
      </c>
      <c r="R141" s="18">
        <f t="shared" si="121"/>
        <v>1.3606884310510956</v>
      </c>
      <c r="S141" s="18">
        <f t="shared" si="122"/>
        <v>0.74524452316732337</v>
      </c>
      <c r="T141" s="18" t="str">
        <f t="shared" si="109"/>
        <v>1+0.000960334160864275i</v>
      </c>
      <c r="U141" s="18">
        <f t="shared" si="123"/>
        <v>1.000000461120744</v>
      </c>
      <c r="V141" s="18">
        <f t="shared" si="124"/>
        <v>9.6033386564436853E-4</v>
      </c>
      <c r="W141" s="32" t="str">
        <f t="shared" si="110"/>
        <v>1-0.0215185987897365i</v>
      </c>
      <c r="X141" s="18">
        <f t="shared" si="125"/>
        <v>1.0002314982512166</v>
      </c>
      <c r="Y141" s="18">
        <f t="shared" si="126"/>
        <v>-2.1515278315818606E-2</v>
      </c>
      <c r="Z141" s="32" t="str">
        <f t="shared" si="111"/>
        <v>0.999999278992124+0.00170370393723699i</v>
      </c>
      <c r="AA141" s="18">
        <f t="shared" si="127"/>
        <v>1.0000007302956702</v>
      </c>
      <c r="AB141" s="18">
        <f t="shared" si="128"/>
        <v>1.7037035172267532E-3</v>
      </c>
      <c r="AC141" s="32" t="str">
        <f>IMDIV(IMSUM(COMPLEX(0,2*PI()*O141*Constants!$B$71*Constants!$B$72),COMPLEX(1,0)),IMSUM(COMPLEX(0,2*PI()*O141*Constants!$B$71*Constants!$B$72),COMPLEX(2,0)))</f>
        <v>0.500002277129631+0.00106703309694837i</v>
      </c>
      <c r="AD141" s="18">
        <f t="shared" si="129"/>
        <v>0.50000341568277951</v>
      </c>
      <c r="AE141" s="18">
        <f t="shared" si="130"/>
        <v>2.1340532352212339E-3</v>
      </c>
      <c r="AF141" s="66" t="str">
        <f t="shared" si="131"/>
        <v>6.7913802827774-6.52463748697807i</v>
      </c>
      <c r="AG141" s="64">
        <f t="shared" si="132"/>
        <v>19.478929707883349</v>
      </c>
      <c r="AH141" s="61">
        <f t="shared" si="133"/>
        <v>-43.852420225292271</v>
      </c>
      <c r="AI141" s="50" t="str">
        <f t="shared" si="112"/>
        <v>108.866083054159</v>
      </c>
      <c r="AJ141" s="50" t="str">
        <f t="shared" si="113"/>
        <v>1+0.87303105533116i</v>
      </c>
      <c r="AK141" s="50">
        <f t="shared" si="134"/>
        <v>1.327472494469335</v>
      </c>
      <c r="AL141" s="50">
        <f t="shared" si="135"/>
        <v>0.71771375639637769</v>
      </c>
      <c r="AM141" s="50" t="str">
        <f t="shared" si="114"/>
        <v>1+0.000960334160864275i</v>
      </c>
      <c r="AN141" s="50">
        <f t="shared" si="136"/>
        <v>1.000000461120744</v>
      </c>
      <c r="AO141" s="50">
        <f t="shared" si="137"/>
        <v>9.6033386564436853E-4</v>
      </c>
      <c r="AP141" s="50" t="str">
        <f t="shared" si="115"/>
        <v>1-0.00479178063768418i</v>
      </c>
      <c r="AQ141" s="50">
        <f t="shared" si="138"/>
        <v>1.0000114805149387</v>
      </c>
      <c r="AR141" s="50">
        <f t="shared" si="139"/>
        <v>-4.7917439632394459E-3</v>
      </c>
      <c r="AS141" s="59" t="str">
        <f t="shared" si="140"/>
        <v>61.5727289871911-54.17201913767i</v>
      </c>
      <c r="AT141" s="50">
        <f t="shared" si="141"/>
        <v>38.277445049992956</v>
      </c>
      <c r="AU141" s="61">
        <f t="shared" si="142"/>
        <v>-41.341492768168948</v>
      </c>
      <c r="AV141" s="32" t="str">
        <f t="shared" si="116"/>
        <v>-0.0000333333333333333</v>
      </c>
      <c r="AW141" s="32" t="str">
        <f t="shared" si="117"/>
        <v>0.0000512178219127614i</v>
      </c>
      <c r="AX141" s="32">
        <f t="shared" si="143"/>
        <v>5.1217821912761403E-5</v>
      </c>
      <c r="AY141" s="32">
        <f t="shared" si="144"/>
        <v>1.5707963267948966</v>
      </c>
      <c r="AZ141" s="32" t="str">
        <f t="shared" si="118"/>
        <v>1+0.0208961599817689i</v>
      </c>
      <c r="BA141" s="32">
        <f t="shared" si="145"/>
        <v>1.0002183009233452</v>
      </c>
      <c r="BB141" s="32">
        <f t="shared" si="146"/>
        <v>2.0893119345728014E-2</v>
      </c>
      <c r="BC141" s="32" t="str">
        <f t="shared" si="119"/>
        <v>1+1.00301567912491i</v>
      </c>
      <c r="BD141" s="32">
        <f t="shared" si="147"/>
        <v>1.4163475747747811</v>
      </c>
      <c r="BE141" s="32">
        <f t="shared" si="148"/>
        <v>0.78690373166521377</v>
      </c>
      <c r="BF141" s="59" t="str">
        <f t="shared" si="149"/>
        <v>-0.638899265694556+0.664165669449733i</v>
      </c>
      <c r="BG141" s="50">
        <f t="shared" si="150"/>
        <v>-0.70934627499639691</v>
      </c>
      <c r="BH141" s="61">
        <f t="shared" si="151"/>
        <v>133.88917514813838</v>
      </c>
      <c r="BI141" s="59" t="str">
        <f t="shared" si="152"/>
        <v>-0.00556765126335446+8.67918773135203i</v>
      </c>
      <c r="BJ141" s="64">
        <f t="shared" si="153"/>
        <v>18.769583432886954</v>
      </c>
      <c r="BK141" s="61">
        <f t="shared" si="154"/>
        <v>90.036754922846114</v>
      </c>
      <c r="BL141" s="59" t="str">
        <f t="shared" si="158"/>
        <v>-3.35957598071195+75.5049560158735i</v>
      </c>
      <c r="BM141" s="64">
        <f t="shared" si="155"/>
        <v>37.56809877499655</v>
      </c>
      <c r="BN141" s="61">
        <f t="shared" si="159"/>
        <v>92.547682379969416</v>
      </c>
      <c r="BO141" s="50">
        <f t="shared" si="156"/>
        <v>18.769583432886954</v>
      </c>
      <c r="BP141" s="61">
        <f t="shared" si="157"/>
        <v>90.036754922846114</v>
      </c>
    </row>
    <row r="142" spans="14:68" x14ac:dyDescent="0.25">
      <c r="N142" s="11">
        <v>24</v>
      </c>
      <c r="O142" s="51">
        <f t="shared" si="160"/>
        <v>173.78008287493768</v>
      </c>
      <c r="P142" s="49" t="str">
        <f t="shared" si="107"/>
        <v>25.6231073841137</v>
      </c>
      <c r="Q142" s="18" t="str">
        <f t="shared" si="108"/>
        <v>1+0.94424662715431i</v>
      </c>
      <c r="R142" s="18">
        <f t="shared" si="121"/>
        <v>1.3753551151947232</v>
      </c>
      <c r="S142" s="18">
        <f t="shared" si="122"/>
        <v>0.75672993927584054</v>
      </c>
      <c r="T142" s="18" t="str">
        <f t="shared" si="109"/>
        <v>1+0.000982703217060235i</v>
      </c>
      <c r="U142" s="18">
        <f t="shared" si="123"/>
        <v>1.0000004828526898</v>
      </c>
      <c r="V142" s="18">
        <f t="shared" si="124"/>
        <v>9.8270290072641404E-4</v>
      </c>
      <c r="W142" s="32" t="str">
        <f t="shared" si="110"/>
        <v>1-0.0220198313452386i</v>
      </c>
      <c r="X142" s="18">
        <f t="shared" si="125"/>
        <v>1.0002424071056339</v>
      </c>
      <c r="Y142" s="18">
        <f t="shared" si="126"/>
        <v>-2.2016273439901302E-2</v>
      </c>
      <c r="Z142" s="32" t="str">
        <f t="shared" si="111"/>
        <v>0.99999924501207+0.00174338829989575i</v>
      </c>
      <c r="AA142" s="18">
        <f t="shared" si="127"/>
        <v>1.0000007647134448</v>
      </c>
      <c r="AB142" s="18">
        <f t="shared" si="128"/>
        <v>1.7433878498466818E-3</v>
      </c>
      <c r="AC142" s="32" t="str">
        <f>IMDIV(IMSUM(COMPLEX(0,2*PI()*O142*Constants!$B$71*Constants!$B$72),COMPLEX(1,0)),IMSUM(COMPLEX(0,2*PI()*O142*Constants!$B$71*Constants!$B$72),COMPLEX(2,0)))</f>
        <v>0.500002384446932+0.00109188725628099i</v>
      </c>
      <c r="AD142" s="18">
        <f t="shared" si="129"/>
        <v>0.50000357665760553</v>
      </c>
      <c r="AE142" s="18">
        <f t="shared" si="130"/>
        <v>2.1837606271026301E-3</v>
      </c>
      <c r="AF142" s="66" t="str">
        <f t="shared" si="131"/>
        <v>6.64138987443428-6.53498796337588i</v>
      </c>
      <c r="AG142" s="64">
        <f t="shared" si="132"/>
        <v>19.385904030820228</v>
      </c>
      <c r="AH142" s="61">
        <f t="shared" si="133"/>
        <v>-44.537335070132912</v>
      </c>
      <c r="AI142" s="50" t="str">
        <f t="shared" si="112"/>
        <v>108.866083054159</v>
      </c>
      <c r="AJ142" s="50" t="str">
        <f t="shared" si="113"/>
        <v>1+0.893366560963851i</v>
      </c>
      <c r="AK142" s="50">
        <f t="shared" si="134"/>
        <v>1.3409339328424716</v>
      </c>
      <c r="AL142" s="50">
        <f t="shared" si="135"/>
        <v>0.72913810667524048</v>
      </c>
      <c r="AM142" s="50" t="str">
        <f t="shared" si="114"/>
        <v>1+0.000982703217060235i</v>
      </c>
      <c r="AN142" s="50">
        <f t="shared" si="136"/>
        <v>1.0000004828526898</v>
      </c>
      <c r="AO142" s="50">
        <f t="shared" si="137"/>
        <v>9.8270290072641404E-4</v>
      </c>
      <c r="AP142" s="50" t="str">
        <f t="shared" si="115"/>
        <v>1-0.00490339554708885i</v>
      </c>
      <c r="AQ142" s="50">
        <f t="shared" si="138"/>
        <v>1.0000120215716866</v>
      </c>
      <c r="AR142" s="50">
        <f t="shared" si="139"/>
        <v>-4.9033562497388236E-3</v>
      </c>
      <c r="AS142" s="59" t="str">
        <f t="shared" si="140"/>
        <v>60.3331636770846-54.3264613630969i</v>
      </c>
      <c r="AT142" s="50">
        <f t="shared" si="141"/>
        <v>38.189812943543224</v>
      </c>
      <c r="AU142" s="61">
        <f t="shared" si="142"/>
        <v>-42.001173084483121</v>
      </c>
      <c r="AV142" s="32" t="str">
        <f t="shared" si="116"/>
        <v>-0.0000333333333333333</v>
      </c>
      <c r="AW142" s="32" t="str">
        <f t="shared" si="117"/>
        <v>0.0000524108382432124i</v>
      </c>
      <c r="AX142" s="32">
        <f t="shared" si="143"/>
        <v>5.2410838243212399E-5</v>
      </c>
      <c r="AY142" s="32">
        <f t="shared" si="144"/>
        <v>1.5707963267948966</v>
      </c>
      <c r="AZ142" s="32" t="str">
        <f t="shared" si="118"/>
        <v>1+0.0213828940749218i</v>
      </c>
      <c r="BA142" s="32">
        <f t="shared" si="145"/>
        <v>1.0002285879532835</v>
      </c>
      <c r="BB142" s="32">
        <f t="shared" si="146"/>
        <v>2.1379636014917047E-2</v>
      </c>
      <c r="BC142" s="32" t="str">
        <f t="shared" si="119"/>
        <v>1+1.02637891559625i</v>
      </c>
      <c r="BD142" s="32">
        <f t="shared" si="147"/>
        <v>1.4329876755857092</v>
      </c>
      <c r="BE142" s="32">
        <f t="shared" si="148"/>
        <v>0.7984151887273726</v>
      </c>
      <c r="BF142" s="59" t="str">
        <f t="shared" si="149"/>
        <v>-0.638886124014439+0.649662001535869i</v>
      </c>
      <c r="BG142" s="50">
        <f t="shared" si="150"/>
        <v>-0.80798336665582993</v>
      </c>
      <c r="BH142" s="61">
        <f t="shared" si="151"/>
        <v>134.52085770203897</v>
      </c>
      <c r="BI142" s="59" t="str">
        <f t="shared" si="152"/>
        <v>0.00244152535352704+8.48977176920726i</v>
      </c>
      <c r="BJ142" s="64">
        <f t="shared" si="153"/>
        <v>18.577920664164402</v>
      </c>
      <c r="BK142" s="61">
        <f t="shared" si="154"/>
        <v>89.983522631906055</v>
      </c>
      <c r="BL142" s="59" t="str">
        <f t="shared" si="158"/>
        <v>-3.25218346567073+73.9045862051351i</v>
      </c>
      <c r="BM142" s="64">
        <f t="shared" si="155"/>
        <v>37.381829576887398</v>
      </c>
      <c r="BN142" s="61">
        <f t="shared" si="159"/>
        <v>92.519684617555839</v>
      </c>
      <c r="BO142" s="50">
        <f t="shared" si="156"/>
        <v>18.577920664164402</v>
      </c>
      <c r="BP142" s="61">
        <f t="shared" si="157"/>
        <v>89.983522631906055</v>
      </c>
    </row>
    <row r="143" spans="14:68" x14ac:dyDescent="0.25">
      <c r="N143" s="11">
        <v>25</v>
      </c>
      <c r="O143" s="51">
        <f t="shared" si="160"/>
        <v>177.82794100389242</v>
      </c>
      <c r="P143" s="49" t="str">
        <f t="shared" si="107"/>
        <v>25.6231073841137</v>
      </c>
      <c r="Q143" s="18" t="str">
        <f t="shared" si="108"/>
        <v>1+0.966240956551747i</v>
      </c>
      <c r="R143" s="18">
        <f t="shared" si="121"/>
        <v>1.3905472254181213</v>
      </c>
      <c r="S143" s="18">
        <f t="shared" si="122"/>
        <v>0.7682305183579391</v>
      </c>
      <c r="T143" s="18" t="str">
        <f t="shared" si="109"/>
        <v>1+0.00100559331550949i</v>
      </c>
      <c r="U143" s="18">
        <f t="shared" si="123"/>
        <v>1.0000005056088304</v>
      </c>
      <c r="V143" s="18">
        <f t="shared" si="124"/>
        <v>1.0055929765517032E-3</v>
      </c>
      <c r="W143" s="32" t="str">
        <f t="shared" si="110"/>
        <v>1-0.0225327391067868i</v>
      </c>
      <c r="X143" s="18">
        <f t="shared" si="125"/>
        <v>1.0002538299510053</v>
      </c>
      <c r="Y143" s="18">
        <f t="shared" si="126"/>
        <v>-2.2528926794780454E-2</v>
      </c>
      <c r="Z143" s="32" t="str">
        <f t="shared" si="111"/>
        <v>0.999999209430585+0.00178399703010758i</v>
      </c>
      <c r="AA143" s="18">
        <f t="shared" si="127"/>
        <v>1.0000008007532786</v>
      </c>
      <c r="AB143" s="18">
        <f t="shared" si="128"/>
        <v>1.7839965478713264E-3</v>
      </c>
      <c r="AC143" s="32" t="str">
        <f>IMDIV(IMSUM(COMPLEX(0,2*PI()*O143*Constants!$B$71*Constants!$B$72),COMPLEX(1,0)),IMSUM(COMPLEX(0,2*PI()*O143*Constants!$B$71*Constants!$B$72),COMPLEX(2,0)))</f>
        <v>0.500002496821893+0.00111732032659409i</v>
      </c>
      <c r="AD143" s="18">
        <f t="shared" si="129"/>
        <v>0.50000374521881263</v>
      </c>
      <c r="AE143" s="18">
        <f t="shared" si="130"/>
        <v>2.2346257746634645E-3</v>
      </c>
      <c r="AF143" s="66" t="str">
        <f t="shared" si="131"/>
        <v>6.49100318545046-6.54189769824103i</v>
      </c>
      <c r="AG143" s="64">
        <f t="shared" si="132"/>
        <v>19.290588119720002</v>
      </c>
      <c r="AH143" s="61">
        <f t="shared" si="133"/>
        <v>-45.223743431072698</v>
      </c>
      <c r="AI143" s="50" t="str">
        <f t="shared" si="112"/>
        <v>108.866083054159</v>
      </c>
      <c r="AJ143" s="50" t="str">
        <f t="shared" si="113"/>
        <v>1+0.914175741372269i</v>
      </c>
      <c r="AK143" s="50">
        <f t="shared" si="134"/>
        <v>1.3548864476824387</v>
      </c>
      <c r="AL143" s="50">
        <f t="shared" si="135"/>
        <v>0.74059202789784806</v>
      </c>
      <c r="AM143" s="50" t="str">
        <f t="shared" si="114"/>
        <v>1+0.00100559331550949i</v>
      </c>
      <c r="AN143" s="50">
        <f t="shared" si="136"/>
        <v>1.0000005056088304</v>
      </c>
      <c r="AO143" s="50">
        <f t="shared" si="137"/>
        <v>1.0055929765517032E-3</v>
      </c>
      <c r="AP143" s="50" t="str">
        <f t="shared" si="115"/>
        <v>1-0.00501761030171669i</v>
      </c>
      <c r="AQ143" s="50">
        <f t="shared" si="138"/>
        <v>1.0000125881273394</v>
      </c>
      <c r="AR143" s="50">
        <f t="shared" si="139"/>
        <v>-5.0175681938761192E-3</v>
      </c>
      <c r="AS143" s="59" t="str">
        <f t="shared" si="140"/>
        <v>59.0871733275818-54.452833056769i</v>
      </c>
      <c r="AT143" s="50">
        <f t="shared" si="141"/>
        <v>38.09990770534047</v>
      </c>
      <c r="AU143" s="61">
        <f t="shared" si="142"/>
        <v>-42.662666787045396</v>
      </c>
      <c r="AV143" s="32" t="str">
        <f t="shared" si="116"/>
        <v>-0.0000333333333333333</v>
      </c>
      <c r="AW143" s="32" t="str">
        <f t="shared" si="117"/>
        <v>0.0000536316434938395i</v>
      </c>
      <c r="AX143" s="32">
        <f t="shared" si="143"/>
        <v>5.3631643493839501E-5</v>
      </c>
      <c r="AY143" s="32">
        <f t="shared" si="144"/>
        <v>1.5707963267948966</v>
      </c>
      <c r="AZ143" s="32" t="str">
        <f t="shared" si="118"/>
        <v>1+0.0218809656615492i</v>
      </c>
      <c r="BA143" s="32">
        <f t="shared" si="145"/>
        <v>1.000239359682612</v>
      </c>
      <c r="BB143" s="32">
        <f t="shared" si="146"/>
        <v>2.1877474632475139E-2</v>
      </c>
      <c r="BC143" s="32" t="str">
        <f t="shared" si="119"/>
        <v>1+1.05028635175436i</v>
      </c>
      <c r="BD143" s="32">
        <f t="shared" si="147"/>
        <v>1.4502073716132748</v>
      </c>
      <c r="BE143" s="32">
        <f t="shared" si="148"/>
        <v>0.80991974893569918</v>
      </c>
      <c r="BF143" s="59" t="str">
        <f t="shared" si="149"/>
        <v>-0.638872363565446+0.635502766533253i</v>
      </c>
      <c r="BG143" s="50">
        <f t="shared" si="150"/>
        <v>-0.90432384450524872</v>
      </c>
      <c r="BH143" s="61">
        <f t="shared" si="151"/>
        <v>135.15149639546544</v>
      </c>
      <c r="BI143" s="59" t="str">
        <f t="shared" si="152"/>
        <v>0.01047153861012+8.30448812660852i</v>
      </c>
      <c r="BJ143" s="64">
        <f t="shared" si="153"/>
        <v>18.386264275214753</v>
      </c>
      <c r="BK143" s="61">
        <f t="shared" si="154"/>
        <v>89.927752964392752</v>
      </c>
      <c r="BL143" s="59" t="str">
        <f t="shared" si="158"/>
        <v>-3.14423602704329+72.3384722741207i</v>
      </c>
      <c r="BM143" s="64">
        <f t="shared" si="155"/>
        <v>37.195583860835214</v>
      </c>
      <c r="BN143" s="61">
        <f t="shared" si="159"/>
        <v>92.488829608420033</v>
      </c>
      <c r="BO143" s="50">
        <f t="shared" si="156"/>
        <v>18.386264275214753</v>
      </c>
      <c r="BP143" s="61">
        <f t="shared" si="157"/>
        <v>89.927752964392752</v>
      </c>
    </row>
    <row r="144" spans="14:68" x14ac:dyDescent="0.25">
      <c r="N144" s="11">
        <v>26</v>
      </c>
      <c r="O144" s="51">
        <f t="shared" si="160"/>
        <v>181.9700858609983</v>
      </c>
      <c r="P144" s="49" t="str">
        <f t="shared" si="107"/>
        <v>25.6231073841137</v>
      </c>
      <c r="Q144" s="18" t="str">
        <f t="shared" si="108"/>
        <v>1+0.988747599694048i</v>
      </c>
      <c r="R144" s="18">
        <f t="shared" si="121"/>
        <v>1.4062794231235631</v>
      </c>
      <c r="S144" s="18">
        <f t="shared" si="122"/>
        <v>0.77974019039255626</v>
      </c>
      <c r="T144" s="18" t="str">
        <f t="shared" si="109"/>
        <v>1+0.00102901659284523i</v>
      </c>
      <c r="U144" s="18">
        <f t="shared" si="123"/>
        <v>1.0000005294374341</v>
      </c>
      <c r="V144" s="18">
        <f t="shared" si="124"/>
        <v>1.0290162296454283E-3</v>
      </c>
      <c r="W144" s="32" t="str">
        <f t="shared" si="110"/>
        <v>1-0.0230575940248653i</v>
      </c>
      <c r="X144" s="18">
        <f t="shared" si="125"/>
        <v>1.0002657909986803</v>
      </c>
      <c r="Y144" s="18">
        <f t="shared" si="126"/>
        <v>-2.305350911757505E-2</v>
      </c>
      <c r="Z144" s="32" t="str">
        <f t="shared" si="111"/>
        <v>0.999999172172196+0.00182555165915876i</v>
      </c>
      <c r="AA144" s="18">
        <f t="shared" si="127"/>
        <v>1.0000008384916172</v>
      </c>
      <c r="AB144" s="18">
        <f t="shared" si="128"/>
        <v>1.8255511424333172E-3</v>
      </c>
      <c r="AC144" s="32" t="str">
        <f>IMDIV(IMSUM(COMPLEX(0,2*PI()*O144*Constants!$B$71*Constants!$B$72),COMPLEX(1,0)),IMSUM(COMPLEX(0,2*PI()*O144*Constants!$B$71*Constants!$B$72),COMPLEX(2,0)))</f>
        <v>0.500002614492868+0.00114334579125794i</v>
      </c>
      <c r="AD144" s="18">
        <f t="shared" si="129"/>
        <v>0.50000392172392194</v>
      </c>
      <c r="AE144" s="18">
        <f t="shared" si="130"/>
        <v>2.2866756399040475E-3</v>
      </c>
      <c r="AF144" s="66" t="str">
        <f t="shared" si="131"/>
        <v>6.34037860177334-6.54534847051539i</v>
      </c>
      <c r="AG144" s="64">
        <f t="shared" si="132"/>
        <v>19.192977344438905</v>
      </c>
      <c r="AH144" s="61">
        <f t="shared" si="133"/>
        <v>-45.911312027079838</v>
      </c>
      <c r="AI144" s="50" t="str">
        <f t="shared" si="112"/>
        <v>108.866083054159</v>
      </c>
      <c r="AJ144" s="50" t="str">
        <f t="shared" si="113"/>
        <v>1+0.935469629859299i</v>
      </c>
      <c r="AK144" s="50">
        <f t="shared" si="134"/>
        <v>1.3693441599499718</v>
      </c>
      <c r="AL144" s="50">
        <f t="shared" si="135"/>
        <v>0.75206957273426911</v>
      </c>
      <c r="AM144" s="50" t="str">
        <f t="shared" si="114"/>
        <v>1+0.00102901659284523i</v>
      </c>
      <c r="AN144" s="50">
        <f t="shared" si="136"/>
        <v>1.0000005294374341</v>
      </c>
      <c r="AO144" s="50">
        <f t="shared" si="137"/>
        <v>1.0290162296454283E-3</v>
      </c>
      <c r="AP144" s="50" t="str">
        <f t="shared" si="115"/>
        <v>1-0.00513448545974237i</v>
      </c>
      <c r="AQ144" s="50">
        <f t="shared" si="138"/>
        <v>1.0000131813835937</v>
      </c>
      <c r="AR144" s="50">
        <f t="shared" si="139"/>
        <v>-5.1344403404104174E-3</v>
      </c>
      <c r="AS144" s="59" t="str">
        <f t="shared" si="140"/>
        <v>57.8360382150057-54.5508035761595i</v>
      </c>
      <c r="AT144" s="50">
        <f t="shared" si="141"/>
        <v>38.00771876137744</v>
      </c>
      <c r="AU144" s="61">
        <f t="shared" si="142"/>
        <v>-43.32563589253877</v>
      </c>
      <c r="AV144" s="32" t="str">
        <f t="shared" si="116"/>
        <v>-0.0000333333333333333</v>
      </c>
      <c r="AW144" s="32" t="str">
        <f t="shared" si="117"/>
        <v>0.0000548808849517456i</v>
      </c>
      <c r="AX144" s="32">
        <f t="shared" si="143"/>
        <v>5.4880884951745601E-5</v>
      </c>
      <c r="AY144" s="32">
        <f t="shared" si="144"/>
        <v>1.5707963267948966</v>
      </c>
      <c r="AZ144" s="32" t="str">
        <f t="shared" si="118"/>
        <v>1+0.0223906388257989i</v>
      </c>
      <c r="BA144" s="32">
        <f t="shared" si="145"/>
        <v>1.0002506389435737</v>
      </c>
      <c r="BB144" s="32">
        <f t="shared" si="146"/>
        <v>2.2386898171373272E-2</v>
      </c>
      <c r="BC144" s="32" t="str">
        <f t="shared" si="119"/>
        <v>1+1.07475066363835i</v>
      </c>
      <c r="BD144" s="32">
        <f t="shared" si="147"/>
        <v>1.4680221350480629</v>
      </c>
      <c r="BE144" s="32">
        <f t="shared" si="148"/>
        <v>0.82141133174491643</v>
      </c>
      <c r="BF144" s="59" t="str">
        <f t="shared" si="149"/>
        <v>-0.638857955241769+0.621680455135976i</v>
      </c>
      <c r="BG144" s="50">
        <f t="shared" si="150"/>
        <v>-0.99837187881576817</v>
      </c>
      <c r="BH144" s="61">
        <f t="shared" si="151"/>
        <v>135.78072777159528</v>
      </c>
      <c r="BI144" s="59" t="str">
        <f t="shared" si="152"/>
        <v>0.0185139071859899+8.12323739510316i</v>
      </c>
      <c r="BJ144" s="64">
        <f t="shared" si="153"/>
        <v>18.194605465623141</v>
      </c>
      <c r="BK144" s="61">
        <f t="shared" si="154"/>
        <v>89.869415744515464</v>
      </c>
      <c r="BL144" s="59" t="str">
        <f t="shared" si="158"/>
        <v>-3.03584471806329+70.8057493902271i</v>
      </c>
      <c r="BM144" s="64">
        <f t="shared" si="155"/>
        <v>37.00934688256168</v>
      </c>
      <c r="BN144" s="61">
        <f t="shared" si="159"/>
        <v>92.455091879056525</v>
      </c>
      <c r="BO144" s="50">
        <f t="shared" si="156"/>
        <v>18.194605465623141</v>
      </c>
      <c r="BP144" s="61">
        <f t="shared" si="157"/>
        <v>89.869415744515464</v>
      </c>
    </row>
    <row r="145" spans="14:68" x14ac:dyDescent="0.25">
      <c r="N145" s="11">
        <v>27</v>
      </c>
      <c r="O145" s="51">
        <f t="shared" si="160"/>
        <v>186.20871366628685</v>
      </c>
      <c r="P145" s="49" t="str">
        <f t="shared" si="107"/>
        <v>25.6231073841137</v>
      </c>
      <c r="Q145" s="18" t="str">
        <f t="shared" si="108"/>
        <v>1+1.01177848990134i</v>
      </c>
      <c r="R145" s="18">
        <f t="shared" si="121"/>
        <v>1.4225665933892291</v>
      </c>
      <c r="S145" s="18">
        <f t="shared" si="122"/>
        <v>0.79125286130834815</v>
      </c>
      <c r="T145" s="18" t="str">
        <f t="shared" si="109"/>
        <v>1+0.00105298546839914i</v>
      </c>
      <c r="U145" s="18">
        <f t="shared" si="123"/>
        <v>1.0000005543890447</v>
      </c>
      <c r="V145" s="18">
        <f t="shared" si="124"/>
        <v>1.0529850792235524E-3</v>
      </c>
      <c r="W145" s="32" t="str">
        <f t="shared" si="110"/>
        <v>1-0.0235946743844992i</v>
      </c>
      <c r="X145" s="18">
        <f t="shared" si="125"/>
        <v>1.0002783155998687</v>
      </c>
      <c r="Y145" s="18">
        <f t="shared" si="126"/>
        <v>-2.3590297393250411E-2</v>
      </c>
      <c r="Z145" s="32" t="str">
        <f t="shared" si="111"/>
        <v>0.999999133157874+0.00186807421986366i</v>
      </c>
      <c r="AA145" s="18">
        <f t="shared" si="127"/>
        <v>1.0000008780085097</v>
      </c>
      <c r="AB145" s="18">
        <f t="shared" si="128"/>
        <v>1.8680736661823853E-3</v>
      </c>
      <c r="AC145" s="32" t="str">
        <f>IMDIV(IMSUM(COMPLEX(0,2*PI()*O145*Constants!$B$71*Constants!$B$72),COMPLEX(1,0)),IMSUM(COMPLEX(0,2*PI()*O145*Constants!$B$71*Constants!$B$72),COMPLEX(2,0)))</f>
        <v>0.500002737709446+0.00116997744762513i</v>
      </c>
      <c r="AD145" s="18">
        <f t="shared" si="129"/>
        <v>0.50000410654730532</v>
      </c>
      <c r="AE145" s="18">
        <f t="shared" si="130"/>
        <v>2.3399378124503239E-3</v>
      </c>
      <c r="AF145" s="66" t="str">
        <f t="shared" si="131"/>
        <v>6.18967551542094-6.54533118284676i</v>
      </c>
      <c r="AG145" s="64">
        <f t="shared" si="132"/>
        <v>19.093069513402618</v>
      </c>
      <c r="AH145" s="61">
        <f t="shared" si="133"/>
        <v>-46.599706533695944</v>
      </c>
      <c r="AI145" s="50" t="str">
        <f t="shared" si="112"/>
        <v>108.866083054159</v>
      </c>
      <c r="AJ145" s="50" t="str">
        <f t="shared" si="113"/>
        <v>1+0.957259516726491i</v>
      </c>
      <c r="AK145" s="50">
        <f t="shared" si="134"/>
        <v>1.3843214158436743</v>
      </c>
      <c r="AL145" s="50">
        <f t="shared" si="135"/>
        <v>0.76356473188376883</v>
      </c>
      <c r="AM145" s="50" t="str">
        <f t="shared" si="114"/>
        <v>1+0.00105298546839914i</v>
      </c>
      <c r="AN145" s="50">
        <f t="shared" si="136"/>
        <v>1.0000005543890447</v>
      </c>
      <c r="AO145" s="50">
        <f t="shared" si="137"/>
        <v>1.0529850792235524E-3</v>
      </c>
      <c r="AP145" s="50" t="str">
        <f t="shared" si="115"/>
        <v>1-0.00525408298992179i</v>
      </c>
      <c r="AQ145" s="50">
        <f t="shared" si="138"/>
        <v>1.0000138025987766</v>
      </c>
      <c r="AR145" s="50">
        <f t="shared" si="139"/>
        <v>-5.2540346437226024E-3</v>
      </c>
      <c r="AS145" s="59" t="str">
        <f t="shared" si="140"/>
        <v>56.5810601508298-54.6201153275526i</v>
      </c>
      <c r="AT145" s="50">
        <f t="shared" si="141"/>
        <v>37.913237900414948</v>
      </c>
      <c r="AU145" s="61">
        <f t="shared" si="142"/>
        <v>-43.989738931549326</v>
      </c>
      <c r="AV145" s="32" t="str">
        <f t="shared" si="116"/>
        <v>-0.0000333333333333333</v>
      </c>
      <c r="AW145" s="32" t="str">
        <f t="shared" si="117"/>
        <v>0.0000561592249812876i</v>
      </c>
      <c r="AX145" s="32">
        <f t="shared" si="143"/>
        <v>5.6159224981287603E-5</v>
      </c>
      <c r="AY145" s="32">
        <f t="shared" si="144"/>
        <v>1.5707963267948966</v>
      </c>
      <c r="AZ145" s="32" t="str">
        <f t="shared" si="118"/>
        <v>1+0.0229121838031294i</v>
      </c>
      <c r="BA145" s="32">
        <f t="shared" si="145"/>
        <v>1.0002624496434065</v>
      </c>
      <c r="BB145" s="32">
        <f t="shared" si="146"/>
        <v>2.2908175676495481E-2</v>
      </c>
      <c r="BC145" s="32" t="str">
        <f t="shared" si="119"/>
        <v>1+1.09978482255021i</v>
      </c>
      <c r="BD145" s="32">
        <f t="shared" si="147"/>
        <v>1.4864476633611414</v>
      </c>
      <c r="BE145" s="32">
        <f t="shared" si="148"/>
        <v>0.83288389088371151</v>
      </c>
      <c r="BF145" s="59" t="str">
        <f t="shared" si="149"/>
        <v>-0.638842868571259+0.608187736544396i</v>
      </c>
      <c r="BG145" s="50">
        <f t="shared" si="150"/>
        <v>-1.0901340656729634</v>
      </c>
      <c r="BH145" s="61">
        <f t="shared" si="151"/>
        <v>136.40818998946381</v>
      </c>
      <c r="BI145" s="59" t="str">
        <f t="shared" si="152"/>
        <v>0.0265600952322251+7.94592289026687i</v>
      </c>
      <c r="BJ145" s="64">
        <f t="shared" si="153"/>
        <v>18.002935447729659</v>
      </c>
      <c r="BK145" s="61">
        <f t="shared" si="154"/>
        <v>89.808483455767856</v>
      </c>
      <c r="BL145" s="59" t="str">
        <f t="shared" si="158"/>
        <v>-2.92712246270099+69.3055780619622i</v>
      </c>
      <c r="BM145" s="64">
        <f t="shared" si="155"/>
        <v>36.823103834741985</v>
      </c>
      <c r="BN145" s="61">
        <f t="shared" si="159"/>
        <v>92.418451057914481</v>
      </c>
      <c r="BO145" s="50">
        <f t="shared" si="156"/>
        <v>18.002935447729659</v>
      </c>
      <c r="BP145" s="61">
        <f t="shared" si="157"/>
        <v>89.808483455767856</v>
      </c>
    </row>
    <row r="146" spans="14:68" x14ac:dyDescent="0.25">
      <c r="N146" s="11">
        <v>28</v>
      </c>
      <c r="O146" s="51">
        <f t="shared" si="160"/>
        <v>190.54607179632498</v>
      </c>
      <c r="P146" s="49" t="str">
        <f t="shared" si="107"/>
        <v>25.6231073841137</v>
      </c>
      <c r="Q146" s="18" t="str">
        <f t="shared" si="108"/>
        <v>1+1.03534583845645i</v>
      </c>
      <c r="R146" s="18">
        <f t="shared" si="121"/>
        <v>1.4394238448799885</v>
      </c>
      <c r="S146" s="18">
        <f t="shared" si="122"/>
        <v>0.80276242909210005</v>
      </c>
      <c r="T146" s="18" t="str">
        <f t="shared" si="109"/>
        <v>1+0.00107751265078631i</v>
      </c>
      <c r="U146" s="18">
        <f t="shared" si="123"/>
        <v>1.0000005805165879</v>
      </c>
      <c r="V146" s="18">
        <f t="shared" si="124"/>
        <v>1.0775122337771679E-3</v>
      </c>
      <c r="W146" s="32" t="str">
        <f t="shared" si="110"/>
        <v>1-0.0241442649528045i</v>
      </c>
      <c r="X146" s="18">
        <f t="shared" si="125"/>
        <v>1.0002914302992458</v>
      </c>
      <c r="Y146" s="18">
        <f t="shared" si="126"/>
        <v>-2.4139574995978182E-2</v>
      </c>
      <c r="Z146" s="32" t="str">
        <f t="shared" si="111"/>
        <v>0.999999092304863+0.00191158725824683i</v>
      </c>
      <c r="AA146" s="18">
        <f t="shared" si="127"/>
        <v>1.0000009193877752</v>
      </c>
      <c r="AB146" s="18">
        <f t="shared" si="128"/>
        <v>1.911586664966671E-3</v>
      </c>
      <c r="AC146" s="32" t="str">
        <f>IMDIV(IMSUM(COMPLEX(0,2*PI()*O146*Constants!$B$71*Constants!$B$72),COMPLEX(1,0)),IMSUM(COMPLEX(0,2*PI()*O146*Constants!$B$71*Constants!$B$72),COMPLEX(2,0)))</f>
        <v>0.500002866732977+0.00119722941433801i</v>
      </c>
      <c r="AD146" s="18">
        <f t="shared" si="129"/>
        <v>0.50000430008097507</v>
      </c>
      <c r="AE146" s="18">
        <f t="shared" si="130"/>
        <v>2.3944405241445245E-3</v>
      </c>
      <c r="AF146" s="66" t="str">
        <f t="shared" si="131"/>
        <v>6.03905365090719-6.5418459203244i</v>
      </c>
      <c r="AG146" s="64">
        <f t="shared" si="132"/>
        <v>18.990864884316348</v>
      </c>
      <c r="AH146" s="61">
        <f t="shared" si="133"/>
        <v>-47.288592513534653</v>
      </c>
      <c r="AI146" s="50" t="str">
        <f t="shared" si="112"/>
        <v>108.866083054159</v>
      </c>
      <c r="AJ146" s="50" t="str">
        <f t="shared" si="113"/>
        <v>1+0.979556955260287i</v>
      </c>
      <c r="AK146" s="50">
        <f t="shared" si="134"/>
        <v>1.3998327859422368</v>
      </c>
      <c r="AL146" s="50">
        <f t="shared" si="135"/>
        <v>0.77507144963899965</v>
      </c>
      <c r="AM146" s="50" t="str">
        <f t="shared" si="114"/>
        <v>1+0.00107751265078631i</v>
      </c>
      <c r="AN146" s="50">
        <f t="shared" si="136"/>
        <v>1.0000005805165879</v>
      </c>
      <c r="AO146" s="50">
        <f t="shared" si="137"/>
        <v>1.0775122337771679E-3</v>
      </c>
      <c r="AP146" s="50" t="str">
        <f t="shared" si="115"/>
        <v>1-0.00537646630444852i</v>
      </c>
      <c r="AQ146" s="50">
        <f t="shared" si="138"/>
        <v>1.0000144530905155</v>
      </c>
      <c r="AR146" s="50">
        <f t="shared" si="139"/>
        <v>-5.3764145006031929E-3</v>
      </c>
      <c r="AS146" s="59" t="str">
        <f t="shared" si="140"/>
        <v>55.323557119606-54.6605854117554i</v>
      </c>
      <c r="AT146" s="50">
        <f t="shared" si="141"/>
        <v>37.816459308517935</v>
      </c>
      <c r="AU146" s="61">
        <f t="shared" si="142"/>
        <v>-44.65463184182957</v>
      </c>
      <c r="AV146" s="32" t="str">
        <f t="shared" si="116"/>
        <v>-0.0000333333333333333</v>
      </c>
      <c r="AW146" s="32" t="str">
        <f t="shared" si="117"/>
        <v>0.0000574673413752699i</v>
      </c>
      <c r="AX146" s="32">
        <f t="shared" si="143"/>
        <v>5.74673413752699E-5</v>
      </c>
      <c r="AY146" s="32">
        <f t="shared" si="144"/>
        <v>1.5707963267948966</v>
      </c>
      <c r="AZ146" s="32" t="str">
        <f t="shared" si="118"/>
        <v>1+0.0234458771235911i</v>
      </c>
      <c r="BA146" s="32">
        <f t="shared" si="145"/>
        <v>1.0002748168149063</v>
      </c>
      <c r="BB146" s="32">
        <f t="shared" si="146"/>
        <v>2.344158240225051E-2</v>
      </c>
      <c r="BC146" s="32" t="str">
        <f t="shared" si="119"/>
        <v>1+1.12540210193238i</v>
      </c>
      <c r="BD146" s="32">
        <f t="shared" si="147"/>
        <v>1.5054998807817352</v>
      </c>
      <c r="BE146" s="32">
        <f t="shared" si="148"/>
        <v>0.84433143015565082</v>
      </c>
      <c r="BF146" s="59" t="str">
        <f t="shared" si="149"/>
        <v>-0.638827071651576+0.595017454568599i</v>
      </c>
      <c r="BG146" s="50">
        <f t="shared" si="150"/>
        <v>-1.1796194005014897</v>
      </c>
      <c r="BH146" s="61">
        <f t="shared" si="151"/>
        <v>137.03352372140657</v>
      </c>
      <c r="BI146" s="59" t="str">
        <f t="shared" si="152"/>
        <v>0.034601548335599+7.77245060384265i</v>
      </c>
      <c r="BJ146" s="64">
        <f t="shared" si="153"/>
        <v>17.811245483814858</v>
      </c>
      <c r="BK146" s="61">
        <f t="shared" si="154"/>
        <v>89.744931207871929</v>
      </c>
      <c r="BL146" s="59" t="str">
        <f t="shared" si="158"/>
        <v>-2.81818359113441+67.837143848341i</v>
      </c>
      <c r="BM146" s="64">
        <f t="shared" si="155"/>
        <v>36.636839908016441</v>
      </c>
      <c r="BN146" s="61">
        <f t="shared" si="159"/>
        <v>92.378891879577012</v>
      </c>
      <c r="BO146" s="50">
        <f t="shared" si="156"/>
        <v>17.811245483814858</v>
      </c>
      <c r="BP146" s="61">
        <f t="shared" si="157"/>
        <v>89.744931207871929</v>
      </c>
    </row>
    <row r="147" spans="14:68" x14ac:dyDescent="0.25">
      <c r="N147" s="11">
        <v>29</v>
      </c>
      <c r="O147" s="51">
        <f t="shared" si="160"/>
        <v>194.98445997580458</v>
      </c>
      <c r="P147" s="49" t="str">
        <f t="shared" ref="P147:P210" si="161">COMPLEX(Adc,0)</f>
        <v>25.6231073841137</v>
      </c>
      <c r="Q147" s="18" t="str">
        <f t="shared" ref="Q147:Q210" si="162">IMSUM(COMPLEX(1,0),IMDIV(COMPLEX(0,2*PI()*O147),COMPLEX(wp_lf,0)))</f>
        <v>1+1.05946214107952i</v>
      </c>
      <c r="R147" s="18">
        <f t="shared" si="121"/>
        <v>1.4568665101445641</v>
      </c>
      <c r="S147" s="18">
        <f t="shared" si="122"/>
        <v>0.81426279994844653</v>
      </c>
      <c r="T147" s="18" t="str">
        <f t="shared" ref="T147:T210" si="163">IMSUM(COMPLEX(1,0),IMDIV(COMPLEX(0,2*PI()*O147),COMPLEX(wz_esr,0)))</f>
        <v>1+0.00110261114464349i</v>
      </c>
      <c r="U147" s="18">
        <f t="shared" si="123"/>
        <v>1.0000006078754833</v>
      </c>
      <c r="V147" s="18">
        <f t="shared" si="124"/>
        <v>1.1026106978101584E-3</v>
      </c>
      <c r="W147" s="32" t="str">
        <f t="shared" ref="W147:W210" si="164">IMSUB(COMPLEX(1,0),IMDIV(COMPLEX(0,2*PI()*O147),COMPLEX(wz_rhp,0)))</f>
        <v>1-0.0247066571299745i</v>
      </c>
      <c r="X147" s="18">
        <f t="shared" si="125"/>
        <v>1.000305162891074</v>
      </c>
      <c r="Y147" s="18">
        <f t="shared" si="126"/>
        <v>-2.4701631833491236E-2</v>
      </c>
      <c r="Z147" s="32" t="str">
        <f t="shared" ref="Z147:Z210" si="165">IMSUM(COMPLEX(1,0),IMDIV(COMPLEX(0,2*PI()*O147),COMPLEX(Q*(wsl/2),0)),IMDIV(IMPOWER(COMPLEX(0,2*PI()*O147),2),IMPOWER(COMPLEX(wsl/2,0),2)))</f>
        <v>0.999999049526509+0.00195611384549715i</v>
      </c>
      <c r="AA147" s="18">
        <f t="shared" si="127"/>
        <v>1.0000009627171855</v>
      </c>
      <c r="AB147" s="18">
        <f t="shared" si="128"/>
        <v>1.9561132097860234E-3</v>
      </c>
      <c r="AC147" s="32" t="str">
        <f>IMDIV(IMSUM(COMPLEX(0,2*PI()*O147*Constants!$B$71*Constants!$B$72),COMPLEX(1,0)),IMSUM(COMPLEX(0,2*PI()*O147*Constants!$B$71*Constants!$B$72),COMPLEX(2,0)))</f>
        <v>0.500003001837129+0.00122511613880594i</v>
      </c>
      <c r="AD147" s="18">
        <f t="shared" si="129"/>
        <v>0.50000450273541897</v>
      </c>
      <c r="AE147" s="18">
        <f t="shared" si="130"/>
        <v>2.450212663973677E-3</v>
      </c>
      <c r="AF147" s="66" t="str">
        <f t="shared" si="131"/>
        <v>5.88867238867766-6.53490194997562i</v>
      </c>
      <c r="AG147" s="64">
        <f t="shared" si="132"/>
        <v>18.886366164575726</v>
      </c>
      <c r="AH147" s="61">
        <f t="shared" si="133"/>
        <v>-47.977636349881223</v>
      </c>
      <c r="AI147" s="50" t="str">
        <f t="shared" ref="AI147:AI210" si="166">COMPLEX($B$72,0)</f>
        <v>108.866083054159</v>
      </c>
      <c r="AJ147" s="50" t="str">
        <f t="shared" ref="AJ147:AJ210" si="167">IMSUM(COMPLEX(1,0),IMDIV(COMPLEX(0,2*PI()*O147),COMPLEX(wp_lf_DCM,0)))</f>
        <v>1+1.00237376785772i</v>
      </c>
      <c r="AK147" s="50">
        <f t="shared" si="134"/>
        <v>1.415893064637751</v>
      </c>
      <c r="AL147" s="50">
        <f t="shared" si="135"/>
        <v>0.78658363974748291</v>
      </c>
      <c r="AM147" s="50" t="str">
        <f t="shared" ref="AM147:AM210" si="168">IMSUM(COMPLEX(1,0),IMDIV(COMPLEX(0,2*PI()*O147),COMPLEX(wz1_dcm,0)))</f>
        <v>1+0.00110261114464349i</v>
      </c>
      <c r="AN147" s="50">
        <f t="shared" si="136"/>
        <v>1.0000006078754833</v>
      </c>
      <c r="AO147" s="50">
        <f t="shared" si="137"/>
        <v>1.1026106978101584E-3</v>
      </c>
      <c r="AP147" s="50" t="str">
        <f t="shared" ref="AP147:AP210" si="169">IMSUB(COMPLEX(1,0),IMDIV(COMPLEX(0,2*PI()*O147),COMPLEX(wz2_dcm,0)))</f>
        <v>1-0.00550170029257575i</v>
      </c>
      <c r="AQ147" s="50">
        <f t="shared" si="138"/>
        <v>1.0000151342385322</v>
      </c>
      <c r="AR147" s="50">
        <f t="shared" si="139"/>
        <v>-5.5016447838007682E-3</v>
      </c>
      <c r="AS147" s="59" t="str">
        <f t="shared" si="140"/>
        <v>54.0648577727646-54.6721067989193i</v>
      </c>
      <c r="AT147" s="50">
        <f t="shared" si="141"/>
        <v>37.717379593645262</v>
      </c>
      <c r="AU147" s="61">
        <f t="shared" si="142"/>
        <v>-45.319968878631052</v>
      </c>
      <c r="AV147" s="32" t="str">
        <f t="shared" ref="AV147:AV210" si="170">COMPLEX(Adc_ea,0)</f>
        <v>-0.0000333333333333333</v>
      </c>
      <c r="AW147" s="32" t="str">
        <f t="shared" ref="AW147:AW210" si="171">COMPLEX(0,2*PI()*O147*wp0_ea)</f>
        <v>0.0000588059277143194i</v>
      </c>
      <c r="AX147" s="32">
        <f t="shared" si="143"/>
        <v>5.8805927714319398E-5</v>
      </c>
      <c r="AY147" s="32">
        <f t="shared" si="144"/>
        <v>1.5707963267948966</v>
      </c>
      <c r="AZ147" s="32" t="str">
        <f t="shared" ref="AZ147:AZ210" si="172">IMSUM(COMPLEX(1,0),IMDIV(COMPLEX(0,2*PI()*O147),COMPLEX(wp1_ea,0)))</f>
        <v>1+0.0239920017584463i</v>
      </c>
      <c r="BA147" s="32">
        <f t="shared" si="145"/>
        <v>1.0002877666693606</v>
      </c>
      <c r="BB147" s="32">
        <f t="shared" si="146"/>
        <v>2.3987399953117834E-2</v>
      </c>
      <c r="BC147" s="32" t="str">
        <f t="shared" ref="BC147:BC210" si="173">IMSUM(COMPLEX(1,0),IMDIV(COMPLEX(0,2*PI()*O147),COMPLEX(wz_ea,0)))</f>
        <v>1+1.15161608440542i</v>
      </c>
      <c r="BD147" s="32">
        <f t="shared" si="147"/>
        <v>1.5251949402818223</v>
      </c>
      <c r="BE147" s="32">
        <f t="shared" si="148"/>
        <v>0.85574801891970098</v>
      </c>
      <c r="BF147" s="59" t="str">
        <f t="shared" si="149"/>
        <v>-0.638810531083293+0.582162623823789i</v>
      </c>
      <c r="BG147" s="50">
        <f t="shared" si="150"/>
        <v>-1.2668392417276977</v>
      </c>
      <c r="BH147" s="61">
        <f t="shared" si="151"/>
        <v>137.65637303197417</v>
      </c>
      <c r="BI147" s="59" t="str">
        <f t="shared" si="152"/>
        <v>0.0426297296423024+7.60272915387246i</v>
      </c>
      <c r="BJ147" s="64">
        <f t="shared" si="153"/>
        <v>17.619526922848031</v>
      </c>
      <c r="BK147" s="61">
        <f t="shared" si="154"/>
        <v>89.678736682092932</v>
      </c>
      <c r="BL147" s="59" t="str">
        <f t="shared" si="158"/>
        <v>-2.70914336272918+66.3996570373128i</v>
      </c>
      <c r="BM147" s="64">
        <f t="shared" si="155"/>
        <v>36.450540351917567</v>
      </c>
      <c r="BN147" s="61">
        <f t="shared" si="159"/>
        <v>92.336404153343096</v>
      </c>
      <c r="BO147" s="50">
        <f t="shared" si="156"/>
        <v>17.619526922848031</v>
      </c>
      <c r="BP147" s="61">
        <f t="shared" si="157"/>
        <v>89.678736682092932</v>
      </c>
    </row>
    <row r="148" spans="14:68" x14ac:dyDescent="0.25">
      <c r="N148" s="11">
        <v>30</v>
      </c>
      <c r="O148" s="51">
        <f t="shared" si="160"/>
        <v>199.52623149688802</v>
      </c>
      <c r="P148" s="49" t="str">
        <f t="shared" si="161"/>
        <v>25.6231073841137</v>
      </c>
      <c r="Q148" s="18" t="str">
        <f t="shared" si="162"/>
        <v>1+1.08414018455344i</v>
      </c>
      <c r="R148" s="18">
        <f t="shared" ref="R148:R211" si="174">IMABS(Q148)</f>
        <v>1.4749101463355545</v>
      </c>
      <c r="S148" s="18">
        <f t="shared" ref="S148:S211" si="175">IMARGUMENT(Q148)</f>
        <v>0.82574790440655099</v>
      </c>
      <c r="T148" s="18" t="str">
        <f t="shared" si="163"/>
        <v>1+0.00112829425752435i</v>
      </c>
      <c r="U148" s="18">
        <f t="shared" ref="U148:U211" si="176">IMABS(T148)</f>
        <v>1.0000006365237633</v>
      </c>
      <c r="V148" s="18">
        <f t="shared" ref="V148:V211" si="177">IMARGUMENT(T148)</f>
        <v>1.1282937787338255E-3</v>
      </c>
      <c r="W148" s="32" t="str">
        <f t="shared" si="164"/>
        <v>1-0.0252821491037862i</v>
      </c>
      <c r="X148" s="18">
        <f t="shared" ref="X148:X211" si="178">IMABS(W148)</f>
        <v>1.0003195424779554</v>
      </c>
      <c r="Y148" s="18">
        <f t="shared" ref="Y148:Y211" si="179">IMARGUMENT(W148)</f>
        <v>-2.527676449448572E-2</v>
      </c>
      <c r="Z148" s="32" t="str">
        <f t="shared" si="165"/>
        <v>0.999999004732074+0.0020016775902006i</v>
      </c>
      <c r="AA148" s="18">
        <f t="shared" ref="AA148:AA211" si="180">IMABS(Z148)</f>
        <v>1.0000010080886488</v>
      </c>
      <c r="AB148" s="18">
        <f t="shared" ref="AB148:AB211" si="181">IMARGUMENT(Z148)</f>
        <v>2.0016769090238735E-3</v>
      </c>
      <c r="AC148" s="32" t="str">
        <f>IMDIV(IMSUM(COMPLEX(0,2*PI()*O148*Constants!$B$71*Constants!$B$72),COMPLEX(1,0)),IMSUM(COMPLEX(0,2*PI()*O148*Constants!$B$71*Constants!$B$72),COMPLEX(2,0)))</f>
        <v>0.500003143308465+0.00125365240485618i</v>
      </c>
      <c r="AD148" s="18">
        <f t="shared" ref="AD148:AD211" si="182">IMABS(AC148)</f>
        <v>0.50000471494046694</v>
      </c>
      <c r="AE148" s="18">
        <f t="shared" ref="AE148:AE211" si="183">IMARGUMENT(AC148)</f>
        <v>2.50728379334357E-3</v>
      </c>
      <c r="AF148" s="66" t="str">
        <f t="shared" ref="AF148:AF211" si="184">(IMDIV(IMPRODUCT(P148,T148,W148,AC148),IMPRODUCT(Q148,Z148)))</f>
        <v>5.73869009163846-6.52451766102829i</v>
      </c>
      <c r="AG148" s="64">
        <f t="shared" ref="AG148:AG211" si="185">20*LOG(IMABS(AF148))</f>
        <v>18.779578501379998</v>
      </c>
      <c r="AH148" s="61">
        <f t="shared" ref="AH148:AH211" si="186">(180/PI())*IMARGUMENT(AF148)</f>
        <v>-48.666506177411186</v>
      </c>
      <c r="AI148" s="50" t="str">
        <f t="shared" si="166"/>
        <v>108.866083054159</v>
      </c>
      <c r="AJ148" s="50" t="str">
        <f t="shared" si="167"/>
        <v>1+1.02572205229486i</v>
      </c>
      <c r="AK148" s="50">
        <f t="shared" ref="AK148:AK211" si="187">IMABS(AJ148)</f>
        <v>1.4325172699007784</v>
      </c>
      <c r="AL148" s="50">
        <f t="shared" ref="AL148:AL211" si="188">IMARGUMENT(AJ148)</f>
        <v>0.79809520146965951</v>
      </c>
      <c r="AM148" s="50" t="str">
        <f t="shared" si="168"/>
        <v>1+0.00112829425752435i</v>
      </c>
      <c r="AN148" s="50">
        <f t="shared" ref="AN148:AN211" si="189">IMABS(AM148)</f>
        <v>1.0000006365237633</v>
      </c>
      <c r="AO148" s="50">
        <f t="shared" ref="AO148:AO211" si="190">IMARGUMENT(AM148)</f>
        <v>1.1282937787338255E-3</v>
      </c>
      <c r="AP148" s="50" t="str">
        <f t="shared" si="169"/>
        <v>1-0.00562985135502174i</v>
      </c>
      <c r="AQ148" s="50">
        <f t="shared" ref="AQ148:AQ211" si="191">IMABS(AP148)</f>
        <v>1.0000158474875684</v>
      </c>
      <c r="AR148" s="50">
        <f t="shared" ref="AR148:AR211" si="192">IMARGUMENT(AP148)</f>
        <v>-5.6297918763486441E-3</v>
      </c>
      <c r="AS148" s="59" t="str">
        <f t="shared" ref="AS148:AS211" si="193">(IMDIV(IMPRODUCT(AI148,AM148,AP148),IMPRODUCT(AJ148)))</f>
        <v>52.8062958268704-54.6546490184762i</v>
      </c>
      <c r="AT148" s="50">
        <f t="shared" ref="AT148:AT211" si="194">20*LOG(IMABS(AS148))</f>
        <v>37.615997800074801</v>
      </c>
      <c r="AU148" s="61">
        <f t="shared" ref="AU148:AU211" si="195">(180/PI())*IMARGUMENT(AS148)</f>
        <v>-45.985403536334132</v>
      </c>
      <c r="AV148" s="32" t="str">
        <f t="shared" si="170"/>
        <v>-0.0000333333333333333</v>
      </c>
      <c r="AW148" s="32" t="str">
        <f t="shared" si="171"/>
        <v>0.0000601756937346317i</v>
      </c>
      <c r="AX148" s="32">
        <f t="shared" ref="AX148:AX211" si="196">IMABS(AW148)</f>
        <v>6.0175693734631697E-5</v>
      </c>
      <c r="AY148" s="32">
        <f t="shared" ref="AY148:AY211" si="197">IMARGUMENT(AW148)</f>
        <v>1.5707963267948966</v>
      </c>
      <c r="AZ148" s="32" t="str">
        <f t="shared" si="172"/>
        <v>1+0.0245508472702057i</v>
      </c>
      <c r="BA148" s="32">
        <f t="shared" ref="BA148:BA211" si="198">IMABS(AZ148)</f>
        <v>1.0003013266519669</v>
      </c>
      <c r="BB148" s="32">
        <f t="shared" ref="BB148:BB211" si="199">IMARGUMENT(AZ148)</f>
        <v>2.4545916427177003E-2</v>
      </c>
      <c r="BC148" s="32" t="str">
        <f t="shared" si="173"/>
        <v>1+1.17844066896987i</v>
      </c>
      <c r="BD148" s="32">
        <f t="shared" ref="BD148:BD211" si="200">IMABS(BC148)</f>
        <v>1.5455492260947741</v>
      </c>
      <c r="BE148" s="32">
        <f t="shared" ref="BE148:BE211" si="201">IMARGUMENT(BC148)</f>
        <v>0.86712780715429671</v>
      </c>
      <c r="BF148" s="59" t="str">
        <f t="shared" ref="BF148:BF211" si="202">IMPRODUCT(AV148,IMDIV(BC148,IMPRODUCT(AW148,AZ148)))</f>
        <v>-0.638793211900069+0.569616426015469i</v>
      </c>
      <c r="BG148" s="50">
        <f t="shared" ref="BG148:BG211" si="203">20*LOG(IMABS(BF148))</f>
        <v>-1.351807264905923</v>
      </c>
      <c r="BH148" s="61">
        <f t="shared" ref="BH148:BH211" si="204">(180/PI())*IMARGUMENT(BF148)</f>
        <v>138.27638623281703</v>
      </c>
      <c r="BI148" s="59" t="str">
        <f t="shared" ref="BI148:BI211" si="205">IMPRODUCT(AF148,BF148)</f>
        <v>0.0506361558129091+7.43666973279647i</v>
      </c>
      <c r="BJ148" s="64">
        <f t="shared" ref="BJ148:BJ211" si="206">20*LOG(IMABS(BI148))</f>
        <v>17.427771236474076</v>
      </c>
      <c r="BK148" s="61">
        <f t="shared" ref="BK148:BK211" si="207">(180/PI())*IMARGUMENT(BI148)</f>
        <v>89.609880055405853</v>
      </c>
      <c r="BL148" s="59" t="str">
        <f t="shared" si="158"/>
        <v>-2.60011748075747+64.9923522918009i</v>
      </c>
      <c r="BM148" s="64">
        <f t="shared" ref="BM148:BM211" si="208">20*LOG(IMABS(BL148))</f>
        <v>36.264190535168886</v>
      </c>
      <c r="BN148" s="61">
        <f t="shared" si="159"/>
        <v>92.290982696482885</v>
      </c>
      <c r="BO148" s="50">
        <f t="shared" ref="BO148:BO211" si="209">IF($B$31=0,BM148,BJ148)</f>
        <v>17.427771236474076</v>
      </c>
      <c r="BP148" s="61">
        <f t="shared" ref="BP148:BP211" si="210">IF($B$31=0,BN148,BK148)</f>
        <v>89.609880055405853</v>
      </c>
    </row>
    <row r="149" spans="14:68" x14ac:dyDescent="0.25">
      <c r="N149" s="11">
        <v>31</v>
      </c>
      <c r="O149" s="51">
        <f t="shared" si="160"/>
        <v>204.17379446695315</v>
      </c>
      <c r="P149" s="49" t="str">
        <f t="shared" si="161"/>
        <v>25.6231073841137</v>
      </c>
      <c r="Q149" s="18" t="str">
        <f t="shared" si="162"/>
        <v>1+1.10939305350349i</v>
      </c>
      <c r="R149" s="18">
        <f t="shared" si="174"/>
        <v>1.49357053638648</v>
      </c>
      <c r="S149" s="18">
        <f t="shared" si="175"/>
        <v>0.83721171327002719</v>
      </c>
      <c r="T149" s="18" t="str">
        <f t="shared" si="163"/>
        <v>1+0.00115457560695528i</v>
      </c>
      <c r="U149" s="18">
        <f t="shared" si="176"/>
        <v>1.0000006665221939</v>
      </c>
      <c r="V149" s="18">
        <f t="shared" si="177"/>
        <v>1.1545750939220083E-3</v>
      </c>
      <c r="W149" s="32" t="str">
        <f t="shared" si="164"/>
        <v>1-0.0258710460077015i</v>
      </c>
      <c r="X149" s="18">
        <f t="shared" si="178"/>
        <v>1.0003345995323427</v>
      </c>
      <c r="Y149" s="18">
        <f t="shared" si="179"/>
        <v>-2.5865276399111389E-2</v>
      </c>
      <c r="Z149" s="32" t="str">
        <f t="shared" si="165"/>
        <v>0.999998957826541+0.00204830265085769i</v>
      </c>
      <c r="AA149" s="18">
        <f t="shared" si="180"/>
        <v>1.0000010555984018</v>
      </c>
      <c r="AB149" s="18">
        <f t="shared" si="181"/>
        <v>2.0483019209637005E-3</v>
      </c>
      <c r="AC149" s="32" t="str">
        <f>IMDIV(IMSUM(COMPLEX(0,2*PI()*O149*Constants!$B$71*Constants!$B$72),COMPLEX(1,0)),IMSUM(COMPLEX(0,2*PI()*O149*Constants!$B$71*Constants!$B$72),COMPLEX(2,0)))</f>
        <v>0.500003291447054+0.00128285334056258i</v>
      </c>
      <c r="AD149" s="18">
        <f t="shared" si="182"/>
        <v>0.50000493714620564</v>
      </c>
      <c r="AE149" s="18">
        <f t="shared" si="183"/>
        <v>2.565684161706295E-3</v>
      </c>
      <c r="AF149" s="66" t="str">
        <f t="shared" si="184"/>
        <v>5.58926344081274-6.51072044665651i</v>
      </c>
      <c r="AG149" s="64">
        <f t="shared" si="185"/>
        <v>18.670509461642975</v>
      </c>
      <c r="AH149" s="61">
        <f t="shared" si="186"/>
        <v>-49.354872804095521</v>
      </c>
      <c r="AI149" s="50" t="str">
        <f t="shared" si="166"/>
        <v>108.866083054159</v>
      </c>
      <c r="AJ149" s="50" t="str">
        <f t="shared" si="167"/>
        <v>1+1.04961418814116i</v>
      </c>
      <c r="AK149" s="50">
        <f t="shared" si="187"/>
        <v>1.4497206434162502</v>
      </c>
      <c r="AL149" s="50">
        <f t="shared" si="188"/>
        <v>0.809600035730342</v>
      </c>
      <c r="AM149" s="50" t="str">
        <f t="shared" si="168"/>
        <v>1+0.00115457560695528i</v>
      </c>
      <c r="AN149" s="50">
        <f t="shared" si="189"/>
        <v>1.0000006665221939</v>
      </c>
      <c r="AO149" s="50">
        <f t="shared" si="190"/>
        <v>1.1545750939220083E-3</v>
      </c>
      <c r="AP149" s="50" t="str">
        <f t="shared" si="169"/>
        <v>1-0.00576098743917604i</v>
      </c>
      <c r="AQ149" s="50">
        <f t="shared" si="191"/>
        <v>1.0000165943504509</v>
      </c>
      <c r="AR149" s="50">
        <f t="shared" si="192"/>
        <v>-5.760923706686686E-3</v>
      </c>
      <c r="AS149" s="59" t="str">
        <f t="shared" si="193"/>
        <v>51.5492044163734-54.6082583559227i</v>
      </c>
      <c r="AT149" s="50">
        <f t="shared" si="194"/>
        <v>37.512315412534122</v>
      </c>
      <c r="AU149" s="61">
        <f t="shared" si="195"/>
        <v>-46.650589475466624</v>
      </c>
      <c r="AV149" s="32" t="str">
        <f t="shared" si="170"/>
        <v>-0.0000333333333333333</v>
      </c>
      <c r="AW149" s="32" t="str">
        <f t="shared" si="171"/>
        <v>0.0000615773657042815i</v>
      </c>
      <c r="AX149" s="32">
        <f t="shared" si="196"/>
        <v>6.1577365704281497E-5</v>
      </c>
      <c r="AY149" s="32">
        <f t="shared" si="197"/>
        <v>1.5707963267948966</v>
      </c>
      <c r="AZ149" s="32" t="str">
        <f t="shared" si="172"/>
        <v>1+0.0251227099661564i</v>
      </c>
      <c r="BA149" s="32">
        <f t="shared" si="198"/>
        <v>1.0003155254998513</v>
      </c>
      <c r="BB149" s="32">
        <f t="shared" si="199"/>
        <v>2.5117426562664472E-2</v>
      </c>
      <c r="BC149" s="32" t="str">
        <f t="shared" si="173"/>
        <v>1+1.20589007837551i</v>
      </c>
      <c r="BD149" s="32">
        <f t="shared" si="200"/>
        <v>1.5665793567912523</v>
      </c>
      <c r="BE149" s="32">
        <f t="shared" si="201"/>
        <v>0.87846504001336756</v>
      </c>
      <c r="BF149" s="59" t="str">
        <f t="shared" si="202"/>
        <v>-0.638775077495389+0.557372206312473i</v>
      </c>
      <c r="BG149" s="50">
        <f t="shared" si="203"/>
        <v>-1.4345394077187308</v>
      </c>
      <c r="BH149" s="61">
        <f t="shared" si="204"/>
        <v>138.89321670828647</v>
      </c>
      <c r="BI149" s="59" t="str">
        <f t="shared" si="205"/>
        <v>0.0586124324893662+7.27418605353127i</v>
      </c>
      <c r="BJ149" s="64">
        <f t="shared" si="206"/>
        <v>17.235970053924248</v>
      </c>
      <c r="BK149" s="61">
        <f t="shared" si="207"/>
        <v>89.538343904190967</v>
      </c>
      <c r="BL149" s="59" t="str">
        <f t="shared" si="158"/>
        <v>-2.4912216031724+63.6144882623995i</v>
      </c>
      <c r="BM149" s="64">
        <f t="shared" si="208"/>
        <v>36.077776004815398</v>
      </c>
      <c r="BN149" s="61">
        <f t="shared" si="159"/>
        <v>92.242627232819871</v>
      </c>
      <c r="BO149" s="50">
        <f t="shared" si="209"/>
        <v>17.235970053924248</v>
      </c>
      <c r="BP149" s="61">
        <f t="shared" si="210"/>
        <v>89.538343904190967</v>
      </c>
    </row>
    <row r="150" spans="14:68" x14ac:dyDescent="0.25">
      <c r="N150" s="11">
        <v>32</v>
      </c>
      <c r="O150" s="51">
        <f t="shared" si="160"/>
        <v>208.92961308540396</v>
      </c>
      <c r="P150" s="49" t="str">
        <f t="shared" si="161"/>
        <v>25.6231073841137</v>
      </c>
      <c r="Q150" s="18" t="str">
        <f t="shared" si="162"/>
        <v>1+1.13523413733508i</v>
      </c>
      <c r="R150" s="18">
        <f t="shared" si="174"/>
        <v>1.5128636906776909</v>
      </c>
      <c r="S150" s="18">
        <f t="shared" si="175"/>
        <v>0.84864825330844817</v>
      </c>
      <c r="T150" s="18" t="str">
        <f t="shared" si="163"/>
        <v>1+0.00118146912765564i</v>
      </c>
      <c r="U150" s="18">
        <f t="shared" si="176"/>
        <v>1.0000006979344063</v>
      </c>
      <c r="V150" s="18">
        <f t="shared" si="177"/>
        <v>1.1814685779306059E-3</v>
      </c>
      <c r="W150" s="32" t="str">
        <f t="shared" si="164"/>
        <v>1-0.0264736600826541i</v>
      </c>
      <c r="X150" s="18">
        <f t="shared" si="178"/>
        <v>1.0003503659609327</v>
      </c>
      <c r="Y150" s="18">
        <f t="shared" si="179"/>
        <v>-2.646747795260505E-2</v>
      </c>
      <c r="Z150" s="32" t="str">
        <f t="shared" si="165"/>
        <v>0.999998908710419+0.00209601374869278i</v>
      </c>
      <c r="AA150" s="18">
        <f t="shared" si="180"/>
        <v>1.0000011053472211</v>
      </c>
      <c r="AB150" s="18">
        <f t="shared" si="181"/>
        <v>2.0960129665973035E-3</v>
      </c>
      <c r="AC150" s="32" t="str">
        <f>IMDIV(IMSUM(COMPLEX(0,2*PI()*O150*Constants!$B$71*Constants!$B$72),COMPLEX(1,0)),IMSUM(COMPLEX(0,2*PI()*O150*Constants!$B$71*Constants!$B$72),COMPLEX(2,0)))</f>
        <v>0.500003446567105+0.00131273442625597i</v>
      </c>
      <c r="AD150" s="18">
        <f t="shared" si="182"/>
        <v>0.50000516982393073</v>
      </c>
      <c r="AE150" s="18">
        <f t="shared" si="183"/>
        <v>2.6254447225490815E-3</v>
      </c>
      <c r="AF150" s="66" t="str">
        <f t="shared" si="184"/>
        <v>5.4405467860173-6.49354652862006i</v>
      </c>
      <c r="AG150" s="64">
        <f t="shared" si="185"/>
        <v>18.559169001885316</v>
      </c>
      <c r="AH150" s="61">
        <f t="shared" si="186"/>
        <v>-50.042410618464231</v>
      </c>
      <c r="AI150" s="50" t="str">
        <f t="shared" si="166"/>
        <v>108.866083054159</v>
      </c>
      <c r="AJ150" s="50" t="str">
        <f t="shared" si="167"/>
        <v>1+1.07406284332331i</v>
      </c>
      <c r="AK150" s="50">
        <f t="shared" si="187"/>
        <v>1.4675186511277303</v>
      </c>
      <c r="AL150" s="50">
        <f t="shared" si="188"/>
        <v>0.8210920612594701</v>
      </c>
      <c r="AM150" s="50" t="str">
        <f t="shared" si="168"/>
        <v>1+0.00118146912765564i</v>
      </c>
      <c r="AN150" s="50">
        <f t="shared" si="189"/>
        <v>1.0000006979344063</v>
      </c>
      <c r="AO150" s="50">
        <f t="shared" si="190"/>
        <v>1.1814685779306059E-3</v>
      </c>
      <c r="AP150" s="50" t="str">
        <f t="shared" si="169"/>
        <v>1-0.00589517807512632i</v>
      </c>
      <c r="AQ150" s="50">
        <f t="shared" si="191"/>
        <v>1.000017376411299</v>
      </c>
      <c r="AR150" s="50">
        <f t="shared" si="192"/>
        <v>-5.8951097845976949E-3</v>
      </c>
      <c r="AS150" s="59" t="str">
        <f t="shared" si="193"/>
        <v>50.2949104515921-54.5330575540968i</v>
      </c>
      <c r="AT150" s="50">
        <f t="shared" si="194"/>
        <v>37.406336350000025</v>
      </c>
      <c r="AU150" s="61">
        <f t="shared" si="195"/>
        <v>-47.315181449145889</v>
      </c>
      <c r="AV150" s="32" t="str">
        <f t="shared" si="170"/>
        <v>-0.0000333333333333333</v>
      </c>
      <c r="AW150" s="32" t="str">
        <f t="shared" si="171"/>
        <v>0.0000630116868083005i</v>
      </c>
      <c r="AX150" s="32">
        <f t="shared" si="196"/>
        <v>6.3011686808300496E-5</v>
      </c>
      <c r="AY150" s="32">
        <f t="shared" si="197"/>
        <v>1.5707963267948966</v>
      </c>
      <c r="AZ150" s="32" t="str">
        <f t="shared" si="172"/>
        <v>1+0.0257078930554699i</v>
      </c>
      <c r="BA150" s="32">
        <f t="shared" si="198"/>
        <v>1.0003303933028085</v>
      </c>
      <c r="BB150" s="32">
        <f t="shared" si="199"/>
        <v>2.570223188761336E-2</v>
      </c>
      <c r="BC150" s="32" t="str">
        <f t="shared" si="173"/>
        <v>1+1.23397886666256i</v>
      </c>
      <c r="BD150" s="32">
        <f t="shared" si="200"/>
        <v>1.5883021889331439</v>
      </c>
      <c r="BE150" s="32">
        <f t="shared" si="201"/>
        <v>0.88975407178918009</v>
      </c>
      <c r="BF150" s="59" t="str">
        <f t="shared" si="202"/>
        <v>-0.638756089546073+0.545423469805789i</v>
      </c>
      <c r="BG150" s="50">
        <f t="shared" si="203"/>
        <v>-1.515053806332227</v>
      </c>
      <c r="BH150" s="61">
        <f t="shared" si="204"/>
        <v>139.50652370687334</v>
      </c>
      <c r="BI150" s="59" t="str">
        <f t="shared" si="205"/>
        <v>0.0665502889564236+7.11519429357712i</v>
      </c>
      <c r="BJ150" s="64">
        <f t="shared" si="206"/>
        <v>17.044115195553093</v>
      </c>
      <c r="BK150" s="61">
        <f t="shared" si="207"/>
        <v>89.464113088409107</v>
      </c>
      <c r="BL150" s="59" t="str">
        <f t="shared" si="158"/>
        <v>-2.38257085385462+62.2653471663246i</v>
      </c>
      <c r="BM150" s="64">
        <f t="shared" si="208"/>
        <v>35.891282543667792</v>
      </c>
      <c r="BN150" s="61">
        <f t="shared" si="159"/>
        <v>92.191342257727456</v>
      </c>
      <c r="BO150" s="50">
        <f t="shared" si="209"/>
        <v>17.044115195553093</v>
      </c>
      <c r="BP150" s="61">
        <f t="shared" si="210"/>
        <v>89.464113088409107</v>
      </c>
    </row>
    <row r="151" spans="14:68" x14ac:dyDescent="0.25">
      <c r="N151" s="11">
        <v>33</v>
      </c>
      <c r="O151" s="51">
        <f t="shared" si="160"/>
        <v>213.79620895022339</v>
      </c>
      <c r="P151" s="49" t="str">
        <f t="shared" si="161"/>
        <v>25.6231073841137</v>
      </c>
      <c r="Q151" s="18" t="str">
        <f t="shared" si="162"/>
        <v>1+1.16167713733287i</v>
      </c>
      <c r="R151" s="18">
        <f t="shared" si="174"/>
        <v>1.5328058492196237</v>
      </c>
      <c r="S151" s="18">
        <f t="shared" si="175"/>
        <v>0.86005162259154988</v>
      </c>
      <c r="T151" s="18" t="str">
        <f t="shared" si="163"/>
        <v>1+0.00120898907892607i</v>
      </c>
      <c r="U151" s="18">
        <f t="shared" si="176"/>
        <v>1.0000007308270293</v>
      </c>
      <c r="V151" s="18">
        <f t="shared" si="177"/>
        <v>1.2089884898851067E-3</v>
      </c>
      <c r="W151" s="32" t="str">
        <f t="shared" si="164"/>
        <v>1-0.0270903108426026i</v>
      </c>
      <c r="X151" s="18">
        <f t="shared" si="178"/>
        <v>1.0003668751720785</v>
      </c>
      <c r="Y151" s="18">
        <f t="shared" si="179"/>
        <v>-2.7083686702109141E-2</v>
      </c>
      <c r="Z151" s="32" t="str">
        <f t="shared" si="165"/>
        <v>0.999998857279526+0.00214483618076143i</v>
      </c>
      <c r="AA151" s="18">
        <f t="shared" si="180"/>
        <v>1.0000011574406302</v>
      </c>
      <c r="AB151" s="18">
        <f t="shared" si="181"/>
        <v>2.1448353427310548E-3</v>
      </c>
      <c r="AC151" s="32" t="str">
        <f>IMDIV(IMSUM(COMPLEX(0,2*PI()*O151*Constants!$B$71*Constants!$B$72),COMPLEX(1,0)),IMSUM(COMPLEX(0,2*PI()*O151*Constants!$B$71*Constants!$B$72),COMPLEX(2,0)))</f>
        <v>0.500003608997636+0.00134331150272068i</v>
      </c>
      <c r="AD151" s="18">
        <f t="shared" si="182"/>
        <v>0.50000541346714855</v>
      </c>
      <c r="AE151" s="18">
        <f t="shared" si="183"/>
        <v>2.6865971497530808E-3</v>
      </c>
      <c r="AF151" s="66" t="str">
        <f t="shared" si="184"/>
        <v>5.29269151722749-6.47304072688085i</v>
      </c>
      <c r="AG151" s="64">
        <f t="shared" si="185"/>
        <v>18.445569428386108</v>
      </c>
      <c r="AH151" s="61">
        <f t="shared" si="186"/>
        <v>-50.72879847656548</v>
      </c>
      <c r="AI151" s="50" t="str">
        <f t="shared" si="166"/>
        <v>108.866083054159</v>
      </c>
      <c r="AJ151" s="50" t="str">
        <f t="shared" si="167"/>
        <v>1+1.09908098084188i</v>
      </c>
      <c r="AK151" s="50">
        <f t="shared" si="187"/>
        <v>1.4859269842251164</v>
      </c>
      <c r="AL151" s="50">
        <f t="shared" si="188"/>
        <v>0.83256523061800014</v>
      </c>
      <c r="AM151" s="50" t="str">
        <f t="shared" si="168"/>
        <v>1+0.00120898907892607i</v>
      </c>
      <c r="AN151" s="50">
        <f t="shared" si="189"/>
        <v>1.0000007308270293</v>
      </c>
      <c r="AO151" s="50">
        <f t="shared" si="190"/>
        <v>1.2089884898851067E-3</v>
      </c>
      <c r="AP151" s="50" t="str">
        <f t="shared" si="169"/>
        <v>1-0.0060324944125239i</v>
      </c>
      <c r="AQ151" s="50">
        <f t="shared" si="191"/>
        <v>1.0000181953288836</v>
      </c>
      <c r="AR151" s="50">
        <f t="shared" si="192"/>
        <v>-6.0324212379760213E-3</v>
      </c>
      <c r="AS151" s="59" t="str">
        <f t="shared" si="193"/>
        <v>49.0447290325948-54.4292450225281i</v>
      </c>
      <c r="AT151" s="50">
        <f t="shared" si="194"/>
        <v>37.298066949223454</v>
      </c>
      <c r="AU151" s="61">
        <f t="shared" si="195"/>
        <v>-47.978836222978238</v>
      </c>
      <c r="AV151" s="32" t="str">
        <f t="shared" si="170"/>
        <v>-0.0000333333333333333</v>
      </c>
      <c r="AW151" s="32" t="str">
        <f t="shared" si="171"/>
        <v>0.0000644794175427235i</v>
      </c>
      <c r="AX151" s="32">
        <f t="shared" si="196"/>
        <v>6.4479417542723504E-5</v>
      </c>
      <c r="AY151" s="32">
        <f t="shared" si="197"/>
        <v>1.5707963267948966</v>
      </c>
      <c r="AZ151" s="32" t="str">
        <f t="shared" si="172"/>
        <v>1+0.0263067068099654i</v>
      </c>
      <c r="BA151" s="32">
        <f t="shared" si="198"/>
        <v>1.0003459615668899</v>
      </c>
      <c r="BB151" s="32">
        <f t="shared" si="199"/>
        <v>2.6300640872616146E-2</v>
      </c>
      <c r="BC151" s="32" t="str">
        <f t="shared" si="173"/>
        <v>1+1.26272192687834i</v>
      </c>
      <c r="BD151" s="32">
        <f t="shared" si="200"/>
        <v>1.6107348213220412</v>
      </c>
      <c r="BE151" s="32">
        <f t="shared" si="201"/>
        <v>0.90098937920316302</v>
      </c>
      <c r="BF151" s="59" t="str">
        <f t="shared" si="202"/>
        <v>-0.638736207932136+0.533763878051283i</v>
      </c>
      <c r="BG151" s="50">
        <f t="shared" si="203"/>
        <v>-1.5933707236591563</v>
      </c>
      <c r="BH151" s="61">
        <f t="shared" si="204"/>
        <v>140.11597309396319</v>
      </c>
      <c r="BI151" s="59" t="str">
        <f t="shared" si="205"/>
        <v>0.0744416116953475+6.95961303724263i</v>
      </c>
      <c r="BJ151" s="64">
        <f t="shared" si="206"/>
        <v>16.852198704726959</v>
      </c>
      <c r="BK151" s="61">
        <f t="shared" si="207"/>
        <v>89.387174617397733</v>
      </c>
      <c r="BL151" s="59" t="str">
        <f t="shared" si="158"/>
        <v>-2.27427933871065+60.9442343327108i</v>
      </c>
      <c r="BM151" s="64">
        <f t="shared" si="208"/>
        <v>35.704696225564291</v>
      </c>
      <c r="BN151" s="61">
        <f t="shared" si="159"/>
        <v>92.137136870984975</v>
      </c>
      <c r="BO151" s="50">
        <f t="shared" si="209"/>
        <v>16.852198704726959</v>
      </c>
      <c r="BP151" s="61">
        <f t="shared" si="210"/>
        <v>89.387174617397733</v>
      </c>
    </row>
    <row r="152" spans="14:68" x14ac:dyDescent="0.25">
      <c r="N152" s="11">
        <v>34</v>
      </c>
      <c r="O152" s="51">
        <f t="shared" si="160"/>
        <v>218.77616239495524</v>
      </c>
      <c r="P152" s="49" t="str">
        <f t="shared" si="161"/>
        <v>25.6231073841137</v>
      </c>
      <c r="Q152" s="18" t="str">
        <f t="shared" si="162"/>
        <v>1+1.18873607392549i</v>
      </c>
      <c r="R152" s="18">
        <f t="shared" si="174"/>
        <v>1.5534134843794127</v>
      </c>
      <c r="S152" s="18">
        <f t="shared" si="175"/>
        <v>0.87141600537184416</v>
      </c>
      <c r="T152" s="18" t="str">
        <f t="shared" si="163"/>
        <v>1+0.00123715005220901i</v>
      </c>
      <c r="U152" s="18">
        <f t="shared" si="176"/>
        <v>1.0000007652698331</v>
      </c>
      <c r="V152" s="18">
        <f t="shared" si="177"/>
        <v>1.2371494210402722E-3</v>
      </c>
      <c r="W152" s="32" t="str">
        <f t="shared" si="164"/>
        <v>1-0.0277213252439426i</v>
      </c>
      <c r="X152" s="18">
        <f t="shared" si="178"/>
        <v>1.0003841621463629</v>
      </c>
      <c r="Y152" s="18">
        <f t="shared" si="179"/>
        <v>-2.7714227496726741E-2</v>
      </c>
      <c r="Z152" s="32" t="str">
        <f t="shared" si="165"/>
        <v>0.999998803424769+0.00219479583336339i</v>
      </c>
      <c r="AA152" s="18">
        <f t="shared" si="180"/>
        <v>1.0000012119891255</v>
      </c>
      <c r="AB152" s="18">
        <f t="shared" si="181"/>
        <v>2.1947949353976954E-3</v>
      </c>
      <c r="AC152" s="32" t="str">
        <f>IMDIV(IMSUM(COMPLEX(0,2*PI()*O152*Constants!$B$71*Constants!$B$72),COMPLEX(1,0)),IMSUM(COMPLEX(0,2*PI()*O152*Constants!$B$71*Constants!$B$72),COMPLEX(2,0)))</f>
        <v>0.500003779083169+0.00137460077958125i</v>
      </c>
      <c r="AD152" s="18">
        <f t="shared" si="182"/>
        <v>0.50000566859262074</v>
      </c>
      <c r="AE152" s="18">
        <f t="shared" si="183"/>
        <v>2.7491738543301129E-3</v>
      </c>
      <c r="AF152" s="66" t="str">
        <f t="shared" si="184"/>
        <v>5.145845461977-6.44925617690581i</v>
      </c>
      <c r="AG152" s="64">
        <f t="shared" si="185"/>
        <v>18.329725347948095</v>
      </c>
      <c r="AH152" s="61">
        <f t="shared" si="186"/>
        <v>-51.413720563225432</v>
      </c>
      <c r="AI152" s="50" t="str">
        <f t="shared" si="166"/>
        <v>108.866083054159</v>
      </c>
      <c r="AJ152" s="50" t="str">
        <f t="shared" si="167"/>
        <v>1+1.12468186564455i</v>
      </c>
      <c r="AK152" s="50">
        <f t="shared" si="187"/>
        <v>1.5049615606086775</v>
      </c>
      <c r="AL152" s="50">
        <f t="shared" si="188"/>
        <v>0.84401354600634215</v>
      </c>
      <c r="AM152" s="50" t="str">
        <f t="shared" si="168"/>
        <v>1+0.00123715005220901i</v>
      </c>
      <c r="AN152" s="50">
        <f t="shared" si="189"/>
        <v>1.0000007652698331</v>
      </c>
      <c r="AO152" s="50">
        <f t="shared" si="190"/>
        <v>1.2371494210402722E-3</v>
      </c>
      <c r="AP152" s="50" t="str">
        <f t="shared" si="169"/>
        <v>1-0.00617300925830851i</v>
      </c>
      <c r="AQ152" s="50">
        <f t="shared" si="191"/>
        <v>1.0000190528401462</v>
      </c>
      <c r="AR152" s="50">
        <f t="shared" si="192"/>
        <v>-6.1729308504484878E-3</v>
      </c>
      <c r="AS152" s="59" t="str">
        <f t="shared" si="193"/>
        <v>47.7999579687684-54.2970935643204i</v>
      </c>
      <c r="AT152" s="50">
        <f t="shared" si="194"/>
        <v>37.187515938126879</v>
      </c>
      <c r="AU152" s="61">
        <f t="shared" si="195"/>
        <v>-48.641213482538291</v>
      </c>
      <c r="AV152" s="32" t="str">
        <f t="shared" si="170"/>
        <v>-0.0000333333333333333</v>
      </c>
      <c r="AW152" s="32" t="str">
        <f t="shared" si="171"/>
        <v>0.0000659813361178137i</v>
      </c>
      <c r="AX152" s="32">
        <f t="shared" si="196"/>
        <v>6.5981336117813694E-5</v>
      </c>
      <c r="AY152" s="32">
        <f t="shared" si="197"/>
        <v>1.5707963267948966</v>
      </c>
      <c r="AZ152" s="32" t="str">
        <f t="shared" si="172"/>
        <v>1+0.026919468728622i</v>
      </c>
      <c r="BA152" s="32">
        <f t="shared" si="198"/>
        <v>1.0003622632809732</v>
      </c>
      <c r="BB152" s="32">
        <f t="shared" si="199"/>
        <v>2.6912969086765944E-2</v>
      </c>
      <c r="BC152" s="32" t="str">
        <f t="shared" si="173"/>
        <v>1+1.29213449897386i</v>
      </c>
      <c r="BD152" s="32">
        <f t="shared" si="200"/>
        <v>1.633894599855948</v>
      </c>
      <c r="BE152" s="32">
        <f t="shared" si="201"/>
        <v>0.91216557395381459</v>
      </c>
      <c r="BF152" s="59" t="str">
        <f t="shared" si="202"/>
        <v>-0.638715390653079+0.52238724569443i</v>
      </c>
      <c r="BG152" s="50">
        <f t="shared" si="203"/>
        <v>-1.6695124701388628</v>
      </c>
      <c r="BH152" s="61">
        <f t="shared" si="204"/>
        <v>140.72123806184425</v>
      </c>
      <c r="BI152" s="59" t="str">
        <f t="shared" si="205"/>
        <v>0.0822784765446021+6.80736321610552i</v>
      </c>
      <c r="BJ152" s="64">
        <f t="shared" si="206"/>
        <v>16.660212877809226</v>
      </c>
      <c r="BK152" s="61">
        <f t="shared" si="207"/>
        <v>89.307517498618807</v>
      </c>
      <c r="BL152" s="59" t="str">
        <f t="shared" si="158"/>
        <v>-2.16645967094458+59.6504777148761i</v>
      </c>
      <c r="BM152" s="64">
        <f t="shared" si="208"/>
        <v>35.518003467988009</v>
      </c>
      <c r="BN152" s="61">
        <f t="shared" si="159"/>
        <v>92.080024579305956</v>
      </c>
      <c r="BO152" s="50">
        <f t="shared" si="209"/>
        <v>16.660212877809226</v>
      </c>
      <c r="BP152" s="61">
        <f t="shared" si="210"/>
        <v>89.307517498618807</v>
      </c>
    </row>
    <row r="153" spans="14:68" x14ac:dyDescent="0.25">
      <c r="N153" s="11">
        <v>35</v>
      </c>
      <c r="O153" s="51">
        <f t="shared" si="160"/>
        <v>223.87211385683412</v>
      </c>
      <c r="P153" s="49" t="str">
        <f t="shared" si="161"/>
        <v>25.6231073841137</v>
      </c>
      <c r="Q153" s="18" t="str">
        <f t="shared" si="162"/>
        <v>1+1.2164252941193i</v>
      </c>
      <c r="R153" s="18">
        <f t="shared" si="174"/>
        <v>1.5747033041729561</v>
      </c>
      <c r="S153" s="18">
        <f t="shared" si="175"/>
        <v>0.88273568642625266</v>
      </c>
      <c r="T153" s="18" t="str">
        <f t="shared" si="163"/>
        <v>1+0.00126596697882525i</v>
      </c>
      <c r="U153" s="18">
        <f t="shared" si="176"/>
        <v>1.0000008013358748</v>
      </c>
      <c r="V153" s="18">
        <f t="shared" si="177"/>
        <v>1.2659663025157918E-3</v>
      </c>
      <c r="W153" s="32" t="str">
        <f t="shared" si="164"/>
        <v>1-0.0283670378588621i</v>
      </c>
      <c r="X153" s="18">
        <f t="shared" si="178"/>
        <v>1.0004022635104772</v>
      </c>
      <c r="Y153" s="18">
        <f t="shared" si="179"/>
        <v>-2.8359432650853299E-2</v>
      </c>
      <c r="Z153" s="32" t="str">
        <f t="shared" si="165"/>
        <v>0.999998747031916+0.00224591919576776i</v>
      </c>
      <c r="AA153" s="18">
        <f t="shared" si="180"/>
        <v>1.0000012691084126</v>
      </c>
      <c r="AB153" s="18">
        <f t="shared" si="181"/>
        <v>2.2459182335802168E-3</v>
      </c>
      <c r="AC153" s="32" t="str">
        <f>IMDIV(IMSUM(COMPLEX(0,2*PI()*O153*Constants!$B$71*Constants!$B$72),COMPLEX(1,0)),IMSUM(COMPLEX(0,2*PI()*O153*Constants!$B$71*Constants!$B$72),COMPLEX(2,0)))</f>
        <v>0.500003957184463+0.00140661884388392i</v>
      </c>
      <c r="AD153" s="18">
        <f t="shared" si="182"/>
        <v>0.50000593574146124</v>
      </c>
      <c r="AE153" s="18">
        <f t="shared" si="183"/>
        <v>2.8132080015463236E-3</v>
      </c>
      <c r="AF153" s="66" t="str">
        <f t="shared" si="184"/>
        <v>5.00015231375814-6.422253997947i</v>
      </c>
      <c r="AG153" s="64">
        <f t="shared" si="185"/>
        <v>18.211653609717715</v>
      </c>
      <c r="AH153" s="61">
        <f t="shared" si="186"/>
        <v>-52.096867222482039</v>
      </c>
      <c r="AI153" s="50" t="str">
        <f t="shared" si="166"/>
        <v>108.866083054159</v>
      </c>
      <c r="AJ153" s="50" t="str">
        <f t="shared" si="167"/>
        <v>1+1.15087907165932i</v>
      </c>
      <c r="AK153" s="50">
        <f t="shared" si="187"/>
        <v>1.5246385268592089</v>
      </c>
      <c r="AL153" s="50">
        <f t="shared" si="188"/>
        <v>0.85543107475512581</v>
      </c>
      <c r="AM153" s="50" t="str">
        <f t="shared" si="168"/>
        <v>1+0.00126596697882525i</v>
      </c>
      <c r="AN153" s="50">
        <f t="shared" si="189"/>
        <v>1.0000008013358748</v>
      </c>
      <c r="AO153" s="50">
        <f t="shared" si="190"/>
        <v>1.2659663025157918E-3</v>
      </c>
      <c r="AP153" s="50" t="str">
        <f t="shared" si="169"/>
        <v>1-0.00631679711531133i</v>
      </c>
      <c r="AQ153" s="50">
        <f t="shared" si="191"/>
        <v>1.0000199507638814</v>
      </c>
      <c r="AR153" s="50">
        <f t="shared" si="192"/>
        <v>-6.3167130998661595E-3</v>
      </c>
      <c r="AS153" s="59" t="str">
        <f t="shared" si="193"/>
        <v>46.5618724522675-54.1369486357164i</v>
      </c>
      <c r="AT153" s="50">
        <f t="shared" si="194"/>
        <v>37.074694399312492</v>
      </c>
      <c r="AU153" s="61">
        <f t="shared" si="195"/>
        <v>-49.301976722686106</v>
      </c>
      <c r="AV153" s="32" t="str">
        <f t="shared" si="170"/>
        <v>-0.0000333333333333333</v>
      </c>
      <c r="AW153" s="32" t="str">
        <f t="shared" si="171"/>
        <v>0.0000675182388706798i</v>
      </c>
      <c r="AX153" s="32">
        <f t="shared" si="196"/>
        <v>6.7518238870679801E-5</v>
      </c>
      <c r="AY153" s="32">
        <f t="shared" si="197"/>
        <v>1.5707963267948966</v>
      </c>
      <c r="AZ153" s="32" t="str">
        <f t="shared" si="172"/>
        <v>1+0.0275465037059198i</v>
      </c>
      <c r="BA153" s="32">
        <f t="shared" si="198"/>
        <v>1.0003793329864528</v>
      </c>
      <c r="BB153" s="32">
        <f t="shared" si="199"/>
        <v>2.7539539356815874E-2</v>
      </c>
      <c r="BC153" s="32" t="str">
        <f t="shared" si="173"/>
        <v>1+1.32223217788415i</v>
      </c>
      <c r="BD153" s="32">
        <f t="shared" si="200"/>
        <v>1.6577991230038283</v>
      </c>
      <c r="BE153" s="32">
        <f t="shared" si="201"/>
        <v>0.92327741445869116</v>
      </c>
      <c r="BF153" s="59" t="str">
        <f t="shared" si="202"/>
        <v>-0.638693593740193+0.511287537175173i</v>
      </c>
      <c r="BG153" s="50">
        <f t="shared" si="203"/>
        <v>-1.7435033176984895</v>
      </c>
      <c r="BH153" s="61">
        <f t="shared" si="204"/>
        <v>141.32199979335397</v>
      </c>
      <c r="BI153" s="59" t="str">
        <f t="shared" si="205"/>
        <v>0.0900531792012025+6.65836804786323i</v>
      </c>
      <c r="BJ153" s="64">
        <f t="shared" si="206"/>
        <v>16.468150292019217</v>
      </c>
      <c r="BK153" s="61">
        <f t="shared" si="207"/>
        <v>89.225132570871949</v>
      </c>
      <c r="BL153" s="59" t="str">
        <f t="shared" si="158"/>
        <v>-2.05922250967694+58.3834273706583i</v>
      </c>
      <c r="BM153" s="64">
        <f t="shared" si="208"/>
        <v>35.331191081614001</v>
      </c>
      <c r="BN153" s="61">
        <f t="shared" si="159"/>
        <v>92.020023070667875</v>
      </c>
      <c r="BO153" s="50">
        <f t="shared" si="209"/>
        <v>16.468150292019217</v>
      </c>
      <c r="BP153" s="61">
        <f t="shared" si="210"/>
        <v>89.225132570871949</v>
      </c>
    </row>
    <row r="154" spans="14:68" x14ac:dyDescent="0.25">
      <c r="N154" s="11">
        <v>36</v>
      </c>
      <c r="O154" s="51">
        <f t="shared" si="160"/>
        <v>229.08676527677744</v>
      </c>
      <c r="P154" s="49" t="str">
        <f t="shared" si="161"/>
        <v>25.6231073841137</v>
      </c>
      <c r="Q154" s="18" t="str">
        <f t="shared" si="162"/>
        <v>1+1.24475947910533i</v>
      </c>
      <c r="R154" s="18">
        <f t="shared" si="174"/>
        <v>1.5966922561416061</v>
      </c>
      <c r="S154" s="18">
        <f t="shared" si="175"/>
        <v>0.89400506477389807</v>
      </c>
      <c r="T154" s="18" t="str">
        <f t="shared" si="163"/>
        <v>1+0.00129545513789072i</v>
      </c>
      <c r="U154" s="18">
        <f t="shared" si="176"/>
        <v>1.000000839101655</v>
      </c>
      <c r="V154" s="18">
        <f t="shared" si="177"/>
        <v>1.295454413212112E-3</v>
      </c>
      <c r="W154" s="32" t="str">
        <f t="shared" si="164"/>
        <v>1-0.0290277910527364i</v>
      </c>
      <c r="X154" s="18">
        <f t="shared" si="178"/>
        <v>1.0004212176145613</v>
      </c>
      <c r="Y154" s="18">
        <f t="shared" si="179"/>
        <v>-2.9019642110833663E-2</v>
      </c>
      <c r="Z154" s="32" t="str">
        <f t="shared" si="165"/>
        <v>0.999998687981349+0.00229823337425797i</v>
      </c>
      <c r="AA154" s="18">
        <f t="shared" si="180"/>
        <v>1.0000013289196481</v>
      </c>
      <c r="AB154" s="18">
        <f t="shared" si="181"/>
        <v>2.2982323432554812E-3</v>
      </c>
      <c r="AC154" s="32" t="str">
        <f>IMDIV(IMSUM(COMPLEX(0,2*PI()*O154*Constants!$B$71*Constants!$B$72),COMPLEX(1,0)),IMSUM(COMPLEX(0,2*PI()*O154*Constants!$B$71*Constants!$B$72),COMPLEX(2,0)))</f>
        <v>0.500004143679275+0.00143938266887722i</v>
      </c>
      <c r="AD154" s="18">
        <f t="shared" si="182"/>
        <v>0.50000621548028035</v>
      </c>
      <c r="AE154" s="18">
        <f t="shared" si="183"/>
        <v>2.8787335284412604E-3</v>
      </c>
      <c r="AF154" s="66" t="str">
        <f t="shared" si="184"/>
        <v>4.85575109592316-6.39210291610605i</v>
      </c>
      <c r="AG154" s="64">
        <f t="shared" si="185"/>
        <v>18.091373238567904</v>
      </c>
      <c r="AH154" s="61">
        <f t="shared" si="186"/>
        <v>-52.777935752452976</v>
      </c>
      <c r="AI154" s="50" t="str">
        <f t="shared" si="166"/>
        <v>108.866083054159</v>
      </c>
      <c r="AJ154" s="50" t="str">
        <f t="shared" si="167"/>
        <v>1+1.17768648899156i</v>
      </c>
      <c r="AK154" s="50">
        <f t="shared" si="187"/>
        <v>1.5449742607413457</v>
      </c>
      <c r="AL154" s="50">
        <f t="shared" si="188"/>
        <v>0.86681196440202091</v>
      </c>
      <c r="AM154" s="50" t="str">
        <f t="shared" si="168"/>
        <v>1+0.00129545513789072i</v>
      </c>
      <c r="AN154" s="50">
        <f t="shared" si="189"/>
        <v>1.000000839101655</v>
      </c>
      <c r="AO154" s="50">
        <f t="shared" si="190"/>
        <v>1.295454413212112E-3</v>
      </c>
      <c r="AP154" s="50" t="str">
        <f t="shared" si="169"/>
        <v>1-0.00646393422175736i</v>
      </c>
      <c r="AQ154" s="50">
        <f t="shared" si="191"/>
        <v>1.0000208910045945</v>
      </c>
      <c r="AR154" s="50">
        <f t="shared" si="192"/>
        <v>-6.4638441976874938E-3</v>
      </c>
      <c r="AS154" s="59" t="str">
        <f t="shared" si="193"/>
        <v>45.3317199311838-53.9492261589124i</v>
      </c>
      <c r="AT154" s="50">
        <f t="shared" si="194"/>
        <v>36.959615724006042</v>
      </c>
      <c r="AU154" s="61">
        <f t="shared" si="195"/>
        <v>-49.960794113208884</v>
      </c>
      <c r="AV154" s="32" t="str">
        <f t="shared" si="170"/>
        <v>-0.0000333333333333333</v>
      </c>
      <c r="AW154" s="32" t="str">
        <f t="shared" si="171"/>
        <v>0.0000690909406875046i</v>
      </c>
      <c r="AX154" s="32">
        <f t="shared" si="196"/>
        <v>6.9090940687504594E-5</v>
      </c>
      <c r="AY154" s="32">
        <f t="shared" si="197"/>
        <v>1.5707963267948966</v>
      </c>
      <c r="AZ154" s="32" t="str">
        <f t="shared" si="172"/>
        <v>1+0.0281881442041035i</v>
      </c>
      <c r="BA154" s="32">
        <f t="shared" si="198"/>
        <v>1.0003972068501947</v>
      </c>
      <c r="BB154" s="32">
        <f t="shared" si="199"/>
        <v>2.8180681929606734E-2</v>
      </c>
      <c r="BC154" s="32" t="str">
        <f t="shared" si="173"/>
        <v>1+1.35303092179697i</v>
      </c>
      <c r="BD154" s="32">
        <f t="shared" si="200"/>
        <v>1.682466247904771</v>
      </c>
      <c r="BE154" s="32">
        <f t="shared" si="201"/>
        <v>0.93431981673646658</v>
      </c>
      <c r="BF154" s="59" t="str">
        <f t="shared" si="202"/>
        <v>-0.638670771164906+0.50045886351109i</v>
      </c>
      <c r="BG154" s="50">
        <f t="shared" si="203"/>
        <v>-1.8153694075981637</v>
      </c>
      <c r="BH154" s="61">
        <f t="shared" si="204"/>
        <v>141.91794807606897</v>
      </c>
      <c r="BI154" s="59" t="str">
        <f t="shared" si="205"/>
        <v>0.0977582638222767+6.51255297375333i</v>
      </c>
      <c r="BJ154" s="64">
        <f t="shared" si="206"/>
        <v>16.276003830969742</v>
      </c>
      <c r="BK154" s="61">
        <f t="shared" si="207"/>
        <v>89.140012323616006</v>
      </c>
      <c r="BL154" s="59" t="str">
        <f t="shared" si="158"/>
        <v>-1.95267611588863+57.1424549124258i</v>
      </c>
      <c r="BM154" s="64">
        <f t="shared" si="208"/>
        <v>35.14424631640788</v>
      </c>
      <c r="BN154" s="61">
        <f t="shared" si="159"/>
        <v>91.95715396286009</v>
      </c>
      <c r="BO154" s="50">
        <f t="shared" si="209"/>
        <v>16.276003830969742</v>
      </c>
      <c r="BP154" s="61">
        <f t="shared" si="210"/>
        <v>89.140012323616006</v>
      </c>
    </row>
    <row r="155" spans="14:68" x14ac:dyDescent="0.25">
      <c r="N155" s="11">
        <v>37</v>
      </c>
      <c r="O155" s="51">
        <f t="shared" si="160"/>
        <v>234.42288153199232</v>
      </c>
      <c r="P155" s="49" t="str">
        <f t="shared" si="161"/>
        <v>25.6231073841137</v>
      </c>
      <c r="Q155" s="18" t="str">
        <f t="shared" si="162"/>
        <v>1+1.27375365204352i</v>
      </c>
      <c r="R155" s="18">
        <f t="shared" si="174"/>
        <v>1.6193975318291072</v>
      </c>
      <c r="S155" s="18">
        <f t="shared" si="175"/>
        <v>0.90521866669423523</v>
      </c>
      <c r="T155" s="18" t="str">
        <f t="shared" si="163"/>
        <v>1+0.00132563016441766i</v>
      </c>
      <c r="U155" s="18">
        <f t="shared" si="176"/>
        <v>1.0000008786472805</v>
      </c>
      <c r="V155" s="18">
        <f t="shared" si="177"/>
        <v>1.3256293879105785E-3</v>
      </c>
      <c r="W155" s="32" t="str">
        <f t="shared" si="164"/>
        <v>1-0.029703935165655i</v>
      </c>
      <c r="X155" s="18">
        <f t="shared" si="178"/>
        <v>1.0004410646131663</v>
      </c>
      <c r="Y155" s="18">
        <f t="shared" si="179"/>
        <v>-2.9695203624986385E-2</v>
      </c>
      <c r="Z155" s="32" t="str">
        <f t="shared" si="165"/>
        <v>0.999998626147815+0.00235176610650392i</v>
      </c>
      <c r="AA155" s="18">
        <f t="shared" si="180"/>
        <v>1.0000013915497004</v>
      </c>
      <c r="AB155" s="18">
        <f t="shared" si="181"/>
        <v>2.3517650017648929E-3</v>
      </c>
      <c r="AC155" s="32" t="str">
        <f>IMDIV(IMSUM(COMPLEX(0,2*PI()*O155*Constants!$B$71*Constants!$B$72),COMPLEX(1,0)),IMSUM(COMPLEX(0,2*PI()*O155*Constants!$B$71*Constants!$B$72),COMPLEX(2,0)))</f>
        <v>0.500004338963168+0.00147290962299639i</v>
      </c>
      <c r="AD155" s="18">
        <f t="shared" si="182"/>
        <v>0.5000065084023928</v>
      </c>
      <c r="AE155" s="18">
        <f t="shared" si="183"/>
        <v>2.9457851617515404E-3</v>
      </c>
      <c r="AF155" s="66" t="str">
        <f t="shared" si="184"/>
        <v>4.7127756650744-6.35887884643921i</v>
      </c>
      <c r="AG155" s="64">
        <f t="shared" si="185"/>
        <v>17.968905360618901</v>
      </c>
      <c r="AH155" s="61">
        <f t="shared" si="186"/>
        <v>-53.456631160293938</v>
      </c>
      <c r="AI155" s="50" t="str">
        <f t="shared" si="166"/>
        <v>108.866083054159</v>
      </c>
      <c r="AJ155" s="50" t="str">
        <f t="shared" si="167"/>
        <v>1+1.20511833128878i</v>
      </c>
      <c r="AK155" s="50">
        <f t="shared" si="187"/>
        <v>1.5659853742638383</v>
      </c>
      <c r="AL155" s="50">
        <f t="shared" si="188"/>
        <v>0.87815045726316932</v>
      </c>
      <c r="AM155" s="50" t="str">
        <f t="shared" si="168"/>
        <v>1+0.00132563016441766i</v>
      </c>
      <c r="AN155" s="50">
        <f t="shared" si="189"/>
        <v>1.0000008786472805</v>
      </c>
      <c r="AO155" s="50">
        <f t="shared" si="190"/>
        <v>1.3256293879105785E-3</v>
      </c>
      <c r="AP155" s="50" t="str">
        <f t="shared" si="169"/>
        <v>1-0.00661449859168802i</v>
      </c>
      <c r="AQ155" s="50">
        <f t="shared" si="191"/>
        <v>1.0000218755565398</v>
      </c>
      <c r="AR155" s="50">
        <f t="shared" si="192"/>
        <v>-6.6144021292731869E-3</v>
      </c>
      <c r="AS155" s="59" t="str">
        <f t="shared" si="193"/>
        <v>44.1107152252567-53.7344099136817i</v>
      </c>
      <c r="AT155" s="50">
        <f t="shared" si="194"/>
        <v>36.842295556838593</v>
      </c>
      <c r="AU155" s="61">
        <f t="shared" si="195"/>
        <v>-50.617339335546895</v>
      </c>
      <c r="AV155" s="32" t="str">
        <f t="shared" si="170"/>
        <v>-0.0000333333333333333</v>
      </c>
      <c r="AW155" s="32" t="str">
        <f t="shared" si="171"/>
        <v>0.0000707002754356087i</v>
      </c>
      <c r="AX155" s="32">
        <f t="shared" si="196"/>
        <v>7.0700275435608699E-5</v>
      </c>
      <c r="AY155" s="32">
        <f t="shared" si="197"/>
        <v>1.5707963267948966</v>
      </c>
      <c r="AZ155" s="32" t="str">
        <f t="shared" si="172"/>
        <v>1+0.0288447304294583i</v>
      </c>
      <c r="BA155" s="32">
        <f t="shared" si="198"/>
        <v>1.0004159227409108</v>
      </c>
      <c r="BB155" s="32">
        <f t="shared" si="199"/>
        <v>2.8836734637806123E-2</v>
      </c>
      <c r="BC155" s="32" t="str">
        <f t="shared" si="173"/>
        <v>1+1.384547060614i</v>
      </c>
      <c r="BD155" s="32">
        <f t="shared" si="200"/>
        <v>1.7079140970947184</v>
      </c>
      <c r="BE155" s="32">
        <f t="shared" si="201"/>
        <v>0.9452878643838597</v>
      </c>
      <c r="BF155" s="59" t="str">
        <f t="shared" si="202"/>
        <v>-0.638646874742879+0.4898954791571i</v>
      </c>
      <c r="BG155" s="50">
        <f t="shared" si="203"/>
        <v>-1.885138652898001</v>
      </c>
      <c r="BH155" s="61">
        <f t="shared" si="204"/>
        <v>142.50878186444501</v>
      </c>
      <c r="BI155" s="59" t="str">
        <f t="shared" si="205"/>
        <v>0.105386549514226+6.36984559474855i</v>
      </c>
      <c r="BJ155" s="64">
        <f t="shared" si="206"/>
        <v>16.083766707720901</v>
      </c>
      <c r="BK155" s="61">
        <f t="shared" si="207"/>
        <v>89.052150704151089</v>
      </c>
      <c r="BL155" s="59" t="str">
        <f t="shared" si="158"/>
        <v>-1.8469259293962+55.9269529287651i</v>
      </c>
      <c r="BM155" s="64">
        <f t="shared" si="208"/>
        <v>34.957156903940586</v>
      </c>
      <c r="BN155" s="61">
        <f t="shared" si="159"/>
        <v>91.891442528898125</v>
      </c>
      <c r="BO155" s="50">
        <f t="shared" si="209"/>
        <v>16.083766707720901</v>
      </c>
      <c r="BP155" s="61">
        <f t="shared" si="210"/>
        <v>89.052150704151089</v>
      </c>
    </row>
    <row r="156" spans="14:68" x14ac:dyDescent="0.25">
      <c r="N156" s="11">
        <v>38</v>
      </c>
      <c r="O156" s="51">
        <f t="shared" si="160"/>
        <v>239.88329190194912</v>
      </c>
      <c r="P156" s="49" t="str">
        <f t="shared" si="161"/>
        <v>25.6231073841137</v>
      </c>
      <c r="Q156" s="18" t="str">
        <f t="shared" si="162"/>
        <v>1+1.30342318602816i</v>
      </c>
      <c r="R156" s="18">
        <f t="shared" si="174"/>
        <v>1.6428365718706774</v>
      </c>
      <c r="S156" s="18">
        <f t="shared" si="175"/>
        <v>0.9163711579774052</v>
      </c>
      <c r="T156" s="18" t="str">
        <f t="shared" si="163"/>
        <v>1+0.00135650805760458i</v>
      </c>
      <c r="U156" s="18">
        <f t="shared" si="176"/>
        <v>1.000000920056632</v>
      </c>
      <c r="V156" s="18">
        <f t="shared" si="177"/>
        <v>1.3565072255622927E-3</v>
      </c>
      <c r="W156" s="32" t="str">
        <f t="shared" si="164"/>
        <v>1-0.0303958286981767i</v>
      </c>
      <c r="X156" s="18">
        <f t="shared" si="178"/>
        <v>1.0004618465500066</v>
      </c>
      <c r="Y156" s="18">
        <f t="shared" si="179"/>
        <v>-3.0386472917037027E-2</v>
      </c>
      <c r="Z156" s="32" t="str">
        <f t="shared" si="165"/>
        <v>0.999998561400157+0.00240654577626887i</v>
      </c>
      <c r="AA156" s="18">
        <f t="shared" si="180"/>
        <v>1.0000014571314169</v>
      </c>
      <c r="AB156" s="18">
        <f t="shared" si="181"/>
        <v>2.4065445925197213E-3</v>
      </c>
      <c r="AC156" s="32" t="str">
        <f>IMDIV(IMSUM(COMPLEX(0,2*PI()*O156*Constants!$B$71*Constants!$B$72),COMPLEX(1,0)),IMSUM(COMPLEX(0,2*PI()*O156*Constants!$B$71*Constants!$B$72),COMPLEX(2,0)))</f>
        <v>0.500004543450344+0.00150721747905619i</v>
      </c>
      <c r="AD156" s="18">
        <f t="shared" si="182"/>
        <v>0.50000681512907008</v>
      </c>
      <c r="AE156" s="18">
        <f t="shared" si="183"/>
        <v>3.0143984362481393E-3</v>
      </c>
      <c r="AF156" s="66" t="str">
        <f t="shared" si="184"/>
        <v>4.57135425736975-6.32266443873172i</v>
      </c>
      <c r="AG156" s="64">
        <f t="shared" si="185"/>
        <v>17.844273121529383</v>
      </c>
      <c r="AH156" s="61">
        <f t="shared" si="186"/>
        <v>-54.132666873345983</v>
      </c>
      <c r="AI156" s="50" t="str">
        <f t="shared" si="166"/>
        <v>108.866083054159</v>
      </c>
      <c r="AJ156" s="50" t="str">
        <f t="shared" si="167"/>
        <v>1+1.23318914327689i</v>
      </c>
      <c r="AK156" s="50">
        <f t="shared" si="187"/>
        <v>1.5876887173170913</v>
      </c>
      <c r="AL156" s="50">
        <f t="shared" si="188"/>
        <v>0.88944090441356716</v>
      </c>
      <c r="AM156" s="50" t="str">
        <f t="shared" si="168"/>
        <v>1+0.00135650805760458i</v>
      </c>
      <c r="AN156" s="50">
        <f t="shared" si="189"/>
        <v>1.000000920056632</v>
      </c>
      <c r="AO156" s="50">
        <f t="shared" si="190"/>
        <v>1.3565072255622927E-3</v>
      </c>
      <c r="AP156" s="50" t="str">
        <f t="shared" si="169"/>
        <v>1-0.0067685700563253i</v>
      </c>
      <c r="AQ156" s="50">
        <f t="shared" si="191"/>
        <v>1.0000229065079496</v>
      </c>
      <c r="AR156" s="50">
        <f t="shared" si="192"/>
        <v>-6.7684666951134476E-3</v>
      </c>
      <c r="AS156" s="59" t="str">
        <f t="shared" si="193"/>
        <v>42.9000359233737-53.49304853794i</v>
      </c>
      <c r="AT156" s="50">
        <f t="shared" si="194"/>
        <v>36.722751731949607</v>
      </c>
      <c r="AU156" s="61">
        <f t="shared" si="195"/>
        <v>-51.271292385697407</v>
      </c>
      <c r="AV156" s="32" t="str">
        <f t="shared" si="170"/>
        <v>-0.0000333333333333333</v>
      </c>
      <c r="AW156" s="32" t="str">
        <f t="shared" si="171"/>
        <v>0.0000723470964055775i</v>
      </c>
      <c r="AX156" s="32">
        <f t="shared" si="196"/>
        <v>7.2347096405577495E-5</v>
      </c>
      <c r="AY156" s="32">
        <f t="shared" si="197"/>
        <v>1.5707963267948966</v>
      </c>
      <c r="AZ156" s="32" t="str">
        <f t="shared" si="172"/>
        <v>1+0.0295166105126923i</v>
      </c>
      <c r="BA156" s="32">
        <f t="shared" si="198"/>
        <v>1.0004355203091091</v>
      </c>
      <c r="BB156" s="32">
        <f t="shared" si="199"/>
        <v>2.9508043069003627E-2</v>
      </c>
      <c r="BC156" s="32" t="str">
        <f t="shared" si="173"/>
        <v>1+1.41679730460923i</v>
      </c>
      <c r="BD156" s="32">
        <f t="shared" si="200"/>
        <v>1.7341610658609479</v>
      </c>
      <c r="BE156" s="32">
        <f t="shared" si="201"/>
        <v>0.95617681761167383</v>
      </c>
      <c r="BF156" s="59" t="str">
        <f t="shared" si="202"/>
        <v>-0.638621854033719+0.479591778939953i</v>
      </c>
      <c r="BG156" s="50">
        <f t="shared" si="203"/>
        <v>-1.9528406363065529</v>
      </c>
      <c r="BH156" s="61">
        <f t="shared" si="204"/>
        <v>143.09420978785502</v>
      </c>
      <c r="BI156" s="59" t="str">
        <f t="shared" si="205"/>
        <v>0.112931154525321+6.2301756067526i</v>
      </c>
      <c r="BJ156" s="64">
        <f t="shared" si="206"/>
        <v>15.891432485222833</v>
      </c>
      <c r="BK156" s="61">
        <f t="shared" si="207"/>
        <v>88.961542914509039</v>
      </c>
      <c r="BL156" s="59" t="str">
        <f t="shared" si="158"/>
        <v>-1.74207417026616+54.7363343802936i</v>
      </c>
      <c r="BM156" s="64">
        <f t="shared" si="208"/>
        <v>34.769911095643053</v>
      </c>
      <c r="BN156" s="61">
        <f t="shared" si="159"/>
        <v>91.822917402157614</v>
      </c>
      <c r="BO156" s="50">
        <f t="shared" si="209"/>
        <v>15.891432485222833</v>
      </c>
      <c r="BP156" s="61">
        <f t="shared" si="210"/>
        <v>88.961542914509039</v>
      </c>
    </row>
    <row r="157" spans="14:68" x14ac:dyDescent="0.25">
      <c r="N157" s="11">
        <v>39</v>
      </c>
      <c r="O157" s="51">
        <f t="shared" si="160"/>
        <v>245.4708915685033</v>
      </c>
      <c r="P157" s="49" t="str">
        <f t="shared" si="161"/>
        <v>25.6231073841137</v>
      </c>
      <c r="Q157" s="18" t="str">
        <f t="shared" si="162"/>
        <v>1+1.33378381223886i</v>
      </c>
      <c r="R157" s="18">
        <f t="shared" si="174"/>
        <v>1.6670270717029243</v>
      </c>
      <c r="S157" s="18">
        <f t="shared" si="175"/>
        <v>0.92745735534724283</v>
      </c>
      <c r="T157" s="18" t="str">
        <f t="shared" si="163"/>
        <v>1+0.00138810518931914i</v>
      </c>
      <c r="U157" s="18">
        <f t="shared" si="176"/>
        <v>1.0000009634175442</v>
      </c>
      <c r="V157" s="18">
        <f t="shared" si="177"/>
        <v>1.3881042977698127E-3</v>
      </c>
      <c r="W157" s="32" t="str">
        <f t="shared" si="164"/>
        <v>1-0.0311038385014104i</v>
      </c>
      <c r="X157" s="18">
        <f t="shared" si="178"/>
        <v>1.0004836074466796</v>
      </c>
      <c r="Y157" s="18">
        <f t="shared" si="179"/>
        <v>-3.109381386299993E-2</v>
      </c>
      <c r="Z157" s="32" t="str">
        <f t="shared" si="165"/>
        <v>0.999998493601035+0.00246260142845877i</v>
      </c>
      <c r="AA157" s="18">
        <f t="shared" si="180"/>
        <v>1.0000015258039032</v>
      </c>
      <c r="AB157" s="18">
        <f t="shared" si="181"/>
        <v>2.4626001600487595E-3</v>
      </c>
      <c r="AC157" s="32" t="str">
        <f>IMDIV(IMSUM(COMPLEX(0,2*PI()*O157*Constants!$B$71*Constants!$B$72),COMPLEX(1,0)),IMSUM(COMPLEX(0,2*PI()*O157*Constants!$B$71*Constants!$B$72),COMPLEX(2,0)))</f>
        <v>0.500004757574525+0.00154232442365708i</v>
      </c>
      <c r="AD157" s="18">
        <f t="shared" si="182"/>
        <v>0.50000713631086036</v>
      </c>
      <c r="AE157" s="18">
        <f t="shared" si="183"/>
        <v>3.0846097134969185E-3</v>
      </c>
      <c r="AF157" s="66" t="str">
        <f t="shared" si="184"/>
        <v>4.43160908057185-6.28354859186252i</v>
      </c>
      <c r="AG157" s="64">
        <f t="shared" si="185"/>
        <v>17.717501598237163</v>
      </c>
      <c r="AH157" s="61">
        <f t="shared" si="186"/>
        <v>-54.805765403061677</v>
      </c>
      <c r="AI157" s="50" t="str">
        <f t="shared" si="166"/>
        <v>108.866083054159</v>
      </c>
      <c r="AJ157" s="50" t="str">
        <f t="shared" si="167"/>
        <v>1+1.26191380847195i</v>
      </c>
      <c r="AK157" s="50">
        <f t="shared" si="187"/>
        <v>1.6101013819049348</v>
      </c>
      <c r="AL157" s="50">
        <f t="shared" si="188"/>
        <v>0.90067777899758172</v>
      </c>
      <c r="AM157" s="50" t="str">
        <f t="shared" si="168"/>
        <v>1+0.00138810518931914i</v>
      </c>
      <c r="AN157" s="50">
        <f t="shared" si="189"/>
        <v>1.0000009634175442</v>
      </c>
      <c r="AO157" s="50">
        <f t="shared" si="190"/>
        <v>1.3881042977698127E-3</v>
      </c>
      <c r="AP157" s="50" t="str">
        <f t="shared" si="169"/>
        <v>1-0.00692623030639901i</v>
      </c>
      <c r="AQ157" s="50">
        <f t="shared" si="191"/>
        <v>1.0000239860454634</v>
      </c>
      <c r="AR157" s="50">
        <f t="shared" si="192"/>
        <v>-6.92611955300857E-3</v>
      </c>
      <c r="AS157" s="59" t="str">
        <f t="shared" si="193"/>
        <v>41.700818097956-53.2257521713481i</v>
      </c>
      <c r="AT157" s="50">
        <f t="shared" si="194"/>
        <v>36.601004200957888</v>
      </c>
      <c r="AU157" s="61">
        <f t="shared" si="195"/>
        <v>-51.922340338782426</v>
      </c>
      <c r="AV157" s="32" t="str">
        <f t="shared" si="170"/>
        <v>-0.0000333333333333333</v>
      </c>
      <c r="AW157" s="32" t="str">
        <f t="shared" si="171"/>
        <v>0.0000740322767636877i</v>
      </c>
      <c r="AX157" s="32">
        <f t="shared" si="196"/>
        <v>7.4032276763687704E-5</v>
      </c>
      <c r="AY157" s="32">
        <f t="shared" si="197"/>
        <v>1.5707963267948966</v>
      </c>
      <c r="AZ157" s="32" t="str">
        <f t="shared" si="172"/>
        <v>1+0.0302041406935184i</v>
      </c>
      <c r="BA157" s="32">
        <f t="shared" si="198"/>
        <v>1.0004560410707877</v>
      </c>
      <c r="BB157" s="32">
        <f t="shared" si="199"/>
        <v>3.0194960738201642E-2</v>
      </c>
      <c r="BC157" s="32" t="str">
        <f t="shared" si="173"/>
        <v>1+1.44979875328888i</v>
      </c>
      <c r="BD157" s="32">
        <f t="shared" si="200"/>
        <v>1.7612258302210966</v>
      </c>
      <c r="BE157" s="32">
        <f t="shared" si="201"/>
        <v>0.96698212131333028</v>
      </c>
      <c r="BF157" s="59" t="str">
        <f t="shared" si="202"/>
        <v>-0.638595656236049+0.469542295065793i</v>
      </c>
      <c r="BG157" s="50">
        <f t="shared" si="203"/>
        <v>-2.0185065041848462</v>
      </c>
      <c r="BH157" s="61">
        <f t="shared" si="204"/>
        <v>143.6739506029989</v>
      </c>
      <c r="BI157" s="59" t="str">
        <f t="shared" si="205"/>
        <v>0.120385517991145+6.09347473503766i</v>
      </c>
      <c r="BJ157" s="64">
        <f t="shared" si="206"/>
        <v>15.698995094052313</v>
      </c>
      <c r="BK157" s="61">
        <f t="shared" si="207"/>
        <v>88.868185199937216</v>
      </c>
      <c r="BL157" s="59" t="str">
        <f t="shared" si="158"/>
        <v>-1.63821946770642+53.5700319723548i</v>
      </c>
      <c r="BM157" s="64">
        <f t="shared" si="208"/>
        <v>34.582497696773046</v>
      </c>
      <c r="BN157" s="61">
        <f t="shared" si="159"/>
        <v>91.751610264216467</v>
      </c>
      <c r="BO157" s="50">
        <f t="shared" si="209"/>
        <v>15.698995094052313</v>
      </c>
      <c r="BP157" s="61">
        <f t="shared" si="210"/>
        <v>88.868185199937216</v>
      </c>
    </row>
    <row r="158" spans="14:68" x14ac:dyDescent="0.25">
      <c r="N158" s="11">
        <v>40</v>
      </c>
      <c r="O158" s="51">
        <f t="shared" si="160"/>
        <v>251.18864315095806</v>
      </c>
      <c r="P158" s="49" t="str">
        <f t="shared" si="161"/>
        <v>25.6231073841137</v>
      </c>
      <c r="Q158" s="18" t="str">
        <f t="shared" si="162"/>
        <v>1+1.36485162828154i</v>
      </c>
      <c r="R158" s="18">
        <f t="shared" si="174"/>
        <v>1.6919869878999576</v>
      </c>
      <c r="S158" s="18">
        <f t="shared" si="175"/>
        <v>0.93847223700623861</v>
      </c>
      <c r="T158" s="18" t="str">
        <f t="shared" si="163"/>
        <v>1+0.00142043831277883i</v>
      </c>
      <c r="U158" s="18">
        <f t="shared" si="176"/>
        <v>1.0000010088219913</v>
      </c>
      <c r="V158" s="18">
        <f t="shared" si="177"/>
        <v>1.4204373574665664E-3</v>
      </c>
      <c r="W158" s="32" t="str">
        <f t="shared" si="164"/>
        <v>1-0.0318283399715257i</v>
      </c>
      <c r="X158" s="18">
        <f t="shared" si="178"/>
        <v>1.000506393395536</v>
      </c>
      <c r="Y158" s="18">
        <f t="shared" si="179"/>
        <v>-3.1817598671550214E-2</v>
      </c>
      <c r="Z158" s="32" t="str">
        <f t="shared" si="165"/>
        <v>0.999998422606639+0.00251996278452245i</v>
      </c>
      <c r="AA158" s="18">
        <f t="shared" si="180"/>
        <v>1.0000015977128243</v>
      </c>
      <c r="AB158" s="18">
        <f t="shared" si="181"/>
        <v>2.5199614253966982E-3</v>
      </c>
      <c r="AC158" s="32" t="str">
        <f>IMDIV(IMSUM(COMPLEX(0,2*PI()*O158*Constants!$B$71*Constants!$B$72),COMPLEX(1,0)),IMSUM(COMPLEX(0,2*PI()*O158*Constants!$B$71*Constants!$B$72),COMPLEX(2,0)))</f>
        <v>0.50000498178987+0.00157824906680937i</v>
      </c>
      <c r="AD158" s="18">
        <f t="shared" si="182"/>
        <v>0.50000747262896494</v>
      </c>
      <c r="AE158" s="18">
        <f t="shared" si="183"/>
        <v>3.1564562010514166E-3</v>
      </c>
      <c r="AF158" s="66" t="str">
        <f t="shared" si="184"/>
        <v>4.29365595405084-6.24162594188921i</v>
      </c>
      <c r="AG158" s="64">
        <f t="shared" si="185"/>
        <v>17.588617704866984</v>
      </c>
      <c r="AH158" s="61">
        <f t="shared" si="186"/>
        <v>-55.475658958806882</v>
      </c>
      <c r="AI158" s="50" t="str">
        <f t="shared" si="166"/>
        <v>108.866083054159</v>
      </c>
      <c r="AJ158" s="50" t="str">
        <f t="shared" si="167"/>
        <v>1+1.29130755707167i</v>
      </c>
      <c r="AK158" s="50">
        <f t="shared" si="187"/>
        <v>1.6332407069842474</v>
      </c>
      <c r="AL158" s="50">
        <f t="shared" si="188"/>
        <v>0.91185568879839141</v>
      </c>
      <c r="AM158" s="50" t="str">
        <f t="shared" si="168"/>
        <v>1+0.00142043831277883i</v>
      </c>
      <c r="AN158" s="50">
        <f t="shared" si="189"/>
        <v>1.0000010088219913</v>
      </c>
      <c r="AO158" s="50">
        <f t="shared" si="190"/>
        <v>1.4204373574665664E-3</v>
      </c>
      <c r="AP158" s="50" t="str">
        <f t="shared" si="169"/>
        <v>1-0.00708756293546071i</v>
      </c>
      <c r="AQ158" s="50">
        <f t="shared" si="191"/>
        <v>1.0000251164587637</v>
      </c>
      <c r="AR158" s="50">
        <f t="shared" si="192"/>
        <v>-7.0874442612257121E-3</v>
      </c>
      <c r="AS158" s="59" t="str">
        <f t="shared" si="193"/>
        <v>40.5141523667835-52.9331887794317i</v>
      </c>
      <c r="AT158" s="50">
        <f t="shared" si="194"/>
        <v>36.477074953408334</v>
      </c>
      <c r="AU158" s="61">
        <f t="shared" si="195"/>
        <v>-52.570178071199301</v>
      </c>
      <c r="AV158" s="32" t="str">
        <f t="shared" si="170"/>
        <v>-0.0000333333333333333</v>
      </c>
      <c r="AW158" s="32" t="str">
        <f t="shared" si="171"/>
        <v>0.0000757567100148709i</v>
      </c>
      <c r="AX158" s="32">
        <f t="shared" si="196"/>
        <v>7.5756710014870897E-5</v>
      </c>
      <c r="AY158" s="32">
        <f t="shared" si="197"/>
        <v>1.5707963267948966</v>
      </c>
      <c r="AZ158" s="32" t="str">
        <f t="shared" si="172"/>
        <v>1+0.0309076855095394i</v>
      </c>
      <c r="BA158" s="32">
        <f t="shared" si="198"/>
        <v>1.0004775284950465</v>
      </c>
      <c r="BB158" s="32">
        <f t="shared" si="199"/>
        <v>3.0897849263748476E-2</v>
      </c>
      <c r="BC158" s="32" t="str">
        <f t="shared" si="173"/>
        <v>1+1.48356890445789i</v>
      </c>
      <c r="BD158" s="32">
        <f t="shared" si="200"/>
        <v>1.7891273555212284</v>
      </c>
      <c r="BE158" s="32">
        <f t="shared" si="201"/>
        <v>0.9776994121487208</v>
      </c>
      <c r="BF158" s="59" t="str">
        <f t="shared" si="202"/>
        <v>-0.638568226077846+0.45974169419909i</v>
      </c>
      <c r="BG158" s="50">
        <f t="shared" si="203"/>
        <v>-2.0821688574829125</v>
      </c>
      <c r="BH158" s="61">
        <f t="shared" si="204"/>
        <v>144.24773358969898</v>
      </c>
      <c r="BI158" s="59" t="str">
        <f t="shared" si="205"/>
        <v>0.12774341911431+5.959676668177i</v>
      </c>
      <c r="BJ158" s="64">
        <f t="shared" si="206"/>
        <v>15.506448847384064</v>
      </c>
      <c r="BK158" s="61">
        <f t="shared" si="207"/>
        <v>88.772074630892106</v>
      </c>
      <c r="BL158" s="59" t="str">
        <f t="shared" si="158"/>
        <v>-1.53545651908831+52.4274975076706i</v>
      </c>
      <c r="BM158" s="64">
        <f t="shared" si="208"/>
        <v>34.394906095925428</v>
      </c>
      <c r="BN158" s="61">
        <f t="shared" si="159"/>
        <v>91.677555518499688</v>
      </c>
      <c r="BO158" s="50">
        <f t="shared" si="209"/>
        <v>15.506448847384064</v>
      </c>
      <c r="BP158" s="61">
        <f t="shared" si="210"/>
        <v>88.772074630892106</v>
      </c>
    </row>
    <row r="159" spans="14:68" x14ac:dyDescent="0.25">
      <c r="N159" s="11">
        <v>41</v>
      </c>
      <c r="O159" s="51">
        <f t="shared" si="160"/>
        <v>257.03957827688663</v>
      </c>
      <c r="P159" s="49" t="str">
        <f t="shared" si="161"/>
        <v>25.6231073841137</v>
      </c>
      <c r="Q159" s="18" t="str">
        <f t="shared" si="162"/>
        <v>1+1.39664310672348i</v>
      </c>
      <c r="R159" s="18">
        <f t="shared" si="174"/>
        <v>1.7177345451373485</v>
      </c>
      <c r="S159" s="18">
        <f t="shared" si="175"/>
        <v>0.94941095226069627</v>
      </c>
      <c r="T159" s="18" t="str">
        <f t="shared" si="163"/>
        <v>1+0.00145352457143367i</v>
      </c>
      <c r="U159" s="18">
        <f t="shared" si="176"/>
        <v>1.000001056366282</v>
      </c>
      <c r="V159" s="18">
        <f t="shared" si="177"/>
        <v>1.4535235477981954E-3</v>
      </c>
      <c r="W159" s="32" t="str">
        <f t="shared" si="164"/>
        <v>1-0.0325697172487916i</v>
      </c>
      <c r="X159" s="18">
        <f t="shared" si="178"/>
        <v>1.0005302526568931</v>
      </c>
      <c r="Y159" s="18">
        <f t="shared" si="179"/>
        <v>-3.2558208067917711E-2</v>
      </c>
      <c r="Z159" s="32" t="str">
        <f t="shared" si="165"/>
        <v>0.99999834826638+0.00257866025821011i</v>
      </c>
      <c r="AA159" s="18">
        <f t="shared" si="180"/>
        <v>1.0000016730107084</v>
      </c>
      <c r="AB159" s="18">
        <f t="shared" si="181"/>
        <v>2.5786588018806966E-3</v>
      </c>
      <c r="AC159" s="32" t="str">
        <f>IMDIV(IMSUM(COMPLEX(0,2*PI()*O159*Constants!$B$71*Constants!$B$72),COMPLEX(1,0)),IMSUM(COMPLEX(0,2*PI()*O159*Constants!$B$71*Constants!$B$72),COMPLEX(2,0)))</f>
        <v>0.500005216571944+0.00161501045178075i</v>
      </c>
      <c r="AD159" s="18">
        <f t="shared" si="182"/>
        <v>0.50000782479668848</v>
      </c>
      <c r="AE159" s="18">
        <f t="shared" si="183"/>
        <v>3.2299759720883759E-3</v>
      </c>
      <c r="AF159" s="66" t="str">
        <f t="shared" si="184"/>
        <v>4.15760399832483-6.19699632910949i</v>
      </c>
      <c r="AG159" s="64">
        <f t="shared" si="185"/>
        <v>17.457650093554538</v>
      </c>
      <c r="AH159" s="61">
        <f t="shared" si="186"/>
        <v>-56.142090009145932</v>
      </c>
      <c r="AI159" s="50" t="str">
        <f t="shared" si="166"/>
        <v>108.866083054159</v>
      </c>
      <c r="AJ159" s="50" t="str">
        <f t="shared" si="167"/>
        <v>1+1.32138597403061i</v>
      </c>
      <c r="AK159" s="50">
        <f t="shared" si="187"/>
        <v>1.6571242839222482</v>
      </c>
      <c r="AL159" s="50">
        <f t="shared" si="188"/>
        <v>0.92296938800316664</v>
      </c>
      <c r="AM159" s="50" t="str">
        <f t="shared" si="168"/>
        <v>1+0.00145352457143367i</v>
      </c>
      <c r="AN159" s="50">
        <f t="shared" si="189"/>
        <v>1.000001056366282</v>
      </c>
      <c r="AO159" s="50">
        <f t="shared" si="190"/>
        <v>1.4535235477981954E-3</v>
      </c>
      <c r="AP159" s="50" t="str">
        <f t="shared" si="169"/>
        <v>1-0.00725265348420574i</v>
      </c>
      <c r="AQ159" s="50">
        <f t="shared" si="191"/>
        <v>1.0000263001454321</v>
      </c>
      <c r="AR159" s="50">
        <f t="shared" si="192"/>
        <v>-7.2525263226525258E-3</v>
      </c>
      <c r="AS159" s="59" t="str">
        <f t="shared" si="193"/>
        <v>39.3410803279487-52.6160801984226i</v>
      </c>
      <c r="AT159" s="50">
        <f t="shared" si="194"/>
        <v>36.350987930356048</v>
      </c>
      <c r="AU159" s="61">
        <f t="shared" si="195"/>
        <v>-53.214508936737779</v>
      </c>
      <c r="AV159" s="32" t="str">
        <f t="shared" si="170"/>
        <v>-0.0000333333333333333</v>
      </c>
      <c r="AW159" s="32" t="str">
        <f t="shared" si="171"/>
        <v>0.0000775213104764626i</v>
      </c>
      <c r="AX159" s="32">
        <f t="shared" si="196"/>
        <v>7.7521310476462606E-5</v>
      </c>
      <c r="AY159" s="32">
        <f t="shared" si="197"/>
        <v>1.5707963267948966</v>
      </c>
      <c r="AZ159" s="32" t="str">
        <f t="shared" si="172"/>
        <v>1+0.031627617989529i</v>
      </c>
      <c r="BA159" s="32">
        <f t="shared" si="198"/>
        <v>1.0005000280957974</v>
      </c>
      <c r="BB159" s="32">
        <f t="shared" si="199"/>
        <v>3.1617078546745336E-2</v>
      </c>
      <c r="BC159" s="32" t="str">
        <f t="shared" si="173"/>
        <v>1+1.5181256634974i</v>
      </c>
      <c r="BD159" s="32">
        <f t="shared" si="200"/>
        <v>1.8178849056443098</v>
      </c>
      <c r="BE159" s="32">
        <f t="shared" si="201"/>
        <v>0.98832452463497988</v>
      </c>
      <c r="BF159" s="59" t="str">
        <f t="shared" si="202"/>
        <v>-0.638539505701673+0.450184774611323i</v>
      </c>
      <c r="BG159" s="50">
        <f t="shared" si="203"/>
        <v>-2.1438616403830748</v>
      </c>
      <c r="BH159" s="61">
        <f t="shared" si="204"/>
        <v>144.81529888959574</v>
      </c>
      <c r="BI159" s="59" t="str">
        <f t="shared" si="205"/>
        <v>0.134998993693716+5.82871699173366i</v>
      </c>
      <c r="BJ159" s="64">
        <f t="shared" si="206"/>
        <v>15.313788453171473</v>
      </c>
      <c r="BK159" s="61">
        <f t="shared" si="207"/>
        <v>88.67320888044982</v>
      </c>
      <c r="BL159" s="59" t="str">
        <f t="shared" si="158"/>
        <v>-1.43387578132+51.3082012222639i</v>
      </c>
      <c r="BM159" s="64">
        <f t="shared" si="208"/>
        <v>34.207126289972976</v>
      </c>
      <c r="BN159" s="61">
        <f t="shared" si="159"/>
        <v>91.600789952857966</v>
      </c>
      <c r="BO159" s="50">
        <f t="shared" si="209"/>
        <v>15.313788453171473</v>
      </c>
      <c r="BP159" s="61">
        <f t="shared" si="210"/>
        <v>88.67320888044982</v>
      </c>
    </row>
    <row r="160" spans="14:68" x14ac:dyDescent="0.25">
      <c r="N160" s="11">
        <v>42</v>
      </c>
      <c r="O160" s="51">
        <f t="shared" si="160"/>
        <v>263.02679918953817</v>
      </c>
      <c r="P160" s="49" t="str">
        <f t="shared" si="161"/>
        <v>25.6231073841137</v>
      </c>
      <c r="Q160" s="18" t="str">
        <f t="shared" si="162"/>
        <v>1+1.42917510382735i</v>
      </c>
      <c r="R160" s="18">
        <f t="shared" si="174"/>
        <v>1.7442882437830958</v>
      </c>
      <c r="S160" s="18">
        <f t="shared" si="175"/>
        <v>0.96026883019391129</v>
      </c>
      <c r="T160" s="18" t="str">
        <f t="shared" si="163"/>
        <v>1+0.00148738150805596i</v>
      </c>
      <c r="U160" s="18">
        <f t="shared" si="176"/>
        <v>1.0000011061512635</v>
      </c>
      <c r="V160" s="18">
        <f t="shared" si="177"/>
        <v>1.4873804112108531E-3</v>
      </c>
      <c r="W160" s="32" t="str">
        <f t="shared" si="164"/>
        <v>1-0.033328363421254i</v>
      </c>
      <c r="X160" s="18">
        <f t="shared" si="178"/>
        <v>1.0005552357607945</v>
      </c>
      <c r="Y160" s="18">
        <f t="shared" si="179"/>
        <v>-3.3316031481342046E-2</v>
      </c>
      <c r="Z160" s="32" t="str">
        <f t="shared" si="165"/>
        <v>0.999998270422573+0.00263872497169928i</v>
      </c>
      <c r="AA160" s="18">
        <f t="shared" si="180"/>
        <v>1.0000017518572724</v>
      </c>
      <c r="AB160" s="18">
        <f t="shared" si="181"/>
        <v>2.6387234112142748E-3</v>
      </c>
      <c r="AC160" s="32" t="str">
        <f>IMDIV(IMSUM(COMPLEX(0,2*PI()*O160*Constants!$B$71*Constants!$B$72),COMPLEX(1,0)),IMSUM(COMPLEX(0,2*PI()*O160*Constants!$B$71*Constants!$B$72),COMPLEX(2,0)))</f>
        <v>0.50000546241872+0.00165262806517198i</v>
      </c>
      <c r="AD160" s="18">
        <f t="shared" si="182"/>
        <v>0.50000819356094539</v>
      </c>
      <c r="AE160" s="18">
        <f t="shared" si="183"/>
        <v>3.3052079854954141E-3</v>
      </c>
      <c r="AF160" s="66" t="str">
        <f t="shared" si="184"/>
        <v>4.02355537509114-6.14976424939634i</v>
      </c>
      <c r="AG160" s="64">
        <f t="shared" si="185"/>
        <v>17.324629050950307</v>
      </c>
      <c r="AH160" s="61">
        <f t="shared" si="186"/>
        <v>-56.804811788772014</v>
      </c>
      <c r="AI160" s="50" t="str">
        <f t="shared" si="166"/>
        <v>108.866083054159</v>
      </c>
      <c r="AJ160" s="50" t="str">
        <f t="shared" si="167"/>
        <v>1+1.3521650073236i</v>
      </c>
      <c r="AK160" s="50">
        <f t="shared" si="187"/>
        <v>1.681769962578245</v>
      </c>
      <c r="AL160" s="50">
        <f t="shared" si="188"/>
        <v>0.93401378810969393</v>
      </c>
      <c r="AM160" s="50" t="str">
        <f t="shared" si="168"/>
        <v>1+0.00148738150805596i</v>
      </c>
      <c r="AN160" s="50">
        <f t="shared" si="189"/>
        <v>1.0000011061512635</v>
      </c>
      <c r="AO160" s="50">
        <f t="shared" si="190"/>
        <v>1.4873804112108531E-3</v>
      </c>
      <c r="AP160" s="50" t="str">
        <f t="shared" si="169"/>
        <v>1-0.00742158948582832i</v>
      </c>
      <c r="AQ160" s="50">
        <f t="shared" si="191"/>
        <v>1.0000275396160327</v>
      </c>
      <c r="AR160" s="50">
        <f t="shared" si="192"/>
        <v>-7.421453229971826E-3</v>
      </c>
      <c r="AS160" s="59" t="str">
        <f t="shared" si="193"/>
        <v>38.1825913885038-52.2751979430391i</v>
      </c>
      <c r="AT160" s="50">
        <f t="shared" si="194"/>
        <v>36.222768931788025</v>
      </c>
      <c r="AU160" s="61">
        <f t="shared" si="195"/>
        <v>-53.855045393550135</v>
      </c>
      <c r="AV160" s="32" t="str">
        <f t="shared" si="170"/>
        <v>-0.0000333333333333333</v>
      </c>
      <c r="AW160" s="32" t="str">
        <f t="shared" si="171"/>
        <v>0.0000793270137629847i</v>
      </c>
      <c r="AX160" s="32">
        <f t="shared" si="196"/>
        <v>7.9327013762984697E-5</v>
      </c>
      <c r="AY160" s="32">
        <f t="shared" si="197"/>
        <v>1.5707963267948966</v>
      </c>
      <c r="AZ160" s="32" t="str">
        <f t="shared" si="172"/>
        <v>1+0.0323643198512177i</v>
      </c>
      <c r="BA160" s="32">
        <f t="shared" si="198"/>
        <v>1.0005235875277663</v>
      </c>
      <c r="BB160" s="32">
        <f t="shared" si="199"/>
        <v>3.2353026953970826E-2</v>
      </c>
      <c r="BC160" s="32" t="str">
        <f t="shared" si="173"/>
        <v>1+1.55348735285845i</v>
      </c>
      <c r="BD160" s="32">
        <f t="shared" si="200"/>
        <v>1.8475180528187416</v>
      </c>
      <c r="BE160" s="32">
        <f t="shared" si="201"/>
        <v>0.99885349624470465</v>
      </c>
      <c r="BF160" s="59" t="str">
        <f t="shared" si="202"/>
        <v>-0.638509434544696+0.44086646339777i</v>
      </c>
      <c r="BG160" s="50">
        <f t="shared" si="203"/>
        <v>-2.203620027409078</v>
      </c>
      <c r="BH160" s="61">
        <f t="shared" si="204"/>
        <v>145.37639778777245</v>
      </c>
      <c r="BI160" s="59" t="str">
        <f t="shared" si="205"/>
        <v>0.14214674795269+5.70053312196676i</v>
      </c>
      <c r="BJ160" s="64">
        <f t="shared" si="206"/>
        <v>15.121009023541223</v>
      </c>
      <c r="BK160" s="61">
        <f t="shared" si="207"/>
        <v>88.571585999000447</v>
      </c>
      <c r="BL160" s="59" t="str">
        <f t="shared" si="158"/>
        <v>-1.33356319635871+50.2116311081338i</v>
      </c>
      <c r="BM160" s="64">
        <f t="shared" si="208"/>
        <v>34.019148904378952</v>
      </c>
      <c r="BN160" s="61">
        <f t="shared" si="159"/>
        <v>91.521352394222333</v>
      </c>
      <c r="BO160" s="50">
        <f t="shared" si="209"/>
        <v>15.121009023541223</v>
      </c>
      <c r="BP160" s="61">
        <f t="shared" si="210"/>
        <v>88.571585999000447</v>
      </c>
    </row>
    <row r="161" spans="14:68" x14ac:dyDescent="0.25">
      <c r="N161" s="11">
        <v>43</v>
      </c>
      <c r="O161" s="51">
        <f t="shared" si="160"/>
        <v>269.15348039269179</v>
      </c>
      <c r="P161" s="49" t="str">
        <f t="shared" si="161"/>
        <v>25.6231073841137</v>
      </c>
      <c r="Q161" s="18" t="str">
        <f t="shared" si="162"/>
        <v>1+1.46246486848865i</v>
      </c>
      <c r="R161" s="18">
        <f t="shared" si="174"/>
        <v>1.7716668681113625</v>
      </c>
      <c r="S161" s="18">
        <f t="shared" si="175"/>
        <v>0.97104138736427248</v>
      </c>
      <c r="T161" s="18" t="str">
        <f t="shared" si="163"/>
        <v>1+0.00152202707404165i</v>
      </c>
      <c r="U161" s="18">
        <f t="shared" si="176"/>
        <v>1.0000011582825361</v>
      </c>
      <c r="V161" s="18">
        <f t="shared" si="177"/>
        <v>1.5220258987510165E-3</v>
      </c>
      <c r="W161" s="32" t="str">
        <f t="shared" si="164"/>
        <v>1-0.0341046807331555i</v>
      </c>
      <c r="X161" s="18">
        <f t="shared" si="178"/>
        <v>1.0005813956135254</v>
      </c>
      <c r="Y161" s="18">
        <f t="shared" si="179"/>
        <v>-3.4091467236116231E-2</v>
      </c>
      <c r="Z161" s="32" t="str">
        <f t="shared" si="165"/>
        <v>0.9999981889101+0.00270018877209611i</v>
      </c>
      <c r="AA161" s="18">
        <f t="shared" si="180"/>
        <v>1.0000018344197601</v>
      </c>
      <c r="AB161" s="18">
        <f t="shared" si="181"/>
        <v>2.7001871000063883E-3</v>
      </c>
      <c r="AC161" s="32" t="str">
        <f>IMDIV(IMSUM(COMPLEX(0,2*PI()*O161*Constants!$B$71*Constants!$B$72),COMPLEX(1,0)),IMSUM(COMPLEX(0,2*PI()*O161*Constants!$B$71*Constants!$B$72),COMPLEX(2,0)))</f>
        <v>0.500005719851638+0.00169112184722616i</v>
      </c>
      <c r="AD161" s="18">
        <f t="shared" si="182"/>
        <v>0.5000085797038456</v>
      </c>
      <c r="AE161" s="18">
        <f t="shared" si="183"/>
        <v>3.3821921064212429E-3</v>
      </c>
      <c r="AF161" s="66" t="str">
        <f t="shared" si="184"/>
        <v>3.89160507809432-6.10003829507118i</v>
      </c>
      <c r="AG161" s="64">
        <f t="shared" si="185"/>
        <v>17.189586391183244</v>
      </c>
      <c r="AH161" s="61">
        <f t="shared" si="186"/>
        <v>-57.463588749756433</v>
      </c>
      <c r="AI161" s="50" t="str">
        <f t="shared" si="166"/>
        <v>108.866083054159</v>
      </c>
      <c r="AJ161" s="50" t="str">
        <f t="shared" si="167"/>
        <v>1+1.3836609764015i</v>
      </c>
      <c r="AK161" s="50">
        <f t="shared" si="187"/>
        <v>1.7071958580128854</v>
      </c>
      <c r="AL161" s="50">
        <f t="shared" si="188"/>
        <v>0.94498396792898731</v>
      </c>
      <c r="AM161" s="50" t="str">
        <f t="shared" si="168"/>
        <v>1+0.00152202707404165i</v>
      </c>
      <c r="AN161" s="50">
        <f t="shared" si="189"/>
        <v>1.0000011582825361</v>
      </c>
      <c r="AO161" s="50">
        <f t="shared" si="190"/>
        <v>1.5220258987510165E-3</v>
      </c>
      <c r="AP161" s="50" t="str">
        <f t="shared" si="169"/>
        <v>1-0.00759446051243266i</v>
      </c>
      <c r="AQ161" s="50">
        <f t="shared" si="191"/>
        <v>1.0000288374994368</v>
      </c>
      <c r="AR161" s="50">
        <f t="shared" si="192"/>
        <v>-7.5943145118793605E-3</v>
      </c>
      <c r="AS161" s="59" t="str">
        <f t="shared" si="193"/>
        <v>37.0396200021591-51.9113588207727i</v>
      </c>
      <c r="AT161" s="50">
        <f t="shared" si="194"/>
        <v>36.092445518619336</v>
      </c>
      <c r="AU161" s="61">
        <f t="shared" si="195"/>
        <v>-54.491509579374508</v>
      </c>
      <c r="AV161" s="32" t="str">
        <f t="shared" si="170"/>
        <v>-0.0000333333333333333</v>
      </c>
      <c r="AW161" s="32" t="str">
        <f t="shared" si="171"/>
        <v>0.0000811747772822213i</v>
      </c>
      <c r="AX161" s="32">
        <f t="shared" si="196"/>
        <v>8.11747772822213E-5</v>
      </c>
      <c r="AY161" s="32">
        <f t="shared" si="197"/>
        <v>1.5707963267948966</v>
      </c>
      <c r="AZ161" s="32" t="str">
        <f t="shared" si="172"/>
        <v>1+0.0331181817036841i</v>
      </c>
      <c r="BA161" s="32">
        <f t="shared" si="198"/>
        <v>1.0005482566869817</v>
      </c>
      <c r="BB161" s="32">
        <f t="shared" si="199"/>
        <v>3.3106081504353298E-2</v>
      </c>
      <c r="BC161" s="32" t="str">
        <f t="shared" si="173"/>
        <v>1+1.58967272177684i</v>
      </c>
      <c r="BD161" s="32">
        <f t="shared" si="200"/>
        <v>1.8780466880142748</v>
      </c>
      <c r="BE161" s="32">
        <f t="shared" si="201"/>
        <v>1.0092825715202762</v>
      </c>
      <c r="BF161" s="59" t="str">
        <f t="shared" si="202"/>
        <v>-0.638477949213303+0.431781813760806i</v>
      </c>
      <c r="BG161" s="50">
        <f t="shared" si="203"/>
        <v>-2.2614803097396723</v>
      </c>
      <c r="BH161" s="61">
        <f t="shared" si="204"/>
        <v>145.93079293780687</v>
      </c>
      <c r="BI161" s="59" t="str">
        <f t="shared" si="205"/>
        <v>0.149181569646471+5.57506423981999i</v>
      </c>
      <c r="BJ161" s="64">
        <f t="shared" si="206"/>
        <v>14.928106081443573</v>
      </c>
      <c r="BK161" s="61">
        <f t="shared" si="207"/>
        <v>88.467204188050431</v>
      </c>
      <c r="BL161" s="59" t="str">
        <f t="shared" si="158"/>
        <v>-1.23459995219733+49.1372922263061i</v>
      </c>
      <c r="BM161" s="64">
        <f t="shared" si="208"/>
        <v>33.830965208879661</v>
      </c>
      <c r="BN161" s="61">
        <f t="shared" si="159"/>
        <v>91.439283358432348</v>
      </c>
      <c r="BO161" s="50">
        <f t="shared" si="209"/>
        <v>14.928106081443573</v>
      </c>
      <c r="BP161" s="61">
        <f t="shared" si="210"/>
        <v>88.467204188050431</v>
      </c>
    </row>
    <row r="162" spans="14:68" x14ac:dyDescent="0.25">
      <c r="N162" s="11">
        <v>44</v>
      </c>
      <c r="O162" s="51">
        <f t="shared" si="160"/>
        <v>275.42287033381683</v>
      </c>
      <c r="P162" s="49" t="str">
        <f t="shared" si="161"/>
        <v>25.6231073841137</v>
      </c>
      <c r="Q162" s="18" t="str">
        <f t="shared" si="162"/>
        <v>1+1.49653005138124i</v>
      </c>
      <c r="R162" s="18">
        <f t="shared" si="174"/>
        <v>1.7998894951321696</v>
      </c>
      <c r="S162" s="18">
        <f t="shared" si="175"/>
        <v>0.98172433451441854</v>
      </c>
      <c r="T162" s="18" t="str">
        <f t="shared" si="163"/>
        <v>1+0.0015574796389284i</v>
      </c>
      <c r="U162" s="18">
        <f t="shared" si="176"/>
        <v>1.0000012128706772</v>
      </c>
      <c r="V162" s="18">
        <f t="shared" si="177"/>
        <v>1.5574783795818795E-3</v>
      </c>
      <c r="W162" s="32" t="str">
        <f t="shared" si="164"/>
        <v>1-0.0348990807982105i</v>
      </c>
      <c r="X162" s="18">
        <f t="shared" si="178"/>
        <v>1.0006087876091037</v>
      </c>
      <c r="Y162" s="18">
        <f t="shared" si="179"/>
        <v>-3.4884922746249707E-2</v>
      </c>
      <c r="Z162" s="32" t="str">
        <f t="shared" si="165"/>
        <v>0.999998103556062+0.00276308424832113i</v>
      </c>
      <c r="AA162" s="18">
        <f t="shared" si="180"/>
        <v>1.0000019208732969</v>
      </c>
      <c r="AB162" s="18">
        <f t="shared" si="181"/>
        <v>2.763082456644811E-3</v>
      </c>
      <c r="AC162" s="32" t="str">
        <f>IMDIV(IMSUM(COMPLEX(0,2*PI()*O162*Constants!$B$71*Constants!$B$72),COMPLEX(1,0)),IMSUM(COMPLEX(0,2*PI()*O162*Constants!$B$71*Constants!$B$72),COMPLEX(2,0)))</f>
        <v>0.500005989416711+0.00173051220237694i</v>
      </c>
      <c r="AD162" s="18">
        <f t="shared" si="182"/>
        <v>0.50000898404435368</v>
      </c>
      <c r="AE162" s="18">
        <f t="shared" si="183"/>
        <v>3.4609691272988923E-3</v>
      </c>
      <c r="AF162" s="66" t="str">
        <f t="shared" si="184"/>
        <v>3.761840774584-6.04793059046453i</v>
      </c>
      <c r="AG162" s="64">
        <f t="shared" si="185"/>
        <v>17.052555346059158</v>
      </c>
      <c r="AH162" s="61">
        <f t="shared" si="186"/>
        <v>-58.118196956325853</v>
      </c>
      <c r="AI162" s="50" t="str">
        <f t="shared" si="166"/>
        <v>108.866083054159</v>
      </c>
      <c r="AJ162" s="50" t="str">
        <f t="shared" si="167"/>
        <v>1+1.41589058084401i</v>
      </c>
      <c r="AK162" s="50">
        <f t="shared" si="187"/>
        <v>1.7334203578251839</v>
      </c>
      <c r="AL162" s="50">
        <f t="shared" si="188"/>
        <v>0.95587518264787763</v>
      </c>
      <c r="AM162" s="50" t="str">
        <f t="shared" si="168"/>
        <v>1+0.0015574796389284i</v>
      </c>
      <c r="AN162" s="50">
        <f t="shared" si="189"/>
        <v>1.0000012128706772</v>
      </c>
      <c r="AO162" s="50">
        <f t="shared" si="190"/>
        <v>1.5574783795818795E-3</v>
      </c>
      <c r="AP162" s="50" t="str">
        <f t="shared" si="169"/>
        <v>1-0.00777135822252526i</v>
      </c>
      <c r="AQ162" s="50">
        <f t="shared" si="191"/>
        <v>1.0000301965483955</v>
      </c>
      <c r="AR162" s="50">
        <f t="shared" si="192"/>
        <v>-7.7712017803689554E-3</v>
      </c>
      <c r="AS162" s="59" t="str">
        <f t="shared" si="193"/>
        <v>35.913043326121-51.5254203968678i</v>
      </c>
      <c r="AT162" s="50">
        <f t="shared" si="194"/>
        <v>35.960046910020566</v>
      </c>
      <c r="AU162" s="61">
        <f t="shared" si="195"/>
        <v>-55.12363383294683</v>
      </c>
      <c r="AV162" s="32" t="str">
        <f t="shared" si="170"/>
        <v>-0.0000333333333333333</v>
      </c>
      <c r="AW162" s="32" t="str">
        <f t="shared" si="171"/>
        <v>0.000083065580742848i</v>
      </c>
      <c r="AX162" s="32">
        <f t="shared" si="196"/>
        <v>8.3065580742847995E-5</v>
      </c>
      <c r="AY162" s="32">
        <f t="shared" si="197"/>
        <v>1.5707963267948966</v>
      </c>
      <c r="AZ162" s="32" t="str">
        <f t="shared" si="172"/>
        <v>1+0.0338896032544607i</v>
      </c>
      <c r="BA162" s="32">
        <f t="shared" si="198"/>
        <v>1.0005740878159621</v>
      </c>
      <c r="BB162" s="32">
        <f t="shared" si="199"/>
        <v>3.3876638059025362E-2</v>
      </c>
      <c r="BC162" s="32" t="str">
        <f t="shared" si="173"/>
        <v>1+1.62670095621411i</v>
      </c>
      <c r="BD162" s="32">
        <f t="shared" si="200"/>
        <v>1.9094910319108336</v>
      </c>
      <c r="BE162" s="32">
        <f t="shared" si="201"/>
        <v>1.0196082052206401</v>
      </c>
      <c r="BF162" s="59" t="str">
        <f t="shared" si="202"/>
        <v>-0.638444983351866+0.422926002358176i</v>
      </c>
      <c r="BG162" s="50">
        <f t="shared" si="203"/>
        <v>-2.317479781439518</v>
      </c>
      <c r="BH162" s="61">
        <f t="shared" si="204"/>
        <v>146.47825853117695</v>
      </c>
      <c r="BI162" s="59" t="str">
        <f t="shared" si="205"/>
        <v>0.156098736463234+5.45225122544516i</v>
      </c>
      <c r="BJ162" s="64">
        <f t="shared" si="206"/>
        <v>14.735075564619631</v>
      </c>
      <c r="BK162" s="61">
        <f t="shared" si="207"/>
        <v>88.360061574851102</v>
      </c>
      <c r="BL162" s="59" t="str">
        <f t="shared" si="158"/>
        <v>-1.13706228018844+48.0847060139085i</v>
      </c>
      <c r="BM162" s="64">
        <f t="shared" si="208"/>
        <v>33.642567128581049</v>
      </c>
      <c r="BN162" s="61">
        <f t="shared" si="159"/>
        <v>91.354624698230111</v>
      </c>
      <c r="BO162" s="50">
        <f t="shared" si="209"/>
        <v>14.735075564619631</v>
      </c>
      <c r="BP162" s="61">
        <f t="shared" si="210"/>
        <v>88.360061574851102</v>
      </c>
    </row>
    <row r="163" spans="14:68" x14ac:dyDescent="0.25">
      <c r="N163" s="11">
        <v>45</v>
      </c>
      <c r="O163" s="51">
        <f t="shared" si="160"/>
        <v>281.83829312644554</v>
      </c>
      <c r="P163" s="49" t="str">
        <f t="shared" si="161"/>
        <v>25.6231073841137</v>
      </c>
      <c r="Q163" s="18" t="str">
        <f t="shared" si="162"/>
        <v>1+1.53138871431597i</v>
      </c>
      <c r="R163" s="18">
        <f t="shared" si="174"/>
        <v>1.8289755040279572</v>
      </c>
      <c r="S163" s="18">
        <f t="shared" si="175"/>
        <v>0.99231358228656319</v>
      </c>
      <c r="T163" s="18" t="str">
        <f t="shared" si="163"/>
        <v>1+0.0015937580001354i</v>
      </c>
      <c r="U163" s="18">
        <f t="shared" si="176"/>
        <v>1.0000012700314749</v>
      </c>
      <c r="V163" s="18">
        <f t="shared" si="177"/>
        <v>1.5937566507213839E-3</v>
      </c>
      <c r="W163" s="32" t="str">
        <f t="shared" si="164"/>
        <v>1-0.0357119848178487i</v>
      </c>
      <c r="X163" s="18">
        <f t="shared" si="178"/>
        <v>1.0006374697459766</v>
      </c>
      <c r="Y163" s="18">
        <f t="shared" si="179"/>
        <v>-3.5696814713776628E-2</v>
      </c>
      <c r="Z163" s="32" t="str">
        <f t="shared" si="165"/>
        <v>0.999998014179413+0.00282744474838835i</v>
      </c>
      <c r="AA163" s="18">
        <f t="shared" si="180"/>
        <v>1.0000020114012647</v>
      </c>
      <c r="AB163" s="18">
        <f t="shared" si="181"/>
        <v>2.8274428285726926E-3</v>
      </c>
      <c r="AC163" s="32" t="str">
        <f>IMDIV(IMSUM(COMPLEX(0,2*PI()*O163*Constants!$B$71*Constants!$B$72),COMPLEX(1,0)),IMSUM(COMPLEX(0,2*PI()*O163*Constants!$B$71*Constants!$B$72),COMPLEX(2,0)))</f>
        <v>0.500006271685684+0.00177082001004103i</v>
      </c>
      <c r="AD163" s="18">
        <f t="shared" si="182"/>
        <v>0.50000940744002609</v>
      </c>
      <c r="AE163" s="18">
        <f t="shared" si="183"/>
        <v>3.5415807893523009E-3</v>
      </c>
      <c r="AF163" s="66" t="str">
        <f t="shared" si="184"/>
        <v>3.63434269656242-5.99355622713758i</v>
      </c>
      <c r="AG163" s="64">
        <f t="shared" si="185"/>
        <v>16.913570453265152</v>
      </c>
      <c r="AH163" s="61">
        <f t="shared" si="186"/>
        <v>-58.768424422887641</v>
      </c>
      <c r="AI163" s="50" t="str">
        <f t="shared" si="166"/>
        <v>108.866083054159</v>
      </c>
      <c r="AJ163" s="50" t="str">
        <f t="shared" si="167"/>
        <v>1+1.448870909214i</v>
      </c>
      <c r="AK163" s="50">
        <f t="shared" si="187"/>
        <v>1.7604621301143069</v>
      </c>
      <c r="AL163" s="50">
        <f t="shared" si="188"/>
        <v>0.966682871924748</v>
      </c>
      <c r="AM163" s="50" t="str">
        <f t="shared" si="168"/>
        <v>1+0.0015937580001354i</v>
      </c>
      <c r="AN163" s="50">
        <f t="shared" si="189"/>
        <v>1.0000012700314749</v>
      </c>
      <c r="AO163" s="50">
        <f t="shared" si="190"/>
        <v>1.5937566507213839E-3</v>
      </c>
      <c r="AP163" s="50" t="str">
        <f t="shared" si="169"/>
        <v>1-0.00795237640961352i</v>
      </c>
      <c r="AQ163" s="50">
        <f t="shared" si="191"/>
        <v>1.0000316196453791</v>
      </c>
      <c r="AR163" s="50">
        <f t="shared" si="192"/>
        <v>-7.9522087791091458E-3</v>
      </c>
      <c r="AS163" s="59" t="str">
        <f t="shared" si="193"/>
        <v>34.8036793019993-51.1182763541561i</v>
      </c>
      <c r="AT163" s="50">
        <f t="shared" si="194"/>
        <v>35.825603876849421</v>
      </c>
      <c r="AU163" s="61">
        <f t="shared" si="195"/>
        <v>-55.751161160066125</v>
      </c>
      <c r="AV163" s="32" t="str">
        <f t="shared" si="170"/>
        <v>-0.0000333333333333333</v>
      </c>
      <c r="AW163" s="32" t="str">
        <f t="shared" si="171"/>
        <v>0.0000850004266738875i</v>
      </c>
      <c r="AX163" s="32">
        <f t="shared" si="196"/>
        <v>8.5000426673887498E-5</v>
      </c>
      <c r="AY163" s="32">
        <f t="shared" si="197"/>
        <v>1.5707963267948966</v>
      </c>
      <c r="AZ163" s="32" t="str">
        <f t="shared" si="172"/>
        <v>1+0.0346789935214646i</v>
      </c>
      <c r="BA163" s="32">
        <f t="shared" si="198"/>
        <v>1.0006011356138178</v>
      </c>
      <c r="BB163" s="32">
        <f t="shared" si="199"/>
        <v>3.4665101514990554E-2</v>
      </c>
      <c r="BC163" s="32" t="str">
        <f t="shared" si="173"/>
        <v>1+1.6645916890303i</v>
      </c>
      <c r="BD163" s="32">
        <f t="shared" si="200"/>
        <v>1.9418716464248473</v>
      </c>
      <c r="BE163" s="32">
        <f t="shared" si="201"/>
        <v>1.0298270645242031</v>
      </c>
      <c r="BF163" s="59" t="str">
        <f t="shared" si="202"/>
        <v>-0.638410467505659+0.414294326714666i</v>
      </c>
      <c r="BG163" s="50">
        <f t="shared" si="203"/>
        <v>-2.3716566262822356</v>
      </c>
      <c r="BH163" s="61">
        <f t="shared" si="204"/>
        <v>147.01858041238185</v>
      </c>
      <c r="BI163" s="59" t="str">
        <f t="shared" si="205"/>
        <v>0.162893921760265+5.33203659351105i</v>
      </c>
      <c r="BJ163" s="64">
        <f t="shared" si="206"/>
        <v>14.541913826982922</v>
      </c>
      <c r="BK163" s="61">
        <f t="shared" si="207"/>
        <v>88.250155989494232</v>
      </c>
      <c r="BL163" s="59" t="str">
        <f t="shared" si="158"/>
        <v>-1.04102128914707+47.0534095889552i</v>
      </c>
      <c r="BM163" s="64">
        <f t="shared" si="208"/>
        <v>33.453947250567175</v>
      </c>
      <c r="BN163" s="61">
        <f t="shared" si="159"/>
        <v>91.267419252315733</v>
      </c>
      <c r="BO163" s="50">
        <f t="shared" si="209"/>
        <v>14.541913826982922</v>
      </c>
      <c r="BP163" s="61">
        <f t="shared" si="210"/>
        <v>88.250155989494232</v>
      </c>
    </row>
    <row r="164" spans="14:68" x14ac:dyDescent="0.25">
      <c r="N164" s="11">
        <v>46</v>
      </c>
      <c r="O164" s="51">
        <f t="shared" si="160"/>
        <v>288.40315031266073</v>
      </c>
      <c r="P164" s="49" t="str">
        <f t="shared" si="161"/>
        <v>25.6231073841137</v>
      </c>
      <c r="Q164" s="18" t="str">
        <f t="shared" si="162"/>
        <v>1+1.56705933981737i</v>
      </c>
      <c r="R164" s="18">
        <f t="shared" si="174"/>
        <v>1.8589445861856266</v>
      </c>
      <c r="S164" s="18">
        <f t="shared" si="175"/>
        <v>1.0028052459475882</v>
      </c>
      <c r="T164" s="18" t="str">
        <f t="shared" si="163"/>
        <v>1+0.00163088139292994i</v>
      </c>
      <c r="U164" s="18">
        <f t="shared" si="176"/>
        <v>1.0000013298861745</v>
      </c>
      <c r="V164" s="18">
        <f t="shared" si="177"/>
        <v>1.6308799470068746E-3</v>
      </c>
      <c r="W164" s="32" t="str">
        <f t="shared" si="164"/>
        <v>1-0.0365438238045412i</v>
      </c>
      <c r="X164" s="18">
        <f t="shared" si="178"/>
        <v>1.0006675027491685</v>
      </c>
      <c r="Y164" s="18">
        <f t="shared" si="179"/>
        <v>-3.6527569330729794E-2</v>
      </c>
      <c r="Z164" s="32" t="str">
        <f t="shared" si="165"/>
        <v>0.999997920590572+0.00289330439708682i</v>
      </c>
      <c r="AA164" s="18">
        <f t="shared" si="180"/>
        <v>1.000002106195683</v>
      </c>
      <c r="AB164" s="18">
        <f t="shared" si="181"/>
        <v>2.8933023399674023E-3</v>
      </c>
      <c r="AC164" s="32" t="str">
        <f>IMDIV(IMSUM(COMPLEX(0,2*PI()*O164*Constants!$B$71*Constants!$B$72),COMPLEX(1,0)),IMSUM(COMPLEX(0,2*PI()*O164*Constants!$B$71*Constants!$B$72),COMPLEX(2,0)))</f>
        <v>0.500006567257242+0.00181206663566073i</v>
      </c>
      <c r="AD164" s="18">
        <f t="shared" si="182"/>
        <v>0.50000985078882498</v>
      </c>
      <c r="AE164" s="18">
        <f t="shared" si="183"/>
        <v>3.6240698045973772E-3</v>
      </c>
      <c r="AF164" s="66" t="str">
        <f t="shared" si="184"/>
        <v>3.50918358050531-5.93703270349385i</v>
      </c>
      <c r="AG164" s="64">
        <f t="shared" si="185"/>
        <v>16.772667443331258</v>
      </c>
      <c r="AH164" s="61">
        <f t="shared" si="186"/>
        <v>-59.414071395512849</v>
      </c>
      <c r="AI164" s="50" t="str">
        <f t="shared" si="166"/>
        <v>108.866083054159</v>
      </c>
      <c r="AJ164" s="50" t="str">
        <f t="shared" si="167"/>
        <v>1+1.48261944811813i</v>
      </c>
      <c r="AK164" s="50">
        <f t="shared" si="187"/>
        <v>1.7883401320604837</v>
      </c>
      <c r="AL164" s="50">
        <f t="shared" si="188"/>
        <v>0.97740266700089506</v>
      </c>
      <c r="AM164" s="50" t="str">
        <f t="shared" si="168"/>
        <v>1+0.00163088139292994i</v>
      </c>
      <c r="AN164" s="50">
        <f t="shared" si="189"/>
        <v>1.0000013298861745</v>
      </c>
      <c r="AO164" s="50">
        <f t="shared" si="190"/>
        <v>1.6308799470068746E-3</v>
      </c>
      <c r="AP164" s="50" t="str">
        <f t="shared" si="169"/>
        <v>1-0.0081376110519363i</v>
      </c>
      <c r="AQ164" s="50">
        <f t="shared" si="191"/>
        <v>1.0000331098086865</v>
      </c>
      <c r="AR164" s="50">
        <f t="shared" si="192"/>
        <v>-8.1374314329359047E-3</v>
      </c>
      <c r="AS164" s="59" t="str">
        <f t="shared" si="193"/>
        <v>33.7122851606962-50.6908517912208i</v>
      </c>
      <c r="AT164" s="50">
        <f t="shared" si="194"/>
        <v>35.689148631962759</v>
      </c>
      <c r="AU164" s="61">
        <f t="shared" si="195"/>
        <v>-56.373845643310233</v>
      </c>
      <c r="AV164" s="32" t="str">
        <f t="shared" si="170"/>
        <v>-0.0000333333333333333</v>
      </c>
      <c r="AW164" s="32" t="str">
        <f t="shared" si="171"/>
        <v>0.0000869803409562632i</v>
      </c>
      <c r="AX164" s="32">
        <f t="shared" si="196"/>
        <v>8.6980340956263207E-5</v>
      </c>
      <c r="AY164" s="32">
        <f t="shared" si="197"/>
        <v>1.5707963267948966</v>
      </c>
      <c r="AZ164" s="32" t="str">
        <f t="shared" si="172"/>
        <v>1+0.0354867710498644i</v>
      </c>
      <c r="BA164" s="32">
        <f t="shared" si="198"/>
        <v>1.000629457351494</v>
      </c>
      <c r="BB164" s="32">
        <f t="shared" si="199"/>
        <v>3.5471886002427594E-2</v>
      </c>
      <c r="BC164" s="32" t="str">
        <f t="shared" si="173"/>
        <v>1+1.70336501039349i</v>
      </c>
      <c r="BD164" s="32">
        <f t="shared" si="200"/>
        <v>1.9752094467759147</v>
      </c>
      <c r="BE164" s="32">
        <f t="shared" si="201"/>
        <v>1.0399360303177347</v>
      </c>
      <c r="BF164" s="59" t="str">
        <f t="shared" si="202"/>
        <v>-0.638374328977503+0.405882202695673i</v>
      </c>
      <c r="BG164" s="50">
        <f t="shared" si="203"/>
        <v>-2.4240498058045152</v>
      </c>
      <c r="BH164" s="61">
        <f t="shared" si="204"/>
        <v>147.55155614148669</v>
      </c>
      <c r="BI164" s="59" t="str">
        <f t="shared" si="205"/>
        <v>0.169563197706382+5.21436442952936i</v>
      </c>
      <c r="BJ164" s="64">
        <f t="shared" si="206"/>
        <v>14.348617637526742</v>
      </c>
      <c r="BK164" s="61">
        <f t="shared" si="207"/>
        <v>88.137484745973822</v>
      </c>
      <c r="BL164" s="59" t="str">
        <f t="shared" si="158"/>
        <v>-0.946542836217066+46.0429550564467i</v>
      </c>
      <c r="BM164" s="64">
        <f t="shared" si="208"/>
        <v>33.265098826158251</v>
      </c>
      <c r="BN164" s="61">
        <f t="shared" si="159"/>
        <v>91.177710498176424</v>
      </c>
      <c r="BO164" s="50">
        <f t="shared" si="209"/>
        <v>14.348617637526742</v>
      </c>
      <c r="BP164" s="61">
        <f t="shared" si="210"/>
        <v>88.137484745973822</v>
      </c>
    </row>
    <row r="165" spans="14:68" x14ac:dyDescent="0.25">
      <c r="N165" s="11">
        <v>47</v>
      </c>
      <c r="O165" s="51">
        <f t="shared" si="160"/>
        <v>295.12092266663871</v>
      </c>
      <c r="P165" s="49" t="str">
        <f t="shared" si="161"/>
        <v>25.6231073841137</v>
      </c>
      <c r="Q165" s="18" t="str">
        <f t="shared" si="162"/>
        <v>1+1.60356084092322i</v>
      </c>
      <c r="R165" s="18">
        <f t="shared" si="174"/>
        <v>1.8898167558105694</v>
      </c>
      <c r="S165" s="18">
        <f t="shared" si="175"/>
        <v>1.0131956491354948</v>
      </c>
      <c r="T165" s="18" t="str">
        <f t="shared" si="163"/>
        <v>1+0.00166886950062628i</v>
      </c>
      <c r="U165" s="18">
        <f t="shared" si="176"/>
        <v>1.0000013925617355</v>
      </c>
      <c r="V165" s="18">
        <f t="shared" si="177"/>
        <v>1.6688679512919182E-3</v>
      </c>
      <c r="W165" s="32" t="str">
        <f t="shared" si="164"/>
        <v>1-0.0373950388103296i</v>
      </c>
      <c r="X165" s="18">
        <f t="shared" si="178"/>
        <v>1.0006989501981234</v>
      </c>
      <c r="Y165" s="18">
        <f t="shared" si="179"/>
        <v>-3.7377622484800463E-2</v>
      </c>
      <c r="Z165" s="32" t="str">
        <f t="shared" si="165"/>
        <v>0.999997822591025+0.00296069811407403i</v>
      </c>
      <c r="AA165" s="18">
        <f t="shared" si="180"/>
        <v>1.0000022054576247</v>
      </c>
      <c r="AB165" s="18">
        <f t="shared" si="181"/>
        <v>2.9606959098309967E-3</v>
      </c>
      <c r="AC165" s="32" t="str">
        <f>IMDIV(IMSUM(COMPLEX(0,2*PI()*O165*Constants!$B$71*Constants!$B$72),COMPLEX(1,0)),IMSUM(COMPLEX(0,2*PI()*O165*Constants!$B$71*Constants!$B$72),COMPLEX(2,0)))</f>
        <v>0.500006876758284+0.00185427394200217i</v>
      </c>
      <c r="AD165" s="18">
        <f t="shared" si="182"/>
        <v>0.500010315031026</v>
      </c>
      <c r="AE165" s="18">
        <f t="shared" si="183"/>
        <v>3.708479878348415E-3</v>
      </c>
      <c r="AF165" s="66" t="str">
        <f t="shared" si="184"/>
        <v>3.38642865377714-5.87847937321889i</v>
      </c>
      <c r="AG165" s="64">
        <f t="shared" si="185"/>
        <v>16.629883126082191</v>
      </c>
      <c r="AH165" s="61">
        <f t="shared" si="186"/>
        <v>-60.054950577536786</v>
      </c>
      <c r="AI165" s="50" t="str">
        <f t="shared" si="166"/>
        <v>108.866083054159</v>
      </c>
      <c r="AJ165" s="50" t="str">
        <f t="shared" si="167"/>
        <v>1+1.51715409147844i</v>
      </c>
      <c r="AK165" s="50">
        <f t="shared" si="187"/>
        <v>1.8170736191166748</v>
      </c>
      <c r="AL165" s="50">
        <f t="shared" si="188"/>
        <v>0.98803039681895877</v>
      </c>
      <c r="AM165" s="50" t="str">
        <f t="shared" si="168"/>
        <v>1+0.00166886950062628i</v>
      </c>
      <c r="AN165" s="50">
        <f t="shared" si="189"/>
        <v>1.0000013925617355</v>
      </c>
      <c r="AO165" s="50">
        <f t="shared" si="190"/>
        <v>1.6688679512919182E-3</v>
      </c>
      <c r="AP165" s="50" t="str">
        <f t="shared" si="169"/>
        <v>1-0.00832716036335282i</v>
      </c>
      <c r="AQ165" s="50">
        <f t="shared" si="191"/>
        <v>1.0000346701988472</v>
      </c>
      <c r="AR165" s="50">
        <f t="shared" si="192"/>
        <v>-8.3269678984866854E-3</v>
      </c>
      <c r="AS165" s="59" t="str">
        <f t="shared" si="193"/>
        <v>32.6395563464339-50.2440985010937i</v>
      </c>
      <c r="AT165" s="50">
        <f t="shared" si="194"/>
        <v>35.550714718181041</v>
      </c>
      <c r="AU165" s="61">
        <f t="shared" si="195"/>
        <v>-56.991452794912881</v>
      </c>
      <c r="AV165" s="32" t="str">
        <f t="shared" si="170"/>
        <v>-0.0000333333333333333</v>
      </c>
      <c r="AW165" s="32" t="str">
        <f t="shared" si="171"/>
        <v>0.0000890063733667348i</v>
      </c>
      <c r="AX165" s="32">
        <f t="shared" si="196"/>
        <v>8.9006373366734795E-5</v>
      </c>
      <c r="AY165" s="32">
        <f t="shared" si="197"/>
        <v>1.5707963267948966</v>
      </c>
      <c r="AZ165" s="32" t="str">
        <f t="shared" si="172"/>
        <v>1+0.0363133641339978i</v>
      </c>
      <c r="BA165" s="32">
        <f t="shared" si="198"/>
        <v>1.0006591129923958</v>
      </c>
      <c r="BB165" s="32">
        <f t="shared" si="199"/>
        <v>3.6297415085654886E-2</v>
      </c>
      <c r="BC165" s="32" t="str">
        <f t="shared" si="173"/>
        <v>1+1.7430414784319i</v>
      </c>
      <c r="BD165" s="32">
        <f t="shared" si="200"/>
        <v>2.0095257140763496</v>
      </c>
      <c r="BE165" s="32">
        <f t="shared" si="201"/>
        <v>1.0499321976070963</v>
      </c>
      <c r="BF165" s="59" t="str">
        <f t="shared" si="202"/>
        <v>-0.638336491677893+0.39768516204118i</v>
      </c>
      <c r="BG165" s="50">
        <f t="shared" si="203"/>
        <v>-2.4746989491846509</v>
      </c>
      <c r="BH165" s="61">
        <f t="shared" si="204"/>
        <v>148.07699500613964</v>
      </c>
      <c r="BI165" s="59" t="str">
        <f t="shared" si="205"/>
        <v>0.176103035924699+5.09918032741966i</v>
      </c>
      <c r="BJ165" s="64">
        <f t="shared" si="206"/>
        <v>14.155184176897535</v>
      </c>
      <c r="BK165" s="61">
        <f t="shared" si="207"/>
        <v>88.022044428602854</v>
      </c>
      <c r="BL165" s="59" t="str">
        <f t="shared" si="158"/>
        <v>-0.853687434085064+45.0529088192904i</v>
      </c>
      <c r="BM165" s="64">
        <f t="shared" si="208"/>
        <v>33.076015768996385</v>
      </c>
      <c r="BN165" s="61">
        <f t="shared" si="159"/>
        <v>91.085542211226752</v>
      </c>
      <c r="BO165" s="50">
        <f t="shared" si="209"/>
        <v>14.155184176897535</v>
      </c>
      <c r="BP165" s="61">
        <f t="shared" si="210"/>
        <v>88.022044428602854</v>
      </c>
    </row>
    <row r="166" spans="14:68" x14ac:dyDescent="0.25">
      <c r="N166" s="11">
        <v>48</v>
      </c>
      <c r="O166" s="51">
        <f t="shared" si="160"/>
        <v>301.99517204020168</v>
      </c>
      <c r="P166" s="49" t="str">
        <f t="shared" si="161"/>
        <v>25.6231073841137</v>
      </c>
      <c r="Q166" s="18" t="str">
        <f t="shared" si="162"/>
        <v>1+1.64091257121256i</v>
      </c>
      <c r="R166" s="18">
        <f t="shared" si="174"/>
        <v>1.9216123611080917</v>
      </c>
      <c r="S166" s="18">
        <f t="shared" si="175"/>
        <v>1.0234813266465106</v>
      </c>
      <c r="T166" s="18" t="str">
        <f t="shared" si="163"/>
        <v>1+0.00170774246502195i</v>
      </c>
      <c r="U166" s="18">
        <f t="shared" si="176"/>
        <v>1.0000014581911003</v>
      </c>
      <c r="V166" s="18">
        <f t="shared" si="177"/>
        <v>1.7077408048804018E-3</v>
      </c>
      <c r="W166" s="32" t="str">
        <f t="shared" si="164"/>
        <v>1-0.0382660811606771i</v>
      </c>
      <c r="X166" s="18">
        <f t="shared" si="178"/>
        <v>1.0007318786605108</v>
      </c>
      <c r="Y166" s="18">
        <f t="shared" si="179"/>
        <v>-3.8247419968695621E-2</v>
      </c>
      <c r="Z166" s="32" t="str">
        <f t="shared" si="165"/>
        <v>0.999997719972902+0.0030296616323908i</v>
      </c>
      <c r="AA166" s="18">
        <f t="shared" si="180"/>
        <v>1.000002309397638</v>
      </c>
      <c r="AB166" s="18">
        <f t="shared" si="181"/>
        <v>3.0296592705019876E-3</v>
      </c>
      <c r="AC166" s="32" t="str">
        <f>IMDIV(IMSUM(COMPLEX(0,2*PI()*O166*Constants!$B$71*Constants!$B$72),COMPLEX(1,0)),IMSUM(COMPLEX(0,2*PI()*O166*Constants!$B$71*Constants!$B$72),COMPLEX(2,0)))</f>
        <v>0.500007200845249+0.00189746430071502i</v>
      </c>
      <c r="AD166" s="18">
        <f t="shared" si="182"/>
        <v>0.50001080115120877</v>
      </c>
      <c r="AE166" s="18">
        <f t="shared" si="183"/>
        <v>3.7948557322410596E-3</v>
      </c>
      <c r="AF166" s="66" t="str">
        <f t="shared" si="184"/>
        <v>3.26613566554312-5.81801690664286i</v>
      </c>
      <c r="AG166" s="64">
        <f t="shared" si="185"/>
        <v>16.48525527727471</v>
      </c>
      <c r="AH166" s="61">
        <f t="shared" si="186"/>
        <v>-60.690887300388184</v>
      </c>
      <c r="AI166" s="50" t="str">
        <f t="shared" si="166"/>
        <v>108.866083054159</v>
      </c>
      <c r="AJ166" s="50" t="str">
        <f t="shared" si="167"/>
        <v>1+1.55249315001996i</v>
      </c>
      <c r="AK166" s="50">
        <f t="shared" si="187"/>
        <v>1.8466821548005756</v>
      </c>
      <c r="AL166" s="50">
        <f t="shared" si="188"/>
        <v>0.99856209314865418</v>
      </c>
      <c r="AM166" s="50" t="str">
        <f t="shared" si="168"/>
        <v>1+0.00170774246502195i</v>
      </c>
      <c r="AN166" s="50">
        <f t="shared" si="189"/>
        <v>1.0000014581911003</v>
      </c>
      <c r="AO166" s="50">
        <f t="shared" si="190"/>
        <v>1.7077408048804018E-3</v>
      </c>
      <c r="AP166" s="50" t="str">
        <f t="shared" si="169"/>
        <v>1-0.008521124845417i</v>
      </c>
      <c r="AQ166" s="50">
        <f t="shared" si="191"/>
        <v>1.0000363041253209</v>
      </c>
      <c r="AR166" s="50">
        <f t="shared" si="192"/>
        <v>-8.5209186160017034E-3</v>
      </c>
      <c r="AS166" s="59" t="str">
        <f t="shared" si="193"/>
        <v>31.5861258506288-49.7789902708734i</v>
      </c>
      <c r="AT166" s="50">
        <f t="shared" si="194"/>
        <v>35.410336894663679</v>
      </c>
      <c r="AU166" s="61">
        <f t="shared" si="195"/>
        <v>-57.603759852816687</v>
      </c>
      <c r="AV166" s="32" t="str">
        <f t="shared" si="170"/>
        <v>-0.0000333333333333333</v>
      </c>
      <c r="AW166" s="32" t="str">
        <f t="shared" si="171"/>
        <v>0.000091079598134504i</v>
      </c>
      <c r="AX166" s="32">
        <f t="shared" si="196"/>
        <v>9.1079598134504003E-5</v>
      </c>
      <c r="AY166" s="32">
        <f t="shared" si="197"/>
        <v>1.5707963267948966</v>
      </c>
      <c r="AZ166" s="32" t="str">
        <f t="shared" si="172"/>
        <v>1+0.0371592110444592i</v>
      </c>
      <c r="BA166" s="32">
        <f t="shared" si="198"/>
        <v>1.0006901653186397</v>
      </c>
      <c r="BB166" s="32">
        <f t="shared" si="199"/>
        <v>3.7142121967775985E-2</v>
      </c>
      <c r="BC166" s="32" t="str">
        <f t="shared" si="173"/>
        <v>1+1.78364213013404i</v>
      </c>
      <c r="BD166" s="32">
        <f t="shared" si="200"/>
        <v>2.0448421084252684</v>
      </c>
      <c r="BE166" s="32">
        <f t="shared" si="201"/>
        <v>1.0598128750905174</v>
      </c>
      <c r="BF166" s="59" t="str">
        <f t="shared" si="202"/>
        <v>-0.638296875968383+0.389698849958663i</v>
      </c>
      <c r="BG166" s="50">
        <f t="shared" si="203"/>
        <v>-2.523644245491139</v>
      </c>
      <c r="BH166" s="61">
        <f t="shared" si="204"/>
        <v>148.59471798539857</v>
      </c>
      <c r="BI166" s="59" t="str">
        <f t="shared" si="205"/>
        <v>0.182510305753692+4.9864313285125i</v>
      </c>
      <c r="BJ166" s="64">
        <f t="shared" si="206"/>
        <v>13.961611031783573</v>
      </c>
      <c r="BK166" s="61">
        <f t="shared" si="207"/>
        <v>87.903830685010405</v>
      </c>
      <c r="BL166" s="59" t="str">
        <f t="shared" si="158"/>
        <v>-0.762510193737707+44.0828508973987i</v>
      </c>
      <c r="BM166" s="64">
        <f t="shared" si="208"/>
        <v>32.886692649172545</v>
      </c>
      <c r="BN166" s="61">
        <f t="shared" si="159"/>
        <v>90.990958132581895</v>
      </c>
      <c r="BO166" s="50">
        <f t="shared" si="209"/>
        <v>13.961611031783573</v>
      </c>
      <c r="BP166" s="61">
        <f t="shared" si="210"/>
        <v>87.903830685010405</v>
      </c>
    </row>
    <row r="167" spans="14:68" x14ac:dyDescent="0.25">
      <c r="N167" s="11">
        <v>49</v>
      </c>
      <c r="O167" s="51">
        <f t="shared" si="160"/>
        <v>309.02954325135937</v>
      </c>
      <c r="P167" s="49" t="str">
        <f t="shared" si="161"/>
        <v>25.6231073841137</v>
      </c>
      <c r="Q167" s="18" t="str">
        <f t="shared" si="162"/>
        <v>1+1.67913433506721i</v>
      </c>
      <c r="R167" s="18">
        <f t="shared" si="174"/>
        <v>1.9543520960158645</v>
      </c>
      <c r="S167" s="18">
        <f t="shared" si="175"/>
        <v>1.0336590262888379</v>
      </c>
      <c r="T167" s="18" t="str">
        <f t="shared" si="163"/>
        <v>1+0.00174752089707723i</v>
      </c>
      <c r="U167" s="18">
        <f t="shared" si="176"/>
        <v>1.0000015269134772</v>
      </c>
      <c r="V167" s="18">
        <f t="shared" si="177"/>
        <v>1.7475191182036586E-3</v>
      </c>
      <c r="W167" s="32" t="str">
        <f t="shared" si="164"/>
        <v>1-0.0391574126937675i</v>
      </c>
      <c r="X167" s="18">
        <f t="shared" si="178"/>
        <v>1.0007663578322714</v>
      </c>
      <c r="Y167" s="18">
        <f t="shared" si="179"/>
        <v>-3.9137417693203932E-2</v>
      </c>
      <c r="Z167" s="32" t="str">
        <f t="shared" si="165"/>
        <v>0.999997612518535+0.00310023151740737i</v>
      </c>
      <c r="AA167" s="18">
        <f t="shared" si="180"/>
        <v>1.000002418236192</v>
      </c>
      <c r="AB167" s="18">
        <f t="shared" si="181"/>
        <v>3.1002289865980832E-3</v>
      </c>
      <c r="AC167" s="32" t="str">
        <f>IMDIV(IMSUM(COMPLEX(0,2*PI()*O167*Constants!$B$71*Constants!$B$72),COMPLEX(1,0)),IMSUM(COMPLEX(0,2*PI()*O167*Constants!$B$71*Constants!$B$72),COMPLEX(2,0)))</f>
        <v>0.500007540205513+0.0019416606041598i</v>
      </c>
      <c r="AD167" s="18">
        <f t="shared" si="182"/>
        <v>0.50001131018034928</v>
      </c>
      <c r="AE167" s="18">
        <f t="shared" si="183"/>
        <v>3.8832431277835257E-3</v>
      </c>
      <c r="AF167" s="66" t="str">
        <f t="shared" si="184"/>
        <v>3.1483549596287-5.75576676874978i</v>
      </c>
      <c r="AG167" s="64">
        <f t="shared" si="185"/>
        <v>16.338822526087345</v>
      </c>
      <c r="AH167" s="61">
        <f t="shared" si="186"/>
        <v>-61.321719641133448</v>
      </c>
      <c r="AI167" s="50" t="str">
        <f t="shared" si="166"/>
        <v>108.866083054159</v>
      </c>
      <c r="AJ167" s="50" t="str">
        <f t="shared" si="167"/>
        <v>1+1.5886553609793i</v>
      </c>
      <c r="AK167" s="50">
        <f t="shared" si="187"/>
        <v>1.8771856210743436</v>
      </c>
      <c r="AL167" s="50">
        <f t="shared" si="188"/>
        <v>1.0089939947282456</v>
      </c>
      <c r="AM167" s="50" t="str">
        <f t="shared" si="168"/>
        <v>1+0.00174752089707723i</v>
      </c>
      <c r="AN167" s="50">
        <f t="shared" si="189"/>
        <v>1.0000015269134772</v>
      </c>
      <c r="AO167" s="50">
        <f t="shared" si="190"/>
        <v>1.7475191182036586E-3</v>
      </c>
      <c r="AP167" s="50" t="str">
        <f t="shared" si="169"/>
        <v>1-0.00871960734066463i</v>
      </c>
      <c r="AQ167" s="50">
        <f t="shared" si="191"/>
        <v>1.0000380150535155</v>
      </c>
      <c r="AR167" s="50">
        <f t="shared" si="192"/>
        <v>-8.7193863623185146E-3</v>
      </c>
      <c r="AS167" s="59" t="str">
        <f t="shared" si="193"/>
        <v>30.5525639422646-49.2965182403698i</v>
      </c>
      <c r="AT167" s="50">
        <f t="shared" si="194"/>
        <v>35.268051022434108</v>
      </c>
      <c r="AU167" s="61">
        <f t="shared" si="195"/>
        <v>-58.210556020386953</v>
      </c>
      <c r="AV167" s="32" t="str">
        <f t="shared" si="170"/>
        <v>-0.0000333333333333333</v>
      </c>
      <c r="AW167" s="32" t="str">
        <f t="shared" si="171"/>
        <v>0.0000932011145107853i</v>
      </c>
      <c r="AX167" s="32">
        <f t="shared" si="196"/>
        <v>9.3201114510785298E-5</v>
      </c>
      <c r="AY167" s="32">
        <f t="shared" si="197"/>
        <v>1.5707963267948966</v>
      </c>
      <c r="AZ167" s="32" t="str">
        <f t="shared" si="172"/>
        <v>1+0.0380247602604767i</v>
      </c>
      <c r="BA167" s="32">
        <f t="shared" si="198"/>
        <v>1.0007226800631965</v>
      </c>
      <c r="BB167" s="32">
        <f t="shared" si="199"/>
        <v>3.8006449699020263E-2</v>
      </c>
      <c r="BC167" s="32" t="str">
        <f t="shared" si="173"/>
        <v>1+1.82518849250288i</v>
      </c>
      <c r="BD167" s="32">
        <f t="shared" si="200"/>
        <v>2.0811806824888932</v>
      </c>
      <c r="BE167" s="32">
        <f t="shared" si="201"/>
        <v>1.0695755839394756</v>
      </c>
      <c r="BF167" s="59" t="str">
        <f t="shared" si="202"/>
        <v>-0.638255398497899+0.381919022773486i</v>
      </c>
      <c r="BG167" s="50">
        <f t="shared" si="203"/>
        <v>-2.5709263387977166</v>
      </c>
      <c r="BH167" s="61">
        <f t="shared" si="204"/>
        <v>149.1045576679422</v>
      </c>
      <c r="BI167" s="59" t="str">
        <f t="shared" si="205"/>
        <v>0.188782270262368+4.87606586217481i</v>
      </c>
      <c r="BJ167" s="64">
        <f t="shared" si="206"/>
        <v>13.767896187289635</v>
      </c>
      <c r="BK167" s="61">
        <f t="shared" si="207"/>
        <v>87.782838026808776</v>
      </c>
      <c r="BL167" s="59" t="str">
        <f t="shared" si="158"/>
        <v>-0.673060801605274+43.1323742581203i</v>
      </c>
      <c r="BM167" s="64">
        <f t="shared" si="208"/>
        <v>32.697124683636389</v>
      </c>
      <c r="BN167" s="61">
        <f t="shared" si="159"/>
        <v>90.894001647555257</v>
      </c>
      <c r="BO167" s="50">
        <f t="shared" si="209"/>
        <v>13.767896187289635</v>
      </c>
      <c r="BP167" s="61">
        <f t="shared" si="210"/>
        <v>87.782838026808776</v>
      </c>
    </row>
    <row r="168" spans="14:68" x14ac:dyDescent="0.25">
      <c r="N168" s="11">
        <v>50</v>
      </c>
      <c r="O168" s="51">
        <f t="shared" si="160"/>
        <v>316.22776601683825</v>
      </c>
      <c r="P168" s="49" t="str">
        <f t="shared" si="161"/>
        <v>25.6231073841137</v>
      </c>
      <c r="Q168" s="18" t="str">
        <f t="shared" si="162"/>
        <v>1+1.71824639817228i</v>
      </c>
      <c r="R168" s="18">
        <f t="shared" si="174"/>
        <v>1.988057012470219</v>
      </c>
      <c r="S168" s="18">
        <f t="shared" si="175"/>
        <v>1.0437257098353152</v>
      </c>
      <c r="T168" s="18" t="str">
        <f t="shared" si="163"/>
        <v>1+0.0017882258878433i</v>
      </c>
      <c r="U168" s="18">
        <f t="shared" si="176"/>
        <v>1.0000015988746347</v>
      </c>
      <c r="V168" s="18">
        <f t="shared" si="177"/>
        <v>1.7882239817460911E-3</v>
      </c>
      <c r="W168" s="32" t="str">
        <f t="shared" si="164"/>
        <v>1-0.0400695060053776i</v>
      </c>
      <c r="X168" s="18">
        <f t="shared" si="178"/>
        <v>1.0008024606841828</v>
      </c>
      <c r="Y168" s="18">
        <f t="shared" si="179"/>
        <v>-4.0048081903972819E-2</v>
      </c>
      <c r="Z168" s="32" t="str">
        <f t="shared" si="165"/>
        <v>0.9999975+0.00317244518621089i</v>
      </c>
      <c r="AA168" s="18">
        <f t="shared" si="180"/>
        <v>1.0000025322041488</v>
      </c>
      <c r="AB168" s="18">
        <f t="shared" si="181"/>
        <v>3.1724424744000736E-3</v>
      </c>
      <c r="AC168" s="32" t="str">
        <f>IMDIV(IMSUM(COMPLEX(0,2*PI()*O168*Constants!$B$71*Constants!$B$72),COMPLEX(1,0)),IMSUM(COMPLEX(0,2*PI()*O168*Constants!$B$71*Constants!$B$72),COMPLEX(2,0)))</f>
        <v>0.500007895558839+0.00198688627750874i</v>
      </c>
      <c r="AD168" s="18">
        <f t="shared" si="182"/>
        <v>0.5000118431979973</v>
      </c>
      <c r="AE168" s="18">
        <f t="shared" si="183"/>
        <v>3.973688890447611E-3</v>
      </c>
      <c r="AF168" s="66" t="str">
        <f t="shared" si="184"/>
        <v>3.03312958647618-5.69185071715162i</v>
      </c>
      <c r="AG168" s="64">
        <f t="shared" si="185"/>
        <v>16.190624244082166</v>
      </c>
      <c r="AH168" s="61">
        <f t="shared" si="186"/>
        <v>-61.947298488583911</v>
      </c>
      <c r="AI168" s="50" t="str">
        <f t="shared" si="166"/>
        <v>108.866083054159</v>
      </c>
      <c r="AJ168" s="50" t="str">
        <f t="shared" si="167"/>
        <v>1+1.62565989803936i</v>
      </c>
      <c r="AK168" s="50">
        <f t="shared" si="187"/>
        <v>1.9086042292977718</v>
      </c>
      <c r="AL168" s="50">
        <f t="shared" si="188"/>
        <v>1.0193225504379664</v>
      </c>
      <c r="AM168" s="50" t="str">
        <f t="shared" si="168"/>
        <v>1+0.0017882258878433i</v>
      </c>
      <c r="AN168" s="50">
        <f t="shared" si="189"/>
        <v>1.0000015988746347</v>
      </c>
      <c r="AO168" s="50">
        <f t="shared" si="190"/>
        <v>1.7882239817460911E-3</v>
      </c>
      <c r="AP168" s="50" t="str">
        <f t="shared" si="169"/>
        <v>1-0.00892271308714193i</v>
      </c>
      <c r="AQ168" s="50">
        <f t="shared" si="191"/>
        <v>1.0000398066121345</v>
      </c>
      <c r="AR168" s="50">
        <f t="shared" si="192"/>
        <v>-8.9224763050870654E-3</v>
      </c>
      <c r="AS168" s="59" t="str">
        <f t="shared" si="193"/>
        <v>29.5393782777747-48.797686355181i</v>
      </c>
      <c r="AT168" s="50">
        <f t="shared" si="194"/>
        <v>35.123893949764252</v>
      </c>
      <c r="AU168" s="61">
        <f t="shared" si="195"/>
        <v>-58.811642650715299</v>
      </c>
      <c r="AV168" s="32" t="str">
        <f t="shared" si="170"/>
        <v>-0.0000333333333333333</v>
      </c>
      <c r="AW168" s="32" t="str">
        <f t="shared" si="171"/>
        <v>0.0000953720473516427i</v>
      </c>
      <c r="AX168" s="32">
        <f t="shared" si="196"/>
        <v>9.5372047351642702E-5</v>
      </c>
      <c r="AY168" s="32">
        <f t="shared" si="197"/>
        <v>1.5707963267948966</v>
      </c>
      <c r="AZ168" s="32" t="str">
        <f t="shared" si="172"/>
        <v>1+0.0389104707077014i</v>
      </c>
      <c r="BA168" s="32">
        <f t="shared" si="198"/>
        <v>1.0007567260481913</v>
      </c>
      <c r="BB168" s="32">
        <f t="shared" si="199"/>
        <v>3.8890851388788873E-2</v>
      </c>
      <c r="BC168" s="32" t="str">
        <f t="shared" si="173"/>
        <v>1+1.86770259396967i</v>
      </c>
      <c r="BD168" s="32">
        <f t="shared" si="200"/>
        <v>2.1185638955483581</v>
      </c>
      <c r="BE168" s="32">
        <f t="shared" si="201"/>
        <v>1.0792180558356204</v>
      </c>
      <c r="BF168" s="59" t="str">
        <f t="shared" si="202"/>
        <v>-0.638211972031659+0.374341545635313i</v>
      </c>
      <c r="BG168" s="50">
        <f t="shared" si="203"/>
        <v>-2.6165862266094502</v>
      </c>
      <c r="BH168" s="61">
        <f t="shared" si="204"/>
        <v>149.60635812744695</v>
      </c>
      <c r="BI168" s="59" t="str">
        <f t="shared" si="205"/>
        <v>0.194916580171469+4.76803368821684i</v>
      </c>
      <c r="BJ168" s="64">
        <f t="shared" si="206"/>
        <v>13.574038017472718</v>
      </c>
      <c r="BK168" s="61">
        <f t="shared" si="207"/>
        <v>87.659059638863042</v>
      </c>
      <c r="BL168" s="59" t="str">
        <f t="shared" si="158"/>
        <v>-0.585383529622064+42.2010841609308i</v>
      </c>
      <c r="BM168" s="64">
        <f t="shared" si="208"/>
        <v>32.507307723154796</v>
      </c>
      <c r="BN168" s="61">
        <f t="shared" si="159"/>
        <v>90.794715476731639</v>
      </c>
      <c r="BO168" s="50">
        <f t="shared" si="209"/>
        <v>13.574038017472718</v>
      </c>
      <c r="BP168" s="61">
        <f t="shared" si="210"/>
        <v>87.659059638863042</v>
      </c>
    </row>
    <row r="169" spans="14:68" x14ac:dyDescent="0.25">
      <c r="N169" s="11">
        <v>51</v>
      </c>
      <c r="O169" s="51">
        <f t="shared" si="160"/>
        <v>323.59365692962825</v>
      </c>
      <c r="P169" s="49" t="str">
        <f t="shared" si="161"/>
        <v>25.6231073841137</v>
      </c>
      <c r="Q169" s="18" t="str">
        <f t="shared" si="162"/>
        <v>1+1.75826949826134i</v>
      </c>
      <c r="R169" s="18">
        <f t="shared" si="174"/>
        <v>2.0227485331884894</v>
      </c>
      <c r="S169" s="18">
        <f t="shared" si="175"/>
        <v>1.0536785531127537</v>
      </c>
      <c r="T169" s="18" t="str">
        <f t="shared" si="163"/>
        <v>1+0.00182987901964508i</v>
      </c>
      <c r="U169" s="18">
        <f t="shared" si="176"/>
        <v>1.0000016742272118</v>
      </c>
      <c r="V169" s="18">
        <f t="shared" si="177"/>
        <v>1.8298769772253076E-3</v>
      </c>
      <c r="W169" s="32" t="str">
        <f t="shared" si="164"/>
        <v>1-0.0410028446994545i</v>
      </c>
      <c r="X169" s="18">
        <f t="shared" si="178"/>
        <v>1.0008402636152522</v>
      </c>
      <c r="Y169" s="18">
        <f t="shared" si="179"/>
        <v>-4.0979889401996802E-2</v>
      </c>
      <c r="Z169" s="32" t="str">
        <f t="shared" si="165"/>
        <v>0.99999738217863+0.00324634092744441i</v>
      </c>
      <c r="AA169" s="18">
        <f t="shared" si="180"/>
        <v>1.0000026515432499</v>
      </c>
      <c r="AB169" s="18">
        <f t="shared" si="181"/>
        <v>3.2463380216869835E-3</v>
      </c>
      <c r="AC169" s="32" t="str">
        <f>IMDIV(IMSUM(COMPLEX(0,2*PI()*O169*Constants!$B$71*Constants!$B$72),COMPLEX(1,0)),IMSUM(COMPLEX(0,2*PI()*O169*Constants!$B$71*Constants!$B$72),COMPLEX(2,0)))</f>
        <v>0.50000826765891+0.00203316529112657i</v>
      </c>
      <c r="AD169" s="18">
        <f t="shared" si="182"/>
        <v>0.50001240133457225</v>
      </c>
      <c r="AE169" s="18">
        <f t="shared" si="183"/>
        <v>4.0662409343115513E-3</v>
      </c>
      <c r="AF169" s="66" t="str">
        <f t="shared" si="184"/>
        <v>2.92049545111003-5.62639032292748i</v>
      </c>
      <c r="AG169" s="64">
        <f t="shared" si="185"/>
        <v>16.040700436215488</v>
      </c>
      <c r="AH169" s="61">
        <f t="shared" si="186"/>
        <v>-62.567487560132285</v>
      </c>
      <c r="AI169" s="50" t="str">
        <f t="shared" si="166"/>
        <v>108.866083054159</v>
      </c>
      <c r="AJ169" s="50" t="str">
        <f t="shared" si="167"/>
        <v>1+1.66352638149553i</v>
      </c>
      <c r="AK169" s="50">
        <f t="shared" si="187"/>
        <v>1.9409585317393083</v>
      </c>
      <c r="AL169" s="50">
        <f t="shared" si="188"/>
        <v>1.0295444215287683</v>
      </c>
      <c r="AM169" s="50" t="str">
        <f t="shared" si="168"/>
        <v>1+0.00182987901964508i</v>
      </c>
      <c r="AN169" s="50">
        <f t="shared" si="189"/>
        <v>1.0000016742272118</v>
      </c>
      <c r="AO169" s="50">
        <f t="shared" si="190"/>
        <v>1.8298769772253076E-3</v>
      </c>
      <c r="AP169" s="50" t="str">
        <f t="shared" si="169"/>
        <v>1-0.0091305497742041i</v>
      </c>
      <c r="AQ169" s="50">
        <f t="shared" si="191"/>
        <v>1.00004168260087</v>
      </c>
      <c r="AR169" s="50">
        <f t="shared" si="192"/>
        <v>-9.1302960582323265E-3</v>
      </c>
      <c r="AS169" s="59" t="str">
        <f t="shared" si="193"/>
        <v>28.5470143702729-48.2835069465978i</v>
      </c>
      <c r="AT169" s="50">
        <f t="shared" si="194"/>
        <v>34.977903398095414</v>
      </c>
      <c r="AU169" s="61">
        <f t="shared" si="195"/>
        <v>-59.406833376854649</v>
      </c>
      <c r="AV169" s="32" t="str">
        <f t="shared" si="170"/>
        <v>-0.0000333333333333333</v>
      </c>
      <c r="AW169" s="32" t="str">
        <f t="shared" si="171"/>
        <v>0.0000975935477144041i</v>
      </c>
      <c r="AX169" s="32">
        <f t="shared" si="196"/>
        <v>9.7593547714404103E-5</v>
      </c>
      <c r="AY169" s="32">
        <f t="shared" si="197"/>
        <v>1.5707963267948966</v>
      </c>
      <c r="AZ169" s="32" t="str">
        <f t="shared" si="172"/>
        <v>1+0.0398168120015364i</v>
      </c>
      <c r="BA169" s="32">
        <f t="shared" si="198"/>
        <v>1.0007923753296513</v>
      </c>
      <c r="BB169" s="32">
        <f t="shared" si="199"/>
        <v>3.979579042141284E-2</v>
      </c>
      <c r="BC169" s="32" t="str">
        <f t="shared" si="173"/>
        <v>1+1.91120697607375i</v>
      </c>
      <c r="BD169" s="32">
        <f t="shared" si="200"/>
        <v>2.157014627996984</v>
      </c>
      <c r="BE169" s="32">
        <f t="shared" si="201"/>
        <v>1.0887382303150692</v>
      </c>
      <c r="BF169" s="59" t="str">
        <f t="shared" si="202"/>
        <v>-0.638166505272396+0.366962390279196i</v>
      </c>
      <c r="BG169" s="50">
        <f t="shared" si="203"/>
        <v>-2.660665161990833</v>
      </c>
      <c r="BH169" s="61">
        <f t="shared" si="204"/>
        <v>150.09997475806142</v>
      </c>
      <c r="BI169" s="59" t="str">
        <f t="shared" si="205"/>
        <v>0.200911265846388+4.66228584121991i</v>
      </c>
      <c r="BJ169" s="64">
        <f t="shared" si="206"/>
        <v>13.380035274224651</v>
      </c>
      <c r="BK169" s="61">
        <f t="shared" si="207"/>
        <v>87.532487197929143</v>
      </c>
      <c r="BL169" s="59" t="str">
        <f t="shared" si="158"/>
        <v>-0.499517276452234+41.2885975190557i</v>
      </c>
      <c r="BM169" s="64">
        <f t="shared" si="208"/>
        <v>32.317238236104579</v>
      </c>
      <c r="BN169" s="61">
        <f t="shared" si="159"/>
        <v>90.693141381206772</v>
      </c>
      <c r="BO169" s="50">
        <f t="shared" si="209"/>
        <v>13.380035274224651</v>
      </c>
      <c r="BP169" s="61">
        <f t="shared" si="210"/>
        <v>87.532487197929143</v>
      </c>
    </row>
    <row r="170" spans="14:68" x14ac:dyDescent="0.25">
      <c r="N170" s="11">
        <v>52</v>
      </c>
      <c r="O170" s="51">
        <f t="shared" si="160"/>
        <v>331.13112148259137</v>
      </c>
      <c r="P170" s="49" t="str">
        <f t="shared" si="161"/>
        <v>25.6231073841137</v>
      </c>
      <c r="Q170" s="18" t="str">
        <f t="shared" si="162"/>
        <v>1+1.79922485611183i</v>
      </c>
      <c r="R170" s="18">
        <f t="shared" si="174"/>
        <v>2.058448464948937</v>
      </c>
      <c r="S170" s="18">
        <f t="shared" si="175"/>
        <v>1.0635149452703678</v>
      </c>
      <c r="T170" s="18" t="str">
        <f t="shared" si="163"/>
        <v>1+0.00187250237752439i</v>
      </c>
      <c r="U170" s="18">
        <f t="shared" si="176"/>
        <v>1.0000017531310401</v>
      </c>
      <c r="V170" s="18">
        <f t="shared" si="177"/>
        <v>1.8725001890323818E-3</v>
      </c>
      <c r="W170" s="32" t="str">
        <f t="shared" si="164"/>
        <v>1-0.041957923644528i</v>
      </c>
      <c r="X170" s="18">
        <f t="shared" si="178"/>
        <v>1.0008798466132487</v>
      </c>
      <c r="Y170" s="18">
        <f t="shared" si="179"/>
        <v>-4.1933327767806693E-2</v>
      </c>
      <c r="Z170" s="32" t="str">
        <f t="shared" si="165"/>
        <v>0.99999725880451+0.00332195792160808i</v>
      </c>
      <c r="AA170" s="18">
        <f t="shared" si="180"/>
        <v>1.0000027765066291</v>
      </c>
      <c r="AB170" s="18">
        <f t="shared" si="181"/>
        <v>3.3219548080331428E-3</v>
      </c>
      <c r="AC170" s="32" t="str">
        <f>IMDIV(IMSUM(COMPLEX(0,2*PI()*O170*Constants!$B$71*Constants!$B$72),COMPLEX(1,0)),IMSUM(COMPLEX(0,2*PI()*O170*Constants!$B$71*Constants!$B$72),COMPLEX(2,0)))</f>
        <v>0.500008657294924+0.00208052217323748i</v>
      </c>
      <c r="AD170" s="18">
        <f t="shared" si="182"/>
        <v>0.50001298577375575</v>
      </c>
      <c r="AE170" s="18">
        <f t="shared" si="183"/>
        <v>4.1609482872668078E-3</v>
      </c>
      <c r="AF170" s="66" t="str">
        <f t="shared" si="184"/>
        <v>2.8104814938441-5.55950651679847i</v>
      </c>
      <c r="AG170" s="64">
        <f t="shared" si="185"/>
        <v>15.889091634426396</v>
      </c>
      <c r="AH170" s="61">
        <f t="shared" si="186"/>
        <v>-63.182163371744849</v>
      </c>
      <c r="AI170" s="50" t="str">
        <f t="shared" si="166"/>
        <v>108.866083054159</v>
      </c>
      <c r="AJ170" s="50" t="str">
        <f t="shared" si="167"/>
        <v>1+1.70227488865854i</v>
      </c>
      <c r="AK170" s="50">
        <f t="shared" si="187"/>
        <v>1.9742694336279041</v>
      </c>
      <c r="AL170" s="50">
        <f t="shared" si="188"/>
        <v>1.039656482936169</v>
      </c>
      <c r="AM170" s="50" t="str">
        <f t="shared" si="168"/>
        <v>1+0.00187250237752439i</v>
      </c>
      <c r="AN170" s="50">
        <f t="shared" si="189"/>
        <v>1.0000017531310401</v>
      </c>
      <c r="AO170" s="50">
        <f t="shared" si="190"/>
        <v>1.8725001890323818E-3</v>
      </c>
      <c r="AP170" s="50" t="str">
        <f t="shared" si="169"/>
        <v>1-0.00934322759961371i</v>
      </c>
      <c r="AQ170" s="50">
        <f t="shared" si="191"/>
        <v>1.0000436469984588</v>
      </c>
      <c r="AR170" s="50">
        <f t="shared" si="192"/>
        <v>-9.3429557386927424E-3</v>
      </c>
      <c r="AS170" s="59" t="str">
        <f t="shared" si="193"/>
        <v>27.5758563952806-47.7549964674429i</v>
      </c>
      <c r="AT170" s="50">
        <f t="shared" si="194"/>
        <v>34.830117849131888</v>
      </c>
      <c r="AU170" s="61">
        <f t="shared" si="195"/>
        <v>-59.995954189692966</v>
      </c>
      <c r="AV170" s="32" t="str">
        <f t="shared" si="170"/>
        <v>-0.0000333333333333333</v>
      </c>
      <c r="AW170" s="32" t="str">
        <f t="shared" si="171"/>
        <v>0.0000998667934679672i</v>
      </c>
      <c r="AX170" s="32">
        <f t="shared" si="196"/>
        <v>9.9866793467967202E-5</v>
      </c>
      <c r="AY170" s="32">
        <f t="shared" si="197"/>
        <v>1.5707963267948966</v>
      </c>
      <c r="AZ170" s="32" t="str">
        <f t="shared" si="172"/>
        <v>1+0.0407442646961326i</v>
      </c>
      <c r="BA170" s="32">
        <f t="shared" si="198"/>
        <v>1.0008297033489906</v>
      </c>
      <c r="BB170" s="32">
        <f t="shared" si="199"/>
        <v>4.0721740675621246E-2</v>
      </c>
      <c r="BC170" s="32" t="str">
        <f t="shared" si="173"/>
        <v>1+1.95572470541437i</v>
      </c>
      <c r="BD170" s="32">
        <f t="shared" si="200"/>
        <v>2.1965561962690883</v>
      </c>
      <c r="BE170" s="32">
        <f t="shared" si="201"/>
        <v>1.0981342514733194</v>
      </c>
      <c r="BF170" s="59" t="str">
        <f t="shared" si="202"/>
        <v>-0.638118902673606+0.359777632839843i</v>
      </c>
      <c r="BG170" s="50">
        <f t="shared" si="203"/>
        <v>-2.7032045597344725</v>
      </c>
      <c r="BH170" s="61">
        <f t="shared" si="204"/>
        <v>150.58527407303967</v>
      </c>
      <c r="BI170" s="59" t="str">
        <f t="shared" si="205"/>
        <v>0.20676472753516+4.55877457690162i</v>
      </c>
      <c r="BJ170" s="64">
        <f t="shared" si="206"/>
        <v>13.185887074691928</v>
      </c>
      <c r="BK170" s="61">
        <f t="shared" si="207"/>
        <v>87.403110701294821</v>
      </c>
      <c r="BL170" s="59" t="str">
        <f t="shared" si="158"/>
        <v>-0.415495637909729+40.3945422804121i</v>
      </c>
      <c r="BM170" s="64">
        <f t="shared" si="208"/>
        <v>32.126913289397415</v>
      </c>
      <c r="BN170" s="61">
        <f t="shared" si="159"/>
        <v>90.58931988334669</v>
      </c>
      <c r="BO170" s="50">
        <f t="shared" si="209"/>
        <v>13.185887074691928</v>
      </c>
      <c r="BP170" s="61">
        <f t="shared" si="210"/>
        <v>87.403110701294821</v>
      </c>
    </row>
    <row r="171" spans="14:68" x14ac:dyDescent="0.25">
      <c r="N171" s="11">
        <v>53</v>
      </c>
      <c r="O171" s="51">
        <f t="shared" si="160"/>
        <v>338.84415613920277</v>
      </c>
      <c r="P171" s="49" t="str">
        <f t="shared" si="161"/>
        <v>25.6231073841137</v>
      </c>
      <c r="Q171" s="18" t="str">
        <f t="shared" si="162"/>
        <v>1+1.84113418679657i</v>
      </c>
      <c r="R171" s="18">
        <f t="shared" si="174"/>
        <v>2.0951790123497962</v>
      </c>
      <c r="S171" s="18">
        <f t="shared" si="175"/>
        <v>1.0732324872737338</v>
      </c>
      <c r="T171" s="18" t="str">
        <f t="shared" si="163"/>
        <v>1+0.00191611856094975i</v>
      </c>
      <c r="U171" s="18">
        <f t="shared" si="176"/>
        <v>1.0000018357534848</v>
      </c>
      <c r="V171" s="18">
        <f t="shared" si="177"/>
        <v>1.9161162159385464E-3</v>
      </c>
      <c r="W171" s="32" t="str">
        <f t="shared" si="164"/>
        <v>1-0.0429352492360963i</v>
      </c>
      <c r="X171" s="18">
        <f t="shared" si="178"/>
        <v>1.0009212934226974</v>
      </c>
      <c r="Y171" s="18">
        <f t="shared" si="179"/>
        <v>-4.2908895589347032E-2</v>
      </c>
      <c r="Z171" s="32" t="str">
        <f t="shared" si="165"/>
        <v>0.999997129615946+0.00339933626183308i</v>
      </c>
      <c r="AA171" s="18">
        <f t="shared" si="180"/>
        <v>1.0000029073593497</v>
      </c>
      <c r="AB171" s="18">
        <f t="shared" si="181"/>
        <v>3.3993329255777006E-3</v>
      </c>
      <c r="AC171" s="32" t="str">
        <f>IMDIV(IMSUM(COMPLEX(0,2*PI()*O171*Constants!$B$71*Constants!$B$72),COMPLEX(1,0)),IMSUM(COMPLEX(0,2*PI()*O171*Constants!$B$71*Constants!$B$72),COMPLEX(2,0)))</f>
        <v>0.500009065293267+0.00212898202288486i</v>
      </c>
      <c r="AD171" s="18">
        <f t="shared" si="182"/>
        <v>0.50001359775500143</v>
      </c>
      <c r="AE171" s="18">
        <f t="shared" si="183"/>
        <v>4.2578611168012899E-3</v>
      </c>
      <c r="AF171" s="66" t="str">
        <f t="shared" si="184"/>
        <v>2.70310990034028-5.49131916267771i</v>
      </c>
      <c r="AG171" s="64">
        <f t="shared" si="185"/>
        <v>15.735838794279903</v>
      </c>
      <c r="AH171" s="61">
        <f t="shared" si="186"/>
        <v>-63.791215163769927</v>
      </c>
      <c r="AI171" s="50" t="str">
        <f t="shared" si="166"/>
        <v>108.866083054159</v>
      </c>
      <c r="AJ171" s="50" t="str">
        <f t="shared" si="167"/>
        <v>1+1.74192596449978i</v>
      </c>
      <c r="AK171" s="50">
        <f t="shared" si="187"/>
        <v>2.0085582057283</v>
      </c>
      <c r="AL171" s="50">
        <f t="shared" si="188"/>
        <v>1.0496558237148763</v>
      </c>
      <c r="AM171" s="50" t="str">
        <f t="shared" si="168"/>
        <v>1+0.00191611856094975i</v>
      </c>
      <c r="AN171" s="50">
        <f t="shared" si="189"/>
        <v>1.0000018357534848</v>
      </c>
      <c r="AO171" s="50">
        <f t="shared" si="190"/>
        <v>1.9161162159385464E-3</v>
      </c>
      <c r="AP171" s="50" t="str">
        <f t="shared" si="169"/>
        <v>1-0.00956085932796881i</v>
      </c>
      <c r="AQ171" s="50">
        <f t="shared" si="191"/>
        <v>1.0000457039711181</v>
      </c>
      <c r="AR171" s="50">
        <f t="shared" si="192"/>
        <v>-9.5605680244626769E-3</v>
      </c>
      <c r="AS171" s="59" t="str">
        <f t="shared" si="193"/>
        <v>26.6262283079026-47.2131714095044i</v>
      </c>
      <c r="AT171" s="50">
        <f t="shared" si="194"/>
        <v>34.680576433700281</v>
      </c>
      <c r="AU171" s="61">
        <f t="shared" si="195"/>
        <v>-60.578843465509941</v>
      </c>
      <c r="AV171" s="32" t="str">
        <f t="shared" si="170"/>
        <v>-0.0000333333333333333</v>
      </c>
      <c r="AW171" s="32" t="str">
        <f t="shared" si="171"/>
        <v>0.00010219298991732i</v>
      </c>
      <c r="AX171" s="32">
        <f t="shared" si="196"/>
        <v>1.0219298991732E-4</v>
      </c>
      <c r="AY171" s="32">
        <f t="shared" si="197"/>
        <v>1.5707963267948966</v>
      </c>
      <c r="AZ171" s="32" t="str">
        <f t="shared" si="172"/>
        <v>1+0.0416933205391844i</v>
      </c>
      <c r="BA171" s="32">
        <f t="shared" si="198"/>
        <v>1.0008687890915486</v>
      </c>
      <c r="BB171" s="32">
        <f t="shared" si="199"/>
        <v>4.1669186747714707E-2</v>
      </c>
      <c r="BC171" s="32" t="str">
        <f t="shared" si="173"/>
        <v>1+2.00127938588085i</v>
      </c>
      <c r="BD171" s="32">
        <f t="shared" si="200"/>
        <v>2.237212368183144</v>
      </c>
      <c r="BE171" s="32">
        <f t="shared" si="201"/>
        <v>1.1074044640854042</v>
      </c>
      <c r="BF171" s="59" t="str">
        <f t="shared" si="202"/>
        <v>-0.638069064244389+0.352783451717766i</v>
      </c>
      <c r="BG171" s="50">
        <f t="shared" si="203"/>
        <v>-2.7442459068568805</v>
      </c>
      <c r="BH171" s="61">
        <f t="shared" si="204"/>
        <v>151.0621334696539</v>
      </c>
      <c r="BI171" s="59" t="str">
        <f t="shared" si="205"/>
        <v>0.212475724033489+4.45745332061156i</v>
      </c>
      <c r="BJ171" s="64">
        <f t="shared" si="206"/>
        <v>12.991592887423026</v>
      </c>
      <c r="BK171" s="61">
        <f t="shared" si="207"/>
        <v>87.270918305883981</v>
      </c>
      <c r="BL171" s="59" t="str">
        <f t="shared" si="158"/>
        <v>-0.333347004393371+39.5185568299596i</v>
      </c>
      <c r="BM171" s="64">
        <f t="shared" si="208"/>
        <v>31.936330526843403</v>
      </c>
      <c r="BN171" s="61">
        <f t="shared" si="159"/>
        <v>90.483290004143953</v>
      </c>
      <c r="BO171" s="50">
        <f t="shared" si="209"/>
        <v>12.991592887423026</v>
      </c>
      <c r="BP171" s="61">
        <f t="shared" si="210"/>
        <v>87.270918305883981</v>
      </c>
    </row>
    <row r="172" spans="14:68" x14ac:dyDescent="0.25">
      <c r="N172" s="11">
        <v>54</v>
      </c>
      <c r="O172" s="51">
        <f t="shared" si="160"/>
        <v>346.73685045253183</v>
      </c>
      <c r="P172" s="49" t="str">
        <f t="shared" si="161"/>
        <v>25.6231073841137</v>
      </c>
      <c r="Q172" s="18" t="str">
        <f t="shared" si="162"/>
        <v>1+1.88401971119746i</v>
      </c>
      <c r="R172" s="18">
        <f t="shared" si="174"/>
        <v>2.132962792029097</v>
      </c>
      <c r="S172" s="18">
        <f t="shared" si="175"/>
        <v>1.0828289896739347</v>
      </c>
      <c r="T172" s="18" t="str">
        <f t="shared" si="163"/>
        <v>1+0.00196075069579896i</v>
      </c>
      <c r="U172" s="18">
        <f t="shared" si="176"/>
        <v>1.000001922269798</v>
      </c>
      <c r="V172" s="18">
        <f t="shared" si="177"/>
        <v>1.9607481830744449E-3</v>
      </c>
      <c r="W172" s="32" t="str">
        <f t="shared" si="164"/>
        <v>1-0.0439353396651249i</v>
      </c>
      <c r="X172" s="18">
        <f t="shared" si="178"/>
        <v>1.0009646917206869</v>
      </c>
      <c r="Y172" s="18">
        <f t="shared" si="179"/>
        <v>-4.3907102693521077E-2</v>
      </c>
      <c r="Z172" s="32" t="str">
        <f t="shared" si="165"/>
        <v>0.999996994338913+0.00347851697513964i</v>
      </c>
      <c r="AA172" s="18">
        <f t="shared" si="180"/>
        <v>1.0000030443789689</v>
      </c>
      <c r="AB172" s="18">
        <f t="shared" si="181"/>
        <v>3.4785134002778993E-3</v>
      </c>
      <c r="AC172" s="32" t="str">
        <f>IMDIV(IMSUM(COMPLEX(0,2*PI()*O172*Constants!$B$71*Constants!$B$72),COMPLEX(1,0)),IMSUM(COMPLEX(0,2*PI()*O172*Constants!$B$71*Constants!$B$72),COMPLEX(2,0)))</f>
        <v>0.500009492519265+0.00217857052319051i</v>
      </c>
      <c r="AD172" s="18">
        <f t="shared" si="182"/>
        <v>0.50001423857616034</v>
      </c>
      <c r="AE172" s="18">
        <f t="shared" si="183"/>
        <v>4.357030756371805E-3</v>
      </c>
      <c r="AF172" s="66" t="str">
        <f t="shared" si="184"/>
        <v>2.59839633756016-5.42194666020938i</v>
      </c>
      <c r="AG172" s="64">
        <f t="shared" si="185"/>
        <v>15.580983195088729</v>
      </c>
      <c r="AH172" s="61">
        <f t="shared" si="186"/>
        <v>-64.394544785406481</v>
      </c>
      <c r="AI172" s="50" t="str">
        <f t="shared" si="166"/>
        <v>108.866083054159</v>
      </c>
      <c r="AJ172" s="50" t="str">
        <f t="shared" si="167"/>
        <v>1+1.78250063254452i</v>
      </c>
      <c r="AK172" s="50">
        <f t="shared" si="187"/>
        <v>2.0438464974213728</v>
      </c>
      <c r="AL172" s="50">
        <f t="shared" si="188"/>
        <v>1.0595397466347705</v>
      </c>
      <c r="AM172" s="50" t="str">
        <f t="shared" si="168"/>
        <v>1+0.00196075069579896i</v>
      </c>
      <c r="AN172" s="50">
        <f t="shared" si="189"/>
        <v>1.000001922269798</v>
      </c>
      <c r="AO172" s="50">
        <f t="shared" si="190"/>
        <v>1.9607481830744449E-3</v>
      </c>
      <c r="AP172" s="50" t="str">
        <f t="shared" si="169"/>
        <v>1-0.00978356035049256i</v>
      </c>
      <c r="AQ172" s="50">
        <f t="shared" si="191"/>
        <v>1.0000478578813774</v>
      </c>
      <c r="AR172" s="50">
        <f t="shared" si="192"/>
        <v>-9.7832482139688093E-3</v>
      </c>
      <c r="AS172" s="59" t="str">
        <f t="shared" si="193"/>
        <v>25.6983952447116-46.6590444246623i</v>
      </c>
      <c r="AT172" s="50">
        <f t="shared" si="194"/>
        <v>34.529318822921219</v>
      </c>
      <c r="AU172" s="61">
        <f t="shared" si="195"/>
        <v>-61.155351945544126</v>
      </c>
      <c r="AV172" s="32" t="str">
        <f t="shared" si="170"/>
        <v>-0.0000333333333333333</v>
      </c>
      <c r="AW172" s="32" t="str">
        <f t="shared" si="171"/>
        <v>0.000104573370442612i</v>
      </c>
      <c r="AX172" s="32">
        <f t="shared" si="196"/>
        <v>1.04573370442612E-4</v>
      </c>
      <c r="AY172" s="32">
        <f t="shared" si="197"/>
        <v>1.5707963267948966</v>
      </c>
      <c r="AZ172" s="32" t="str">
        <f t="shared" si="172"/>
        <v>1+0.0426644827326627i</v>
      </c>
      <c r="BA172" s="32">
        <f t="shared" si="198"/>
        <v>1.0009097152525024</v>
      </c>
      <c r="BB172" s="32">
        <f t="shared" si="199"/>
        <v>4.2638624178433483E-2</v>
      </c>
      <c r="BC172" s="32" t="str">
        <f t="shared" si="173"/>
        <v>1+2.04789517116781i</v>
      </c>
      <c r="BD172" s="32">
        <f t="shared" si="200"/>
        <v>2.2790073786831924</v>
      </c>
      <c r="BE172" s="32">
        <f t="shared" si="201"/>
        <v>1.1165474091966592</v>
      </c>
      <c r="BF172" s="59" t="str">
        <f t="shared" si="202"/>
        <v>-0.638016885345643+0.345976125495856i</v>
      </c>
      <c r="BG172" s="50">
        <f t="shared" si="203"/>
        <v>-2.783830677655593</v>
      </c>
      <c r="BH172" s="61">
        <f t="shared" si="204"/>
        <v>151.53044096356635</v>
      </c>
      <c r="BI172" s="59" t="str">
        <f t="shared" si="205"/>
        <v>0.218043359960778+4.35827661802869i</v>
      </c>
      <c r="BJ172" s="64">
        <f t="shared" si="206"/>
        <v>12.797152517433144</v>
      </c>
      <c r="BK172" s="61">
        <f t="shared" si="207"/>
        <v>87.135896178159868</v>
      </c>
      <c r="BL172" s="59" t="str">
        <f t="shared" si="158"/>
        <v>-0.253094683028497+38.6602894152535i</v>
      </c>
      <c r="BM172" s="64">
        <f t="shared" si="208"/>
        <v>31.745488145265629</v>
      </c>
      <c r="BN172" s="61">
        <f t="shared" si="159"/>
        <v>90.375089018022209</v>
      </c>
      <c r="BO172" s="50">
        <f t="shared" si="209"/>
        <v>12.797152517433144</v>
      </c>
      <c r="BP172" s="61">
        <f t="shared" si="210"/>
        <v>87.135896178159868</v>
      </c>
    </row>
    <row r="173" spans="14:68" x14ac:dyDescent="0.25">
      <c r="N173" s="11">
        <v>55</v>
      </c>
      <c r="O173" s="51">
        <f t="shared" si="160"/>
        <v>354.81338923357566</v>
      </c>
      <c r="P173" s="49" t="str">
        <f t="shared" si="161"/>
        <v>25.6231073841137</v>
      </c>
      <c r="Q173" s="18" t="str">
        <f t="shared" si="162"/>
        <v>1+1.92790416778717i</v>
      </c>
      <c r="R173" s="18">
        <f t="shared" si="174"/>
        <v>2.1718228473269043</v>
      </c>
      <c r="S173" s="18">
        <f t="shared" si="175"/>
        <v>1.092302469703933</v>
      </c>
      <c r="T173" s="18" t="str">
        <f t="shared" si="163"/>
        <v>1+0.00200642244662069i</v>
      </c>
      <c r="U173" s="18">
        <f t="shared" si="176"/>
        <v>1.0000020128634914</v>
      </c>
      <c r="V173" s="18">
        <f t="shared" si="177"/>
        <v>2.0064197541881561E-3</v>
      </c>
      <c r="W173" s="32" t="str">
        <f t="shared" si="164"/>
        <v>1-0.044958725192797i</v>
      </c>
      <c r="X173" s="18">
        <f t="shared" si="178"/>
        <v>1.0010101333008381</v>
      </c>
      <c r="Y173" s="18">
        <f t="shared" si="179"/>
        <v>-4.4928470381368969E-2</v>
      </c>
      <c r="Z173" s="32" t="str">
        <f t="shared" si="165"/>
        <v>0.999996852686471+0.00355954204419004i</v>
      </c>
      <c r="AA173" s="18">
        <f t="shared" si="180"/>
        <v>1.0000031878561246</v>
      </c>
      <c r="AB173" s="18">
        <f t="shared" si="181"/>
        <v>3.5595382136570097E-3</v>
      </c>
      <c r="AC173" s="32" t="str">
        <f>IMDIV(IMSUM(COMPLEX(0,2*PI()*O173*Constants!$B$71*Constants!$B$72),COMPLEX(1,0)),IMSUM(COMPLEX(0,2*PI()*O173*Constants!$B$71*Constants!$B$72),COMPLEX(2,0)))</f>
        <v>0.500009939879022+0.00222931395491992i</v>
      </c>
      <c r="AD173" s="18">
        <f t="shared" si="182"/>
        <v>0.50001490959623673</v>
      </c>
      <c r="AE173" s="18">
        <f t="shared" si="183"/>
        <v>4.4585097323781532E-3</v>
      </c>
      <c r="AF173" s="66" t="str">
        <f t="shared" si="184"/>
        <v>2.49635021213603-5.35150557749999i</v>
      </c>
      <c r="AG173" s="64">
        <f t="shared" si="185"/>
        <v>15.424566343888165</v>
      </c>
      <c r="AH173" s="61">
        <f t="shared" si="186"/>
        <v>-64.992066540810981</v>
      </c>
      <c r="AI173" s="50" t="str">
        <f t="shared" si="166"/>
        <v>108.866083054159</v>
      </c>
      <c r="AJ173" s="50" t="str">
        <f t="shared" si="167"/>
        <v>1+1.82402040601881i</v>
      </c>
      <c r="AK173" s="50">
        <f t="shared" si="187"/>
        <v>2.080156350271062</v>
      </c>
      <c r="AL173" s="50">
        <f t="shared" si="188"/>
        <v>1.0693057669831409</v>
      </c>
      <c r="AM173" s="50" t="str">
        <f t="shared" si="168"/>
        <v>1+0.00200642244662069i</v>
      </c>
      <c r="AN173" s="50">
        <f t="shared" si="189"/>
        <v>1.0000020128634914</v>
      </c>
      <c r="AO173" s="50">
        <f t="shared" si="190"/>
        <v>2.0064197541881561E-3</v>
      </c>
      <c r="AP173" s="50" t="str">
        <f t="shared" si="169"/>
        <v>1-0.0100114487462149i</v>
      </c>
      <c r="AQ173" s="50">
        <f t="shared" si="191"/>
        <v>1.0000501132973278</v>
      </c>
      <c r="AR173" s="50">
        <f t="shared" si="192"/>
        <v>-1.0011114286809017E-2</v>
      </c>
      <c r="AS173" s="59" t="str">
        <f t="shared" si="193"/>
        <v>24.7925651823784-46.093620668192i</v>
      </c>
      <c r="AT173" s="50">
        <f t="shared" si="194"/>
        <v>34.37638512218723</v>
      </c>
      <c r="AU173" s="61">
        <f t="shared" si="195"/>
        <v>-61.725342670144038</v>
      </c>
      <c r="AV173" s="32" t="str">
        <f t="shared" si="170"/>
        <v>-0.0000333333333333333</v>
      </c>
      <c r="AW173" s="32" t="str">
        <f t="shared" si="171"/>
        <v>0.000107009197153104i</v>
      </c>
      <c r="AX173" s="32">
        <f t="shared" si="196"/>
        <v>1.07009197153104E-4</v>
      </c>
      <c r="AY173" s="32">
        <f t="shared" si="197"/>
        <v>1.5707963267948966</v>
      </c>
      <c r="AZ173" s="32" t="str">
        <f t="shared" si="172"/>
        <v>1+0.0436582661996169i</v>
      </c>
      <c r="BA173" s="32">
        <f t="shared" si="198"/>
        <v>1.0009525684104901</v>
      </c>
      <c r="BB173" s="32">
        <f t="shared" si="199"/>
        <v>4.3630559683494184E-2</v>
      </c>
      <c r="BC173" s="32" t="str">
        <f t="shared" si="173"/>
        <v>1+2.09559677758162i</v>
      </c>
      <c r="BD173" s="32">
        <f t="shared" si="200"/>
        <v>2.3219659459627033</v>
      </c>
      <c r="BE173" s="32">
        <f t="shared" si="201"/>
        <v>1.1255618192394046</v>
      </c>
      <c r="BF173" s="59" t="str">
        <f t="shared" si="202"/>
        <v>-0.637962256477143+0.33935203090509i</v>
      </c>
      <c r="BG173" s="50">
        <f t="shared" si="203"/>
        <v>-2.8220002535136306</v>
      </c>
      <c r="BH173" s="61">
        <f t="shared" si="204"/>
        <v>151.99009489582679</v>
      </c>
      <c r="BI173" s="59" t="str">
        <f t="shared" si="205"/>
        <v>0.223467071833041+4.26120008811062i</v>
      </c>
      <c r="BJ173" s="64">
        <f t="shared" si="206"/>
        <v>12.602566090374525</v>
      </c>
      <c r="BK173" s="61">
        <f t="shared" si="207"/>
        <v>86.998028355015819</v>
      </c>
      <c r="BL173" s="59" t="str">
        <f t="shared" si="158"/>
        <v>-0.174757042086988+37.8193975966682i</v>
      </c>
      <c r="BM173" s="64">
        <f t="shared" si="208"/>
        <v>31.554384868673601</v>
      </c>
      <c r="BN173" s="61">
        <f t="shared" si="159"/>
        <v>90.264752225682756</v>
      </c>
      <c r="BO173" s="50">
        <f t="shared" si="209"/>
        <v>12.602566090374525</v>
      </c>
      <c r="BP173" s="61">
        <f t="shared" si="210"/>
        <v>86.998028355015819</v>
      </c>
    </row>
    <row r="174" spans="14:68" x14ac:dyDescent="0.25">
      <c r="N174" s="11">
        <v>56</v>
      </c>
      <c r="O174" s="51">
        <f t="shared" si="160"/>
        <v>363.07805477010152</v>
      </c>
      <c r="P174" s="49" t="str">
        <f t="shared" si="161"/>
        <v>25.6231073841137</v>
      </c>
      <c r="Q174" s="18" t="str">
        <f t="shared" si="162"/>
        <v>1+1.97281082468548i</v>
      </c>
      <c r="R174" s="18">
        <f t="shared" si="174"/>
        <v>2.2117826633727384</v>
      </c>
      <c r="S174" s="18">
        <f t="shared" si="175"/>
        <v>1.1016511477561344</v>
      </c>
      <c r="T174" s="18" t="str">
        <f t="shared" si="163"/>
        <v>1+0.00205315802918177i</v>
      </c>
      <c r="U174" s="18">
        <f t="shared" si="176"/>
        <v>1.0000021077267252</v>
      </c>
      <c r="V174" s="18">
        <f t="shared" si="177"/>
        <v>2.0531551441886607E-3</v>
      </c>
      <c r="W174" s="32" t="str">
        <f t="shared" si="164"/>
        <v>1-0.0460059484316655i</v>
      </c>
      <c r="X174" s="18">
        <f t="shared" si="178"/>
        <v>1.0010577142658146</v>
      </c>
      <c r="Y174" s="18">
        <f t="shared" si="179"/>
        <v>-4.5973531666845327E-2</v>
      </c>
      <c r="Z174" s="32" t="str">
        <f t="shared" si="165"/>
        <v>0.999996704358154+0.00364245442954839i</v>
      </c>
      <c r="AA174" s="18">
        <f t="shared" si="180"/>
        <v>1.000003338095149</v>
      </c>
      <c r="AB174" s="18">
        <f t="shared" si="181"/>
        <v>3.6424503250586833E-3</v>
      </c>
      <c r="AC174" s="32" t="str">
        <f>IMDIV(IMSUM(COMPLEX(0,2*PI()*O174*Constants!$B$71*Constants!$B$72),COMPLEX(1,0)),IMSUM(COMPLEX(0,2*PI()*O174*Constants!$B$71*Constants!$B$72),COMPLEX(2,0)))</f>
        <v>0.500010408321336+0.0022812392103608i</v>
      </c>
      <c r="AD174" s="18">
        <f t="shared" si="182"/>
        <v>0.50001561223826207</v>
      </c>
      <c r="AE174" s="18">
        <f t="shared" si="183"/>
        <v>4.5623517917526401E-3</v>
      </c>
      <c r="AF174" s="66" t="str">
        <f t="shared" si="184"/>
        <v>2.39697494771425-5.28011031484735i</v>
      </c>
      <c r="AG174" s="64">
        <f t="shared" si="185"/>
        <v>15.266629883580228</v>
      </c>
      <c r="AH174" s="61">
        <f t="shared" si="186"/>
        <v>-65.583706999933796</v>
      </c>
      <c r="AI174" s="50" t="str">
        <f t="shared" si="166"/>
        <v>108.866083054159</v>
      </c>
      <c r="AJ174" s="50" t="str">
        <f t="shared" si="167"/>
        <v>1+1.86650729925615i</v>
      </c>
      <c r="AK174" s="50">
        <f t="shared" si="187"/>
        <v>2.1175102120595519</v>
      </c>
      <c r="AL174" s="50">
        <f t="shared" si="188"/>
        <v>1.0789516106216501</v>
      </c>
      <c r="AM174" s="50" t="str">
        <f t="shared" si="168"/>
        <v>1+0.00205315802918177i</v>
      </c>
      <c r="AN174" s="50">
        <f t="shared" si="189"/>
        <v>1.0000021077267252</v>
      </c>
      <c r="AO174" s="50">
        <f t="shared" si="190"/>
        <v>2.0531551441886607E-3</v>
      </c>
      <c r="AP174" s="50" t="str">
        <f t="shared" si="169"/>
        <v>1-0.0102446453445797i</v>
      </c>
      <c r="AQ174" s="50">
        <f t="shared" si="191"/>
        <v>1.0000524750023052</v>
      </c>
      <c r="AR174" s="50">
        <f t="shared" si="192"/>
        <v>-1.0244286965885106E-2</v>
      </c>
      <c r="AS174" s="59" t="str">
        <f t="shared" si="193"/>
        <v>23.908890824343-45.5178943791698i</v>
      </c>
      <c r="AT174" s="50">
        <f t="shared" si="194"/>
        <v>34.221815768391835</v>
      </c>
      <c r="AU174" s="61">
        <f t="shared" si="195"/>
        <v>-62.28869087028162</v>
      </c>
      <c r="AV174" s="32" t="str">
        <f t="shared" si="170"/>
        <v>-0.0000333333333333333</v>
      </c>
      <c r="AW174" s="32" t="str">
        <f t="shared" si="171"/>
        <v>0.000109501761556361i</v>
      </c>
      <c r="AX174" s="32">
        <f t="shared" si="196"/>
        <v>1.09501761556361E-4</v>
      </c>
      <c r="AY174" s="32">
        <f t="shared" si="197"/>
        <v>1.5707963267948966</v>
      </c>
      <c r="AZ174" s="32" t="str">
        <f t="shared" si="172"/>
        <v>1+0.0446751978571959i</v>
      </c>
      <c r="BA174" s="32">
        <f t="shared" si="198"/>
        <v>1.0009974392093017</v>
      </c>
      <c r="BB174" s="32">
        <f t="shared" si="199"/>
        <v>4.4645511387775789E-2</v>
      </c>
      <c r="BC174" s="32" t="str">
        <f t="shared" si="173"/>
        <v>1+2.1444094971454i</v>
      </c>
      <c r="BD174" s="32">
        <f t="shared" si="200"/>
        <v>2.3661132879571483</v>
      </c>
      <c r="BE174" s="32">
        <f t="shared" si="201"/>
        <v>1.1344466127305981</v>
      </c>
      <c r="BF174" s="59" t="str">
        <f t="shared" si="202"/>
        <v>-0.637905063055169+0.332907640837936i</v>
      </c>
      <c r="BG174" s="50">
        <f t="shared" si="203"/>
        <v>-2.8587958475893478</v>
      </c>
      <c r="BH174" s="61">
        <f t="shared" si="204"/>
        <v>152.44100361565262</v>
      </c>
      <c r="BI174" s="59" t="str">
        <f t="shared" si="205"/>
        <v>0.228746613116564+4.16618037832213i</v>
      </c>
      <c r="BJ174" s="64">
        <f t="shared" si="206"/>
        <v>12.407834035990874</v>
      </c>
      <c r="BK174" s="61">
        <f t="shared" si="207"/>
        <v>86.857296615718823</v>
      </c>
      <c r="BL174" s="59" t="str">
        <f t="shared" si="158"/>
        <v>-0.0983476752019072+36.9955477234666i</v>
      </c>
      <c r="BM174" s="64">
        <f t="shared" si="208"/>
        <v>31.363019920802472</v>
      </c>
      <c r="BN174" s="61">
        <f t="shared" si="159"/>
        <v>90.152312745370992</v>
      </c>
      <c r="BO174" s="50">
        <f t="shared" si="209"/>
        <v>12.407834035990874</v>
      </c>
      <c r="BP174" s="61">
        <f t="shared" si="210"/>
        <v>86.857296615718823</v>
      </c>
    </row>
    <row r="175" spans="14:68" x14ac:dyDescent="0.25">
      <c r="N175" s="11">
        <v>57</v>
      </c>
      <c r="O175" s="51">
        <f t="shared" si="160"/>
        <v>371.53522909717265</v>
      </c>
      <c r="P175" s="49" t="str">
        <f t="shared" si="161"/>
        <v>25.6231073841137</v>
      </c>
      <c r="Q175" s="18" t="str">
        <f t="shared" si="162"/>
        <v>1+2.01876349199626i</v>
      </c>
      <c r="R175" s="18">
        <f t="shared" si="174"/>
        <v>2.2528661825809659</v>
      </c>
      <c r="S175" s="18">
        <f t="shared" si="175"/>
        <v>1.110873443296015</v>
      </c>
      <c r="T175" s="18" t="str">
        <f t="shared" si="163"/>
        <v>1+0.00210098222330667i</v>
      </c>
      <c r="U175" s="18">
        <f t="shared" si="176"/>
        <v>1.0000022070607157</v>
      </c>
      <c r="V175" s="18">
        <f t="shared" si="177"/>
        <v>2.1009791319812261E-3</v>
      </c>
      <c r="W175" s="32" t="str">
        <f t="shared" si="164"/>
        <v>1-0.0470775646333531i</v>
      </c>
      <c r="X175" s="18">
        <f t="shared" si="178"/>
        <v>1.0011075352287624</v>
      </c>
      <c r="Y175" s="18">
        <f t="shared" si="179"/>
        <v>-4.7042831519145401E-2</v>
      </c>
      <c r="Z175" s="32" t="str">
        <f t="shared" si="165"/>
        <v>0.999996549039339+0.00372729809245886i</v>
      </c>
      <c r="AA175" s="18">
        <f t="shared" si="180"/>
        <v>1.0000034954147197</v>
      </c>
      <c r="AB175" s="18">
        <f t="shared" si="181"/>
        <v>3.7272936944193315E-3</v>
      </c>
      <c r="AC175" s="32" t="str">
        <f>IMDIV(IMSUM(COMPLEX(0,2*PI()*O175*Constants!$B$71*Constants!$B$72),COMPLEX(1,0)),IMSUM(COMPLEX(0,2*PI()*O175*Constants!$B$71*Constants!$B$72),COMPLEX(2,0)))</f>
        <v>0.500010898839716+0.00233437380752185i</v>
      </c>
      <c r="AD175" s="18">
        <f t="shared" si="182"/>
        <v>0.50001634799231709</v>
      </c>
      <c r="AE175" s="18">
        <f t="shared" si="183"/>
        <v>4.6686119301779854E-3</v>
      </c>
      <c r="AF175" s="66" t="str">
        <f t="shared" si="184"/>
        <v>2.30026827789896-5.2078727999039i</v>
      </c>
      <c r="AG175" s="64">
        <f t="shared" si="185"/>
        <v>15.107215505517397</v>
      </c>
      <c r="AH175" s="61">
        <f t="shared" si="186"/>
        <v>-66.169404777223775</v>
      </c>
      <c r="AI175" s="50" t="str">
        <f t="shared" si="166"/>
        <v>108.866083054159</v>
      </c>
      <c r="AJ175" s="50" t="str">
        <f t="shared" si="167"/>
        <v>1+1.9099838393697i</v>
      </c>
      <c r="AK175" s="50">
        <f t="shared" si="187"/>
        <v>2.1559309512721923</v>
      </c>
      <c r="AL175" s="50">
        <f t="shared" si="188"/>
        <v>1.088475211349144</v>
      </c>
      <c r="AM175" s="50" t="str">
        <f t="shared" si="168"/>
        <v>1+0.00210098222330667i</v>
      </c>
      <c r="AN175" s="50">
        <f t="shared" si="189"/>
        <v>1.0000022070607157</v>
      </c>
      <c r="AO175" s="50">
        <f t="shared" si="190"/>
        <v>2.1009791319812261E-3</v>
      </c>
      <c r="AP175" s="50" t="str">
        <f t="shared" si="169"/>
        <v>1-0.01048327378951i</v>
      </c>
      <c r="AQ175" s="50">
        <f t="shared" si="191"/>
        <v>1.0000549480050314</v>
      </c>
      <c r="AR175" s="50">
        <f t="shared" si="192"/>
        <v>-1.0482889780959705E-2</v>
      </c>
      <c r="AS175" s="59" t="str">
        <f t="shared" si="193"/>
        <v>23.0474716865106-44.9328457093965i</v>
      </c>
      <c r="AT175" s="50">
        <f t="shared" si="194"/>
        <v>34.065651430800052</v>
      </c>
      <c r="AU175" s="61">
        <f t="shared" si="195"/>
        <v>-62.845283819358499</v>
      </c>
      <c r="AV175" s="32" t="str">
        <f t="shared" si="170"/>
        <v>-0.0000333333333333333</v>
      </c>
      <c r="AW175" s="32" t="str">
        <f t="shared" si="171"/>
        <v>0.000112052385243022i</v>
      </c>
      <c r="AX175" s="32">
        <f t="shared" si="196"/>
        <v>1.12052385243022E-4</v>
      </c>
      <c r="AY175" s="32">
        <f t="shared" si="197"/>
        <v>1.5707963267948966</v>
      </c>
      <c r="AZ175" s="32" t="str">
        <f t="shared" si="172"/>
        <v>1+0.0457158168960247i</v>
      </c>
      <c r="BA175" s="32">
        <f t="shared" si="198"/>
        <v>1.001044422548006</v>
      </c>
      <c r="BB175" s="32">
        <f t="shared" si="199"/>
        <v>4.5684009063110771E-2</v>
      </c>
      <c r="BC175" s="32" t="str">
        <f t="shared" si="173"/>
        <v>1+2.19435921100919i</v>
      </c>
      <c r="BD175" s="32">
        <f t="shared" si="200"/>
        <v>2.4114751391919582</v>
      </c>
      <c r="BE175" s="32">
        <f t="shared" si="201"/>
        <v>1.1432008886043823</v>
      </c>
      <c r="BF175" s="59" t="str">
        <f t="shared" si="202"/>
        <v>-0.637845185180363+0.326639522408191i</v>
      </c>
      <c r="BG175" s="50">
        <f t="shared" si="203"/>
        <v>-2.8942584344837643</v>
      </c>
      <c r="BH175" s="61">
        <f t="shared" si="204"/>
        <v>152.88308514208285</v>
      </c>
      <c r="BI175" s="59" t="str">
        <f t="shared" si="205"/>
        <v>0.233882038442242+4.07317512215411i</v>
      </c>
      <c r="BJ175" s="64">
        <f t="shared" si="206"/>
        <v>12.212957071033639</v>
      </c>
      <c r="BK175" s="61">
        <f t="shared" si="207"/>
        <v>86.713680364859059</v>
      </c>
      <c r="BL175" s="59" t="str">
        <f t="shared" si="158"/>
        <v>-0.0238755828633206+36.1884144365888i</v>
      </c>
      <c r="BM175" s="64">
        <f t="shared" si="208"/>
        <v>31.171392996316282</v>
      </c>
      <c r="BN175" s="61">
        <f t="shared" si="159"/>
        <v>90.037801322724334</v>
      </c>
      <c r="BO175" s="50">
        <f t="shared" si="209"/>
        <v>12.212957071033639</v>
      </c>
      <c r="BP175" s="61">
        <f t="shared" si="210"/>
        <v>86.713680364859059</v>
      </c>
    </row>
    <row r="176" spans="14:68" x14ac:dyDescent="0.25">
      <c r="N176" s="11">
        <v>58</v>
      </c>
      <c r="O176" s="51">
        <f t="shared" si="160"/>
        <v>380.18939632056163</v>
      </c>
      <c r="P176" s="49" t="str">
        <f t="shared" si="161"/>
        <v>25.6231073841137</v>
      </c>
      <c r="Q176" s="18" t="str">
        <f t="shared" si="162"/>
        <v>1+2.065786534432i</v>
      </c>
      <c r="R176" s="18">
        <f t="shared" si="174"/>
        <v>2.2950978205385</v>
      </c>
      <c r="S176" s="18">
        <f t="shared" si="175"/>
        <v>1.1199679702673087</v>
      </c>
      <c r="T176" s="18" t="str">
        <f t="shared" si="163"/>
        <v>1+0.00214992038601615i</v>
      </c>
      <c r="U176" s="18">
        <f t="shared" si="176"/>
        <v>1.0000023110761624</v>
      </c>
      <c r="V176" s="18">
        <f t="shared" si="177"/>
        <v>2.1499170736016715E-3</v>
      </c>
      <c r="W176" s="32" t="str">
        <f t="shared" si="164"/>
        <v>1-0.0481741419829544i</v>
      </c>
      <c r="X176" s="18">
        <f t="shared" si="178"/>
        <v>1.0011597015240845</v>
      </c>
      <c r="Y176" s="18">
        <f t="shared" si="179"/>
        <v>-4.8136927108523166E-2</v>
      </c>
      <c r="Z176" s="32" t="str">
        <f t="shared" si="165"/>
        <v>0.999996386400573+0.00381411801815457i</v>
      </c>
      <c r="AA176" s="18">
        <f t="shared" si="180"/>
        <v>1.0000036601485318</v>
      </c>
      <c r="AB176" s="18">
        <f t="shared" si="181"/>
        <v>3.8141133055707957E-3</v>
      </c>
      <c r="AC176" s="32" t="str">
        <f>IMDIV(IMSUM(COMPLEX(0,2*PI()*O176*Constants!$B$71*Constants!$B$72),COMPLEX(1,0)),IMSUM(COMPLEX(0,2*PI()*O176*Constants!$B$71*Constants!$B$72),COMPLEX(2,0)))</f>
        <v>0.500011412474483+0.00238874590465895i</v>
      </c>
      <c r="AD176" s="18">
        <f t="shared" si="182"/>
        <v>0.50001711841868435</v>
      </c>
      <c r="AE176" s="18">
        <f t="shared" si="183"/>
        <v>4.77734642094733E-3</v>
      </c>
      <c r="AF176" s="66" t="str">
        <f t="shared" si="184"/>
        <v>2.20622255152952-5.1349022143624i</v>
      </c>
      <c r="AG176" s="64">
        <f t="shared" si="185"/>
        <v>14.946364866739755</v>
      </c>
      <c r="AH176" s="61">
        <f t="shared" si="186"/>
        <v>-66.749110281378464</v>
      </c>
      <c r="AI176" s="50" t="str">
        <f t="shared" si="166"/>
        <v>108.866083054159</v>
      </c>
      <c r="AJ176" s="50" t="str">
        <f t="shared" si="167"/>
        <v>1+1.9544730781965i</v>
      </c>
      <c r="AK176" s="50">
        <f t="shared" si="187"/>
        <v>2.1954418720145843</v>
      </c>
      <c r="AL176" s="50">
        <f t="shared" si="188"/>
        <v>1.0978747076236204</v>
      </c>
      <c r="AM176" s="50" t="str">
        <f t="shared" si="168"/>
        <v>1+0.00214992038601615i</v>
      </c>
      <c r="AN176" s="50">
        <f t="shared" si="189"/>
        <v>1.0000023110761624</v>
      </c>
      <c r="AO176" s="50">
        <f t="shared" si="190"/>
        <v>2.1499170736016715E-3</v>
      </c>
      <c r="AP176" s="50" t="str">
        <f t="shared" si="169"/>
        <v>1-0.0107274606049661i</v>
      </c>
      <c r="AQ176" s="50">
        <f t="shared" si="191"/>
        <v>1.0000575375502307</v>
      </c>
      <c r="AR176" s="50">
        <f t="shared" si="192"/>
        <v>-1.0727049133669665E-2</v>
      </c>
      <c r="AS176" s="59" t="str">
        <f t="shared" si="193"/>
        <v>22.2083563530461-44.3394378088994i</v>
      </c>
      <c r="AT176" s="50">
        <f t="shared" si="194"/>
        <v>33.907932915897973</v>
      </c>
      <c r="AU176" s="61">
        <f t="shared" si="195"/>
        <v>-63.395020648360919</v>
      </c>
      <c r="AV176" s="32" t="str">
        <f t="shared" si="170"/>
        <v>-0.0000333333333333333</v>
      </c>
      <c r="AW176" s="32" t="str">
        <f t="shared" si="171"/>
        <v>0.000114662420587528i</v>
      </c>
      <c r="AX176" s="32">
        <f t="shared" si="196"/>
        <v>1.14662420587528E-4</v>
      </c>
      <c r="AY176" s="32">
        <f t="shared" si="197"/>
        <v>1.5707963267948966</v>
      </c>
      <c r="AZ176" s="32" t="str">
        <f t="shared" si="172"/>
        <v>1+0.0467806750660921i</v>
      </c>
      <c r="BA176" s="32">
        <f t="shared" si="198"/>
        <v>1.0010936177798953</v>
      </c>
      <c r="BB176" s="32">
        <f t="shared" si="199"/>
        <v>4.6746594369643402E-2</v>
      </c>
      <c r="BC176" s="32" t="str">
        <f t="shared" si="173"/>
        <v>1+2.24547240317243i</v>
      </c>
      <c r="BD176" s="32">
        <f t="shared" si="200"/>
        <v>2.4580777679741881</v>
      </c>
      <c r="BE176" s="32">
        <f t="shared" si="201"/>
        <v>1.1518239202321305</v>
      </c>
      <c r="BF176" s="59" t="str">
        <f t="shared" si="202"/>
        <v>-0.637782497395256+0.320544335055809i</v>
      </c>
      <c r="BG176" s="50">
        <f t="shared" si="203"/>
        <v>-2.9284286849390373</v>
      </c>
      <c r="BH176" s="61">
        <f t="shared" si="204"/>
        <v>153.31626680752368</v>
      </c>
      <c r="BI176" s="59" t="str">
        <f t="shared" si="205"/>
        <v>0.238873687155165+3.98214289892164i</v>
      </c>
      <c r="BJ176" s="64">
        <f t="shared" si="206"/>
        <v>12.017936181800712</v>
      </c>
      <c r="BK176" s="61">
        <f t="shared" si="207"/>
        <v>86.567156526145197</v>
      </c>
      <c r="BL176" s="59" t="str">
        <f t="shared" si="158"/>
        <v>0.0486546313125125+35.3976801987311i</v>
      </c>
      <c r="BM176" s="64">
        <f t="shared" si="208"/>
        <v>30.979504230958938</v>
      </c>
      <c r="BN176" s="61">
        <f t="shared" si="159"/>
        <v>89.921246159162749</v>
      </c>
      <c r="BO176" s="50">
        <f t="shared" si="209"/>
        <v>12.017936181800712</v>
      </c>
      <c r="BP176" s="61">
        <f t="shared" si="210"/>
        <v>86.567156526145197</v>
      </c>
    </row>
    <row r="177" spans="14:68" x14ac:dyDescent="0.25">
      <c r="N177" s="11">
        <v>59</v>
      </c>
      <c r="O177" s="51">
        <f t="shared" si="160"/>
        <v>389.04514499428063</v>
      </c>
      <c r="P177" s="49" t="str">
        <f t="shared" si="161"/>
        <v>25.6231073841137</v>
      </c>
      <c r="Q177" s="18" t="str">
        <f t="shared" si="162"/>
        <v>1+2.11390488423221i</v>
      </c>
      <c r="R177" s="18">
        <f t="shared" si="174"/>
        <v>2.3385024822695386</v>
      </c>
      <c r="S177" s="18">
        <f t="shared" si="175"/>
        <v>1.1289335320439695</v>
      </c>
      <c r="T177" s="18" t="str">
        <f t="shared" si="163"/>
        <v>1+0.00219999846497186i</v>
      </c>
      <c r="U177" s="18">
        <f t="shared" si="176"/>
        <v>1.0000024199936948</v>
      </c>
      <c r="V177" s="18">
        <f t="shared" si="177"/>
        <v>2.1999949156562633E-3</v>
      </c>
      <c r="W177" s="32" t="str">
        <f t="shared" si="164"/>
        <v>1-0.0492962619002954i</v>
      </c>
      <c r="X177" s="18">
        <f t="shared" si="178"/>
        <v>1.0012143234279773</v>
      </c>
      <c r="Y177" s="18">
        <f t="shared" si="179"/>
        <v>-4.9256388055531314E-2</v>
      </c>
      <c r="Z177" s="32" t="str">
        <f t="shared" si="165"/>
        <v>0.999996216096879+0.00390296023970933i</v>
      </c>
      <c r="AA177" s="18">
        <f t="shared" si="180"/>
        <v>1.0000038326460099</v>
      </c>
      <c r="AB177" s="18">
        <f t="shared" si="181"/>
        <v>3.9029551900853793E-3</v>
      </c>
      <c r="AC177" s="32" t="str">
        <f>IMDIV(IMSUM(COMPLEX(0,2*PI()*O177*Constants!$B$71*Constants!$B$72),COMPLEX(1,0)),IMSUM(COMPLEX(0,2*PI()*O177*Constants!$B$71*Constants!$B$72),COMPLEX(2,0)))</f>
        <v>0.50001195031498+0.00244438431513625i</v>
      </c>
      <c r="AD177" s="18">
        <f t="shared" si="182"/>
        <v>0.50001792515115906</v>
      </c>
      <c r="AE177" s="18">
        <f t="shared" si="183"/>
        <v>4.8886128444802128E-3</v>
      </c>
      <c r="AF177" s="66" t="str">
        <f t="shared" si="184"/>
        <v>2.11482504716785-5.06130475193874i</v>
      </c>
      <c r="AG177" s="64">
        <f t="shared" si="185"/>
        <v>14.784119512036217</v>
      </c>
      <c r="AH177" s="61">
        <f t="shared" si="186"/>
        <v>-67.322785439298187</v>
      </c>
      <c r="AI177" s="50" t="str">
        <f t="shared" si="166"/>
        <v>108.866083054159</v>
      </c>
      <c r="AJ177" s="50" t="str">
        <f t="shared" si="167"/>
        <v>1+1.99999860451987i</v>
      </c>
      <c r="AK177" s="50">
        <f t="shared" si="187"/>
        <v>2.236066729344504</v>
      </c>
      <c r="AL177" s="50">
        <f t="shared" si="188"/>
        <v>1.1071484386979087</v>
      </c>
      <c r="AM177" s="50" t="str">
        <f t="shared" si="168"/>
        <v>1+0.00219999846497186i</v>
      </c>
      <c r="AN177" s="50">
        <f t="shared" si="189"/>
        <v>1.0000024199936948</v>
      </c>
      <c r="AO177" s="50">
        <f t="shared" si="190"/>
        <v>2.1999949156562633E-3</v>
      </c>
      <c r="AP177" s="50" t="str">
        <f t="shared" si="169"/>
        <v>1-0.0109773352620297i</v>
      </c>
      <c r="AQ177" s="50">
        <f t="shared" si="191"/>
        <v>1.0000602491297488</v>
      </c>
      <c r="AR177" s="50">
        <f t="shared" si="192"/>
        <v>-1.0976894364026601E-2</v>
      </c>
      <c r="AS177" s="59" t="str">
        <f t="shared" si="193"/>
        <v>21.3915448738082-43.7386141728834i</v>
      </c>
      <c r="AT177" s="50">
        <f t="shared" si="194"/>
        <v>33.748701076507146</v>
      </c>
      <c r="AU177" s="61">
        <f t="shared" si="195"/>
        <v>-63.937812127491036</v>
      </c>
      <c r="AV177" s="32" t="str">
        <f t="shared" si="170"/>
        <v>-0.0000333333333333333</v>
      </c>
      <c r="AW177" s="32" t="str">
        <f t="shared" si="171"/>
        <v>0.000117333251465166i</v>
      </c>
      <c r="AX177" s="32">
        <f t="shared" si="196"/>
        <v>1.17333251465166E-4</v>
      </c>
      <c r="AY177" s="32">
        <f t="shared" si="197"/>
        <v>1.5707963267948966</v>
      </c>
      <c r="AZ177" s="32" t="str">
        <f t="shared" si="172"/>
        <v>1+0.0478703369692951i</v>
      </c>
      <c r="BA177" s="32">
        <f t="shared" si="198"/>
        <v>1.0011451289206545</v>
      </c>
      <c r="BB177" s="32">
        <f t="shared" si="199"/>
        <v>4.7833821100693896E-2</v>
      </c>
      <c r="BC177" s="32" t="str">
        <f t="shared" si="173"/>
        <v>1+2.29777617452617i</v>
      </c>
      <c r="BD177" s="32">
        <f t="shared" si="200"/>
        <v>2.5059479939176947</v>
      </c>
      <c r="BE177" s="32">
        <f t="shared" si="201"/>
        <v>1.160315149180849</v>
      </c>
      <c r="BF177" s="59" t="str">
        <f t="shared" si="202"/>
        <v>-0.637716868431239+0.314618828695463i</v>
      </c>
      <c r="BG177" s="50">
        <f t="shared" si="203"/>
        <v>-2.9613469055782811</v>
      </c>
      <c r="BH177" s="61">
        <f t="shared" si="204"/>
        <v>153.74048488610148</v>
      </c>
      <c r="BI177" s="59" t="str">
        <f t="shared" si="205"/>
        <v>0.243722166365919+3.8930431958183i</v>
      </c>
      <c r="BJ177" s="64">
        <f t="shared" si="206"/>
        <v>11.822772606457939</v>
      </c>
      <c r="BK177" s="61">
        <f t="shared" si="207"/>
        <v>86.417699446803297</v>
      </c>
      <c r="BL177" s="59" t="str">
        <f t="shared" si="158"/>
        <v>0.119242552004064+34.6230348520374i</v>
      </c>
      <c r="BM177" s="64">
        <f t="shared" si="208"/>
        <v>30.787354170928868</v>
      </c>
      <c r="BN177" s="61">
        <f t="shared" si="159"/>
        <v>89.802672758610456</v>
      </c>
      <c r="BO177" s="50">
        <f t="shared" si="209"/>
        <v>11.822772606457939</v>
      </c>
      <c r="BP177" s="61">
        <f t="shared" si="210"/>
        <v>86.417699446803297</v>
      </c>
    </row>
    <row r="178" spans="14:68" x14ac:dyDescent="0.25">
      <c r="N178" s="11">
        <v>60</v>
      </c>
      <c r="O178" s="51">
        <f t="shared" si="160"/>
        <v>398.10717055349761</v>
      </c>
      <c r="P178" s="49" t="str">
        <f t="shared" si="161"/>
        <v>25.6231073841137</v>
      </c>
      <c r="Q178" s="18" t="str">
        <f t="shared" si="162"/>
        <v>1+2.16314405438288i</v>
      </c>
      <c r="R178" s="18">
        <f t="shared" si="174"/>
        <v>2.3831055788638493</v>
      </c>
      <c r="S178" s="18">
        <f t="shared" si="175"/>
        <v>1.1377691159836198</v>
      </c>
      <c r="T178" s="18" t="str">
        <f t="shared" si="163"/>
        <v>1+0.00225124301223412i</v>
      </c>
      <c r="U178" s="18">
        <f t="shared" si="176"/>
        <v>1.0000025340443393</v>
      </c>
      <c r="V178" s="18">
        <f t="shared" si="177"/>
        <v>2.2512392090744582E-3</v>
      </c>
      <c r="W178" s="32" t="str">
        <f t="shared" si="164"/>
        <v>1-0.0504445193482089i</v>
      </c>
      <c r="X178" s="18">
        <f t="shared" si="178"/>
        <v>1.0012715163891719</v>
      </c>
      <c r="Y178" s="18">
        <f t="shared" si="179"/>
        <v>-5.0401796683600703E-2</v>
      </c>
      <c r="Z178" s="32" t="str">
        <f t="shared" si="165"/>
        <v>0.999996037767019+0.00399387186244496i</v>
      </c>
      <c r="AA178" s="18">
        <f t="shared" si="180"/>
        <v>1.0000040132730421</v>
      </c>
      <c r="AB178" s="18">
        <f t="shared" si="181"/>
        <v>3.9938664516760208E-3</v>
      </c>
      <c r="AC178" s="32" t="str">
        <f>IMDIV(IMSUM(COMPLEX(0,2*PI()*O178*Constants!$B$71*Constants!$B$72),COMPLEX(1,0)),IMSUM(COMPLEX(0,2*PI()*O178*Constants!$B$71*Constants!$B$72),COMPLEX(2,0)))</f>
        <v>0.500012513501879+0.00250131852262977i</v>
      </c>
      <c r="AD178" s="18">
        <f t="shared" si="182"/>
        <v>0.5000187699005092</v>
      </c>
      <c r="AE178" s="18">
        <f t="shared" si="183"/>
        <v>5.002470118508893E-3</v>
      </c>
      <c r="AF178" s="66" t="str">
        <f t="shared" si="184"/>
        <v>2.02605829383585-4.98718340713908i</v>
      </c>
      <c r="AG178" s="64">
        <f t="shared" si="185"/>
        <v>14.620520800949095</v>
      </c>
      <c r="AH178" s="61">
        <f t="shared" si="186"/>
        <v>-67.890403397373603</v>
      </c>
      <c r="AI178" s="50" t="str">
        <f t="shared" si="166"/>
        <v>108.866083054159</v>
      </c>
      <c r="AJ178" s="50" t="str">
        <f t="shared" si="167"/>
        <v>1+2.04658455657647i</v>
      </c>
      <c r="AK178" s="50">
        <f t="shared" si="187"/>
        <v>2.2778297450023142</v>
      </c>
      <c r="AL178" s="50">
        <f t="shared" si="188"/>
        <v>1.1162949402243743</v>
      </c>
      <c r="AM178" s="50" t="str">
        <f t="shared" si="168"/>
        <v>1+0.00225124301223412i</v>
      </c>
      <c r="AN178" s="50">
        <f t="shared" si="189"/>
        <v>1.0000025340443393</v>
      </c>
      <c r="AO178" s="50">
        <f t="shared" si="190"/>
        <v>2.2512392090744582E-3</v>
      </c>
      <c r="AP178" s="50" t="str">
        <f t="shared" si="169"/>
        <v>1-0.0112330302475514i</v>
      </c>
      <c r="AQ178" s="50">
        <f t="shared" si="191"/>
        <v>1.0000630884941921</v>
      </c>
      <c r="AR178" s="50">
        <f t="shared" si="192"/>
        <v>-1.1232557818439053E-2</v>
      </c>
      <c r="AS178" s="59" t="str">
        <f t="shared" si="193"/>
        <v>20.5969912757448-43.1312962520144i</v>
      </c>
      <c r="AT178" s="50">
        <f t="shared" si="194"/>
        <v>33.587996725396252</v>
      </c>
      <c r="AU178" s="61">
        <f t="shared" si="195"/>
        <v>-64.47358041744404</v>
      </c>
      <c r="AV178" s="32" t="str">
        <f t="shared" si="170"/>
        <v>-0.0000333333333333333</v>
      </c>
      <c r="AW178" s="32" t="str">
        <f t="shared" si="171"/>
        <v>0.00012006629398582i</v>
      </c>
      <c r="AX178" s="32">
        <f t="shared" si="196"/>
        <v>1.2006629398581999E-4</v>
      </c>
      <c r="AY178" s="32">
        <f t="shared" si="197"/>
        <v>1.5707963267948966</v>
      </c>
      <c r="AZ178" s="32" t="str">
        <f t="shared" si="172"/>
        <v>1+0.0489853803587979i</v>
      </c>
      <c r="BA178" s="32">
        <f t="shared" si="198"/>
        <v>1.0011990648661715</v>
      </c>
      <c r="BB178" s="32">
        <f t="shared" si="199"/>
        <v>4.8946255431065191E-2</v>
      </c>
      <c r="BC178" s="32" t="str">
        <f t="shared" si="173"/>
        <v>1+2.3512982572223i</v>
      </c>
      <c r="BD178" s="32">
        <f t="shared" si="200"/>
        <v>2.5551132057927735</v>
      </c>
      <c r="BE178" s="32">
        <f t="shared" si="201"/>
        <v>1.1686741787586434</v>
      </c>
      <c r="BF178" s="59" t="str">
        <f t="shared" si="202"/>
        <v>-0.637648160944383+0.308859841907427i</v>
      </c>
      <c r="BG178" s="50">
        <f t="shared" si="203"/>
        <v>-2.9930529836662938</v>
      </c>
      <c r="BH178" s="61">
        <f t="shared" si="204"/>
        <v>154.15568420961853</v>
      </c>
      <c r="BI178" s="59" t="str">
        <f t="shared" si="205"/>
        <v>0.248428333661775+3.80583637218395i</v>
      </c>
      <c r="BJ178" s="64">
        <f t="shared" si="206"/>
        <v>11.627467817282806</v>
      </c>
      <c r="BK178" s="61">
        <f t="shared" si="207"/>
        <v>86.265280812244924</v>
      </c>
      <c r="BL178" s="59" t="str">
        <f t="shared" ref="BL178:BL241" si="211">IMPRODUCT(AS178,BF178)</f>
        <v>0.187891733693393+33.8641752034395i</v>
      </c>
      <c r="BM178" s="64">
        <f t="shared" si="208"/>
        <v>30.594943741729953</v>
      </c>
      <c r="BN178" s="61">
        <f t="shared" ref="BN178:BN241" si="212">(180/PI())*IMARGUMENT(BL178)</f>
        <v>89.682103792174502</v>
      </c>
      <c r="BO178" s="50">
        <f t="shared" si="209"/>
        <v>11.627467817282806</v>
      </c>
      <c r="BP178" s="61">
        <f t="shared" si="210"/>
        <v>86.265280812244924</v>
      </c>
    </row>
    <row r="179" spans="14:68" x14ac:dyDescent="0.25">
      <c r="N179" s="11">
        <v>61</v>
      </c>
      <c r="O179" s="51">
        <f t="shared" si="160"/>
        <v>407.38027780411272</v>
      </c>
      <c r="P179" s="49" t="str">
        <f t="shared" si="161"/>
        <v>25.6231073841137</v>
      </c>
      <c r="Q179" s="18" t="str">
        <f t="shared" si="162"/>
        <v>1+2.21353015214378i</v>
      </c>
      <c r="R179" s="18">
        <f t="shared" si="174"/>
        <v>2.4289330444558708</v>
      </c>
      <c r="S179" s="18">
        <f t="shared" si="175"/>
        <v>1.1464738876359466</v>
      </c>
      <c r="T179" s="18" t="str">
        <f t="shared" si="163"/>
        <v>1+0.00230368119834019i</v>
      </c>
      <c r="U179" s="18">
        <f t="shared" si="176"/>
        <v>1.0000026534700113</v>
      </c>
      <c r="V179" s="18">
        <f t="shared" si="177"/>
        <v>2.3036771231817756E-3</v>
      </c>
      <c r="W179" s="32" t="str">
        <f t="shared" si="164"/>
        <v>1-0.0516195231479931i</v>
      </c>
      <c r="X179" s="18">
        <f t="shared" si="178"/>
        <v>1.0013314012703418</v>
      </c>
      <c r="Y179" s="18">
        <f t="shared" si="179"/>
        <v>-5.1573748274868984E-2</v>
      </c>
      <c r="Z179" s="32" t="str">
        <f t="shared" si="165"/>
        <v>0.999995851032731+0.00408690108890722i</v>
      </c>
      <c r="AA179" s="18">
        <f t="shared" si="180"/>
        <v>1.0000042024127631</v>
      </c>
      <c r="AB179" s="18">
        <f t="shared" si="181"/>
        <v>4.0868952911645301E-3</v>
      </c>
      <c r="AC179" s="32" t="str">
        <f>IMDIV(IMSUM(COMPLEX(0,2*PI()*O179*Constants!$B$71*Constants!$B$72),COMPLEX(1,0)),IMSUM(COMPLEX(0,2*PI()*O179*Constants!$B$71*Constants!$B$72),COMPLEX(2,0)))</f>
        <v>0.500013103229598+0.00255957869668097i</v>
      </c>
      <c r="AD179" s="18">
        <f t="shared" si="182"/>
        <v>0.50001965445809937</v>
      </c>
      <c r="AE179" s="18">
        <f t="shared" si="183"/>
        <v>5.118978528948809E-3</v>
      </c>
      <c r="AF179" s="66" t="str">
        <f t="shared" si="184"/>
        <v>1.93990039523208-4.91263779404832i</v>
      </c>
      <c r="AG179" s="64">
        <f t="shared" si="185"/>
        <v>14.455609839801166</v>
      </c>
      <c r="AH179" s="61">
        <f t="shared" si="186"/>
        <v>-68.451948203165259</v>
      </c>
      <c r="AI179" s="50" t="str">
        <f t="shared" si="166"/>
        <v>108.866083054159</v>
      </c>
      <c r="AJ179" s="50" t="str">
        <f t="shared" si="167"/>
        <v>1+2.09425563485472i</v>
      </c>
      <c r="AK179" s="50">
        <f t="shared" si="187"/>
        <v>2.3207556235245335</v>
      </c>
      <c r="AL179" s="50">
        <f t="shared" si="188"/>
        <v>1.1253129393840671</v>
      </c>
      <c r="AM179" s="50" t="str">
        <f t="shared" si="168"/>
        <v>1+0.00230368119834019i</v>
      </c>
      <c r="AN179" s="50">
        <f t="shared" si="189"/>
        <v>1.0000026534700113</v>
      </c>
      <c r="AO179" s="50">
        <f t="shared" si="190"/>
        <v>2.3036771231817756E-3</v>
      </c>
      <c r="AP179" s="50" t="str">
        <f t="shared" si="169"/>
        <v>1-0.0114946811343971i</v>
      </c>
      <c r="AQ179" s="50">
        <f t="shared" si="191"/>
        <v>1.0000660616651189</v>
      </c>
      <c r="AR179" s="50">
        <f t="shared" si="192"/>
        <v>-1.149417491928887E-2</v>
      </c>
      <c r="AS179" s="59" t="str">
        <f t="shared" si="193"/>
        <v>19.8246061616468-42.518381325194i</v>
      </c>
      <c r="AT179" s="50">
        <f t="shared" si="194"/>
        <v>33.425860553576669</v>
      </c>
      <c r="AU179" s="61">
        <f t="shared" si="195"/>
        <v>-65.002258793509341</v>
      </c>
      <c r="AV179" s="32" t="str">
        <f t="shared" si="170"/>
        <v>-0.0000333333333333333</v>
      </c>
      <c r="AW179" s="32" t="str">
        <f t="shared" si="171"/>
        <v>0.00012286299724481i</v>
      </c>
      <c r="AX179" s="32">
        <f t="shared" si="196"/>
        <v>1.2286299724481001E-4</v>
      </c>
      <c r="AY179" s="32">
        <f t="shared" si="197"/>
        <v>1.5707963267948966</v>
      </c>
      <c r="AZ179" s="32" t="str">
        <f t="shared" si="172"/>
        <v>1+0.0501263964453652i</v>
      </c>
      <c r="BA179" s="32">
        <f t="shared" si="198"/>
        <v>1.0012555396204297</v>
      </c>
      <c r="BB179" s="32">
        <f t="shared" si="199"/>
        <v>5.0084476168715274E-2</v>
      </c>
      <c r="BC179" s="32" t="str">
        <f t="shared" si="173"/>
        <v>1+2.40606702937753i</v>
      </c>
      <c r="BD179" s="32">
        <f t="shared" si="200"/>
        <v>2.6056013796929127</v>
      </c>
      <c r="BE179" s="32">
        <f t="shared" si="201"/>
        <v>1.1769007673936582</v>
      </c>
      <c r="BF179" s="59" t="str">
        <f t="shared" si="202"/>
        <v>-0.637576231239756+0.303264300169473i</v>
      </c>
      <c r="BG179" s="50">
        <f t="shared" si="203"/>
        <v>-3.0235863368353044</v>
      </c>
      <c r="BH179" s="61">
        <f t="shared" si="204"/>
        <v>154.5618177737735</v>
      </c>
      <c r="BI179" s="59" t="str">
        <f t="shared" si="205"/>
        <v>0.252993279625584+3.72048362593386i</v>
      </c>
      <c r="BJ179" s="64">
        <f t="shared" si="206"/>
        <v>11.432023502965869</v>
      </c>
      <c r="BK179" s="61">
        <f t="shared" si="207"/>
        <v>86.109869570608254</v>
      </c>
      <c r="BL179" s="59" t="str">
        <f t="shared" si="211"/>
        <v>0.254609474568536+33.1208046374793i</v>
      </c>
      <c r="BM179" s="64">
        <f t="shared" si="208"/>
        <v>30.402274216741375</v>
      </c>
      <c r="BN179" s="61">
        <f t="shared" si="212"/>
        <v>89.559558980264157</v>
      </c>
      <c r="BO179" s="50">
        <f t="shared" si="209"/>
        <v>11.432023502965869</v>
      </c>
      <c r="BP179" s="61">
        <f t="shared" si="210"/>
        <v>86.109869570608254</v>
      </c>
    </row>
    <row r="180" spans="14:68" x14ac:dyDescent="0.25">
      <c r="N180" s="11">
        <v>62</v>
      </c>
      <c r="O180" s="51">
        <f t="shared" si="160"/>
        <v>416.86938347033572</v>
      </c>
      <c r="P180" s="49" t="str">
        <f t="shared" si="161"/>
        <v>25.6231073841137</v>
      </c>
      <c r="Q180" s="18" t="str">
        <f t="shared" si="162"/>
        <v>1+2.26508989289088i</v>
      </c>
      <c r="R180" s="18">
        <f t="shared" si="174"/>
        <v>2.4760113535435209</v>
      </c>
      <c r="S180" s="18">
        <f t="shared" si="175"/>
        <v>1.1550471846580423</v>
      </c>
      <c r="T180" s="18" t="str">
        <f t="shared" si="163"/>
        <v>1+0.00235734082671045i</v>
      </c>
      <c r="U180" s="18">
        <f t="shared" si="176"/>
        <v>1.0000027785240266</v>
      </c>
      <c r="V180" s="18">
        <f t="shared" si="177"/>
        <v>2.3573364601001926E-3</v>
      </c>
      <c r="W180" s="32" t="str">
        <f t="shared" si="164"/>
        <v>1-0.0528218963022156i</v>
      </c>
      <c r="X180" s="18">
        <f t="shared" si="178"/>
        <v>1.0013941046006622</v>
      </c>
      <c r="Y180" s="18">
        <f t="shared" si="179"/>
        <v>-5.2772851329145172E-2</v>
      </c>
      <c r="Z180" s="32" t="str">
        <f t="shared" si="165"/>
        <v>0.999995655497928+0.00418209724442335i</v>
      </c>
      <c r="AA180" s="18">
        <f t="shared" si="180"/>
        <v>1.0000044004663644</v>
      </c>
      <c r="AB180" s="18">
        <f t="shared" si="181"/>
        <v>4.1820910320308959E-3</v>
      </c>
      <c r="AC180" s="32" t="str">
        <f>IMDIV(IMSUM(COMPLEX(0,2*PI()*O180*Constants!$B$71*Constants!$B$72),COMPLEX(1,0)),IMSUM(COMPLEX(0,2*PI()*O180*Constants!$B$71*Constants!$B$72),COMPLEX(2,0)))</f>
        <v>0.500013720748838+0.00261919570860847i</v>
      </c>
      <c r="AD180" s="18">
        <f t="shared" si="182"/>
        <v>0.5000205806996918</v>
      </c>
      <c r="AE180" s="18">
        <f t="shared" si="183"/>
        <v>5.2381997614683691E-3</v>
      </c>
      <c r="AF180" s="66" t="str">
        <f t="shared" si="184"/>
        <v>1.85632535485983-4.83776399415692i</v>
      </c>
      <c r="AG180" s="64">
        <f t="shared" si="185"/>
        <v>14.289427418782301</v>
      </c>
      <c r="AH180" s="61">
        <f t="shared" si="186"/>
        <v>-69.007414470445326</v>
      </c>
      <c r="AI180" s="50" t="str">
        <f t="shared" si="166"/>
        <v>108.866083054159</v>
      </c>
      <c r="AJ180" s="50" t="str">
        <f t="shared" si="167"/>
        <v>1+2.14303711519132i</v>
      </c>
      <c r="AK180" s="50">
        <f t="shared" si="187"/>
        <v>2.3648695687262618</v>
      </c>
      <c r="AL180" s="50">
        <f t="shared" si="188"/>
        <v>1.1342013495952741</v>
      </c>
      <c r="AM180" s="50" t="str">
        <f t="shared" si="168"/>
        <v>1+0.00235734082671045i</v>
      </c>
      <c r="AN180" s="50">
        <f t="shared" si="189"/>
        <v>1.0000027785240266</v>
      </c>
      <c r="AO180" s="50">
        <f t="shared" si="190"/>
        <v>2.3573364601001926E-3</v>
      </c>
      <c r="AP180" s="50" t="str">
        <f t="shared" si="169"/>
        <v>1-0.0117624266533303i</v>
      </c>
      <c r="AQ180" s="50">
        <f t="shared" si="191"/>
        <v>1.0000691749478008</v>
      </c>
      <c r="AR180" s="50">
        <f t="shared" si="192"/>
        <v>-1.1761884236095581E-2</v>
      </c>
      <c r="AS180" s="59" t="str">
        <f t="shared" si="193"/>
        <v>19.0742593709528-41.90074063147i</v>
      </c>
      <c r="AT180" s="50">
        <f t="shared" si="194"/>
        <v>33.262333053415468</v>
      </c>
      <c r="AU180" s="61">
        <f t="shared" si="195"/>
        <v>-65.523791345644909</v>
      </c>
      <c r="AV180" s="32" t="str">
        <f t="shared" si="170"/>
        <v>-0.0000333333333333333</v>
      </c>
      <c r="AW180" s="32" t="str">
        <f t="shared" si="171"/>
        <v>0.000125724844091224i</v>
      </c>
      <c r="AX180" s="32">
        <f t="shared" si="196"/>
        <v>1.2572484409122399E-4</v>
      </c>
      <c r="AY180" s="32">
        <f t="shared" si="197"/>
        <v>1.5707963267948966</v>
      </c>
      <c r="AZ180" s="32" t="str">
        <f t="shared" si="172"/>
        <v>1+0.0512939902108292i</v>
      </c>
      <c r="BA180" s="32">
        <f t="shared" si="198"/>
        <v>1.0013146725339386</v>
      </c>
      <c r="BB180" s="32">
        <f t="shared" si="199"/>
        <v>5.12490750097018E-2</v>
      </c>
      <c r="BC180" s="32" t="str">
        <f t="shared" si="173"/>
        <v>1+2.46211153011981i</v>
      </c>
      <c r="BD180" s="32">
        <f t="shared" si="200"/>
        <v>2.6574410975125886</v>
      </c>
      <c r="BE180" s="32">
        <f t="shared" si="201"/>
        <v>1.1849948218902862</v>
      </c>
      <c r="BF180" s="59" t="str">
        <f t="shared" si="202"/>
        <v>-0.637500928983776+0.297829214128404i</v>
      </c>
      <c r="BG180" s="50">
        <f t="shared" si="203"/>
        <v>-3.0529858676927217</v>
      </c>
      <c r="BH180" s="61">
        <f t="shared" si="204"/>
        <v>154.95884633716474</v>
      </c>
      <c r="BI180" s="59" t="str">
        <f t="shared" si="205"/>
        <v>0.257418310299165+3.63694696208383i</v>
      </c>
      <c r="BJ180" s="64">
        <f t="shared" si="206"/>
        <v>11.236441551089571</v>
      </c>
      <c r="BK180" s="61">
        <f t="shared" si="207"/>
        <v>85.951431866719432</v>
      </c>
      <c r="BL180" s="59" t="str">
        <f t="shared" si="211"/>
        <v>0.319406585008894+32.3926327562026i</v>
      </c>
      <c r="BM180" s="64">
        <f t="shared" si="208"/>
        <v>30.209347185722748</v>
      </c>
      <c r="BN180" s="61">
        <f t="shared" si="212"/>
        <v>89.435054991519834</v>
      </c>
      <c r="BO180" s="50">
        <f t="shared" si="209"/>
        <v>11.236441551089571</v>
      </c>
      <c r="BP180" s="61">
        <f t="shared" si="210"/>
        <v>85.951431866719432</v>
      </c>
    </row>
    <row r="181" spans="14:68" x14ac:dyDescent="0.25">
      <c r="N181" s="11">
        <v>63</v>
      </c>
      <c r="O181" s="51">
        <f t="shared" si="160"/>
        <v>426.57951880159294</v>
      </c>
      <c r="P181" s="49" t="str">
        <f t="shared" si="161"/>
        <v>25.6231073841137</v>
      </c>
      <c r="Q181" s="18" t="str">
        <f t="shared" si="162"/>
        <v>1+2.3178506142812i</v>
      </c>
      <c r="R181" s="18">
        <f t="shared" si="174"/>
        <v>2.5243675386369033</v>
      </c>
      <c r="S181" s="18">
        <f t="shared" si="175"/>
        <v>1.1634885104867563</v>
      </c>
      <c r="T181" s="18" t="str">
        <f t="shared" si="163"/>
        <v>1+0.00241225034839012i</v>
      </c>
      <c r="U181" s="18">
        <f t="shared" si="176"/>
        <v>1.0000029094716392</v>
      </c>
      <c r="V181" s="18">
        <f t="shared" si="177"/>
        <v>2.4122456694836659E-3</v>
      </c>
      <c r="W181" s="32" t="str">
        <f t="shared" si="164"/>
        <v>1-0.0540522763250379i</v>
      </c>
      <c r="X181" s="18">
        <f t="shared" si="178"/>
        <v>1.0014597588400236</v>
      </c>
      <c r="Y181" s="18">
        <f t="shared" si="179"/>
        <v>-5.3999727825890874E-2</v>
      </c>
      <c r="Z181" s="32" t="str">
        <f t="shared" si="165"/>
        <v>0.999995450747853+0.00427951080325506i</v>
      </c>
      <c r="AA181" s="18">
        <f t="shared" si="180"/>
        <v>1.0000046078539422</v>
      </c>
      <c r="AB181" s="18">
        <f t="shared" si="181"/>
        <v>4.2795041465574753E-3</v>
      </c>
      <c r="AC181" s="32" t="str">
        <f>IMDIV(IMSUM(COMPLEX(0,2*PI()*O181*Constants!$B$71*Constants!$B$72),COMPLEX(1,0)),IMSUM(COMPLEX(0,2*PI()*O181*Constants!$B$71*Constants!$B$72),COMPLEX(2,0)))</f>
        <v>0.500014367369228+0.00268020114778584i</v>
      </c>
      <c r="AD181" s="18">
        <f t="shared" si="182"/>
        <v>0.500021550589414</v>
      </c>
      <c r="AE181" s="18">
        <f t="shared" si="183"/>
        <v>5.3601969337728787E-3</v>
      </c>
      <c r="AF181" s="66" t="str">
        <f t="shared" si="184"/>
        <v>1.7753033997133-4.76265443205691i</v>
      </c>
      <c r="AG181" s="64">
        <f t="shared" si="185"/>
        <v>14.122013954095177</v>
      </c>
      <c r="AH181" s="61">
        <f t="shared" si="186"/>
        <v>-69.556807030464697</v>
      </c>
      <c r="AI181" s="50" t="str">
        <f t="shared" si="166"/>
        <v>108.866083054159</v>
      </c>
      <c r="AJ181" s="50" t="str">
        <f t="shared" si="167"/>
        <v>1+2.19295486217284i</v>
      </c>
      <c r="AK181" s="50">
        <f t="shared" si="187"/>
        <v>2.4101973005394184</v>
      </c>
      <c r="AL181" s="50">
        <f t="shared" si="188"/>
        <v>1.1429592648554969</v>
      </c>
      <c r="AM181" s="50" t="str">
        <f t="shared" si="168"/>
        <v>1+0.00241225034839012i</v>
      </c>
      <c r="AN181" s="50">
        <f t="shared" si="189"/>
        <v>1.0000029094716392</v>
      </c>
      <c r="AO181" s="50">
        <f t="shared" si="190"/>
        <v>2.4122456694836659E-3</v>
      </c>
      <c r="AP181" s="50" t="str">
        <f t="shared" si="169"/>
        <v>1-0.0120364087665693i</v>
      </c>
      <c r="AQ181" s="50">
        <f t="shared" si="191"/>
        <v>1.0000724349445875</v>
      </c>
      <c r="AR181" s="50">
        <f t="shared" si="192"/>
        <v>-1.2035827558304386E-2</v>
      </c>
      <c r="AS181" s="59" t="str">
        <f t="shared" si="193"/>
        <v>18.3457826788082-41.2792177555386i</v>
      </c>
      <c r="AT181" s="50">
        <f t="shared" si="194"/>
        <v>33.097454446660521</v>
      </c>
      <c r="AU181" s="61">
        <f t="shared" si="195"/>
        <v>-66.03813265762318</v>
      </c>
      <c r="AV181" s="32" t="str">
        <f t="shared" si="170"/>
        <v>-0.0000333333333333333</v>
      </c>
      <c r="AW181" s="32" t="str">
        <f t="shared" si="171"/>
        <v>0.00012865335191414i</v>
      </c>
      <c r="AX181" s="32">
        <f t="shared" si="196"/>
        <v>1.2865335191414E-4</v>
      </c>
      <c r="AY181" s="32">
        <f t="shared" si="197"/>
        <v>1.5707963267948966</v>
      </c>
      <c r="AZ181" s="32" t="str">
        <f t="shared" si="172"/>
        <v>1+0.0524887807288591i</v>
      </c>
      <c r="BA181" s="32">
        <f t="shared" si="198"/>
        <v>1.0013765885531789</v>
      </c>
      <c r="BB181" s="32">
        <f t="shared" si="199"/>
        <v>5.2440656796297176E-2</v>
      </c>
      <c r="BC181" s="32" t="str">
        <f t="shared" si="173"/>
        <v>1+2.51946147498524i</v>
      </c>
      <c r="BD181" s="32">
        <f t="shared" si="200"/>
        <v>2.7106615657316575</v>
      </c>
      <c r="BE181" s="32">
        <f t="shared" si="201"/>
        <v>1.1929563906037599</v>
      </c>
      <c r="BF181" s="59" t="str">
        <f t="shared" si="202"/>
        <v>-0.637422096904106+0.292551677909894i</v>
      </c>
      <c r="BG181" s="50">
        <f t="shared" si="203"/>
        <v>-3.0812899232026325</v>
      </c>
      <c r="BH181" s="61">
        <f t="shared" si="204"/>
        <v>155.34673801543371</v>
      </c>
      <c r="BI181" s="59" t="str">
        <f t="shared" si="205"/>
        <v>0.261704929717002+3.55518916329661i</v>
      </c>
      <c r="BJ181" s="64">
        <f t="shared" si="206"/>
        <v>11.040724030892532</v>
      </c>
      <c r="BK181" s="61">
        <f t="shared" si="207"/>
        <v>85.789930984969047</v>
      </c>
      <c r="BL181" s="59" t="str">
        <f t="shared" si="211"/>
        <v>0.382297152717758+31.6793750455522i</v>
      </c>
      <c r="BM181" s="64">
        <f t="shared" si="208"/>
        <v>30.016164523457878</v>
      </c>
      <c r="BN181" s="61">
        <f t="shared" si="212"/>
        <v>89.308605357810535</v>
      </c>
      <c r="BO181" s="50">
        <f t="shared" si="209"/>
        <v>11.040724030892532</v>
      </c>
      <c r="BP181" s="61">
        <f t="shared" si="210"/>
        <v>85.789930984969047</v>
      </c>
    </row>
    <row r="182" spans="14:68" x14ac:dyDescent="0.25">
      <c r="N182" s="11">
        <v>64</v>
      </c>
      <c r="O182" s="51">
        <f t="shared" si="160"/>
        <v>436.51583224016622</v>
      </c>
      <c r="P182" s="49" t="str">
        <f t="shared" si="161"/>
        <v>25.6231073841137</v>
      </c>
      <c r="Q182" s="18" t="str">
        <f t="shared" si="162"/>
        <v>1+2.37184029074759i</v>
      </c>
      <c r="R182" s="18">
        <f t="shared" si="174"/>
        <v>2.5740292082285339</v>
      </c>
      <c r="S182" s="18">
        <f t="shared" si="175"/>
        <v>1.1717975278159352</v>
      </c>
      <c r="T182" s="18" t="str">
        <f t="shared" si="163"/>
        <v>1+0.00246843887713441i</v>
      </c>
      <c r="U182" s="18">
        <f t="shared" si="176"/>
        <v>1.0000030465906042</v>
      </c>
      <c r="V182" s="18">
        <f t="shared" si="177"/>
        <v>2.468433863596642E-3</v>
      </c>
      <c r="W182" s="32" t="str">
        <f t="shared" si="164"/>
        <v>1-0.0553113155802341i</v>
      </c>
      <c r="X182" s="18">
        <f t="shared" si="178"/>
        <v>1.0015285026554244</v>
      </c>
      <c r="Y182" s="18">
        <f t="shared" si="179"/>
        <v>-5.5255013489077374E-2</v>
      </c>
      <c r="Z182" s="32" t="str">
        <f t="shared" si="165"/>
        <v>0.999995236348205+0.00437919341536068i</v>
      </c>
      <c r="AA182" s="18">
        <f t="shared" si="180"/>
        <v>1.0000048250153954</v>
      </c>
      <c r="AB182" s="18">
        <f t="shared" si="181"/>
        <v>4.3791862825816709E-3</v>
      </c>
      <c r="AC182" s="32" t="str">
        <f>IMDIV(IMSUM(COMPLEX(0,2*PI()*O182*Constants!$B$71*Constants!$B$72),COMPLEX(1,0)),IMSUM(COMPLEX(0,2*PI()*O182*Constants!$B$71*Constants!$B$72),COMPLEX(2,0)))</f>
        <v>0.500015044462105+0.00274262733829346i</v>
      </c>
      <c r="AD182" s="18">
        <f t="shared" si="182"/>
        <v>0.50002256618392493</v>
      </c>
      <c r="AE182" s="18">
        <f t="shared" si="183"/>
        <v>5.4850346286170748E-3</v>
      </c>
      <c r="AF182" s="66" t="str">
        <f t="shared" si="184"/>
        <v>1.69680130039074-4.68739777768428i</v>
      </c>
      <c r="AG182" s="64">
        <f t="shared" si="185"/>
        <v>13.953409435126369</v>
      </c>
      <c r="AH182" s="61">
        <f t="shared" si="186"/>
        <v>-70.100140572178645</v>
      </c>
      <c r="AI182" s="50" t="str">
        <f t="shared" si="166"/>
        <v>108.866083054159</v>
      </c>
      <c r="AJ182" s="50" t="str">
        <f t="shared" si="167"/>
        <v>1+2.24403534284947i</v>
      </c>
      <c r="AK182" s="50">
        <f t="shared" si="187"/>
        <v>2.4567650721950476</v>
      </c>
      <c r="AL182" s="50">
        <f t="shared" si="188"/>
        <v>1.1515859537695021</v>
      </c>
      <c r="AM182" s="50" t="str">
        <f t="shared" si="168"/>
        <v>1+0.00246843887713441i</v>
      </c>
      <c r="AN182" s="50">
        <f t="shared" si="189"/>
        <v>1.0000030465906042</v>
      </c>
      <c r="AO182" s="50">
        <f t="shared" si="190"/>
        <v>2.468433863596642E-3</v>
      </c>
      <c r="AP182" s="50" t="str">
        <f t="shared" si="169"/>
        <v>1-0.012316772743057i</v>
      </c>
      <c r="AQ182" s="50">
        <f t="shared" si="191"/>
        <v>1.0000758485688994</v>
      </c>
      <c r="AR182" s="50">
        <f t="shared" si="192"/>
        <v>-1.2316149969731759E-2</v>
      </c>
      <c r="AS182" s="59" t="str">
        <f t="shared" si="193"/>
        <v>17.6389725112237-40.6546272593288i</v>
      </c>
      <c r="AT182" s="50">
        <f t="shared" si="194"/>
        <v>32.93126461742547</v>
      </c>
      <c r="AU182" s="61">
        <f t="shared" si="195"/>
        <v>-66.54524746826452</v>
      </c>
      <c r="AV182" s="32" t="str">
        <f t="shared" si="170"/>
        <v>-0.0000333333333333333</v>
      </c>
      <c r="AW182" s="32" t="str">
        <f t="shared" si="171"/>
        <v>0.000131650073447169i</v>
      </c>
      <c r="AX182" s="32">
        <f t="shared" si="196"/>
        <v>1.31650073447169E-4</v>
      </c>
      <c r="AY182" s="32">
        <f t="shared" si="197"/>
        <v>1.5707963267948966</v>
      </c>
      <c r="AZ182" s="32" t="str">
        <f t="shared" si="172"/>
        <v>1+0.0537114014932025i</v>
      </c>
      <c r="BA182" s="32">
        <f t="shared" si="198"/>
        <v>1.0014414184815625</v>
      </c>
      <c r="BB182" s="32">
        <f t="shared" si="199"/>
        <v>5.3659839778154632E-2</v>
      </c>
      <c r="BC182" s="32" t="str">
        <f t="shared" si="173"/>
        <v>1+2.57814727167373i</v>
      </c>
      <c r="BD182" s="32">
        <f t="shared" si="200"/>
        <v>2.7652926345033899</v>
      </c>
      <c r="BE182" s="32">
        <f t="shared" si="201"/>
        <v>1.2007856565713975</v>
      </c>
      <c r="BF182" s="59" t="str">
        <f t="shared" si="202"/>
        <v>-0.637339570476616+0.287428867465234i</v>
      </c>
      <c r="BG182" s="50">
        <f t="shared" si="203"/>
        <v>-3.1085362587109513</v>
      </c>
      <c r="BH182" s="61">
        <f t="shared" si="204"/>
        <v>155.7254678727501</v>
      </c>
      <c r="BI182" s="59" t="str">
        <f t="shared" si="205"/>
        <v>0.26585482262365+3.47517376236719i</v>
      </c>
      <c r="BJ182" s="64">
        <f t="shared" si="206"/>
        <v>10.844873176415417</v>
      </c>
      <c r="BK182" s="61">
        <f t="shared" si="207"/>
        <v>85.625327300571456</v>
      </c>
      <c r="BL182" s="59" t="str">
        <f t="shared" si="211"/>
        <v>0.443298306417956+30.980752567499i</v>
      </c>
      <c r="BM182" s="64">
        <f t="shared" si="208"/>
        <v>29.822728358714524</v>
      </c>
      <c r="BN182" s="61">
        <f t="shared" si="212"/>
        <v>89.180220404485581</v>
      </c>
      <c r="BO182" s="50">
        <f t="shared" si="209"/>
        <v>10.844873176415417</v>
      </c>
      <c r="BP182" s="61">
        <f t="shared" si="210"/>
        <v>85.625327300571456</v>
      </c>
    </row>
    <row r="183" spans="14:68" x14ac:dyDescent="0.25">
      <c r="N183" s="11">
        <v>65</v>
      </c>
      <c r="O183" s="51">
        <f t="shared" si="160"/>
        <v>446.68359215096331</v>
      </c>
      <c r="P183" s="49" t="str">
        <f t="shared" si="161"/>
        <v>25.6231073841137</v>
      </c>
      <c r="Q183" s="18" t="str">
        <f t="shared" si="162"/>
        <v>1+2.42708754833116i</v>
      </c>
      <c r="R183" s="18">
        <f t="shared" si="174"/>
        <v>2.625024565078232</v>
      </c>
      <c r="S183" s="18">
        <f t="shared" si="175"/>
        <v>1.179974051923993</v>
      </c>
      <c r="T183" s="18" t="str">
        <f t="shared" si="163"/>
        <v>1+0.00252593620484502i</v>
      </c>
      <c r="U183" s="18">
        <f t="shared" si="176"/>
        <v>1.0000031901717668</v>
      </c>
      <c r="V183" s="18">
        <f t="shared" si="177"/>
        <v>2.5259308327434398E-3</v>
      </c>
      <c r="W183" s="32" t="str">
        <f t="shared" si="164"/>
        <v>1-0.0565996816270828i</v>
      </c>
      <c r="X183" s="18">
        <f t="shared" si="178"/>
        <v>1.0016004812100916</v>
      </c>
      <c r="Y183" s="18">
        <f t="shared" si="179"/>
        <v>-5.6539358054761256E-2</v>
      </c>
      <c r="Z183" s="32" t="str">
        <f t="shared" si="165"/>
        <v>0.999995011844213+0.00448119793378061i</v>
      </c>
      <c r="AA183" s="18">
        <f t="shared" si="180"/>
        <v>1.0000050524113513</v>
      </c>
      <c r="AB183" s="18">
        <f t="shared" si="181"/>
        <v>4.4811902908712814E-3</v>
      </c>
      <c r="AC183" s="32" t="str">
        <f>IMDIV(IMSUM(COMPLEX(0,2*PI()*O183*Constants!$B$71*Constants!$B$72),COMPLEX(1,0)),IMSUM(COMPLEX(0,2*PI()*O183*Constants!$B$71*Constants!$B$72),COMPLEX(2,0)))</f>
        <v>0.500015753463421+0.00280650735595311i</v>
      </c>
      <c r="AD183" s="18">
        <f t="shared" si="182"/>
        <v>0.50002362963677183</v>
      </c>
      <c r="AE183" s="18">
        <f t="shared" si="183"/>
        <v>5.612778927562366E-3</v>
      </c>
      <c r="AF183" s="66" t="str">
        <f t="shared" si="184"/>
        <v>1.62078268572733-4.61207887366086i</v>
      </c>
      <c r="AG183" s="64">
        <f t="shared" si="185"/>
        <v>13.783653376576675</v>
      </c>
      <c r="AH183" s="61">
        <f t="shared" si="186"/>
        <v>-70.637439274026704</v>
      </c>
      <c r="AI183" s="50" t="str">
        <f t="shared" si="166"/>
        <v>108.866083054159</v>
      </c>
      <c r="AJ183" s="50" t="str">
        <f t="shared" si="167"/>
        <v>1+2.2963056407682i</v>
      </c>
      <c r="AK183" s="50">
        <f t="shared" si="187"/>
        <v>2.5045996877393111</v>
      </c>
      <c r="AL183" s="50">
        <f t="shared" si="188"/>
        <v>1.1600808533143194</v>
      </c>
      <c r="AM183" s="50" t="str">
        <f t="shared" si="168"/>
        <v>1+0.00252593620484502i</v>
      </c>
      <c r="AN183" s="50">
        <f t="shared" si="189"/>
        <v>1.0000031901717668</v>
      </c>
      <c r="AO183" s="50">
        <f t="shared" si="190"/>
        <v>2.5259308327434398E-3</v>
      </c>
      <c r="AP183" s="50" t="str">
        <f t="shared" si="169"/>
        <v>1-0.0126036672354848i</v>
      </c>
      <c r="AQ183" s="50">
        <f t="shared" si="191"/>
        <v>1.0000794230598802</v>
      </c>
      <c r="AR183" s="50">
        <f t="shared" si="192"/>
        <v>-1.2602999924706234E-2</v>
      </c>
      <c r="AS183" s="59" t="str">
        <f t="shared" si="193"/>
        <v>16.9535926559417-40.0277535505043i</v>
      </c>
      <c r="AT183" s="50">
        <f t="shared" si="194"/>
        <v>32.763803050145931</v>
      </c>
      <c r="AU183" s="61">
        <f t="shared" si="195"/>
        <v>-67.045110317676816</v>
      </c>
      <c r="AV183" s="32" t="str">
        <f t="shared" si="170"/>
        <v>-0.0000333333333333333</v>
      </c>
      <c r="AW183" s="32" t="str">
        <f t="shared" si="171"/>
        <v>0.000134716597591734i</v>
      </c>
      <c r="AX183" s="32">
        <f t="shared" si="196"/>
        <v>1.3471659759173399E-4</v>
      </c>
      <c r="AY183" s="32">
        <f t="shared" si="197"/>
        <v>1.5707963267948966</v>
      </c>
      <c r="AZ183" s="32" t="str">
        <f t="shared" si="172"/>
        <v>1+0.0549625007535722i</v>
      </c>
      <c r="BA183" s="32">
        <f t="shared" si="198"/>
        <v>1.0015092992524266</v>
      </c>
      <c r="BB183" s="32">
        <f t="shared" si="199"/>
        <v>5.4907255876389754E-2</v>
      </c>
      <c r="BC183" s="32" t="str">
        <f t="shared" si="173"/>
        <v>1+2.63820003617147i</v>
      </c>
      <c r="BD183" s="32">
        <f t="shared" si="200"/>
        <v>2.8213648170442522</v>
      </c>
      <c r="BE183" s="32">
        <f t="shared" si="201"/>
        <v>1.2084829306358129</v>
      </c>
      <c r="BF183" s="59" t="str">
        <f t="shared" si="202"/>
        <v>-0.637253177598939+0.282458038953628i</v>
      </c>
      <c r="BG183" s="50">
        <f t="shared" si="203"/>
        <v>-3.1347620064651442</v>
      </c>
      <c r="BH183" s="61">
        <f t="shared" si="204"/>
        <v>156.09501751267109</v>
      </c>
      <c r="BI183" s="59" t="str">
        <f t="shared" si="205"/>
        <v>0.26986983747662+3.39686501655785i</v>
      </c>
      <c r="BJ183" s="64">
        <f t="shared" si="206"/>
        <v>10.648891370111521</v>
      </c>
      <c r="BK183" s="61">
        <f t="shared" si="207"/>
        <v>85.457578238644388</v>
      </c>
      <c r="BL183" s="59" t="str">
        <f t="shared" si="211"/>
        <v>0.502429979877681+30.296491677022i</v>
      </c>
      <c r="BM183" s="64">
        <f t="shared" si="208"/>
        <v>29.629041043680786</v>
      </c>
      <c r="BN183" s="61">
        <f t="shared" si="212"/>
        <v>89.049907194994276</v>
      </c>
      <c r="BO183" s="50">
        <f t="shared" si="209"/>
        <v>10.648891370111521</v>
      </c>
      <c r="BP183" s="61">
        <f t="shared" si="210"/>
        <v>85.457578238644388</v>
      </c>
    </row>
    <row r="184" spans="14:68" x14ac:dyDescent="0.25">
      <c r="N184" s="11">
        <v>66</v>
      </c>
      <c r="O184" s="51">
        <f t="shared" ref="O184:O218" si="213">10^(2+(N184/100))</f>
        <v>457.0881896148756</v>
      </c>
      <c r="P184" s="49" t="str">
        <f t="shared" si="161"/>
        <v>25.6231073841137</v>
      </c>
      <c r="Q184" s="18" t="str">
        <f t="shared" si="162"/>
        <v>1+2.48362167985915i</v>
      </c>
      <c r="R184" s="18">
        <f t="shared" si="174"/>
        <v>2.6773824248071825</v>
      </c>
      <c r="S184" s="18">
        <f t="shared" si="175"/>
        <v>1.1880180438946082</v>
      </c>
      <c r="T184" s="18" t="str">
        <f t="shared" si="163"/>
        <v>1+0.00258477281736615i</v>
      </c>
      <c r="U184" s="18">
        <f t="shared" si="176"/>
        <v>1.0000033405196793</v>
      </c>
      <c r="V184" s="18">
        <f t="shared" si="177"/>
        <v>2.5847670610566354E-3</v>
      </c>
      <c r="W184" s="32" t="str">
        <f t="shared" si="164"/>
        <v>1-0.0579180575743156i</v>
      </c>
      <c r="X184" s="18">
        <f t="shared" si="178"/>
        <v>1.0016758464659021</v>
      </c>
      <c r="Y184" s="18">
        <f t="shared" si="179"/>
        <v>-5.7853425541202645E-2</v>
      </c>
      <c r="Z184" s="32" t="str">
        <f t="shared" si="165"/>
        <v>0.999994776759673+0.00458557844266069i</v>
      </c>
      <c r="AA184" s="18">
        <f t="shared" si="180"/>
        <v>1.0000052905241461</v>
      </c>
      <c r="AB184" s="18">
        <f t="shared" si="181"/>
        <v>4.5855702531370111E-3</v>
      </c>
      <c r="AC184" s="32" t="str">
        <f>IMDIV(IMSUM(COMPLEX(0,2*PI()*O184*Constants!$B$71*Constants!$B$72),COMPLEX(1,0)),IMSUM(COMPLEX(0,2*PI()*O184*Constants!$B$71*Constants!$B$72),COMPLEX(2,0)))</f>
        <v>0.500016495876785+0.0028718750457537i</v>
      </c>
      <c r="AD184" s="18">
        <f t="shared" si="182"/>
        <v>0.50002474320295132</v>
      </c>
      <c r="AE184" s="18">
        <f t="shared" si="183"/>
        <v>5.7434974454940819E-3</v>
      </c>
      <c r="AF184" s="66" t="str">
        <f t="shared" si="184"/>
        <v>1.5472083502655-4.53677868619636i</v>
      </c>
      <c r="AG184" s="64">
        <f t="shared" si="185"/>
        <v>13.612784775460305</v>
      </c>
      <c r="AH184" s="61">
        <f t="shared" si="186"/>
        <v>-71.168736429705703</v>
      </c>
      <c r="AI184" s="50" t="str">
        <f t="shared" si="166"/>
        <v>108.866083054159</v>
      </c>
      <c r="AJ184" s="50" t="str">
        <f t="shared" si="167"/>
        <v>1+2.34979347033287i</v>
      </c>
      <c r="AK184" s="50">
        <f t="shared" si="187"/>
        <v>2.5537285198742237</v>
      </c>
      <c r="AL184" s="50">
        <f t="shared" si="188"/>
        <v>1.1684435623899943</v>
      </c>
      <c r="AM184" s="50" t="str">
        <f t="shared" si="168"/>
        <v>1+0.00258477281736615i</v>
      </c>
      <c r="AN184" s="50">
        <f t="shared" si="189"/>
        <v>1.0000033405196793</v>
      </c>
      <c r="AO184" s="50">
        <f t="shared" si="190"/>
        <v>2.5847670610566354E-3</v>
      </c>
      <c r="AP184" s="50" t="str">
        <f t="shared" si="169"/>
        <v>1-0.0128972443591101i</v>
      </c>
      <c r="AQ184" s="50">
        <f t="shared" si="191"/>
        <v>1.0000831659977376</v>
      </c>
      <c r="AR184" s="50">
        <f t="shared" si="192"/>
        <v>-1.2896529325939697E-2</v>
      </c>
      <c r="AS184" s="59" t="str">
        <f t="shared" si="193"/>
        <v>16.2893769504534-39.3993499773232i</v>
      </c>
      <c r="AT184" s="50">
        <f t="shared" si="194"/>
        <v>32.595108772482348</v>
      </c>
      <c r="AU184" s="61">
        <f t="shared" si="195"/>
        <v>-67.537705181297582</v>
      </c>
      <c r="AV184" s="32" t="str">
        <f t="shared" si="170"/>
        <v>-0.0000333333333333333</v>
      </c>
      <c r="AW184" s="32" t="str">
        <f t="shared" si="171"/>
        <v>0.000137854550259528i</v>
      </c>
      <c r="AX184" s="32">
        <f t="shared" si="196"/>
        <v>1.3785455025952799E-4</v>
      </c>
      <c r="AY184" s="32">
        <f t="shared" si="197"/>
        <v>1.5707963267948966</v>
      </c>
      <c r="AZ184" s="32" t="str">
        <f t="shared" si="172"/>
        <v>1+0.0562427418593561i</v>
      </c>
      <c r="BA184" s="32">
        <f t="shared" si="198"/>
        <v>1.0015803742146001</v>
      </c>
      <c r="BB184" s="32">
        <f t="shared" si="199"/>
        <v>5.6183550950425161E-2</v>
      </c>
      <c r="BC184" s="32" t="str">
        <f t="shared" si="173"/>
        <v>1+2.6996516092491i</v>
      </c>
      <c r="BD184" s="32">
        <f t="shared" si="200"/>
        <v>2.8789093093255391</v>
      </c>
      <c r="BE184" s="32">
        <f t="shared" si="201"/>
        <v>1.2160486445925685</v>
      </c>
      <c r="BF184" s="59" t="str">
        <f t="shared" si="202"/>
        <v>-0.637162738250069+0.277636527158635i</v>
      </c>
      <c r="BG184" s="50">
        <f t="shared" si="203"/>
        <v>-3.1600036484648792</v>
      </c>
      <c r="BH184" s="61">
        <f t="shared" si="204"/>
        <v>156.45537467024079</v>
      </c>
      <c r="BI184" s="59" t="str">
        <f t="shared" si="205"/>
        <v>0.273751969824334+3.32022788368998i</v>
      </c>
      <c r="BJ184" s="64">
        <f t="shared" si="206"/>
        <v>10.452781126995433</v>
      </c>
      <c r="BK184" s="61">
        <f t="shared" si="207"/>
        <v>85.286638240535126</v>
      </c>
      <c r="BL184" s="59" t="str">
        <f t="shared" si="211"/>
        <v>0.559714677873213+29.6263237629258i</v>
      </c>
      <c r="BM184" s="64">
        <f t="shared" si="208"/>
        <v>29.435105124017454</v>
      </c>
      <c r="BN184" s="61">
        <f t="shared" si="212"/>
        <v>88.917669488943233</v>
      </c>
      <c r="BO184" s="50">
        <f t="shared" si="209"/>
        <v>10.452781126995433</v>
      </c>
      <c r="BP184" s="61">
        <f t="shared" si="210"/>
        <v>85.286638240535126</v>
      </c>
    </row>
    <row r="185" spans="14:68" x14ac:dyDescent="0.25">
      <c r="N185" s="11">
        <v>67</v>
      </c>
      <c r="O185" s="51">
        <f t="shared" si="213"/>
        <v>467.7351412871983</v>
      </c>
      <c r="P185" s="49" t="str">
        <f t="shared" si="161"/>
        <v>25.6231073841137</v>
      </c>
      <c r="Q185" s="18" t="str">
        <f t="shared" si="162"/>
        <v>1+2.54147266047642i</v>
      </c>
      <c r="R185" s="18">
        <f t="shared" si="174"/>
        <v>2.7311322347973364</v>
      </c>
      <c r="S185" s="18">
        <f t="shared" si="175"/>
        <v>1.1959296037706029</v>
      </c>
      <c r="T185" s="18" t="str">
        <f t="shared" si="163"/>
        <v>1+0.00264497991064856i</v>
      </c>
      <c r="U185" s="18">
        <f t="shared" si="176"/>
        <v>1.0000034979532459</v>
      </c>
      <c r="V185" s="18">
        <f t="shared" si="177"/>
        <v>2.6449737426529531E-3</v>
      </c>
      <c r="W185" s="32" t="str">
        <f t="shared" si="164"/>
        <v>1-0.0592671424423104i</v>
      </c>
      <c r="X185" s="18">
        <f t="shared" si="178"/>
        <v>1.0017547574996972</v>
      </c>
      <c r="Y185" s="18">
        <f t="shared" si="179"/>
        <v>-5.9197894521330757E-2</v>
      </c>
      <c r="Z185" s="32" t="str">
        <f t="shared" si="165"/>
        <v>0.99999453059594+0.00469239028592838i</v>
      </c>
      <c r="AA185" s="18">
        <f t="shared" si="180"/>
        <v>1.0000055398588499</v>
      </c>
      <c r="AB185" s="18">
        <f t="shared" si="181"/>
        <v>4.6923815106970209E-3</v>
      </c>
      <c r="AC185" s="32" t="str">
        <f>IMDIV(IMSUM(COMPLEX(0,2*PI()*O185*Constants!$B$71*Constants!$B$72),COMPLEX(1,0)),IMSUM(COMPLEX(0,2*PI()*O185*Constants!$B$71*Constants!$B$72),COMPLEX(2,0)))</f>
        <v>0.500017273276649+0.00293876503967679i</v>
      </c>
      <c r="AD185" s="18">
        <f t="shared" si="182"/>
        <v>0.50002590924368462</v>
      </c>
      <c r="AE185" s="18">
        <f t="shared" si="183"/>
        <v>5.8772593659144178E-3</v>
      </c>
      <c r="AF185" s="66" t="str">
        <f t="shared" si="184"/>
        <v>1.47603655309912-4.46157427794268i</v>
      </c>
      <c r="AG185" s="64">
        <f t="shared" si="185"/>
        <v>13.440842072854839</v>
      </c>
      <c r="AH185" s="61">
        <f t="shared" si="186"/>
        <v>-71.694074070221887</v>
      </c>
      <c r="AI185" s="50" t="str">
        <f t="shared" si="166"/>
        <v>108.866083054159</v>
      </c>
      <c r="AJ185" s="50" t="str">
        <f t="shared" si="167"/>
        <v>1+2.4045271914987i</v>
      </c>
      <c r="AK185" s="50">
        <f t="shared" si="187"/>
        <v>2.6041795281156457</v>
      </c>
      <c r="AL185" s="50">
        <f t="shared" si="188"/>
        <v>1.1766738352025452</v>
      </c>
      <c r="AM185" s="50" t="str">
        <f t="shared" si="168"/>
        <v>1+0.00264497991064856i</v>
      </c>
      <c r="AN185" s="50">
        <f t="shared" si="189"/>
        <v>1.0000034979532459</v>
      </c>
      <c r="AO185" s="50">
        <f t="shared" si="190"/>
        <v>2.6449737426529531E-3</v>
      </c>
      <c r="AP185" s="50" t="str">
        <f t="shared" si="169"/>
        <v>1-0.0131976597724099i</v>
      </c>
      <c r="AQ185" s="50">
        <f t="shared" si="191"/>
        <v>1.0000870853198076</v>
      </c>
      <c r="AR185" s="50">
        <f t="shared" si="192"/>
        <v>-1.3196893604167169E-2</v>
      </c>
      <c r="AS185" s="59" t="str">
        <f t="shared" si="193"/>
        <v>15.6460319304765-38.7701381381621i</v>
      </c>
      <c r="AT185" s="50">
        <f t="shared" si="194"/>
        <v>32.425220303112582</v>
      </c>
      <c r="AU185" s="61">
        <f t="shared" si="195"/>
        <v>-68.023025094403025</v>
      </c>
      <c r="AV185" s="32" t="str">
        <f t="shared" si="170"/>
        <v>-0.0000333333333333333</v>
      </c>
      <c r="AW185" s="32" t="str">
        <f t="shared" si="171"/>
        <v>0.00014106559523459i</v>
      </c>
      <c r="AX185" s="32">
        <f t="shared" si="196"/>
        <v>1.4106559523459E-4</v>
      </c>
      <c r="AY185" s="32">
        <f t="shared" si="197"/>
        <v>1.5707963267948966</v>
      </c>
      <c r="AZ185" s="32" t="str">
        <f t="shared" si="172"/>
        <v>1+0.0575528036113345i</v>
      </c>
      <c r="BA185" s="32">
        <f t="shared" si="198"/>
        <v>1.0016547934311126</v>
      </c>
      <c r="BB185" s="32">
        <f t="shared" si="199"/>
        <v>5.7489385067429712E-2</v>
      </c>
      <c r="BC185" s="32" t="str">
        <f t="shared" si="173"/>
        <v>1+2.76253457334406i</v>
      </c>
      <c r="BD185" s="32">
        <f t="shared" si="200"/>
        <v>2.9379580100677485</v>
      </c>
      <c r="BE185" s="32">
        <f t="shared" si="201"/>
        <v>1.2234833443917228</v>
      </c>
      <c r="BF185" s="59" t="str">
        <f t="shared" si="202"/>
        <v>-0.637068064135546+0.272961743937355i</v>
      </c>
      <c r="BG185" s="50">
        <f t="shared" si="203"/>
        <v>-3.1842969934662508</v>
      </c>
      <c r="BH185" s="61">
        <f t="shared" si="204"/>
        <v>156.80653280703064</v>
      </c>
      <c r="BI185" s="59" t="str">
        <f t="shared" si="205"/>
        <v>0.277503346137119+3.24522799989511i</v>
      </c>
      <c r="BJ185" s="64">
        <f t="shared" si="206"/>
        <v>10.256545079388594</v>
      </c>
      <c r="BK185" s="61">
        <f t="shared" si="207"/>
        <v>85.112458736808762</v>
      </c>
      <c r="BL185" s="59" t="str">
        <f t="shared" si="211"/>
        <v>0.615177245533284+28.969985011389i</v>
      </c>
      <c r="BM185" s="64">
        <f t="shared" si="208"/>
        <v>29.240923309646327</v>
      </c>
      <c r="BN185" s="61">
        <f t="shared" si="212"/>
        <v>88.783507712627596</v>
      </c>
      <c r="BO185" s="50">
        <f t="shared" si="209"/>
        <v>10.256545079388594</v>
      </c>
      <c r="BP185" s="61">
        <f t="shared" si="210"/>
        <v>85.112458736808762</v>
      </c>
    </row>
    <row r="186" spans="14:68" x14ac:dyDescent="0.25">
      <c r="N186" s="11">
        <v>68</v>
      </c>
      <c r="O186" s="51">
        <f t="shared" si="213"/>
        <v>478.63009232263886</v>
      </c>
      <c r="P186" s="49" t="str">
        <f t="shared" si="161"/>
        <v>25.6231073841137</v>
      </c>
      <c r="Q186" s="18" t="str">
        <f t="shared" si="162"/>
        <v>1+2.60067116353865i</v>
      </c>
      <c r="R186" s="18">
        <f t="shared" si="174"/>
        <v>2.7863040933935181</v>
      </c>
      <c r="S186" s="18">
        <f t="shared" si="175"/>
        <v>1.2037089636781495</v>
      </c>
      <c r="T186" s="18" t="str">
        <f t="shared" si="163"/>
        <v>1+0.00270658940729005i</v>
      </c>
      <c r="U186" s="18">
        <f t="shared" si="176"/>
        <v>1.0000036628064017</v>
      </c>
      <c r="V186" s="18">
        <f t="shared" si="177"/>
        <v>2.7065827981649902E-3</v>
      </c>
      <c r="W186" s="32" t="str">
        <f t="shared" si="164"/>
        <v>1-0.0606476515337215i</v>
      </c>
      <c r="X186" s="18">
        <f t="shared" si="178"/>
        <v>1.001837380834113</v>
      </c>
      <c r="Y186" s="18">
        <f t="shared" si="179"/>
        <v>-6.0573458397338367E-2</v>
      </c>
      <c r="Z186" s="32" t="str">
        <f t="shared" si="165"/>
        <v>0.999994272830868+0.00480169009663679i</v>
      </c>
      <c r="AA186" s="18">
        <f t="shared" si="180"/>
        <v>1.0000058009443347</v>
      </c>
      <c r="AB186" s="18">
        <f t="shared" si="181"/>
        <v>4.8016806938085089E-3</v>
      </c>
      <c r="AC186" s="32" t="str">
        <f>IMDIV(IMSUM(COMPLEX(0,2*PI()*O186*Constants!$B$71*Constants!$B$72),COMPLEX(1,0)),IMSUM(COMPLEX(0,2*PI()*O186*Constants!$B$71*Constants!$B$72),COMPLEX(2,0)))</f>
        <v>0.500018087311649+0.00300721277493092i</v>
      </c>
      <c r="AD186" s="18">
        <f t="shared" si="182"/>
        <v>0.50002713023142398</v>
      </c>
      <c r="AE186" s="18">
        <f t="shared" si="183"/>
        <v>6.0141354770273624E-3</v>
      </c>
      <c r="AF186" s="66" t="str">
        <f t="shared" si="184"/>
        <v>1.40722330684278-4.38653880115268i</v>
      </c>
      <c r="AG186" s="64">
        <f t="shared" si="185"/>
        <v>13.267863120266705</v>
      </c>
      <c r="AH186" s="61">
        <f t="shared" si="186"/>
        <v>-72.213502584336453</v>
      </c>
      <c r="AI186" s="50" t="str">
        <f t="shared" si="166"/>
        <v>108.866083054159</v>
      </c>
      <c r="AJ186" s="50" t="str">
        <f t="shared" si="167"/>
        <v>1+2.46053582480914i</v>
      </c>
      <c r="AK186" s="50">
        <f t="shared" si="187"/>
        <v>2.6559812772625477</v>
      </c>
      <c r="AL186" s="50">
        <f t="shared" si="188"/>
        <v>1.1847715745230269</v>
      </c>
      <c r="AM186" s="50" t="str">
        <f t="shared" si="168"/>
        <v>1+0.00270658940729005i</v>
      </c>
      <c r="AN186" s="50">
        <f t="shared" si="189"/>
        <v>1.0000036628064017</v>
      </c>
      <c r="AO186" s="50">
        <f t="shared" si="190"/>
        <v>2.7065827981649902E-3</v>
      </c>
      <c r="AP186" s="50" t="str">
        <f t="shared" si="169"/>
        <v>1-0.0135050727596126i</v>
      </c>
      <c r="AQ186" s="50">
        <f t="shared" si="191"/>
        <v>1.0000911893373736</v>
      </c>
      <c r="AR186" s="50">
        <f t="shared" si="192"/>
        <v>-1.3504251799592307E-2</v>
      </c>
      <c r="AS186" s="59" t="str">
        <f t="shared" si="193"/>
        <v>15.0232394240786-38.1408073931234i</v>
      </c>
      <c r="AT186" s="50">
        <f t="shared" si="194"/>
        <v>32.254175604327266</v>
      </c>
      <c r="AU186" s="61">
        <f t="shared" si="195"/>
        <v>-68.501071769599804</v>
      </c>
      <c r="AV186" s="32" t="str">
        <f t="shared" si="170"/>
        <v>-0.0000333333333333333</v>
      </c>
      <c r="AW186" s="32" t="str">
        <f t="shared" si="171"/>
        <v>0.000144351435055469i</v>
      </c>
      <c r="AX186" s="32">
        <f t="shared" si="196"/>
        <v>1.44351435055469E-4</v>
      </c>
      <c r="AY186" s="32">
        <f t="shared" si="197"/>
        <v>1.5707963267948966</v>
      </c>
      <c r="AZ186" s="32" t="str">
        <f t="shared" si="172"/>
        <v>1+0.0588933806215891i</v>
      </c>
      <c r="BA186" s="32">
        <f t="shared" si="198"/>
        <v>1.0017327139916312</v>
      </c>
      <c r="BB186" s="32">
        <f t="shared" si="199"/>
        <v>5.8825432774159761E-2</v>
      </c>
      <c r="BC186" s="32" t="str">
        <f t="shared" si="173"/>
        <v>1+2.82688226983628i</v>
      </c>
      <c r="BD186" s="32">
        <f t="shared" si="200"/>
        <v>2.9985435410403358</v>
      </c>
      <c r="BE186" s="32">
        <f t="shared" si="201"/>
        <v>1.2307876834199161</v>
      </c>
      <c r="BF186" s="59" t="str">
        <f t="shared" si="202"/>
        <v>-0.636968958317633+0.268431176700915i</v>
      </c>
      <c r="BG186" s="50">
        <f t="shared" si="203"/>
        <v>-3.2076771579539152</v>
      </c>
      <c r="BH186" s="61">
        <f t="shared" si="204"/>
        <v>157.14849071065504</v>
      </c>
      <c r="BI186" s="59" t="str">
        <f t="shared" si="205"/>
        <v>0.281126208157694+3.17183165892686i</v>
      </c>
      <c r="BJ186" s="64">
        <f t="shared" si="206"/>
        <v>10.060185962312787</v>
      </c>
      <c r="BK186" s="61">
        <f t="shared" si="207"/>
        <v>84.934988126318586</v>
      </c>
      <c r="BL186" s="59" t="str">
        <f t="shared" si="211"/>
        <v>0.668844642347331+28.3272161910563i</v>
      </c>
      <c r="BM186" s="64">
        <f t="shared" si="208"/>
        <v>29.046498446373356</v>
      </c>
      <c r="BN186" s="61">
        <f t="shared" si="212"/>
        <v>88.647418941055236</v>
      </c>
      <c r="BO186" s="50">
        <f t="shared" si="209"/>
        <v>10.060185962312787</v>
      </c>
      <c r="BP186" s="61">
        <f t="shared" si="210"/>
        <v>84.934988126318586</v>
      </c>
    </row>
    <row r="187" spans="14:68" x14ac:dyDescent="0.25">
      <c r="N187" s="11">
        <v>69</v>
      </c>
      <c r="O187" s="51">
        <f t="shared" si="213"/>
        <v>489.77881936844625</v>
      </c>
      <c r="P187" s="49" t="str">
        <f t="shared" si="161"/>
        <v>25.6231073841137</v>
      </c>
      <c r="Q187" s="18" t="str">
        <f t="shared" si="162"/>
        <v>1+2.66124857687574i</v>
      </c>
      <c r="R187" s="18">
        <f t="shared" si="174"/>
        <v>2.842928769407203</v>
      </c>
      <c r="S187" s="18">
        <f t="shared" si="175"/>
        <v>1.2113564809555659</v>
      </c>
      <c r="T187" s="18" t="str">
        <f t="shared" si="163"/>
        <v>1+0.00276963397346123i</v>
      </c>
      <c r="U187" s="18">
        <f t="shared" si="176"/>
        <v>1.0000038354288181</v>
      </c>
      <c r="V187" s="18">
        <f t="shared" si="177"/>
        <v>2.7696268916576048E-3</v>
      </c>
      <c r="W187" s="32" t="str">
        <f t="shared" si="164"/>
        <v>1-0.0620603168127424i</v>
      </c>
      <c r="X187" s="18">
        <f t="shared" si="178"/>
        <v>1.0019238907835755</v>
      </c>
      <c r="Y187" s="18">
        <f t="shared" si="179"/>
        <v>-6.1980825677163558E-2</v>
      </c>
      <c r="Z187" s="32" t="str">
        <f t="shared" si="165"/>
        <v>0.999994002917702+0.00491353582699233i</v>
      </c>
      <c r="AA187" s="18">
        <f t="shared" si="180"/>
        <v>1.0000060743343973</v>
      </c>
      <c r="AB187" s="18">
        <f t="shared" si="181"/>
        <v>4.9135257516820189E-3</v>
      </c>
      <c r="AC187" s="32" t="str">
        <f>IMDIV(IMSUM(COMPLEX(0,2*PI()*O187*Constants!$B$71*Constants!$B$72),COMPLEX(1,0)),IMSUM(COMPLEX(0,2*PI()*O187*Constants!$B$71*Constants!$B$72),COMPLEX(2,0)))</f>
        <v>0.500018939708096+0.0030772545126036i</v>
      </c>
      <c r="AD187" s="18">
        <f t="shared" si="182"/>
        <v>0.50002840875508658</v>
      </c>
      <c r="AE187" s="18">
        <f t="shared" si="183"/>
        <v>6.1541982086316055E-3</v>
      </c>
      <c r="AF187" s="66" t="str">
        <f t="shared" si="184"/>
        <v>1.34072265568183-4.31174150947594i</v>
      </c>
      <c r="AG187" s="64">
        <f t="shared" si="185"/>
        <v>13.093885150457972</v>
      </c>
      <c r="AH187" s="61">
        <f t="shared" si="186"/>
        <v>-72.727080339351673</v>
      </c>
      <c r="AI187" s="50" t="str">
        <f t="shared" si="166"/>
        <v>108.866083054159</v>
      </c>
      <c r="AJ187" s="50" t="str">
        <f t="shared" si="167"/>
        <v>1+2.51784906678294i</v>
      </c>
      <c r="AK187" s="50">
        <f t="shared" si="187"/>
        <v>2.7091629561729436</v>
      </c>
      <c r="AL187" s="50">
        <f t="shared" si="188"/>
        <v>1.1927368248638637</v>
      </c>
      <c r="AM187" s="50" t="str">
        <f t="shared" si="168"/>
        <v>1+0.00276963397346123i</v>
      </c>
      <c r="AN187" s="50">
        <f t="shared" si="189"/>
        <v>1.0000038354288181</v>
      </c>
      <c r="AO187" s="50">
        <f t="shared" si="190"/>
        <v>2.7696268916576048E-3</v>
      </c>
      <c r="AP187" s="50" t="str">
        <f t="shared" si="169"/>
        <v>1-0.0138196463151533i</v>
      </c>
      <c r="AQ187" s="50">
        <f t="shared" si="191"/>
        <v>1.0000954867532779</v>
      </c>
      <c r="AR187" s="50">
        <f t="shared" si="192"/>
        <v>-1.3818766645178832E-2</v>
      </c>
      <c r="AS187" s="59" t="str">
        <f t="shared" si="193"/>
        <v>14.4206590784897-37.5120145645103i</v>
      </c>
      <c r="AT187" s="50">
        <f t="shared" si="194"/>
        <v>32.082012039318094</v>
      </c>
      <c r="AU187" s="61">
        <f t="shared" si="195"/>
        <v>-68.971855209660788</v>
      </c>
      <c r="AV187" s="32" t="str">
        <f t="shared" si="170"/>
        <v>-0.0000333333333333333</v>
      </c>
      <c r="AW187" s="32" t="str">
        <f t="shared" si="171"/>
        <v>0.000147713811917932i</v>
      </c>
      <c r="AX187" s="32">
        <f t="shared" si="196"/>
        <v>1.47713811917932E-4</v>
      </c>
      <c r="AY187" s="32">
        <f t="shared" si="197"/>
        <v>1.5707963267948966</v>
      </c>
      <c r="AZ187" s="32" t="str">
        <f t="shared" si="172"/>
        <v>1+0.0602651836817954i</v>
      </c>
      <c r="BA187" s="32">
        <f t="shared" si="198"/>
        <v>1.0018143003392397</v>
      </c>
      <c r="BB187" s="32">
        <f t="shared" si="199"/>
        <v>6.0192383370991448E-2</v>
      </c>
      <c r="BC187" s="32" t="str">
        <f t="shared" si="173"/>
        <v>1+2.89272881672618i</v>
      </c>
      <c r="BD187" s="32">
        <f t="shared" si="200"/>
        <v>3.0606992676703877</v>
      </c>
      <c r="BE187" s="32">
        <f t="shared" si="201"/>
        <v>1.2379624158867479</v>
      </c>
      <c r="BF187" s="59" t="str">
        <f t="shared" si="202"/>
        <v>-0.636865214829976+0.264042386924804i</v>
      </c>
      <c r="BG187" s="50">
        <f t="shared" si="203"/>
        <v>-3.2301785508873104</v>
      </c>
      <c r="BH187" s="61">
        <f t="shared" si="204"/>
        <v>157.48125210013856</v>
      </c>
      <c r="BI187" s="59" t="str">
        <f t="shared" si="205"/>
        <v>0.28462289782656+3.10000579293411i</v>
      </c>
      <c r="BJ187" s="64">
        <f t="shared" si="206"/>
        <v>9.8637065995706514</v>
      </c>
      <c r="BK187" s="61">
        <f t="shared" si="207"/>
        <v>84.754171760786889</v>
      </c>
      <c r="BL187" s="59" t="str">
        <f t="shared" si="211"/>
        <v>0.720745721959123+27.6977624584453i</v>
      </c>
      <c r="BM187" s="64">
        <f t="shared" si="208"/>
        <v>28.851833488430785</v>
      </c>
      <c r="BN187" s="61">
        <f t="shared" si="212"/>
        <v>88.509396890477788</v>
      </c>
      <c r="BO187" s="50">
        <f t="shared" si="209"/>
        <v>9.8637065995706514</v>
      </c>
      <c r="BP187" s="61">
        <f t="shared" si="210"/>
        <v>84.754171760786889</v>
      </c>
    </row>
    <row r="188" spans="14:68" x14ac:dyDescent="0.25">
      <c r="N188" s="11">
        <v>70</v>
      </c>
      <c r="O188" s="51">
        <f t="shared" si="213"/>
        <v>501.18723362727269</v>
      </c>
      <c r="P188" s="49" t="str">
        <f t="shared" si="161"/>
        <v>25.6231073841137</v>
      </c>
      <c r="Q188" s="18" t="str">
        <f t="shared" si="162"/>
        <v>1+2.72323701943407i</v>
      </c>
      <c r="R188" s="18">
        <f t="shared" si="174"/>
        <v>2.9010377219223047</v>
      </c>
      <c r="S188" s="18">
        <f t="shared" si="175"/>
        <v>1.2188726313180169</v>
      </c>
      <c r="T188" s="18" t="str">
        <f t="shared" si="163"/>
        <v>1+0.00283414703622558i</v>
      </c>
      <c r="U188" s="18">
        <f t="shared" si="176"/>
        <v>1.0000040161866466</v>
      </c>
      <c r="V188" s="18">
        <f t="shared" si="177"/>
        <v>2.8341394479379253E-3</v>
      </c>
      <c r="W188" s="32" t="str">
        <f t="shared" si="164"/>
        <v>1-0.0635058872932027i</v>
      </c>
      <c r="X188" s="18">
        <f t="shared" si="178"/>
        <v>1.0020144698161284</v>
      </c>
      <c r="Y188" s="18">
        <f t="shared" si="179"/>
        <v>-6.3420720252592294E-2</v>
      </c>
      <c r="Z188" s="32" t="str">
        <f t="shared" si="165"/>
        <v>0.999993720283921+0.00502798677908167i</v>
      </c>
      <c r="AA188" s="18">
        <f t="shared" si="180"/>
        <v>1.0000063606089349</v>
      </c>
      <c r="AB188" s="18">
        <f t="shared" si="181"/>
        <v>5.0279759831940883E-3</v>
      </c>
      <c r="AC188" s="32" t="str">
        <f>IMDIV(IMSUM(COMPLEX(0,2*PI()*O188*Constants!$B$71*Constants!$B$72),COMPLEX(1,0)),IMSUM(COMPLEX(0,2*PI()*O188*Constants!$B$71*Constants!$B$72),COMPLEX(2,0)))</f>
        <v>0.500019832273634+0.00314892735674053i</v>
      </c>
      <c r="AD188" s="18">
        <f t="shared" si="182"/>
        <v>0.50002974752553586</v>
      </c>
      <c r="AE188" s="18">
        <f t="shared" si="183"/>
        <v>6.297521669838527E-3</v>
      </c>
      <c r="AF188" s="66" t="str">
        <f t="shared" si="184"/>
        <v>1.27648694165295-4.23724778672562i</v>
      </c>
      <c r="AG188" s="64">
        <f t="shared" si="185"/>
        <v>12.918944752565714</v>
      </c>
      <c r="AH188" s="61">
        <f t="shared" si="186"/>
        <v>-73.234873304018819</v>
      </c>
      <c r="AI188" s="50" t="str">
        <f t="shared" si="166"/>
        <v>108.866083054159</v>
      </c>
      <c r="AJ188" s="50" t="str">
        <f t="shared" si="167"/>
        <v>1+2.57649730565962i</v>
      </c>
      <c r="AK188" s="50">
        <f t="shared" si="187"/>
        <v>2.7637543968434102</v>
      </c>
      <c r="AL188" s="50">
        <f t="shared" si="188"/>
        <v>1.2005697656107905</v>
      </c>
      <c r="AM188" s="50" t="str">
        <f t="shared" si="168"/>
        <v>1+0.00283414703622558i</v>
      </c>
      <c r="AN188" s="50">
        <f t="shared" si="189"/>
        <v>1.0000040161866466</v>
      </c>
      <c r="AO188" s="50">
        <f t="shared" si="190"/>
        <v>2.8341394479379253E-3</v>
      </c>
      <c r="AP188" s="50" t="str">
        <f t="shared" si="169"/>
        <v>1-0.0141415472300949i</v>
      </c>
      <c r="AQ188" s="50">
        <f t="shared" si="191"/>
        <v>1.0000999866803624</v>
      </c>
      <c r="AR188" s="50">
        <f t="shared" si="192"/>
        <v>-1.4140604651824545E-2</v>
      </c>
      <c r="AS188" s="59" t="str">
        <f t="shared" si="193"/>
        <v>13.8379308084518-36.8843838125127i</v>
      </c>
      <c r="AT188" s="50">
        <f t="shared" si="194"/>
        <v>31.908766334025209</v>
      </c>
      <c r="AU188" s="61">
        <f t="shared" si="195"/>
        <v>-69.435393317903007</v>
      </c>
      <c r="AV188" s="32" t="str">
        <f t="shared" si="170"/>
        <v>-0.0000333333333333333</v>
      </c>
      <c r="AW188" s="32" t="str">
        <f t="shared" si="171"/>
        <v>0.000151154508598697i</v>
      </c>
      <c r="AX188" s="32">
        <f t="shared" si="196"/>
        <v>1.5115450859869701E-4</v>
      </c>
      <c r="AY188" s="32">
        <f t="shared" si="197"/>
        <v>1.5707963267948966</v>
      </c>
      <c r="AZ188" s="32" t="str">
        <f t="shared" si="172"/>
        <v>1+0.0616689401400936i</v>
      </c>
      <c r="BA188" s="32">
        <f t="shared" si="198"/>
        <v>1.0018997246122001</v>
      </c>
      <c r="BB188" s="32">
        <f t="shared" si="199"/>
        <v>6.1590941187909191E-2</v>
      </c>
      <c r="BC188" s="32" t="str">
        <f t="shared" si="173"/>
        <v>1+2.9601091267245i</v>
      </c>
      <c r="BD188" s="32">
        <f t="shared" si="200"/>
        <v>3.1244593199652448</v>
      </c>
      <c r="BE188" s="32">
        <f t="shared" si="201"/>
        <v>1.2450083903365159</v>
      </c>
      <c r="BF188" s="59" t="str">
        <f t="shared" si="202"/>
        <v>-0.636756618276213+0.259793008687587i</v>
      </c>
      <c r="BG188" s="50">
        <f t="shared" si="203"/>
        <v>-3.2518348620223891</v>
      </c>
      <c r="BH188" s="61">
        <f t="shared" si="204"/>
        <v>157.80482523835292</v>
      </c>
      <c r="BI188" s="59" t="str">
        <f t="shared" si="205"/>
        <v>0.28799584282759+3.02971795459621i</v>
      </c>
      <c r="BJ188" s="64">
        <f t="shared" si="206"/>
        <v>9.6671098905433279</v>
      </c>
      <c r="BK188" s="61">
        <f t="shared" si="207"/>
        <v>84.569951934334071</v>
      </c>
      <c r="BL188" s="59" t="str">
        <f t="shared" si="211"/>
        <v>0.770911018710414+27.0813731823958i</v>
      </c>
      <c r="BM188" s="64">
        <f t="shared" si="208"/>
        <v>28.65693147200281</v>
      </c>
      <c r="BN188" s="61">
        <f t="shared" si="212"/>
        <v>88.369431920449898</v>
      </c>
      <c r="BO188" s="50">
        <f t="shared" si="209"/>
        <v>9.6671098905433279</v>
      </c>
      <c r="BP188" s="61">
        <f t="shared" si="210"/>
        <v>84.569951934334071</v>
      </c>
    </row>
    <row r="189" spans="14:68" x14ac:dyDescent="0.25">
      <c r="N189" s="11">
        <v>71</v>
      </c>
      <c r="O189" s="51">
        <f t="shared" si="213"/>
        <v>512.86138399136519</v>
      </c>
      <c r="P189" s="49" t="str">
        <f t="shared" si="161"/>
        <v>25.6231073841137</v>
      </c>
      <c r="Q189" s="18" t="str">
        <f t="shared" si="162"/>
        <v>1+2.78666935830641i</v>
      </c>
      <c r="R189" s="18">
        <f t="shared" si="174"/>
        <v>2.9606631204045923</v>
      </c>
      <c r="S189" s="18">
        <f t="shared" si="175"/>
        <v>1.2262580020865181</v>
      </c>
      <c r="T189" s="18" t="str">
        <f t="shared" si="163"/>
        <v>1+0.0029001628012629i</v>
      </c>
      <c r="U189" s="18">
        <f t="shared" si="176"/>
        <v>1.0000042054632938</v>
      </c>
      <c r="V189" s="18">
        <f t="shared" si="177"/>
        <v>2.9001546702680315E-3</v>
      </c>
      <c r="W189" s="32" t="str">
        <f t="shared" si="164"/>
        <v>1-0.0649851294357057i</v>
      </c>
      <c r="X189" s="18">
        <f t="shared" si="178"/>
        <v>1.0021093089318027</v>
      </c>
      <c r="Y189" s="18">
        <f t="shared" si="179"/>
        <v>-6.4893881678689314E-2</v>
      </c>
      <c r="Z189" s="32" t="str">
        <f t="shared" si="165"/>
        <v>0.99999342433002+0.00514510363631455i</v>
      </c>
      <c r="AA189" s="18">
        <f t="shared" si="180"/>
        <v>1.0000066603751736</v>
      </c>
      <c r="AB189" s="18">
        <f t="shared" si="181"/>
        <v>5.1450920683147484E-3</v>
      </c>
      <c r="AC189" s="32" t="str">
        <f>IMDIV(IMSUM(COMPLEX(0,2*PI()*O189*Constants!$B$71*Constants!$B$72),COMPLEX(1,0)),IMSUM(COMPLEX(0,2*PI()*O189*Constants!$B$71*Constants!$B$72),COMPLEX(2,0)))</f>
        <v>0.500020766901075+0.003222269273861i</v>
      </c>
      <c r="AD189" s="18">
        <f t="shared" si="182"/>
        <v>0.50003114938132853</v>
      </c>
      <c r="AE189" s="18">
        <f t="shared" si="183"/>
        <v>6.4441816876310157E-3</v>
      </c>
      <c r="AF189" s="66" t="str">
        <f t="shared" si="184"/>
        <v>1.21446705848825-4.16311919097037i</v>
      </c>
      <c r="AG189" s="64">
        <f t="shared" si="185"/>
        <v>12.743077851335132</v>
      </c>
      <c r="AH189" s="61">
        <f t="shared" si="186"/>
        <v>-73.736954675174673</v>
      </c>
      <c r="AI189" s="50" t="str">
        <f t="shared" si="166"/>
        <v>108.866083054159</v>
      </c>
      <c r="AJ189" s="50" t="str">
        <f t="shared" si="167"/>
        <v>1+2.63651163751173i</v>
      </c>
      <c r="AK189" s="50">
        <f t="shared" si="187"/>
        <v>2.8197860937905883</v>
      </c>
      <c r="AL189" s="50">
        <f t="shared" si="188"/>
        <v>1.208270704145854</v>
      </c>
      <c r="AM189" s="50" t="str">
        <f t="shared" si="168"/>
        <v>1+0.0029001628012629i</v>
      </c>
      <c r="AN189" s="50">
        <f t="shared" si="189"/>
        <v>1.0000042054632938</v>
      </c>
      <c r="AO189" s="50">
        <f t="shared" si="190"/>
        <v>2.9001546702680315E-3</v>
      </c>
      <c r="AP189" s="50" t="str">
        <f t="shared" si="169"/>
        <v>1-0.0144709461805634i</v>
      </c>
      <c r="AQ189" s="50">
        <f t="shared" si="191"/>
        <v>1.0001046986607756</v>
      </c>
      <c r="AR189" s="50">
        <f t="shared" si="192"/>
        <v>-1.4469936195460486E-2</v>
      </c>
      <c r="AS189" s="59" t="str">
        <f t="shared" si="193"/>
        <v>13.2746771566982-36.2585066722185i</v>
      </c>
      <c r="AT189" s="50">
        <f t="shared" si="194"/>
        <v>31.734474543391194</v>
      </c>
      <c r="AU189" s="61">
        <f t="shared" si="195"/>
        <v>-69.891711508139508</v>
      </c>
      <c r="AV189" s="32" t="str">
        <f t="shared" si="170"/>
        <v>-0.0000333333333333333</v>
      </c>
      <c r="AW189" s="32" t="str">
        <f t="shared" si="171"/>
        <v>0.000154675349400688i</v>
      </c>
      <c r="AX189" s="32">
        <f t="shared" si="196"/>
        <v>1.5467534940068799E-4</v>
      </c>
      <c r="AY189" s="32">
        <f t="shared" si="197"/>
        <v>1.5707963267948966</v>
      </c>
      <c r="AZ189" s="32" t="str">
        <f t="shared" si="172"/>
        <v>1+0.063105394286739i</v>
      </c>
      <c r="BA189" s="32">
        <f t="shared" si="198"/>
        <v>1.0019891670013628</v>
      </c>
      <c r="BB189" s="32">
        <f t="shared" si="199"/>
        <v>6.3021825862191891E-2</v>
      </c>
      <c r="BC189" s="32" t="str">
        <f t="shared" si="173"/>
        <v>1+3.02905892576348i</v>
      </c>
      <c r="BD189" s="32">
        <f t="shared" si="200"/>
        <v>3.1898586137550686</v>
      </c>
      <c r="BE189" s="32">
        <f t="shared" si="201"/>
        <v>1.2519265433037194</v>
      </c>
      <c r="BF189" s="59" t="str">
        <f t="shared" si="202"/>
        <v>-0.636642943411893+0.255680747236468i</v>
      </c>
      <c r="BG189" s="50">
        <f t="shared" si="203"/>
        <v>-3.272679053608897</v>
      </c>
      <c r="BH189" s="61">
        <f t="shared" si="204"/>
        <v>158.11922255259321</v>
      </c>
      <c r="BI189" s="59" t="str">
        <f t="shared" si="205"/>
        <v>0.291247542789041+2.96093630052227i</v>
      </c>
      <c r="BJ189" s="64">
        <f t="shared" si="206"/>
        <v>9.4703987977262454</v>
      </c>
      <c r="BK189" s="61">
        <f t="shared" si="207"/>
        <v>84.38226787741857</v>
      </c>
      <c r="BL189" s="59" t="str">
        <f t="shared" si="211"/>
        <v>0.819372541748326+26.4778017862684i</v>
      </c>
      <c r="BM189" s="64">
        <f t="shared" si="208"/>
        <v>28.461795489782293</v>
      </c>
      <c r="BN189" s="61">
        <f t="shared" si="212"/>
        <v>88.227511044453706</v>
      </c>
      <c r="BO189" s="50">
        <f t="shared" si="209"/>
        <v>9.4703987977262454</v>
      </c>
      <c r="BP189" s="61">
        <f t="shared" si="210"/>
        <v>84.38226787741857</v>
      </c>
    </row>
    <row r="190" spans="14:68" x14ac:dyDescent="0.25">
      <c r="N190" s="11">
        <v>72</v>
      </c>
      <c r="O190" s="51">
        <f t="shared" si="213"/>
        <v>524.80746024977248</v>
      </c>
      <c r="P190" s="49" t="str">
        <f t="shared" si="161"/>
        <v>25.6231073841137</v>
      </c>
      <c r="Q190" s="18" t="str">
        <f t="shared" si="162"/>
        <v>1+2.85157922615846i</v>
      </c>
      <c r="R190" s="18">
        <f t="shared" si="174"/>
        <v>3.0218378651175977</v>
      </c>
      <c r="S190" s="18">
        <f t="shared" si="175"/>
        <v>1.233513285506769</v>
      </c>
      <c r="T190" s="18" t="str">
        <f t="shared" si="163"/>
        <v>1+0.00296771627100565i</v>
      </c>
      <c r="U190" s="18">
        <f t="shared" si="176"/>
        <v>1.0000044036602365</v>
      </c>
      <c r="V190" s="18">
        <f t="shared" si="177"/>
        <v>2.9677075584897497E-3</v>
      </c>
      <c r="W190" s="32" t="str">
        <f t="shared" si="164"/>
        <v>1-0.0664988275540155i</v>
      </c>
      <c r="X190" s="18">
        <f t="shared" si="178"/>
        <v>1.0022086080582517</v>
      </c>
      <c r="Y190" s="18">
        <f t="shared" si="179"/>
        <v>-6.6401065454232897E-2</v>
      </c>
      <c r="Z190" s="32" t="str">
        <f t="shared" si="165"/>
        <v>0.999993114428242+0.00526494849559891i</v>
      </c>
      <c r="AA190" s="18">
        <f t="shared" si="180"/>
        <v>1.0000069742689581</v>
      </c>
      <c r="AB190" s="18">
        <f t="shared" si="181"/>
        <v>5.2649361002662176E-3</v>
      </c>
      <c r="AC190" s="32" t="str">
        <f>IMDIV(IMSUM(COMPLEX(0,2*PI()*O190*Constants!$B$71*Constants!$B$72),COMPLEX(1,0)),IMSUM(COMPLEX(0,2*PI()*O190*Constants!$B$71*Constants!$B$72),COMPLEX(2,0)))</f>
        <v>0.500021745572405+0.00329731911291949i</v>
      </c>
      <c r="AD190" s="18">
        <f t="shared" si="182"/>
        <v>0.50003261729471948</v>
      </c>
      <c r="AE190" s="18">
        <f t="shared" si="183"/>
        <v>6.5942558462810906E-3</v>
      </c>
      <c r="AF190" s="66" t="str">
        <f t="shared" si="184"/>
        <v>1.15461269252487-4.08941351233965i</v>
      </c>
      <c r="AG190" s="64">
        <f t="shared" si="185"/>
        <v>12.566319690277254</v>
      </c>
      <c r="AH190" s="61">
        <f t="shared" si="186"/>
        <v>-74.233404509552372</v>
      </c>
      <c r="AI190" s="50" t="str">
        <f t="shared" si="166"/>
        <v>108.866083054159</v>
      </c>
      <c r="AJ190" s="50" t="str">
        <f t="shared" si="167"/>
        <v>1+2.69792388273241i</v>
      </c>
      <c r="AK190" s="50">
        <f t="shared" si="187"/>
        <v>2.8772892237343681</v>
      </c>
      <c r="AL190" s="50">
        <f t="shared" si="188"/>
        <v>1.2158400689939624</v>
      </c>
      <c r="AM190" s="50" t="str">
        <f t="shared" si="168"/>
        <v>1+0.00296771627100565i</v>
      </c>
      <c r="AN190" s="50">
        <f t="shared" si="189"/>
        <v>1.0000044036602365</v>
      </c>
      <c r="AO190" s="50">
        <f t="shared" si="190"/>
        <v>2.9677075584897497E-3</v>
      </c>
      <c r="AP190" s="50" t="str">
        <f t="shared" si="169"/>
        <v>1-0.0148080178182425i</v>
      </c>
      <c r="AQ190" s="50">
        <f t="shared" si="191"/>
        <v>1.0001096326861898</v>
      </c>
      <c r="AR190" s="50">
        <f t="shared" si="192"/>
        <v>-1.4806935606113887E-2</v>
      </c>
      <c r="AS190" s="59" t="str">
        <f t="shared" si="193"/>
        <v>12.7305055588159-35.6349422380148i</v>
      </c>
      <c r="AT190" s="50">
        <f t="shared" si="194"/>
        <v>31.55917202185471</v>
      </c>
      <c r="AU190" s="61">
        <f t="shared" si="195"/>
        <v>-70.340842316070592</v>
      </c>
      <c r="AV190" s="32" t="str">
        <f t="shared" si="170"/>
        <v>-0.0000333333333333333</v>
      </c>
      <c r="AW190" s="32" t="str">
        <f t="shared" si="171"/>
        <v>0.000158278201120301i</v>
      </c>
      <c r="AX190" s="32">
        <f t="shared" si="196"/>
        <v>1.58278201120301E-4</v>
      </c>
      <c r="AY190" s="32">
        <f t="shared" si="197"/>
        <v>1.5707963267948966</v>
      </c>
      <c r="AZ190" s="32" t="str">
        <f t="shared" si="172"/>
        <v>1+0.0645753077487341i</v>
      </c>
      <c r="BA190" s="32">
        <f t="shared" si="198"/>
        <v>1.0020828161239188</v>
      </c>
      <c r="BB190" s="32">
        <f t="shared" si="199"/>
        <v>6.4485772617508999E-2</v>
      </c>
      <c r="BC190" s="32" t="str">
        <f t="shared" si="173"/>
        <v>1+3.09961477193924i</v>
      </c>
      <c r="BD190" s="32">
        <f t="shared" si="200"/>
        <v>3.2569328722624831</v>
      </c>
      <c r="BE190" s="32">
        <f t="shared" si="201"/>
        <v>1.258717893128239</v>
      </c>
      <c r="BF190" s="59" t="str">
        <f t="shared" si="202"/>
        <v>-0.636523954709273+0.251703377578183i</v>
      </c>
      <c r="BG190" s="50">
        <f t="shared" si="203"/>
        <v>-3.2927433552599212</v>
      </c>
      <c r="BH190" s="61">
        <f t="shared" si="204"/>
        <v>158.42446026422357</v>
      </c>
      <c r="BI190" s="59" t="str">
        <f t="shared" si="205"/>
        <v>0.294380556166298+2.89362957581912i</v>
      </c>
      <c r="BJ190" s="64">
        <f t="shared" si="206"/>
        <v>9.2735763350173279</v>
      </c>
      <c r="BK190" s="61">
        <f t="shared" si="207"/>
        <v>84.191055754671197</v>
      </c>
      <c r="BL190" s="59" t="str">
        <f t="shared" si="211"/>
        <v>0.866163577365901+25.8868056066095i</v>
      </c>
      <c r="BM190" s="64">
        <f t="shared" si="208"/>
        <v>28.266428666594795</v>
      </c>
      <c r="BN190" s="61">
        <f t="shared" si="212"/>
        <v>88.083617948152977</v>
      </c>
      <c r="BO190" s="50">
        <f t="shared" si="209"/>
        <v>9.2735763350173279</v>
      </c>
      <c r="BP190" s="61">
        <f t="shared" si="210"/>
        <v>84.191055754671197</v>
      </c>
    </row>
    <row r="191" spans="14:68" x14ac:dyDescent="0.25">
      <c r="N191" s="11">
        <v>73</v>
      </c>
      <c r="O191" s="51">
        <f t="shared" si="213"/>
        <v>537.03179637025301</v>
      </c>
      <c r="P191" s="49" t="str">
        <f t="shared" si="161"/>
        <v>25.6231073841137</v>
      </c>
      <c r="Q191" s="18" t="str">
        <f t="shared" si="162"/>
        <v>1+2.91800103906132i</v>
      </c>
      <c r="R191" s="18">
        <f t="shared" si="174"/>
        <v>3.0845956078492591</v>
      </c>
      <c r="S191" s="18">
        <f t="shared" si="175"/>
        <v>1.2406392721805597</v>
      </c>
      <c r="T191" s="18" t="str">
        <f t="shared" si="163"/>
        <v>1+0.00303684326319765i</v>
      </c>
      <c r="U191" s="18">
        <f t="shared" si="176"/>
        <v>1.0000046111978711</v>
      </c>
      <c r="V191" s="18">
        <f t="shared" si="177"/>
        <v>3.0368339275709906E-3</v>
      </c>
      <c r="W191" s="32" t="str">
        <f t="shared" si="164"/>
        <v>1-0.0680477842309103i</v>
      </c>
      <c r="X191" s="18">
        <f t="shared" si="178"/>
        <v>1.0023125764644165</v>
      </c>
      <c r="Y191" s="18">
        <f t="shared" si="179"/>
        <v>-6.7943043302801695E-2</v>
      </c>
      <c r="Z191" s="32" t="str">
        <f t="shared" si="165"/>
        <v>0.999992789921242+0.00538758490026546i</v>
      </c>
      <c r="AA191" s="18">
        <f t="shared" si="180"/>
        <v>1.0000073029560967</v>
      </c>
      <c r="AB191" s="18">
        <f t="shared" si="181"/>
        <v>5.387571618429907E-3</v>
      </c>
      <c r="AC191" s="32" t="str">
        <f>IMDIV(IMSUM(COMPLEX(0,2*PI()*O191*Constants!$B$71*Constants!$B$72),COMPLEX(1,0)),IMSUM(COMPLEX(0,2*PI()*O191*Constants!$B$71*Constants!$B$72),COMPLEX(2,0)))</f>
        <v>0.500022770362987+0.00337411662572308i</v>
      </c>
      <c r="AD191" s="18">
        <f t="shared" si="182"/>
        <v>0.50003415437795884</v>
      </c>
      <c r="AE191" s="18">
        <f t="shared" si="183"/>
        <v>6.7478235276429389E-3</v>
      </c>
      <c r="AF191" s="66" t="str">
        <f t="shared" si="184"/>
        <v>1.09687255033857-4.01618484297958i</v>
      </c>
      <c r="AG191" s="64">
        <f t="shared" si="185"/>
        <v>12.388704818557812</v>
      </c>
      <c r="AH191" s="61">
        <f t="shared" si="186"/>
        <v>-74.72430936204897</v>
      </c>
      <c r="AI191" s="50" t="str">
        <f t="shared" si="166"/>
        <v>108.866083054159</v>
      </c>
      <c r="AJ191" s="50" t="str">
        <f t="shared" si="167"/>
        <v>1+2.76076660290696i</v>
      </c>
      <c r="AK191" s="50">
        <f t="shared" si="187"/>
        <v>2.9362956655838386</v>
      </c>
      <c r="AL191" s="50">
        <f t="shared" si="188"/>
        <v>1.2232784030225687</v>
      </c>
      <c r="AM191" s="50" t="str">
        <f t="shared" si="168"/>
        <v>1+0.00303684326319765i</v>
      </c>
      <c r="AN191" s="50">
        <f t="shared" si="189"/>
        <v>1.0000046111978711</v>
      </c>
      <c r="AO191" s="50">
        <f t="shared" si="190"/>
        <v>3.0368339275709906E-3</v>
      </c>
      <c r="AP191" s="50" t="str">
        <f t="shared" si="169"/>
        <v>1-0.0151529408629761i</v>
      </c>
      <c r="AQ191" s="50">
        <f t="shared" si="191"/>
        <v>1.0001147992189681</v>
      </c>
      <c r="AR191" s="50">
        <f t="shared" si="192"/>
        <v>-1.5151781258976781E-2</v>
      </c>
      <c r="AS191" s="59" t="str">
        <f t="shared" si="193"/>
        <v>12.2050105063123-35.0142174815454i</v>
      </c>
      <c r="AT191" s="50">
        <f t="shared" si="194"/>
        <v>31.382893397903445</v>
      </c>
      <c r="AU191" s="61">
        <f t="shared" si="195"/>
        <v>-70.782825013809415</v>
      </c>
      <c r="AV191" s="32" t="str">
        <f t="shared" si="170"/>
        <v>-0.0000333333333333333</v>
      </c>
      <c r="AW191" s="32" t="str">
        <f t="shared" si="171"/>
        <v>0.000161964974037208i</v>
      </c>
      <c r="AX191" s="32">
        <f t="shared" si="196"/>
        <v>1.61964974037208E-4</v>
      </c>
      <c r="AY191" s="32">
        <f t="shared" si="197"/>
        <v>1.5707963267948966</v>
      </c>
      <c r="AZ191" s="32" t="str">
        <f t="shared" si="172"/>
        <v>1+0.0660794598936526i</v>
      </c>
      <c r="BA191" s="32">
        <f t="shared" si="198"/>
        <v>1.0021808694142174</v>
      </c>
      <c r="BB191" s="32">
        <f t="shared" si="199"/>
        <v>6.5983532544112822E-2</v>
      </c>
      <c r="BC191" s="32" t="str">
        <f t="shared" si="173"/>
        <v>1+3.17181407489533i</v>
      </c>
      <c r="BD191" s="32">
        <f t="shared" si="200"/>
        <v>3.3257186480073919</v>
      </c>
      <c r="BE191" s="32">
        <f t="shared" si="201"/>
        <v>1.2653835339437056</v>
      </c>
      <c r="BF191" s="59" t="str">
        <f t="shared" si="202"/>
        <v>-0.636399405904233+0.247858743093605i</v>
      </c>
      <c r="BG191" s="50">
        <f t="shared" si="203"/>
        <v>-3.312059261795373</v>
      </c>
      <c r="BH191" s="61">
        <f t="shared" si="204"/>
        <v>158.72055802818167</v>
      </c>
      <c r="BI191" s="59" t="str">
        <f t="shared" si="205"/>
        <v>0.297397487824379+2.82776709973459i</v>
      </c>
      <c r="BJ191" s="64">
        <f t="shared" si="206"/>
        <v>9.076645556762454</v>
      </c>
      <c r="BK191" s="61">
        <f t="shared" si="207"/>
        <v>83.996248666132686</v>
      </c>
      <c r="BL191" s="59" t="str">
        <f t="shared" si="211"/>
        <v>0.911318500109905+25.3081457669959i</v>
      </c>
      <c r="BM191" s="64">
        <f t="shared" si="208"/>
        <v>28.070834136108065</v>
      </c>
      <c r="BN191" s="61">
        <f t="shared" si="212"/>
        <v>87.937733014372228</v>
      </c>
      <c r="BO191" s="50">
        <f t="shared" si="209"/>
        <v>9.076645556762454</v>
      </c>
      <c r="BP191" s="61">
        <f t="shared" si="210"/>
        <v>83.996248666132686</v>
      </c>
    </row>
    <row r="192" spans="14:68" x14ac:dyDescent="0.25">
      <c r="N192" s="11">
        <v>74</v>
      </c>
      <c r="O192" s="51">
        <f t="shared" si="213"/>
        <v>549.54087385762534</v>
      </c>
      <c r="P192" s="49" t="str">
        <f t="shared" si="161"/>
        <v>25.6231073841137</v>
      </c>
      <c r="Q192" s="18" t="str">
        <f t="shared" si="162"/>
        <v>1+2.98597001473941i</v>
      </c>
      <c r="R192" s="18">
        <f t="shared" si="174"/>
        <v>3.1489707729546925</v>
      </c>
      <c r="S192" s="18">
        <f t="shared" si="175"/>
        <v>1.2476368446298018</v>
      </c>
      <c r="T192" s="18" t="str">
        <f t="shared" si="163"/>
        <v>1+0.00310758042988518i</v>
      </c>
      <c r="U192" s="18">
        <f t="shared" si="176"/>
        <v>1.0000048285164067</v>
      </c>
      <c r="V192" s="18">
        <f t="shared" si="177"/>
        <v>3.1075704265835966E-3</v>
      </c>
      <c r="W192" s="32" t="str">
        <f t="shared" si="164"/>
        <v>1-0.0696328207437234i</v>
      </c>
      <c r="X192" s="18">
        <f t="shared" si="178"/>
        <v>1.0024214331930097</v>
      </c>
      <c r="Y192" s="18">
        <f t="shared" si="179"/>
        <v>-6.9520603454127583E-2</v>
      </c>
      <c r="Z192" s="32" t="str">
        <f t="shared" si="165"/>
        <v>0.999992450120699+0.00551307787375925i</v>
      </c>
      <c r="AA192" s="18">
        <f t="shared" si="180"/>
        <v>1.0000076471337811</v>
      </c>
      <c r="AB192" s="18">
        <f t="shared" si="181"/>
        <v>5.5130636420190927E-3</v>
      </c>
      <c r="AC192" s="32" t="str">
        <f>IMDIV(IMSUM(COMPLEX(0,2*PI()*O192*Constants!$B$71*Constants!$B$72),COMPLEX(1,0)),IMSUM(COMPLEX(0,2*PI()*O192*Constants!$B$71*Constants!$B$72),COMPLEX(2,0)))</f>
        <v>0.500023843445959+0.00345270248781453i</v>
      </c>
      <c r="AD192" s="18">
        <f t="shared" si="182"/>
        <v>0.50003576388988247</v>
      </c>
      <c r="AE192" s="18">
        <f t="shared" si="183"/>
        <v>6.9049659523386323E-3</v>
      </c>
      <c r="AF192" s="66" t="str">
        <f t="shared" si="184"/>
        <v>1.04119457290181-3.94348365765445i</v>
      </c>
      <c r="AG192" s="64">
        <f t="shared" si="185"/>
        <v>12.210267081417623</v>
      </c>
      <c r="AH192" s="61">
        <f t="shared" si="186"/>
        <v>-75.20976193157226</v>
      </c>
      <c r="AI192" s="50" t="str">
        <f t="shared" si="166"/>
        <v>108.866083054159</v>
      </c>
      <c r="AJ192" s="50" t="str">
        <f t="shared" si="167"/>
        <v>1+2.82507311807744i</v>
      </c>
      <c r="AK192" s="50">
        <f t="shared" si="187"/>
        <v>2.9968380207284793</v>
      </c>
      <c r="AL192" s="50">
        <f t="shared" si="188"/>
        <v>1.2305863567211761</v>
      </c>
      <c r="AM192" s="50" t="str">
        <f t="shared" si="168"/>
        <v>1+0.00310758042988518i</v>
      </c>
      <c r="AN192" s="50">
        <f t="shared" si="189"/>
        <v>1.0000048285164067</v>
      </c>
      <c r="AO192" s="50">
        <f t="shared" si="190"/>
        <v>3.1075704265835966E-3</v>
      </c>
      <c r="AP192" s="50" t="str">
        <f t="shared" si="169"/>
        <v>1-0.0155058981975282i</v>
      </c>
      <c r="AQ192" s="50">
        <f t="shared" si="191"/>
        <v>1.0001202092143284</v>
      </c>
      <c r="AR192" s="50">
        <f t="shared" si="192"/>
        <v>-1.5504655667522398E-2</v>
      </c>
      <c r="AS192" s="59" t="str">
        <f t="shared" si="193"/>
        <v>11.6977756031647-34.3968276896268i</v>
      </c>
      <c r="AT192" s="50">
        <f t="shared" si="194"/>
        <v>31.205672552494718</v>
      </c>
      <c r="AU192" s="61">
        <f t="shared" si="195"/>
        <v>-71.217705229073502</v>
      </c>
      <c r="AV192" s="32" t="str">
        <f t="shared" si="170"/>
        <v>-0.0000333333333333333</v>
      </c>
      <c r="AW192" s="32" t="str">
        <f t="shared" si="171"/>
        <v>0.000165737622927209i</v>
      </c>
      <c r="AX192" s="32">
        <f t="shared" si="196"/>
        <v>1.65737622927209E-4</v>
      </c>
      <c r="AY192" s="32">
        <f t="shared" si="197"/>
        <v>1.5707963267948966</v>
      </c>
      <c r="AZ192" s="32" t="str">
        <f t="shared" si="172"/>
        <v>1+0.0676186482428719i</v>
      </c>
      <c r="BA192" s="32">
        <f t="shared" si="198"/>
        <v>1.0022835335323999</v>
      </c>
      <c r="BB192" s="32">
        <f t="shared" si="199"/>
        <v>6.7515872879784986E-2</v>
      </c>
      <c r="BC192" s="32" t="str">
        <f t="shared" si="173"/>
        <v>1+3.24569511565786i</v>
      </c>
      <c r="BD192" s="32">
        <f t="shared" si="200"/>
        <v>3.3962533450561798</v>
      </c>
      <c r="BE192" s="32">
        <f t="shared" si="201"/>
        <v>1.271924629850365</v>
      </c>
      <c r="BF192" s="59" t="str">
        <f t="shared" si="202"/>
        <v>-0.636269039524913+0.244144754174482i</v>
      </c>
      <c r="BG192" s="50">
        <f t="shared" si="203"/>
        <v>-3.3306575338589735</v>
      </c>
      <c r="BH192" s="61">
        <f t="shared" si="204"/>
        <v>159.00753858301192</v>
      </c>
      <c r="BI192" s="59" t="str">
        <f t="shared" si="205"/>
        <v>0.300300977330346+2.7633187522869i</v>
      </c>
      <c r="BJ192" s="64">
        <f t="shared" si="206"/>
        <v>8.8796095475586352</v>
      </c>
      <c r="BK192" s="61">
        <f t="shared" si="207"/>
        <v>83.797776651439648</v>
      </c>
      <c r="BL192" s="59" t="str">
        <f t="shared" si="211"/>
        <v>0.954872593062387+24.7415870658057i</v>
      </c>
      <c r="BM192" s="64">
        <f t="shared" si="208"/>
        <v>27.87501501863575</v>
      </c>
      <c r="BN192" s="61">
        <f t="shared" si="212"/>
        <v>87.78983335393842</v>
      </c>
      <c r="BO192" s="50">
        <f t="shared" si="209"/>
        <v>8.8796095475586352</v>
      </c>
      <c r="BP192" s="61">
        <f t="shared" si="210"/>
        <v>83.797776651439648</v>
      </c>
    </row>
    <row r="193" spans="14:68" x14ac:dyDescent="0.25">
      <c r="N193" s="11">
        <v>75</v>
      </c>
      <c r="O193" s="51">
        <f t="shared" si="213"/>
        <v>562.34132519034927</v>
      </c>
      <c r="P193" s="49" t="str">
        <f t="shared" si="161"/>
        <v>25.6231073841137</v>
      </c>
      <c r="Q193" s="18" t="str">
        <f t="shared" si="162"/>
        <v>1+3.0555221912433i</v>
      </c>
      <c r="R193" s="18">
        <f t="shared" si="174"/>
        <v>3.2149985787213433</v>
      </c>
      <c r="S193" s="18">
        <f t="shared" si="175"/>
        <v>1.2545069710106043</v>
      </c>
      <c r="T193" s="18" t="str">
        <f t="shared" si="163"/>
        <v>1+0.00317996527685031i</v>
      </c>
      <c r="U193" s="18">
        <f t="shared" si="176"/>
        <v>1.000005056076799</v>
      </c>
      <c r="V193" s="18">
        <f t="shared" si="177"/>
        <v>3.179954558122474E-3</v>
      </c>
      <c r="W193" s="32" t="str">
        <f t="shared" si="164"/>
        <v>1-0.071254777499794i</v>
      </c>
      <c r="X193" s="18">
        <f t="shared" si="178"/>
        <v>1.0025354075126449</v>
      </c>
      <c r="Y193" s="18">
        <f t="shared" si="179"/>
        <v>-7.1134550925289364E-2</v>
      </c>
      <c r="Z193" s="32" t="str">
        <f t="shared" si="165"/>
        <v>0.99999209430585+0.00564149395411592i</v>
      </c>
      <c r="AA193" s="18">
        <f t="shared" si="180"/>
        <v>1.000008007532057</v>
      </c>
      <c r="AB193" s="18">
        <f t="shared" si="181"/>
        <v>5.6414787045350138E-3</v>
      </c>
      <c r="AC193" s="32" t="str">
        <f>IMDIV(IMSUM(COMPLEX(0,2*PI()*O193*Constants!$B$71*Constants!$B$72),COMPLEX(1,0)),IMSUM(COMPLEX(0,2*PI()*O193*Constants!$B$71*Constants!$B$72),COMPLEX(2,0)))</f>
        <v>0.500024967096836+0.00353311831983145i</v>
      </c>
      <c r="AD193" s="18">
        <f t="shared" si="182"/>
        <v>0.50003744924280802</v>
      </c>
      <c r="AE193" s="18">
        <f t="shared" si="183"/>
        <v>7.0657662218546052E-3</v>
      </c>
      <c r="AF193" s="66" t="str">
        <f t="shared" si="184"/>
        <v>0.987526136194817-3.87135690355792i</v>
      </c>
      <c r="AG193" s="64">
        <f t="shared" si="185"/>
        <v>12.031039613925467</v>
      </c>
      <c r="AH193" s="61">
        <f t="shared" si="186"/>
        <v>-75.689860715446414</v>
      </c>
      <c r="AI193" s="50" t="str">
        <f t="shared" si="166"/>
        <v>108.866083054159</v>
      </c>
      <c r="AJ193" s="50" t="str">
        <f t="shared" si="167"/>
        <v>1+2.89087752440938i</v>
      </c>
      <c r="AK193" s="50">
        <f t="shared" si="187"/>
        <v>3.0589496336382047</v>
      </c>
      <c r="AL193" s="50">
        <f t="shared" si="188"/>
        <v>1.2377646815845227</v>
      </c>
      <c r="AM193" s="50" t="str">
        <f t="shared" si="168"/>
        <v>1+0.00317996527685031i</v>
      </c>
      <c r="AN193" s="50">
        <f t="shared" si="189"/>
        <v>1.000005056076799</v>
      </c>
      <c r="AO193" s="50">
        <f t="shared" si="190"/>
        <v>3.179954558122474E-3</v>
      </c>
      <c r="AP193" s="50" t="str">
        <f t="shared" si="169"/>
        <v>1-0.0158670769645493i</v>
      </c>
      <c r="AQ193" s="50">
        <f t="shared" si="191"/>
        <v>1.0001258741435495</v>
      </c>
      <c r="AR193" s="50">
        <f t="shared" si="192"/>
        <v>-1.5865745578710691E-2</v>
      </c>
      <c r="AS193" s="59" t="str">
        <f t="shared" si="193"/>
        <v>11.2083755124868-33.783237008899i</v>
      </c>
      <c r="AT193" s="50">
        <f t="shared" si="194"/>
        <v>31.027542601148191</v>
      </c>
      <c r="AU193" s="61">
        <f t="shared" si="195"/>
        <v>-71.645534570412039</v>
      </c>
      <c r="AV193" s="32" t="str">
        <f t="shared" si="170"/>
        <v>-0.0000333333333333333</v>
      </c>
      <c r="AW193" s="32" t="str">
        <f t="shared" si="171"/>
        <v>0.000169598148098683i</v>
      </c>
      <c r="AX193" s="32">
        <f t="shared" si="196"/>
        <v>1.69598148098683E-4</v>
      </c>
      <c r="AY193" s="32">
        <f t="shared" si="197"/>
        <v>1.5707963267948966</v>
      </c>
      <c r="AZ193" s="32" t="str">
        <f t="shared" si="172"/>
        <v>1+0.0691936888944281i</v>
      </c>
      <c r="BA193" s="32">
        <f t="shared" si="198"/>
        <v>1.0023910247916323</v>
      </c>
      <c r="BB193" s="32">
        <f t="shared" si="199"/>
        <v>6.9083577291154691E-2</v>
      </c>
      <c r="BC193" s="32" t="str">
        <f t="shared" si="173"/>
        <v>1+3.32129706693255i</v>
      </c>
      <c r="BD193" s="32">
        <f t="shared" si="200"/>
        <v>3.4685752416251203</v>
      </c>
      <c r="BE193" s="32">
        <f t="shared" si="201"/>
        <v>1.2783424092816131</v>
      </c>
      <c r="BF193" s="59" t="str">
        <f t="shared" si="202"/>
        <v>-0.636132586401326+0.240559386880613i</v>
      </c>
      <c r="BG193" s="50">
        <f t="shared" si="203"/>
        <v>-3.3485682011165774</v>
      </c>
      <c r="BH193" s="61">
        <f t="shared" si="204"/>
        <v>159.28542741197271</v>
      </c>
      <c r="BI193" s="59" t="str">
        <f t="shared" si="205"/>
        <v>0.303093687959405+2.70025496179453i</v>
      </c>
      <c r="BJ193" s="64">
        <f t="shared" si="206"/>
        <v>8.6824714128088765</v>
      </c>
      <c r="BK193" s="61">
        <f t="shared" si="207"/>
        <v>83.595566696526291</v>
      </c>
      <c r="BL193" s="59" t="str">
        <f t="shared" si="211"/>
        <v>0.996861877587662+24.1868978766914i</v>
      </c>
      <c r="BM193" s="64">
        <f t="shared" si="208"/>
        <v>27.678974400031606</v>
      </c>
      <c r="BN193" s="61">
        <f t="shared" si="212"/>
        <v>87.63989284156068</v>
      </c>
      <c r="BO193" s="50">
        <f t="shared" si="209"/>
        <v>8.6824714128088765</v>
      </c>
      <c r="BP193" s="61">
        <f t="shared" si="210"/>
        <v>83.595566696526291</v>
      </c>
    </row>
    <row r="194" spans="14:68" x14ac:dyDescent="0.25">
      <c r="N194" s="11">
        <v>76</v>
      </c>
      <c r="O194" s="51">
        <f t="shared" si="213"/>
        <v>575.43993733715706</v>
      </c>
      <c r="P194" s="49" t="str">
        <f t="shared" si="161"/>
        <v>25.6231073841137</v>
      </c>
      <c r="Q194" s="18" t="str">
        <f t="shared" si="162"/>
        <v>1+3.12669444605761i</v>
      </c>
      <c r="R194" s="18">
        <f t="shared" si="174"/>
        <v>3.2827150590642957</v>
      </c>
      <c r="S194" s="18">
        <f t="shared" si="175"/>
        <v>1.2612506989924208</v>
      </c>
      <c r="T194" s="18" t="str">
        <f t="shared" si="163"/>
        <v>1+0.00325403618349706i</v>
      </c>
      <c r="U194" s="18">
        <f t="shared" si="176"/>
        <v>1.0000052943617266</v>
      </c>
      <c r="V194" s="18">
        <f t="shared" si="177"/>
        <v>3.2540246981765408E-3</v>
      </c>
      <c r="W194" s="32" t="str">
        <f t="shared" si="164"/>
        <v>1-0.0729145144820636i</v>
      </c>
      <c r="X194" s="18">
        <f t="shared" si="178"/>
        <v>1.0026547393904619</v>
      </c>
      <c r="Y194" s="18">
        <f t="shared" si="179"/>
        <v>-7.2785707801291774E-2</v>
      </c>
      <c r="Z194" s="32" t="str">
        <f t="shared" si="165"/>
        <v>0.999991721721963+0.00577290122924107i</v>
      </c>
      <c r="AA194" s="18">
        <f t="shared" si="180"/>
        <v>1.0000083849153758</v>
      </c>
      <c r="AB194" s="18">
        <f t="shared" si="181"/>
        <v>5.7728848890245734E-3</v>
      </c>
      <c r="AC194" s="32" t="str">
        <f>IMDIV(IMSUM(COMPLEX(0,2*PI()*O194*Constants!$B$71*Constants!$B$72),COMPLEX(1,0)),IMSUM(COMPLEX(0,2*PI()*O194*Constants!$B$71*Constants!$B$72),COMPLEX(2,0)))</f>
        <v>0.500026143698334+0.00361540670935151i</v>
      </c>
      <c r="AD194" s="18">
        <f t="shared" si="182"/>
        <v>0.50003921400976237</v>
      </c>
      <c r="AE194" s="18">
        <f t="shared" si="183"/>
        <v>7.230309361565746E-3</v>
      </c>
      <c r="AF194" s="66" t="str">
        <f t="shared" si="184"/>
        <v>0.93581423831259-3.79984809797136i</v>
      </c>
      <c r="AG194" s="64">
        <f t="shared" si="185"/>
        <v>11.851054837862032</v>
      </c>
      <c r="AH194" s="61">
        <f t="shared" si="186"/>
        <v>-76.164709673204598</v>
      </c>
      <c r="AI194" s="50" t="str">
        <f t="shared" si="166"/>
        <v>108.866083054159</v>
      </c>
      <c r="AJ194" s="50" t="str">
        <f t="shared" si="167"/>
        <v>1+2.95821471227005i</v>
      </c>
      <c r="AK194" s="50">
        <f t="shared" si="187"/>
        <v>3.1226646127771991</v>
      </c>
      <c r="AL194" s="50">
        <f t="shared" si="188"/>
        <v>1.2448142236205761</v>
      </c>
      <c r="AM194" s="50" t="str">
        <f t="shared" si="168"/>
        <v>1+0.00325403618349706i</v>
      </c>
      <c r="AN194" s="50">
        <f t="shared" si="189"/>
        <v>1.0000052943617266</v>
      </c>
      <c r="AO194" s="50">
        <f t="shared" si="190"/>
        <v>3.2540246981765408E-3</v>
      </c>
      <c r="AP194" s="50" t="str">
        <f t="shared" si="169"/>
        <v>1-0.0162366686658027i</v>
      </c>
      <c r="AQ194" s="50">
        <f t="shared" si="191"/>
        <v>1.0001318060182682</v>
      </c>
      <c r="AR194" s="50">
        <f t="shared" si="192"/>
        <v>-1.6235242070327952E-2</v>
      </c>
      <c r="AS194" s="59" t="str">
        <f t="shared" si="193"/>
        <v>10.7363777911762-33.1738790844271i</v>
      </c>
      <c r="AT194" s="50">
        <f t="shared" si="194"/>
        <v>30.848535879505967</v>
      </c>
      <c r="AU194" s="61">
        <f t="shared" si="195"/>
        <v>-72.066370259679417</v>
      </c>
      <c r="AV194" s="32" t="str">
        <f t="shared" si="170"/>
        <v>-0.0000333333333333333</v>
      </c>
      <c r="AW194" s="32" t="str">
        <f t="shared" si="171"/>
        <v>0.000173548596453176i</v>
      </c>
      <c r="AX194" s="32">
        <f t="shared" si="196"/>
        <v>1.7354859645317601E-4</v>
      </c>
      <c r="AY194" s="32">
        <f t="shared" si="197"/>
        <v>1.5707963267948966</v>
      </c>
      <c r="AZ194" s="32" t="str">
        <f t="shared" si="172"/>
        <v>1+0.070805416955723i</v>
      </c>
      <c r="BA194" s="32">
        <f t="shared" si="198"/>
        <v>1.002503569604754</v>
      </c>
      <c r="BB194" s="32">
        <f t="shared" si="199"/>
        <v>7.068744615498207E-2</v>
      </c>
      <c r="BC194" s="32" t="str">
        <f t="shared" si="173"/>
        <v>1+3.39866001387471i</v>
      </c>
      <c r="BD194" s="32">
        <f t="shared" si="200"/>
        <v>3.5427235130490837</v>
      </c>
      <c r="BE194" s="32">
        <f t="shared" si="201"/>
        <v>1.2846381595714818</v>
      </c>
      <c r="BF194" s="59" t="str">
        <f t="shared" si="202"/>
        <v>-0.635989765155489+0.23710068161575i</v>
      </c>
      <c r="BG194" s="50">
        <f t="shared" si="203"/>
        <v>-3.365820567845045</v>
      </c>
      <c r="BH194" s="61">
        <f t="shared" si="204"/>
        <v>159.55425241566076</v>
      </c>
      <c r="BI194" s="59" t="str">
        <f t="shared" si="205"/>
        <v>0.305778296411734+2.63854669322498i</v>
      </c>
      <c r="BJ194" s="64">
        <f t="shared" si="206"/>
        <v>8.4852342700170027</v>
      </c>
      <c r="BK194" s="61">
        <f t="shared" si="207"/>
        <v>83.389542742456172</v>
      </c>
      <c r="BL194" s="59" t="str">
        <f t="shared" si="211"/>
        <v>1.03732295272538+23.6438500605735i</v>
      </c>
      <c r="BM194" s="64">
        <f t="shared" si="208"/>
        <v>27.482715311660936</v>
      </c>
      <c r="BN194" s="61">
        <f t="shared" si="212"/>
        <v>87.487882155981353</v>
      </c>
      <c r="BO194" s="50">
        <f t="shared" si="209"/>
        <v>8.4852342700170027</v>
      </c>
      <c r="BP194" s="61">
        <f t="shared" si="210"/>
        <v>83.389542742456172</v>
      </c>
    </row>
    <row r="195" spans="14:68" x14ac:dyDescent="0.25">
      <c r="N195" s="11">
        <v>77</v>
      </c>
      <c r="O195" s="51">
        <f t="shared" si="213"/>
        <v>588.84365535558959</v>
      </c>
      <c r="P195" s="49" t="str">
        <f t="shared" si="161"/>
        <v>25.6231073841137</v>
      </c>
      <c r="Q195" s="18" t="str">
        <f t="shared" si="162"/>
        <v>1+3.1995245156539i</v>
      </c>
      <c r="R195" s="18">
        <f t="shared" si="174"/>
        <v>3.3521570855600311</v>
      </c>
      <c r="S195" s="18">
        <f t="shared" si="175"/>
        <v>1.2678691498149011</v>
      </c>
      <c r="T195" s="18" t="str">
        <f t="shared" si="163"/>
        <v>1+0.00332983242320055i</v>
      </c>
      <c r="U195" s="18">
        <f t="shared" si="176"/>
        <v>1.000005543876616</v>
      </c>
      <c r="V195" s="18">
        <f t="shared" si="177"/>
        <v>3.3298201164615716E-3</v>
      </c>
      <c r="W195" s="32" t="str">
        <f t="shared" si="164"/>
        <v>1-0.0746129117050493i</v>
      </c>
      <c r="X195" s="18">
        <f t="shared" si="178"/>
        <v>1.0027796799861401</v>
      </c>
      <c r="Y195" s="18">
        <f t="shared" si="179"/>
        <v>-7.4474913514524746E-2</v>
      </c>
      <c r="Z195" s="32" t="str">
        <f t="shared" si="165"/>
        <v>0.999991331578739+0.00590736937301134i</v>
      </c>
      <c r="AA195" s="18">
        <f t="shared" si="180"/>
        <v>1.0000087800842192</v>
      </c>
      <c r="AB195" s="18">
        <f t="shared" si="181"/>
        <v>5.9073518641582171E-3</v>
      </c>
      <c r="AC195" s="32" t="str">
        <f>IMDIV(IMSUM(COMPLEX(0,2*PI()*O195*Constants!$B$71*Constants!$B$72),COMPLEX(1,0)),IMSUM(COMPLEX(0,2*PI()*O195*Constants!$B$71*Constants!$B$72),COMPLEX(2,0)))</f>
        <v>0.500027375745417+0.0036996112332346i</v>
      </c>
      <c r="AD195" s="18">
        <f t="shared" si="182"/>
        <v>0.50004106193204323</v>
      </c>
      <c r="AE195" s="18">
        <f t="shared" si="183"/>
        <v>7.3986823647058603E-3</v>
      </c>
      <c r="AF195" s="66" t="str">
        <f t="shared" si="184"/>
        <v>0.886005673211394-3.72899743248735i</v>
      </c>
      <c r="AG195" s="64">
        <f t="shared" si="185"/>
        <v>11.670344461537152</v>
      </c>
      <c r="AH195" s="61">
        <f t="shared" si="186"/>
        <v>-76.634417900466232</v>
      </c>
      <c r="AI195" s="50" t="str">
        <f t="shared" si="166"/>
        <v>108.866083054159</v>
      </c>
      <c r="AJ195" s="50" t="str">
        <f t="shared" si="167"/>
        <v>1+3.02712038472777i</v>
      </c>
      <c r="AK195" s="50">
        <f t="shared" si="187"/>
        <v>3.1880178518374707</v>
      </c>
      <c r="AL195" s="50">
        <f t="shared" si="188"/>
        <v>1.2517359170018112</v>
      </c>
      <c r="AM195" s="50" t="str">
        <f t="shared" si="168"/>
        <v>1+0.00332983242320055i</v>
      </c>
      <c r="AN195" s="50">
        <f t="shared" si="189"/>
        <v>1.000005543876616</v>
      </c>
      <c r="AO195" s="50">
        <f t="shared" si="190"/>
        <v>3.3298201164615716E-3</v>
      </c>
      <c r="AP195" s="50" t="str">
        <f t="shared" si="169"/>
        <v>1-0.0166148692637004i</v>
      </c>
      <c r="AQ195" s="50">
        <f t="shared" si="191"/>
        <v>1.0001380174159213</v>
      </c>
      <c r="AR195" s="50">
        <f t="shared" si="192"/>
        <v>-1.6613340650501265E-2</v>
      </c>
      <c r="AS195" s="59" t="str">
        <f t="shared" si="193"/>
        <v>10.2813446115282-32.5691577800234i</v>
      </c>
      <c r="AT195" s="50">
        <f t="shared" si="194"/>
        <v>30.668683932156</v>
      </c>
      <c r="AU195" s="61">
        <f t="shared" si="195"/>
        <v>-72.480274772817509</v>
      </c>
      <c r="AV195" s="32" t="str">
        <f t="shared" si="170"/>
        <v>-0.0000333333333333333</v>
      </c>
      <c r="AW195" s="32" t="str">
        <f t="shared" si="171"/>
        <v>0.000177591062570696i</v>
      </c>
      <c r="AX195" s="32">
        <f t="shared" si="196"/>
        <v>1.7759106257069599E-4</v>
      </c>
      <c r="AY195" s="32">
        <f t="shared" si="197"/>
        <v>1.5707963267948966</v>
      </c>
      <c r="AZ195" s="32" t="str">
        <f t="shared" si="172"/>
        <v>1+0.0724546869863082i</v>
      </c>
      <c r="BA195" s="32">
        <f t="shared" si="198"/>
        <v>1.002621404951183</v>
      </c>
      <c r="BB195" s="32">
        <f t="shared" si="199"/>
        <v>7.2328296838952699E-2</v>
      </c>
      <c r="BC195" s="32" t="str">
        <f t="shared" si="173"/>
        <v>1+3.4778249753428i</v>
      </c>
      <c r="BD195" s="32">
        <f t="shared" si="200"/>
        <v>3.6187382551267988</v>
      </c>
      <c r="BE195" s="32">
        <f t="shared" si="201"/>
        <v>1.2908132217285044</v>
      </c>
      <c r="BF195" s="59" t="str">
        <f t="shared" si="202"/>
        <v>-0.635840281671366+0.23376674182048i</v>
      </c>
      <c r="BG195" s="50">
        <f t="shared" si="203"/>
        <v>-3.382443220729654</v>
      </c>
      <c r="BH195" s="61">
        <f t="shared" si="204"/>
        <v>159.81404359648641</v>
      </c>
      <c r="BI195" s="59" t="str">
        <f t="shared" si="205"/>
        <v>0.308357483232342+2.57816543728565i</v>
      </c>
      <c r="BJ195" s="64">
        <f t="shared" si="206"/>
        <v>8.2879012408075141</v>
      </c>
      <c r="BK195" s="61">
        <f t="shared" si="207"/>
        <v>83.179625696020182</v>
      </c>
      <c r="BL195" s="59" t="str">
        <f t="shared" si="211"/>
        <v>1.07629284431874+23.1122188880197i</v>
      </c>
      <c r="BM195" s="64">
        <f t="shared" si="208"/>
        <v>27.286240711426331</v>
      </c>
      <c r="BN195" s="61">
        <f t="shared" si="212"/>
        <v>87.33376882366889</v>
      </c>
      <c r="BO195" s="50">
        <f t="shared" si="209"/>
        <v>8.2879012408075141</v>
      </c>
      <c r="BP195" s="61">
        <f t="shared" si="210"/>
        <v>83.179625696020182</v>
      </c>
    </row>
    <row r="196" spans="14:68" x14ac:dyDescent="0.25">
      <c r="N196" s="11">
        <v>78</v>
      </c>
      <c r="O196" s="51">
        <f t="shared" si="213"/>
        <v>602.55958607435832</v>
      </c>
      <c r="P196" s="49" t="str">
        <f t="shared" si="161"/>
        <v>25.6231073841137</v>
      </c>
      <c r="Q196" s="18" t="str">
        <f t="shared" si="162"/>
        <v>1+3.27405101549911i</v>
      </c>
      <c r="R196" s="18">
        <f t="shared" si="174"/>
        <v>3.4233623898282741</v>
      </c>
      <c r="S196" s="18">
        <f t="shared" si="175"/>
        <v>1.2743635125329527</v>
      </c>
      <c r="T196" s="18" t="str">
        <f t="shared" si="163"/>
        <v>1+0.00340739418413036i</v>
      </c>
      <c r="U196" s="18">
        <f t="shared" si="176"/>
        <v>1.000005805150713</v>
      </c>
      <c r="V196" s="18">
        <f t="shared" si="177"/>
        <v>3.4073809972260945E-3</v>
      </c>
      <c r="W196" s="32" t="str">
        <f t="shared" si="164"/>
        <v>1-0.0763508696814396i</v>
      </c>
      <c r="X196" s="18">
        <f t="shared" si="178"/>
        <v>1.0029104921682255</v>
      </c>
      <c r="Y196" s="18">
        <f t="shared" si="179"/>
        <v>-7.6203025122562329E-2</v>
      </c>
      <c r="Z196" s="32" t="str">
        <f t="shared" si="165"/>
        <v>0.999990923048631+0.00604496968221645i</v>
      </c>
      <c r="AA196" s="18">
        <f t="shared" si="180"/>
        <v>1.0000091938767923</v>
      </c>
      <c r="AB196" s="18">
        <f t="shared" si="181"/>
        <v>6.0449509211471493E-3</v>
      </c>
      <c r="AC196" s="32" t="str">
        <f>IMDIV(IMSUM(COMPLEX(0,2*PI()*O196*Constants!$B$71*Constants!$B$72),COMPLEX(1,0)),IMSUM(COMPLEX(0,2*PI()*O196*Constants!$B$71*Constants!$B$72),COMPLEX(2,0)))</f>
        <v>0.500028665850582+0.0037857764804725i</v>
      </c>
      <c r="AD196" s="18">
        <f t="shared" si="182"/>
        <v>0.50004299692713738</v>
      </c>
      <c r="AE196" s="18">
        <f t="shared" si="183"/>
        <v>7.5709742373021869E-3</v>
      </c>
      <c r="AF196" s="66" t="str">
        <f t="shared" si="184"/>
        <v>0.83804719132568-3.65884188259875i</v>
      </c>
      <c r="AG196" s="64">
        <f t="shared" si="185"/>
        <v>11.488939482344179</v>
      </c>
      <c r="AH196" s="61">
        <f t="shared" si="186"/>
        <v>-77.099099313469011</v>
      </c>
      <c r="AI196" s="50" t="str">
        <f t="shared" si="166"/>
        <v>108.866083054159</v>
      </c>
      <c r="AJ196" s="50" t="str">
        <f t="shared" si="167"/>
        <v>1+3.09763107648215i</v>
      </c>
      <c r="AK196" s="50">
        <f t="shared" si="187"/>
        <v>3.2550450512992852</v>
      </c>
      <c r="AL196" s="50">
        <f t="shared" si="188"/>
        <v>1.2585307778757542</v>
      </c>
      <c r="AM196" s="50" t="str">
        <f t="shared" si="168"/>
        <v>1+0.00340739418413036i</v>
      </c>
      <c r="AN196" s="50">
        <f t="shared" si="189"/>
        <v>1.000005805150713</v>
      </c>
      <c r="AO196" s="50">
        <f t="shared" si="190"/>
        <v>3.4073809972260945E-3</v>
      </c>
      <c r="AP196" s="50" t="str">
        <f t="shared" si="169"/>
        <v>1-0.0170018792852055i</v>
      </c>
      <c r="AQ196" s="50">
        <f t="shared" si="191"/>
        <v>1.0001445215063816</v>
      </c>
      <c r="AR196" s="50">
        <f t="shared" si="192"/>
        <v>-1.7000241359435109E-2</v>
      </c>
      <c r="AS196" s="59" t="str">
        <f t="shared" si="193"/>
        <v>9.8428343697996-31.96944796865i</v>
      </c>
      <c r="AT196" s="50">
        <f t="shared" si="194"/>
        <v>30.488017504511301</v>
      </c>
      <c r="AU196" s="61">
        <f t="shared" si="195"/>
        <v>-72.887315489862445</v>
      </c>
      <c r="AV196" s="32" t="str">
        <f t="shared" si="170"/>
        <v>-0.0000333333333333333</v>
      </c>
      <c r="AW196" s="32" t="str">
        <f t="shared" si="171"/>
        <v>0.000181727689820286i</v>
      </c>
      <c r="AX196" s="32">
        <f t="shared" si="196"/>
        <v>1.8172768982028601E-4</v>
      </c>
      <c r="AY196" s="32">
        <f t="shared" si="197"/>
        <v>1.5707963267948966</v>
      </c>
      <c r="AZ196" s="32" t="str">
        <f t="shared" si="172"/>
        <v>1+0.0741423734509847i</v>
      </c>
      <c r="BA196" s="32">
        <f t="shared" si="198"/>
        <v>1.0027447788649639</v>
      </c>
      <c r="BB196" s="32">
        <f t="shared" si="199"/>
        <v>7.4006963981497906E-2</v>
      </c>
      <c r="BC196" s="32" t="str">
        <f t="shared" si="173"/>
        <v>1+3.55883392564727i</v>
      </c>
      <c r="BD196" s="32">
        <f t="shared" si="200"/>
        <v>3.6966605078554289</v>
      </c>
      <c r="BE196" s="32">
        <f t="shared" si="201"/>
        <v>1.2968689854198236</v>
      </c>
      <c r="BF196" s="59" t="str">
        <f t="shared" si="202"/>
        <v>-0.635683828544136+0.230555732680226i</v>
      </c>
      <c r="BG196" s="50">
        <f t="shared" si="203"/>
        <v>-3.3984640386925022</v>
      </c>
      <c r="BH196" s="61">
        <f t="shared" si="204"/>
        <v>160.06483275525247</v>
      </c>
      <c r="BI196" s="59" t="str">
        <f t="shared" si="205"/>
        <v>0.310833923921084+2.5190832001847i</v>
      </c>
      <c r="BJ196" s="64">
        <f t="shared" si="206"/>
        <v>8.0904754436516555</v>
      </c>
      <c r="BK196" s="61">
        <f t="shared" si="207"/>
        <v>82.965733441783456</v>
      </c>
      <c r="BL196" s="59" t="str">
        <f t="shared" si="211"/>
        <v>1.11380886387445+22.5917829709332i</v>
      </c>
      <c r="BM196" s="64">
        <f t="shared" si="208"/>
        <v>27.089553465818781</v>
      </c>
      <c r="BN196" s="61">
        <f t="shared" si="212"/>
        <v>87.177517265390009</v>
      </c>
      <c r="BO196" s="50">
        <f t="shared" si="209"/>
        <v>8.0904754436516555</v>
      </c>
      <c r="BP196" s="61">
        <f t="shared" si="210"/>
        <v>82.965733441783456</v>
      </c>
    </row>
    <row r="197" spans="14:68" x14ac:dyDescent="0.25">
      <c r="N197" s="11">
        <v>79</v>
      </c>
      <c r="O197" s="51">
        <f t="shared" si="213"/>
        <v>616.59500186148273</v>
      </c>
      <c r="P197" s="49" t="str">
        <f t="shared" si="161"/>
        <v>25.6231073841137</v>
      </c>
      <c r="Q197" s="18" t="str">
        <f t="shared" si="162"/>
        <v>1+3.35031346052993i</v>
      </c>
      <c r="R197" s="18">
        <f t="shared" si="174"/>
        <v>3.4963695862720288</v>
      </c>
      <c r="S197" s="18">
        <f t="shared" si="175"/>
        <v>1.2807350384584297</v>
      </c>
      <c r="T197" s="18" t="str">
        <f t="shared" si="163"/>
        <v>1+0.0034867625905588i</v>
      </c>
      <c r="U197" s="18">
        <f t="shared" si="176"/>
        <v>1.0000060787382059</v>
      </c>
      <c r="V197" s="18">
        <f t="shared" si="177"/>
        <v>3.4867484605409418E-3</v>
      </c>
      <c r="W197" s="32" t="str">
        <f t="shared" si="164"/>
        <v>1-0.0781293098995583i</v>
      </c>
      <c r="X197" s="18">
        <f t="shared" si="178"/>
        <v>1.0030474510537282</v>
      </c>
      <c r="Y197" s="18">
        <f t="shared" si="179"/>
        <v>-7.7970917583709901E-2</v>
      </c>
      <c r="Z197" s="32" t="str">
        <f t="shared" si="165"/>
        <v>0.999990495265092+0.00618577511436172i</v>
      </c>
      <c r="AA197" s="18">
        <f t="shared" si="180"/>
        <v>1.0000096271708034</v>
      </c>
      <c r="AB197" s="18">
        <f t="shared" si="181"/>
        <v>6.1857550115192016E-3</v>
      </c>
      <c r="AC197" s="32" t="str">
        <f>IMDIV(IMSUM(COMPLEX(0,2*PI()*O197*Constants!$B$71*Constants!$B$72),COMPLEX(1,0)),IMSUM(COMPLEX(0,2*PI()*O197*Constants!$B$71*Constants!$B$72),COMPLEX(2,0)))</f>
        <v>0.500030016749395+0.00387394807555672i</v>
      </c>
      <c r="AD197" s="18">
        <f t="shared" si="182"/>
        <v>0.50004502309701315</v>
      </c>
      <c r="AE197" s="18">
        <f t="shared" si="183"/>
        <v>7.7472760440916045E-3</v>
      </c>
      <c r="AF197" s="66" t="str">
        <f t="shared" si="184"/>
        <v>0.791885647361958-3.58941532153912i</v>
      </c>
      <c r="AG197" s="64">
        <f t="shared" si="185"/>
        <v>11.306870191860645</v>
      </c>
      <c r="AH197" s="61">
        <f t="shared" si="186"/>
        <v>-77.55887234470211</v>
      </c>
      <c r="AI197" s="50" t="str">
        <f t="shared" si="166"/>
        <v>108.866083054159</v>
      </c>
      <c r="AJ197" s="50" t="str">
        <f t="shared" si="167"/>
        <v>1+3.16978417323528i</v>
      </c>
      <c r="AK197" s="50">
        <f t="shared" si="187"/>
        <v>3.3237827403265796</v>
      </c>
      <c r="AL197" s="50">
        <f t="shared" si="188"/>
        <v>1.2651998983483796</v>
      </c>
      <c r="AM197" s="50" t="str">
        <f t="shared" si="168"/>
        <v>1+0.0034867625905588i</v>
      </c>
      <c r="AN197" s="50">
        <f t="shared" si="189"/>
        <v>1.0000060787382059</v>
      </c>
      <c r="AO197" s="50">
        <f t="shared" si="190"/>
        <v>3.4867484605409418E-3</v>
      </c>
      <c r="AP197" s="50" t="str">
        <f t="shared" si="169"/>
        <v>1-0.0173979039281542i</v>
      </c>
      <c r="AQ197" s="50">
        <f t="shared" si="191"/>
        <v>1.0001513320798474</v>
      </c>
      <c r="AR197" s="50">
        <f t="shared" si="192"/>
        <v>-1.739614887341286E-2</v>
      </c>
      <c r="AS197" s="59" t="str">
        <f t="shared" si="193"/>
        <v>9.4204031825951-31.375096381922i</v>
      </c>
      <c r="AT197" s="50">
        <f t="shared" si="194"/>
        <v>30.306566537540714</v>
      </c>
      <c r="AU197" s="61">
        <f t="shared" si="195"/>
        <v>-73.287564354958008</v>
      </c>
      <c r="AV197" s="32" t="str">
        <f t="shared" si="170"/>
        <v>-0.0000333333333333333</v>
      </c>
      <c r="AW197" s="32" t="str">
        <f t="shared" si="171"/>
        <v>0.000185960671496469i</v>
      </c>
      <c r="AX197" s="32">
        <f t="shared" si="196"/>
        <v>1.8596067149646901E-4</v>
      </c>
      <c r="AY197" s="32">
        <f t="shared" si="197"/>
        <v>1.5707963267948966</v>
      </c>
      <c r="AZ197" s="32" t="str">
        <f t="shared" si="172"/>
        <v>1+0.0758693711834554i</v>
      </c>
      <c r="BA197" s="32">
        <f t="shared" si="198"/>
        <v>1.0028739509448696</v>
      </c>
      <c r="BB197" s="32">
        <f t="shared" si="199"/>
        <v>7.5724299770106418E-2</v>
      </c>
      <c r="BC197" s="32" t="str">
        <f t="shared" si="173"/>
        <v>1+3.64172981680586i</v>
      </c>
      <c r="BD197" s="32">
        <f t="shared" si="200"/>
        <v>3.7765322795671752</v>
      </c>
      <c r="BE197" s="32">
        <f t="shared" si="201"/>
        <v>1.3028068841678362</v>
      </c>
      <c r="BF197" s="59" t="str">
        <f t="shared" si="202"/>
        <v>-0.635520084508133+0.22746587984652i</v>
      </c>
      <c r="BG197" s="50">
        <f t="shared" si="203"/>
        <v>-3.4139102045833236</v>
      </c>
      <c r="BH197" s="61">
        <f t="shared" si="204"/>
        <v>160.30665319999557</v>
      </c>
      <c r="BI197" s="59" t="str">
        <f t="shared" si="205"/>
        <v>0.313210280716226+2.46127249399435i</v>
      </c>
      <c r="BJ197" s="64">
        <f t="shared" si="206"/>
        <v>7.8929599872773295</v>
      </c>
      <c r="BK197" s="61">
        <f t="shared" si="207"/>
        <v>82.747780855293485</v>
      </c>
      <c r="BL197" s="59" t="str">
        <f t="shared" si="211"/>
        <v>1.14990847707973+22.0823242025278i</v>
      </c>
      <c r="BM197" s="64">
        <f t="shared" si="208"/>
        <v>26.892656332957372</v>
      </c>
      <c r="BN197" s="61">
        <f t="shared" si="212"/>
        <v>87.019088845037572</v>
      </c>
      <c r="BO197" s="50">
        <f t="shared" si="209"/>
        <v>7.8929599872773295</v>
      </c>
      <c r="BP197" s="61">
        <f t="shared" si="210"/>
        <v>82.747780855293485</v>
      </c>
    </row>
    <row r="198" spans="14:68" x14ac:dyDescent="0.25">
      <c r="N198" s="11">
        <v>80</v>
      </c>
      <c r="O198" s="51">
        <f t="shared" si="213"/>
        <v>630.95734448019323</v>
      </c>
      <c r="P198" s="49" t="str">
        <f t="shared" si="161"/>
        <v>25.6231073841137</v>
      </c>
      <c r="Q198" s="18" t="str">
        <f t="shared" si="162"/>
        <v>1+3.42835228610416i</v>
      </c>
      <c r="R198" s="18">
        <f t="shared" si="174"/>
        <v>3.5712181951871305</v>
      </c>
      <c r="S198" s="18">
        <f t="shared" si="175"/>
        <v>1.2869850358050352</v>
      </c>
      <c r="T198" s="18" t="str">
        <f t="shared" si="163"/>
        <v>1+0.0035679797246655i</v>
      </c>
      <c r="U198" s="18">
        <f t="shared" si="176"/>
        <v>1.0000063652193998</v>
      </c>
      <c r="V198" s="18">
        <f t="shared" si="177"/>
        <v>3.5679645840837868E-3</v>
      </c>
      <c r="W198" s="32" t="str">
        <f t="shared" si="164"/>
        <v>1-0.0799491753119492i</v>
      </c>
      <c r="X198" s="18">
        <f t="shared" si="178"/>
        <v>1.003190844571989</v>
      </c>
      <c r="Y198" s="18">
        <f t="shared" si="179"/>
        <v>-7.9779484029659634E-2</v>
      </c>
      <c r="Z198" s="32" t="str">
        <f t="shared" si="165"/>
        <v>0.999990047320736+0.00632986032635102i</v>
      </c>
      <c r="AA198" s="18">
        <f t="shared" si="180"/>
        <v>1.0000100808853272</v>
      </c>
      <c r="AB198" s="18">
        <f t="shared" si="181"/>
        <v>6.3298387857732563E-3</v>
      </c>
      <c r="AC198" s="32" t="str">
        <f>IMDIV(IMSUM(COMPLEX(0,2*PI()*O198*Constants!$B$71*Constants!$B$72),COMPLEX(1,0)),IMSUM(COMPLEX(0,2*PI()*O198*Constants!$B$71*Constants!$B$72),COMPLEX(2,0)))</f>
        <v>0.500031431306282+0.00396417270237603i</v>
      </c>
      <c r="AD198" s="18">
        <f t="shared" si="182"/>
        <v>0.50004714473679712</v>
      </c>
      <c r="AE198" s="18">
        <f t="shared" si="183"/>
        <v>7.9276809554378203E-3</v>
      </c>
      <c r="AF198" s="66" t="str">
        <f t="shared" si="184"/>
        <v>0.747468135638987-3.52074863734567i</v>
      </c>
      <c r="AG198" s="64">
        <f t="shared" si="185"/>
        <v>11.124166183308956</v>
      </c>
      <c r="AH198" s="61">
        <f t="shared" si="186"/>
        <v>-78.01385964998255</v>
      </c>
      <c r="AI198" s="50" t="str">
        <f t="shared" si="166"/>
        <v>108.866083054159</v>
      </c>
      <c r="AJ198" s="50" t="str">
        <f t="shared" si="167"/>
        <v>1+3.2436179315141i</v>
      </c>
      <c r="AK198" s="50">
        <f t="shared" si="187"/>
        <v>3.3942682990064008</v>
      </c>
      <c r="AL198" s="50">
        <f t="shared" si="188"/>
        <v>1.2717444406517044</v>
      </c>
      <c r="AM198" s="50" t="str">
        <f t="shared" si="168"/>
        <v>1+0.0035679797246655i</v>
      </c>
      <c r="AN198" s="50">
        <f t="shared" si="189"/>
        <v>1.0000063652193998</v>
      </c>
      <c r="AO198" s="50">
        <f t="shared" si="190"/>
        <v>3.5679645840837868E-3</v>
      </c>
      <c r="AP198" s="50" t="str">
        <f t="shared" si="169"/>
        <v>1-0.0178031531700539i</v>
      </c>
      <c r="AQ198" s="50">
        <f t="shared" si="191"/>
        <v>1.0001584635760457</v>
      </c>
      <c r="AR198" s="50">
        <f t="shared" si="192"/>
        <v>-1.7801272611108677E-2</v>
      </c>
      <c r="AS198" s="59" t="str">
        <f t="shared" si="193"/>
        <v>9.01360627272096-30.7864225084017i</v>
      </c>
      <c r="AT198" s="50">
        <f t="shared" si="194"/>
        <v>30.124360165145973</v>
      </c>
      <c r="AU198" s="61">
        <f t="shared" si="195"/>
        <v>-73.681097547026468</v>
      </c>
      <c r="AV198" s="32" t="str">
        <f t="shared" si="170"/>
        <v>-0.0000333333333333333</v>
      </c>
      <c r="AW198" s="32" t="str">
        <f t="shared" si="171"/>
        <v>0.00019029225198216i</v>
      </c>
      <c r="AX198" s="32">
        <f t="shared" si="196"/>
        <v>1.9029225198215999E-4</v>
      </c>
      <c r="AY198" s="32">
        <f t="shared" si="197"/>
        <v>1.5707963267948966</v>
      </c>
      <c r="AZ198" s="32" t="str">
        <f t="shared" si="172"/>
        <v>1+0.0776365958607771i</v>
      </c>
      <c r="BA198" s="32">
        <f t="shared" si="198"/>
        <v>1.0030091928875078</v>
      </c>
      <c r="BB198" s="32">
        <f t="shared" si="199"/>
        <v>7.7481174217550908E-2</v>
      </c>
      <c r="BC198" s="32" t="str">
        <f t="shared" si="173"/>
        <v>1+3.72655660131731i</v>
      </c>
      <c r="BD198" s="32">
        <f t="shared" si="200"/>
        <v>3.8583965714816855</v>
      </c>
      <c r="BE198" s="32">
        <f t="shared" si="201"/>
        <v>1.3086283907603666</v>
      </c>
      <c r="BF198" s="59" t="str">
        <f t="shared" si="202"/>
        <v>-0.635348713842923+0.224495468169565i</v>
      </c>
      <c r="BG198" s="50">
        <f t="shared" si="203"/>
        <v>-3.4288082185709934</v>
      </c>
      <c r="BH198" s="61">
        <f t="shared" si="204"/>
        <v>160.53953946718224</v>
      </c>
      <c r="BI198" s="59" t="str">
        <f t="shared" si="205"/>
        <v>0.315489195031476+2.4047063275539i</v>
      </c>
      <c r="BJ198" s="64">
        <f t="shared" si="206"/>
        <v>7.6953579647379611</v>
      </c>
      <c r="BK198" s="61">
        <f t="shared" si="207"/>
        <v>82.525679817199702</v>
      </c>
      <c r="BL198" s="59" t="str">
        <f t="shared" si="211"/>
        <v>1.18462918182991+21.5836277046285i</v>
      </c>
      <c r="BM198" s="64">
        <f t="shared" si="208"/>
        <v>26.695551946575002</v>
      </c>
      <c r="BN198" s="61">
        <f t="shared" si="212"/>
        <v>86.858441920155784</v>
      </c>
      <c r="BO198" s="50">
        <f t="shared" si="209"/>
        <v>7.6953579647379611</v>
      </c>
      <c r="BP198" s="61">
        <f t="shared" si="210"/>
        <v>82.525679817199702</v>
      </c>
    </row>
    <row r="199" spans="14:68" x14ac:dyDescent="0.25">
      <c r="N199" s="11">
        <v>81</v>
      </c>
      <c r="O199" s="51">
        <f t="shared" si="213"/>
        <v>645.65422903465594</v>
      </c>
      <c r="P199" s="49" t="str">
        <f t="shared" si="161"/>
        <v>25.6231073841137</v>
      </c>
      <c r="Q199" s="18" t="str">
        <f t="shared" si="162"/>
        <v>1+3.50820886944008i</v>
      </c>
      <c r="R199" s="18">
        <f t="shared" si="174"/>
        <v>3.6479486662531375</v>
      </c>
      <c r="S199" s="18">
        <f t="shared" si="175"/>
        <v>1.2931148645412485</v>
      </c>
      <c r="T199" s="18" t="str">
        <f t="shared" si="163"/>
        <v>1+0.00365108864885002i</v>
      </c>
      <c r="U199" s="18">
        <f t="shared" si="176"/>
        <v>1.0000066652019484</v>
      </c>
      <c r="V199" s="18">
        <f t="shared" si="177"/>
        <v>3.6510724254302618E-3</v>
      </c>
      <c r="W199" s="32" t="str">
        <f t="shared" si="164"/>
        <v>1-0.0818114308353431i</v>
      </c>
      <c r="X199" s="18">
        <f t="shared" si="178"/>
        <v>1.0033409740538488</v>
      </c>
      <c r="Y199" s="18">
        <f t="shared" si="179"/>
        <v>-8.1629636034564884E-2</v>
      </c>
      <c r="Z199" s="32" t="str">
        <f t="shared" si="165"/>
        <v>0.999989578265413+0.00647730171407096i</v>
      </c>
      <c r="AA199" s="18">
        <f t="shared" si="180"/>
        <v>1.0000105559827523</v>
      </c>
      <c r="AB199" s="18">
        <f t="shared" si="181"/>
        <v>6.4772786329328662E-3</v>
      </c>
      <c r="AC199" s="32" t="str">
        <f>IMDIV(IMSUM(COMPLEX(0,2*PI()*O199*Constants!$B$71*Constants!$B$72),COMPLEX(1,0)),IMSUM(COMPLEX(0,2*PI()*O199*Constants!$B$71*Constants!$B$72),COMPLEX(2,0)))</f>
        <v>0.500032912520604+0.00405649812865475i</v>
      </c>
      <c r="AD199" s="18">
        <f t="shared" si="182"/>
        <v>0.50004936634386998</v>
      </c>
      <c r="AE199" s="18">
        <f t="shared" si="183"/>
        <v>8.1122842952672386E-3</v>
      </c>
      <c r="AF199" s="66" t="str">
        <f t="shared" si="184"/>
        <v>0.70474211339652-3.45286985220159i</v>
      </c>
      <c r="AG199" s="64">
        <f t="shared" si="185"/>
        <v>10.940856361198039</v>
      </c>
      <c r="AH199" s="61">
        <f t="shared" si="186"/>
        <v>-78.464187827208804</v>
      </c>
      <c r="AI199" s="50" t="str">
        <f t="shared" si="166"/>
        <v>108.866083054159</v>
      </c>
      <c r="AJ199" s="50" t="str">
        <f t="shared" si="167"/>
        <v>1+3.31917149895457i</v>
      </c>
      <c r="AK199" s="50">
        <f t="shared" si="187"/>
        <v>3.4665399809424273</v>
      </c>
      <c r="AL199" s="50">
        <f t="shared" si="188"/>
        <v>1.2781656315048424</v>
      </c>
      <c r="AM199" s="50" t="str">
        <f t="shared" si="168"/>
        <v>1+0.00365108864885002i</v>
      </c>
      <c r="AN199" s="50">
        <f t="shared" si="189"/>
        <v>1.0000066652019484</v>
      </c>
      <c r="AO199" s="50">
        <f t="shared" si="190"/>
        <v>3.6510724254302618E-3</v>
      </c>
      <c r="AP199" s="50" t="str">
        <f t="shared" si="169"/>
        <v>1-0.0182178418794171i</v>
      </c>
      <c r="AQ199" s="50">
        <f t="shared" si="191"/>
        <v>1.0001659311148043</v>
      </c>
      <c r="AR199" s="50">
        <f t="shared" si="192"/>
        <v>-1.8215826842257653E-2</v>
      </c>
      <c r="AS199" s="59" t="str">
        <f t="shared" si="193"/>
        <v>8.62199924682401-30.2037195310944i</v>
      </c>
      <c r="AT199" s="50">
        <f t="shared" si="194"/>
        <v>29.941426713987664</v>
      </c>
      <c r="AU199" s="61">
        <f t="shared" si="195"/>
        <v>-74.067995161629838</v>
      </c>
      <c r="AV199" s="32" t="str">
        <f t="shared" si="170"/>
        <v>-0.0000333333333333333</v>
      </c>
      <c r="AW199" s="32" t="str">
        <f t="shared" si="171"/>
        <v>0.000194724727938668i</v>
      </c>
      <c r="AX199" s="32">
        <f t="shared" si="196"/>
        <v>1.9472472793866799E-4</v>
      </c>
      <c r="AY199" s="32">
        <f t="shared" si="197"/>
        <v>1.5707963267948966</v>
      </c>
      <c r="AZ199" s="32" t="str">
        <f t="shared" si="172"/>
        <v>1+0.0794449844888662i</v>
      </c>
      <c r="BA199" s="32">
        <f t="shared" si="198"/>
        <v>1.0031507890444169</v>
      </c>
      <c r="BB199" s="32">
        <f t="shared" si="199"/>
        <v>7.9278475435406406E-2</v>
      </c>
      <c r="BC199" s="32" t="str">
        <f t="shared" si="173"/>
        <v>1+3.81335925546558i</v>
      </c>
      <c r="BD199" s="32">
        <f t="shared" si="200"/>
        <v>3.9422974026885647</v>
      </c>
      <c r="BE199" s="32">
        <f t="shared" si="201"/>
        <v>1.3143350128741365</v>
      </c>
      <c r="BF199" s="59" t="str">
        <f t="shared" si="202"/>
        <v>-0.635169365756946+0.221642840440084i</v>
      </c>
      <c r="BG199" s="50">
        <f t="shared" si="203"/>
        <v>-3.4431839130825468</v>
      </c>
      <c r="BH199" s="61">
        <f t="shared" si="204"/>
        <v>160.76352705528035</v>
      </c>
      <c r="BI199" s="59" t="str">
        <f t="shared" si="205"/>
        <v>0.317673280523616+2.34935819785512i</v>
      </c>
      <c r="BJ199" s="64">
        <f t="shared" si="206"/>
        <v>7.4976724481155053</v>
      </c>
      <c r="BK199" s="61">
        <f t="shared" si="207"/>
        <v>82.299339228071588</v>
      </c>
      <c r="BL199" s="59" t="str">
        <f t="shared" si="211"/>
        <v>1.21800839556533+21.0954817814043i</v>
      </c>
      <c r="BM199" s="64">
        <f t="shared" si="208"/>
        <v>26.498242800905135</v>
      </c>
      <c r="BN199" s="61">
        <f t="shared" si="212"/>
        <v>86.695531893650539</v>
      </c>
      <c r="BO199" s="50">
        <f t="shared" si="209"/>
        <v>7.4976724481155053</v>
      </c>
      <c r="BP199" s="61">
        <f t="shared" si="210"/>
        <v>82.299339228071588</v>
      </c>
    </row>
    <row r="200" spans="14:68" x14ac:dyDescent="0.25">
      <c r="N200" s="11">
        <v>82</v>
      </c>
      <c r="O200" s="51">
        <f t="shared" si="213"/>
        <v>660.69344800759643</v>
      </c>
      <c r="P200" s="49" t="str">
        <f t="shared" si="161"/>
        <v>25.6231073841137</v>
      </c>
      <c r="Q200" s="18" t="str">
        <f t="shared" si="162"/>
        <v>1+3.58992555155523i</v>
      </c>
      <c r="R200" s="18">
        <f t="shared" si="174"/>
        <v>3.726602402418203</v>
      </c>
      <c r="S200" s="18">
        <f t="shared" si="175"/>
        <v>1.2991259314545225</v>
      </c>
      <c r="T200" s="18" t="str">
        <f t="shared" si="163"/>
        <v>1+0.00373613342856404i</v>
      </c>
      <c r="U200" s="18">
        <f t="shared" si="176"/>
        <v>1.0000069793221427</v>
      </c>
      <c r="V200" s="18">
        <f t="shared" si="177"/>
        <v>3.7361160448631248E-3</v>
      </c>
      <c r="W200" s="32" t="str">
        <f t="shared" si="164"/>
        <v>1-0.0837170638622682i</v>
      </c>
      <c r="X200" s="18">
        <f t="shared" si="178"/>
        <v>1.0034981548471922</v>
      </c>
      <c r="Y200" s="18">
        <f t="shared" si="179"/>
        <v>-8.3522303879781906E-2</v>
      </c>
      <c r="Z200" s="32" t="str">
        <f t="shared" si="165"/>
        <v>0.999989087104194+0.00662817745289694i</v>
      </c>
      <c r="AA200" s="18">
        <f t="shared" si="180"/>
        <v>1.0000110534708235</v>
      </c>
      <c r="AB200" s="18">
        <f t="shared" si="181"/>
        <v>6.6281527210195444E-3</v>
      </c>
      <c r="AC200" s="32" t="str">
        <f>IMDIV(IMSUM(COMPLEX(0,2*PI()*O200*Constants!$B$71*Constants!$B$72),COMPLEX(1,0)),IMSUM(COMPLEX(0,2*PI()*O200*Constants!$B$71*Constants!$B$72),COMPLEX(2,0)))</f>
        <v>0.500034463532998+0.00415097323094293i</v>
      </c>
      <c r="AD200" s="18">
        <f t="shared" si="182"/>
        <v>0.50005169262736937</v>
      </c>
      <c r="AE200" s="18">
        <f t="shared" si="183"/>
        <v>8.3011835900417639E-3</v>
      </c>
      <c r="AF200" s="66" t="str">
        <f t="shared" si="184"/>
        <v>0.663655512536711-3.38580424319784i</v>
      </c>
      <c r="AG200" s="64">
        <f t="shared" si="185"/>
        <v>10.75696895297218</v>
      </c>
      <c r="AH200" s="61">
        <f t="shared" si="186"/>
        <v>-78.909987146934796</v>
      </c>
      <c r="AI200" s="50" t="str">
        <f t="shared" si="166"/>
        <v>108.866083054159</v>
      </c>
      <c r="AJ200" s="50" t="str">
        <f t="shared" si="167"/>
        <v>1+3.39648493505822i</v>
      </c>
      <c r="AK200" s="50">
        <f t="shared" si="187"/>
        <v>3.5406369362132346</v>
      </c>
      <c r="AL200" s="50">
        <f t="shared" si="188"/>
        <v>1.2844647566758094</v>
      </c>
      <c r="AM200" s="50" t="str">
        <f t="shared" si="168"/>
        <v>1+0.00373613342856404i</v>
      </c>
      <c r="AN200" s="50">
        <f t="shared" si="189"/>
        <v>1.0000069793221427</v>
      </c>
      <c r="AO200" s="50">
        <f t="shared" si="190"/>
        <v>3.7361160448631248E-3</v>
      </c>
      <c r="AP200" s="50" t="str">
        <f t="shared" si="169"/>
        <v>1-0.0186421899296864i</v>
      </c>
      <c r="AQ200" s="50">
        <f t="shared" si="191"/>
        <v>1.0001737505280641</v>
      </c>
      <c r="AR200" s="50">
        <f t="shared" si="192"/>
        <v>-1.8640030798726882E-2</v>
      </c>
      <c r="AS200" s="59" t="str">
        <f t="shared" si="193"/>
        <v>8.24513926769861-29.6272552952564i</v>
      </c>
      <c r="AT200" s="50">
        <f t="shared" si="194"/>
        <v>29.75779370556339</v>
      </c>
      <c r="AU200" s="61">
        <f t="shared" si="195"/>
        <v>-74.448340904441238</v>
      </c>
      <c r="AV200" s="32" t="str">
        <f t="shared" si="170"/>
        <v>-0.0000333333333333333</v>
      </c>
      <c r="AW200" s="32" t="str">
        <f t="shared" si="171"/>
        <v>0.000199260449523415i</v>
      </c>
      <c r="AX200" s="32">
        <f t="shared" si="196"/>
        <v>1.9926044952341501E-4</v>
      </c>
      <c r="AY200" s="32">
        <f t="shared" si="197"/>
        <v>1.5707963267948966</v>
      </c>
      <c r="AZ200" s="32" t="str">
        <f t="shared" si="172"/>
        <v>1+0.0812954958993101i</v>
      </c>
      <c r="BA200" s="32">
        <f t="shared" si="198"/>
        <v>1.0032990370041799</v>
      </c>
      <c r="BB200" s="32">
        <f t="shared" si="199"/>
        <v>8.1117109904178766E-2</v>
      </c>
      <c r="BC200" s="32" t="str">
        <f t="shared" si="173"/>
        <v>1+3.90218380316689i</v>
      </c>
      <c r="BD200" s="32">
        <f t="shared" si="200"/>
        <v>4.0282798355747342</v>
      </c>
      <c r="BE200" s="32">
        <f t="shared" si="201"/>
        <v>1.3199282889102082</v>
      </c>
      <c r="BF200" s="59" t="str">
        <f t="shared" si="202"/>
        <v>-0.634981673748183+0.218906396138334i</v>
      </c>
      <c r="BG200" s="50">
        <f t="shared" si="203"/>
        <v>-3.4570624691449496</v>
      </c>
      <c r="BH200" s="61">
        <f t="shared" si="204"/>
        <v>160.97865217067107</v>
      </c>
      <c r="BI200" s="59" t="str">
        <f t="shared" si="205"/>
        <v>0.319765116765549+2.29520208185621i</v>
      </c>
      <c r="BJ200" s="64">
        <f t="shared" si="206"/>
        <v>7.2999064838272112</v>
      </c>
      <c r="BK200" s="61">
        <f t="shared" si="207"/>
        <v>82.068665023736244</v>
      </c>
      <c r="BL200" s="59" t="str">
        <f t="shared" si="211"/>
        <v>1.25008335166482+20.6176778786972i</v>
      </c>
      <c r="BM200" s="64">
        <f t="shared" si="208"/>
        <v>26.300731236418446</v>
      </c>
      <c r="BN200" s="61">
        <f t="shared" si="212"/>
        <v>86.530311266229816</v>
      </c>
      <c r="BO200" s="50">
        <f t="shared" si="209"/>
        <v>7.2999064838272112</v>
      </c>
      <c r="BP200" s="61">
        <f t="shared" si="210"/>
        <v>82.068665023736244</v>
      </c>
    </row>
    <row r="201" spans="14:68" x14ac:dyDescent="0.25">
      <c r="N201" s="11">
        <v>83</v>
      </c>
      <c r="O201" s="51">
        <f t="shared" si="213"/>
        <v>676.08297539198213</v>
      </c>
      <c r="P201" s="49" t="str">
        <f t="shared" si="161"/>
        <v>25.6231073841137</v>
      </c>
      <c r="Q201" s="18" t="str">
        <f t="shared" si="162"/>
        <v>1+3.67354565971609i</v>
      </c>
      <c r="R201" s="18">
        <f t="shared" si="174"/>
        <v>3.8072217841910554</v>
      </c>
      <c r="S201" s="18">
        <f t="shared" si="175"/>
        <v>1.3050196854285459</v>
      </c>
      <c r="T201" s="18" t="str">
        <f t="shared" si="163"/>
        <v>1+0.00382315915567545i</v>
      </c>
      <c r="U201" s="18">
        <f t="shared" si="176"/>
        <v>1.0000073082462595</v>
      </c>
      <c r="V201" s="18">
        <f t="shared" si="177"/>
        <v>3.8231405287116752E-3</v>
      </c>
      <c r="W201" s="32" t="str">
        <f t="shared" si="164"/>
        <v>1-0.0856670847845794i</v>
      </c>
      <c r="X201" s="18">
        <f t="shared" si="178"/>
        <v>1.0036627169599797</v>
      </c>
      <c r="Y201" s="18">
        <f t="shared" si="179"/>
        <v>-8.5458436813476035E-2</v>
      </c>
      <c r="Z201" s="32" t="str">
        <f t="shared" si="165"/>
        <v>0.99998857279526+0.00678256753914273i</v>
      </c>
      <c r="AA201" s="18">
        <f t="shared" si="180"/>
        <v>1.0000115744047786</v>
      </c>
      <c r="AB201" s="18">
        <f t="shared" si="181"/>
        <v>6.7825410384672368E-3</v>
      </c>
      <c r="AC201" s="32" t="str">
        <f>IMDIV(IMSUM(COMPLEX(0,2*PI()*O201*Constants!$B$71*Constants!$B$72),COMPLEX(1,0)),IMSUM(COMPLEX(0,2*PI()*O201*Constants!$B$71*Constants!$B$72),COMPLEX(2,0)))</f>
        <v>0.500036087632041+0.00424764802017083i</v>
      </c>
      <c r="AD201" s="18">
        <f t="shared" si="182"/>
        <v>0.50005412851816489</v>
      </c>
      <c r="AE201" s="18">
        <f t="shared" si="183"/>
        <v>8.4944786187879148E-3</v>
      </c>
      <c r="AF201" s="66" t="str">
        <f t="shared" si="184"/>
        <v>0.624156840295576-3.31957446373737i</v>
      </c>
      <c r="AG201" s="64">
        <f t="shared" si="185"/>
        <v>10.572531522503432</v>
      </c>
      <c r="AH201" s="61">
        <f t="shared" si="186"/>
        <v>-79.3513912948208</v>
      </c>
      <c r="AI201" s="50" t="str">
        <f t="shared" si="166"/>
        <v>108.866083054159</v>
      </c>
      <c r="AJ201" s="50" t="str">
        <f t="shared" si="167"/>
        <v>1+3.47559923243223i</v>
      </c>
      <c r="AK201" s="50">
        <f t="shared" si="187"/>
        <v>3.6165992347070341</v>
      </c>
      <c r="AL201" s="50">
        <f t="shared" si="188"/>
        <v>1.2906431557496019</v>
      </c>
      <c r="AM201" s="50" t="str">
        <f t="shared" si="168"/>
        <v>1+0.00382315915567545i</v>
      </c>
      <c r="AN201" s="50">
        <f t="shared" si="189"/>
        <v>1.0000073082462595</v>
      </c>
      <c r="AO201" s="50">
        <f t="shared" si="190"/>
        <v>3.8231405287116752E-3</v>
      </c>
      <c r="AP201" s="50" t="str">
        <f t="shared" si="169"/>
        <v>1-0.0190764223158149i</v>
      </c>
      <c r="AQ201" s="50">
        <f t="shared" si="191"/>
        <v>1.0001819383933963</v>
      </c>
      <c r="AR201" s="50">
        <f t="shared" si="192"/>
        <v>-1.907410878803812E-2</v>
      </c>
      <c r="AS201" s="59" t="str">
        <f t="shared" si="193"/>
        <v>7.88258612462138-29.0572732983537i</v>
      </c>
      <c r="AT201" s="50">
        <f t="shared" si="194"/>
        <v>29.573487860351044</v>
      </c>
      <c r="AU201" s="61">
        <f t="shared" si="195"/>
        <v>-74.822221796645337</v>
      </c>
      <c r="AV201" s="32" t="str">
        <f t="shared" si="170"/>
        <v>-0.0000333333333333333</v>
      </c>
      <c r="AW201" s="32" t="str">
        <f t="shared" si="171"/>
        <v>0.000203901821636024i</v>
      </c>
      <c r="AX201" s="32">
        <f t="shared" si="196"/>
        <v>2.0390182163602401E-4</v>
      </c>
      <c r="AY201" s="32">
        <f t="shared" si="197"/>
        <v>1.5707963267948966</v>
      </c>
      <c r="AZ201" s="32" t="str">
        <f t="shared" si="172"/>
        <v>1+0.0831891112577528i</v>
      </c>
      <c r="BA201" s="32">
        <f t="shared" si="198"/>
        <v>1.0034542482006117</v>
      </c>
      <c r="BB201" s="32">
        <f t="shared" si="199"/>
        <v>8.2998002739315416E-2</v>
      </c>
      <c r="BC201" s="32" t="str">
        <f t="shared" si="173"/>
        <v>1+3.99307734037214i</v>
      </c>
      <c r="BD201" s="32">
        <f t="shared" si="200"/>
        <v>4.1163900017118698</v>
      </c>
      <c r="BE201" s="32">
        <f t="shared" si="201"/>
        <v>1.3254097840391312</v>
      </c>
      <c r="BF201" s="59" t="str">
        <f t="shared" si="202"/>
        <v>-0.634785254941279+0.21628459018813i</v>
      </c>
      <c r="BG201" s="50">
        <f t="shared" si="203"/>
        <v>-3.4704684339937546</v>
      </c>
      <c r="BH201" s="61">
        <f t="shared" si="204"/>
        <v>161.18495148581005</v>
      </c>
      <c r="BI201" s="59" t="str">
        <f t="shared" si="205"/>
        <v>0.321767243498048+2.24221242867653i</v>
      </c>
      <c r="BJ201" s="64">
        <f t="shared" si="206"/>
        <v>7.1020630885096665</v>
      </c>
      <c r="BK201" s="61">
        <f t="shared" si="207"/>
        <v>81.833560190989232</v>
      </c>
      <c r="BL201" s="59" t="str">
        <f t="shared" si="211"/>
        <v>1.28089100460455+20.1500105481802i</v>
      </c>
      <c r="BM201" s="64">
        <f t="shared" si="208"/>
        <v>26.103019426357271</v>
      </c>
      <c r="BN201" s="61">
        <f t="shared" si="212"/>
        <v>86.362729689164695</v>
      </c>
      <c r="BO201" s="50">
        <f t="shared" si="209"/>
        <v>7.1020630885096665</v>
      </c>
      <c r="BP201" s="61">
        <f t="shared" si="210"/>
        <v>81.833560190989232</v>
      </c>
    </row>
    <row r="202" spans="14:68" x14ac:dyDescent="0.25">
      <c r="N202" s="11">
        <v>84</v>
      </c>
      <c r="O202" s="51">
        <f t="shared" si="213"/>
        <v>691.83097091893671</v>
      </c>
      <c r="P202" s="49" t="str">
        <f t="shared" si="161"/>
        <v>25.6231073841137</v>
      </c>
      <c r="Q202" s="18" t="str">
        <f t="shared" si="162"/>
        <v>1+3.75911353041085i</v>
      </c>
      <c r="R202" s="18">
        <f t="shared" si="174"/>
        <v>3.8898501943542665</v>
      </c>
      <c r="S202" s="18">
        <f t="shared" si="175"/>
        <v>1.3107976129340859</v>
      </c>
      <c r="T202" s="18" t="str">
        <f t="shared" si="163"/>
        <v>1+0.00391221197237669i</v>
      </c>
      <c r="U202" s="18">
        <f t="shared" si="176"/>
        <v>1.0000076526719766</v>
      </c>
      <c r="V202" s="18">
        <f t="shared" si="177"/>
        <v>3.9121920132336565E-3</v>
      </c>
      <c r="W202" s="32" t="str">
        <f t="shared" si="164"/>
        <v>1-0.0876625275291813i</v>
      </c>
      <c r="X202" s="18">
        <f t="shared" si="178"/>
        <v>1.0038350057319203</v>
      </c>
      <c r="Y202" s="18">
        <f t="shared" si="179"/>
        <v>-8.7439003304219026E-2</v>
      </c>
      <c r="Z202" s="32" t="str">
        <f t="shared" si="165"/>
        <v>0.999988034247692+0.00694055383247568i</v>
      </c>
      <c r="AA202" s="18">
        <f t="shared" si="180"/>
        <v>1.0000121198895866</v>
      </c>
      <c r="AB202" s="18">
        <f t="shared" si="181"/>
        <v>6.940525436499932E-3</v>
      </c>
      <c r="AC202" s="32" t="str">
        <f>IMDIV(IMSUM(COMPLEX(0,2*PI()*O202*Constants!$B$71*Constants!$B$72),COMPLEX(1,0)),IMSUM(COMPLEX(0,2*PI()*O202*Constants!$B$71*Constants!$B$72),COMPLEX(2,0)))</f>
        <v>0.500037788261204+0.00434657366777876i</v>
      </c>
      <c r="AD202" s="18">
        <f t="shared" si="182"/>
        <v>0.50005667917927688</v>
      </c>
      <c r="AE202" s="18">
        <f t="shared" si="183"/>
        <v>8.6922714642000028E-3</v>
      </c>
      <c r="AF202" s="66" t="str">
        <f t="shared" si="184"/>
        <v>0.58619526936609-3.25420066488258i</v>
      </c>
      <c r="AG202" s="64">
        <f t="shared" si="185"/>
        <v>10.387570985269024</v>
      </c>
      <c r="AH202" s="61">
        <f t="shared" si="186"/>
        <v>-79.788537125939087</v>
      </c>
      <c r="AI202" s="50" t="str">
        <f t="shared" si="166"/>
        <v>108.866083054159</v>
      </c>
      <c r="AJ202" s="50" t="str">
        <f t="shared" si="167"/>
        <v>1+3.55655633852427i</v>
      </c>
      <c r="AK202" s="50">
        <f t="shared" si="187"/>
        <v>3.6944678898451886</v>
      </c>
      <c r="AL202" s="50">
        <f t="shared" si="188"/>
        <v>1.2967022171064144</v>
      </c>
      <c r="AM202" s="50" t="str">
        <f t="shared" si="168"/>
        <v>1+0.00391221197237669i</v>
      </c>
      <c r="AN202" s="50">
        <f t="shared" si="189"/>
        <v>1.0000076526719766</v>
      </c>
      <c r="AO202" s="50">
        <f t="shared" si="190"/>
        <v>3.9121920132336565E-3</v>
      </c>
      <c r="AP202" s="50" t="str">
        <f t="shared" si="169"/>
        <v>1-0.0195207692735616i</v>
      </c>
      <c r="AQ202" s="50">
        <f t="shared" si="191"/>
        <v>1.0001905120690915</v>
      </c>
      <c r="AR202" s="50">
        <f t="shared" si="192"/>
        <v>-1.9518290309387187E-2</v>
      </c>
      <c r="AS202" s="59" t="str">
        <f t="shared" si="193"/>
        <v>7.53390320545642-28.4939936947008i</v>
      </c>
      <c r="AT202" s="50">
        <f t="shared" si="194"/>
        <v>29.388535103832002</v>
      </c>
      <c r="AU202" s="61">
        <f t="shared" si="195"/>
        <v>-75.189727892490055</v>
      </c>
      <c r="AV202" s="32" t="str">
        <f t="shared" si="170"/>
        <v>-0.0000333333333333333</v>
      </c>
      <c r="AW202" s="32" t="str">
        <f t="shared" si="171"/>
        <v>0.000208651305193423i</v>
      </c>
      <c r="AX202" s="32">
        <f t="shared" si="196"/>
        <v>2.0865130519342299E-4</v>
      </c>
      <c r="AY202" s="32">
        <f t="shared" si="197"/>
        <v>1.5707963267948966</v>
      </c>
      <c r="AZ202" s="32" t="str">
        <f t="shared" si="172"/>
        <v>1+0.0851268345841224i</v>
      </c>
      <c r="BA202" s="32">
        <f t="shared" si="198"/>
        <v>1.003616748548126</v>
      </c>
      <c r="BB202" s="32">
        <f t="shared" si="199"/>
        <v>8.4922097952306833E-2</v>
      </c>
      <c r="BC202" s="32" t="str">
        <f t="shared" si="173"/>
        <v>1+4.08608806003788i</v>
      </c>
      <c r="BD202" s="32">
        <f t="shared" si="200"/>
        <v>4.2066751282199251</v>
      </c>
      <c r="BE202" s="32">
        <f t="shared" si="201"/>
        <v>1.3307810864526979</v>
      </c>
      <c r="BF202" s="59" t="str">
        <f t="shared" si="202"/>
        <v>-0.634579709400729+0.21377593171359i</v>
      </c>
      <c r="BG202" s="50">
        <f t="shared" si="203"/>
        <v>-3.4834257398198654</v>
      </c>
      <c r="BH202" s="61">
        <f t="shared" si="204"/>
        <v>161.38246190951011</v>
      </c>
      <c r="BI202" s="59" t="str">
        <f t="shared" si="205"/>
        <v>0.323682155431842+2.19036415212768i</v>
      </c>
      <c r="BJ202" s="64">
        <f t="shared" si="206"/>
        <v>6.9041452454491523</v>
      </c>
      <c r="BK202" s="61">
        <f t="shared" si="207"/>
        <v>81.593924783571026</v>
      </c>
      <c r="BL202" s="59" t="str">
        <f t="shared" si="211"/>
        <v>1.31046794355407+19.6922774156359i</v>
      </c>
      <c r="BM202" s="64">
        <f t="shared" si="208"/>
        <v>25.905109364012141</v>
      </c>
      <c r="BN202" s="61">
        <f t="shared" si="212"/>
        <v>86.192734017020058</v>
      </c>
      <c r="BO202" s="50">
        <f t="shared" si="209"/>
        <v>6.9041452454491523</v>
      </c>
      <c r="BP202" s="61">
        <f t="shared" si="210"/>
        <v>81.593924783571026</v>
      </c>
    </row>
    <row r="203" spans="14:68" x14ac:dyDescent="0.25">
      <c r="N203" s="11">
        <v>85</v>
      </c>
      <c r="O203" s="51">
        <f t="shared" si="213"/>
        <v>707.94578438413873</v>
      </c>
      <c r="P203" s="49" t="str">
        <f t="shared" si="161"/>
        <v>25.6231073841137</v>
      </c>
      <c r="Q203" s="18" t="str">
        <f t="shared" si="162"/>
        <v>1+3.84667453285719i</v>
      </c>
      <c r="R203" s="18">
        <f t="shared" si="174"/>
        <v>3.97453204311301</v>
      </c>
      <c r="S203" s="18">
        <f t="shared" si="175"/>
        <v>1.3164612337327446</v>
      </c>
      <c r="T203" s="18" t="str">
        <f t="shared" si="163"/>
        <v>1+0.00400333909564994i</v>
      </c>
      <c r="U203" s="18">
        <f t="shared" si="176"/>
        <v>1.0000080133298506</v>
      </c>
      <c r="V203" s="18">
        <f t="shared" si="177"/>
        <v>4.0033177090521193E-3</v>
      </c>
      <c r="W203" s="32" t="str">
        <f t="shared" si="164"/>
        <v>1-0.0897044501062301i</v>
      </c>
      <c r="X203" s="18">
        <f t="shared" si="178"/>
        <v>1.0040153825359754</v>
      </c>
      <c r="Y203" s="18">
        <f t="shared" si="179"/>
        <v>-8.946499128764164E-2</v>
      </c>
      <c r="Z203" s="32" t="str">
        <f t="shared" si="165"/>
        <v>0.999987470319159+0.0071022200993197i</v>
      </c>
      <c r="AA203" s="18">
        <f t="shared" si="180"/>
        <v>1.0000126910822933</v>
      </c>
      <c r="AB203" s="18">
        <f t="shared" si="181"/>
        <v>7.1021896724943164E-3</v>
      </c>
      <c r="AC203" s="32" t="str">
        <f>IMDIV(IMSUM(COMPLEX(0,2*PI()*O203*Constants!$B$71*Constants!$B$72),COMPLEX(1,0)),IMSUM(COMPLEX(0,2*PI()*O203*Constants!$B$71*Constants!$B$72),COMPLEX(2,0)))</f>
        <v>0.500039569026151+0.00444780253243467i</v>
      </c>
      <c r="AD203" s="18">
        <f t="shared" si="182"/>
        <v>0.50005935001680191</v>
      </c>
      <c r="AE203" s="18">
        <f t="shared" si="183"/>
        <v>8.8946665648359739E-3</v>
      </c>
      <c r="AF203" s="66" t="str">
        <f t="shared" si="184"/>
        <v>0.549720718011541-3.18970061602334i</v>
      </c>
      <c r="AG203" s="64">
        <f t="shared" si="185"/>
        <v>10.202113625065257</v>
      </c>
      <c r="AH203" s="61">
        <f t="shared" si="186"/>
        <v>-80.221564430843628</v>
      </c>
      <c r="AI203" s="50" t="str">
        <f t="shared" si="166"/>
        <v>108.866083054159</v>
      </c>
      <c r="AJ203" s="50" t="str">
        <f t="shared" si="167"/>
        <v>1+3.63939917786358i</v>
      </c>
      <c r="AK203" s="50">
        <f t="shared" si="187"/>
        <v>3.7742848827074647</v>
      </c>
      <c r="AL203" s="50">
        <f t="shared" si="188"/>
        <v>1.302643373112359</v>
      </c>
      <c r="AM203" s="50" t="str">
        <f t="shared" si="168"/>
        <v>1+0.00400333909564994i</v>
      </c>
      <c r="AN203" s="50">
        <f t="shared" si="189"/>
        <v>1.0000080133298506</v>
      </c>
      <c r="AO203" s="50">
        <f t="shared" si="190"/>
        <v>4.0033177090521193E-3</v>
      </c>
      <c r="AP203" s="50" t="str">
        <f t="shared" si="169"/>
        <v>1-0.019975466401565i</v>
      </c>
      <c r="AQ203" s="50">
        <f t="shared" si="191"/>
        <v>1.0001994897309037</v>
      </c>
      <c r="AR203" s="50">
        <f t="shared" si="192"/>
        <v>-1.9972810172207686E-2</v>
      </c>
      <c r="AS203" s="59" t="str">
        <f t="shared" si="193"/>
        <v>7.19865837458431-27.9376143080203i</v>
      </c>
      <c r="AT203" s="50">
        <f t="shared" si="194"/>
        <v>29.202960574222129</v>
      </c>
      <c r="AU203" s="61">
        <f t="shared" si="195"/>
        <v>-75.550952009128366</v>
      </c>
      <c r="AV203" s="32" t="str">
        <f t="shared" si="170"/>
        <v>-0.0000333333333333333</v>
      </c>
      <c r="AW203" s="32" t="str">
        <f t="shared" si="171"/>
        <v>0.000213511418434663i</v>
      </c>
      <c r="AX203" s="32">
        <f t="shared" si="196"/>
        <v>2.13511418434663E-4</v>
      </c>
      <c r="AY203" s="32">
        <f t="shared" si="197"/>
        <v>1.5707963267948966</v>
      </c>
      <c r="AZ203" s="32" t="str">
        <f t="shared" si="172"/>
        <v>1+0.0871096932849755i</v>
      </c>
      <c r="BA203" s="32">
        <f t="shared" si="198"/>
        <v>1.0037868791054216</v>
      </c>
      <c r="BB203" s="32">
        <f t="shared" si="199"/>
        <v>8.6890358706025031E-2</v>
      </c>
      <c r="BC203" s="32" t="str">
        <f t="shared" si="173"/>
        <v>1+4.18126527767883i</v>
      </c>
      <c r="BD203" s="32">
        <f t="shared" si="200"/>
        <v>4.299183564622779</v>
      </c>
      <c r="BE203" s="32">
        <f t="shared" si="201"/>
        <v>1.3360438038184681</v>
      </c>
      <c r="BF203" s="59" t="str">
        <f t="shared" si="202"/>
        <v>-0.634364619419506+0.211378982796251i</v>
      </c>
      <c r="BG203" s="50">
        <f t="shared" si="203"/>
        <v>-3.4959577235370798</v>
      </c>
      <c r="BH203" s="61">
        <f t="shared" si="204"/>
        <v>161.57122036916968</v>
      </c>
      <c r="BI203" s="59" t="str">
        <f t="shared" si="205"/>
        <v>0.32551229757118+2.13963262354111i</v>
      </c>
      <c r="BJ203" s="64">
        <f t="shared" si="206"/>
        <v>6.7061559015281578</v>
      </c>
      <c r="BK203" s="61">
        <f t="shared" si="207"/>
        <v>81.349655938326038</v>
      </c>
      <c r="BL203" s="59" t="str">
        <f t="shared" si="211"/>
        <v>1.3388503140591+19.2442791527136i</v>
      </c>
      <c r="BM203" s="64">
        <f t="shared" si="208"/>
        <v>25.707002850685047</v>
      </c>
      <c r="BN203" s="61">
        <f t="shared" si="212"/>
        <v>86.020268360041342</v>
      </c>
      <c r="BO203" s="50">
        <f t="shared" si="209"/>
        <v>6.7061559015281578</v>
      </c>
      <c r="BP203" s="61">
        <f t="shared" si="210"/>
        <v>81.349655938326038</v>
      </c>
    </row>
    <row r="204" spans="14:68" x14ac:dyDescent="0.25">
      <c r="N204" s="11">
        <v>86</v>
      </c>
      <c r="O204" s="51">
        <f t="shared" si="213"/>
        <v>724.43596007499025</v>
      </c>
      <c r="P204" s="49" t="str">
        <f t="shared" si="161"/>
        <v>25.6231073841137</v>
      </c>
      <c r="Q204" s="18" t="str">
        <f t="shared" si="162"/>
        <v>1+3.93627509305761i</v>
      </c>
      <c r="R204" s="18">
        <f t="shared" si="174"/>
        <v>4.0613127936943858</v>
      </c>
      <c r="S204" s="18">
        <f t="shared" si="175"/>
        <v>1.3220120967919331</v>
      </c>
      <c r="T204" s="18" t="str">
        <f t="shared" si="163"/>
        <v>1+0.00409658884230215i</v>
      </c>
      <c r="U204" s="18">
        <f t="shared" si="176"/>
        <v>1.0000083909848672</v>
      </c>
      <c r="V204" s="18">
        <f t="shared" si="177"/>
        <v>4.0965659261600973E-3</v>
      </c>
      <c r="W204" s="32" t="str">
        <f t="shared" si="164"/>
        <v>1-0.0917939351701037i</v>
      </c>
      <c r="X204" s="18">
        <f t="shared" si="178"/>
        <v>1.0042042255109331</v>
      </c>
      <c r="Y204" s="18">
        <f t="shared" si="179"/>
        <v>-9.1537408405130888E-2</v>
      </c>
      <c r="Z204" s="32" t="str">
        <f t="shared" si="165"/>
        <v>0.999986879813494+0.00726765205726937i</v>
      </c>
      <c r="AA204" s="18">
        <f t="shared" si="180"/>
        <v>1.0000132891944751</v>
      </c>
      <c r="AB204" s="18">
        <f t="shared" si="181"/>
        <v>7.2676194543507093E-3</v>
      </c>
      <c r="AC204" s="32" t="str">
        <f>IMDIV(IMSUM(COMPLEX(0,2*PI()*O204*Constants!$B$71*Constants!$B$72),COMPLEX(1,0)),IMSUM(COMPLEX(0,2*PI()*O204*Constants!$B$71*Constants!$B$72),COMPLEX(2,0)))</f>
        <v>0.500041433702367+0.0045513881873517i</v>
      </c>
      <c r="AD204" s="18">
        <f t="shared" si="182"/>
        <v>0.50006214669133942</v>
      </c>
      <c r="AE204" s="18">
        <f t="shared" si="183"/>
        <v>9.1017707684249941E-3</v>
      </c>
      <c r="AF204" s="66" t="str">
        <f t="shared" si="184"/>
        <v>0.51468392071799-3.12608982431496i</v>
      </c>
      <c r="AG204" s="64">
        <f t="shared" si="185"/>
        <v>10.016185112118052</v>
      </c>
      <c r="AH204" s="61">
        <f t="shared" si="186"/>
        <v>-80.650615713246665</v>
      </c>
      <c r="AI204" s="50" t="str">
        <f t="shared" si="166"/>
        <v>108.866083054159</v>
      </c>
      <c r="AJ204" s="50" t="str">
        <f t="shared" si="167"/>
        <v>1+3.72417167482014i</v>
      </c>
      <c r="AK204" s="50">
        <f t="shared" si="187"/>
        <v>3.8560931865727315</v>
      </c>
      <c r="AL204" s="50">
        <f t="shared" si="188"/>
        <v>1.3084680955237011</v>
      </c>
      <c r="AM204" s="50" t="str">
        <f t="shared" si="168"/>
        <v>1+0.00409658884230215i</v>
      </c>
      <c r="AN204" s="50">
        <f t="shared" si="189"/>
        <v>1.0000083909848672</v>
      </c>
      <c r="AO204" s="50">
        <f t="shared" si="190"/>
        <v>4.0965659261600973E-3</v>
      </c>
      <c r="AP204" s="50" t="str">
        <f t="shared" si="169"/>
        <v>1-0.0204407547862611i</v>
      </c>
      <c r="AQ204" s="50">
        <f t="shared" si="191"/>
        <v>1.0002088904105142</v>
      </c>
      <c r="AR204" s="50">
        <f t="shared" si="192"/>
        <v>-2.0437908617328582E-2</v>
      </c>
      <c r="AS204" s="59" t="str">
        <f t="shared" si="193"/>
        <v>6.87642476093517-27.3883116458126i</v>
      </c>
      <c r="AT204" s="50">
        <f t="shared" si="194"/>
        <v>29.016788631739821</v>
      </c>
      <c r="AU204" s="61">
        <f t="shared" si="195"/>
        <v>-75.905989468809622</v>
      </c>
      <c r="AV204" s="32" t="str">
        <f t="shared" si="170"/>
        <v>-0.0000333333333333333</v>
      </c>
      <c r="AW204" s="32" t="str">
        <f t="shared" si="171"/>
        <v>0.000218484738256114i</v>
      </c>
      <c r="AX204" s="32">
        <f t="shared" si="196"/>
        <v>2.18484738256114E-4</v>
      </c>
      <c r="AY204" s="32">
        <f t="shared" si="197"/>
        <v>1.5707963267948966</v>
      </c>
      <c r="AZ204" s="32" t="str">
        <f t="shared" si="172"/>
        <v>1+0.0891387386982413i</v>
      </c>
      <c r="BA204" s="32">
        <f t="shared" si="198"/>
        <v>1.0039649967686688</v>
      </c>
      <c r="BB204" s="32">
        <f t="shared" si="199"/>
        <v>8.8903767563380975E-2</v>
      </c>
      <c r="BC204" s="32" t="str">
        <f t="shared" si="173"/>
        <v>1+4.27865945751559i</v>
      </c>
      <c r="BD204" s="32">
        <f t="shared" si="200"/>
        <v>4.3939648102127089</v>
      </c>
      <c r="BE204" s="32">
        <f t="shared" si="201"/>
        <v>1.3411995599326174</v>
      </c>
      <c r="BF204" s="59" t="str">
        <f t="shared" si="202"/>
        <v>-0.634139548782846+0.209092357230105i</v>
      </c>
      <c r="BG204" s="50">
        <f t="shared" si="203"/>
        <v>-3.5080871474580344</v>
      </c>
      <c r="BH204" s="61">
        <f t="shared" si="204"/>
        <v>161.75126360474849</v>
      </c>
      <c r="BI204" s="59" t="str">
        <f t="shared" si="205"/>
        <v>0.327260061029168+2.08999366485709i</v>
      </c>
      <c r="BJ204" s="64">
        <f t="shared" si="206"/>
        <v>6.5080979646600099</v>
      </c>
      <c r="BK204" s="61">
        <f t="shared" si="207"/>
        <v>81.100647891501808</v>
      </c>
      <c r="BL204" s="59" t="str">
        <f t="shared" si="211"/>
        <v>1.36607374743707+18.805819451579i</v>
      </c>
      <c r="BM204" s="64">
        <f t="shared" si="208"/>
        <v>25.508701484281801</v>
      </c>
      <c r="BN204" s="61">
        <f t="shared" si="212"/>
        <v>85.84527413593888</v>
      </c>
      <c r="BO204" s="50">
        <f t="shared" si="209"/>
        <v>6.5080979646600099</v>
      </c>
      <c r="BP204" s="61">
        <f t="shared" si="210"/>
        <v>81.100647891501808</v>
      </c>
    </row>
    <row r="205" spans="14:68" x14ac:dyDescent="0.25">
      <c r="N205" s="11">
        <v>87</v>
      </c>
      <c r="O205" s="51">
        <f t="shared" si="213"/>
        <v>741.31024130091828</v>
      </c>
      <c r="P205" s="49" t="str">
        <f t="shared" si="161"/>
        <v>25.6231073841137</v>
      </c>
      <c r="Q205" s="18" t="str">
        <f t="shared" si="162"/>
        <v>1+4.02796271841512i</v>
      </c>
      <c r="R205" s="18">
        <f t="shared" si="174"/>
        <v>4.150238988412851</v>
      </c>
      <c r="S205" s="18">
        <f t="shared" si="175"/>
        <v>1.3274517764084792</v>
      </c>
      <c r="T205" s="18" t="str">
        <f t="shared" si="163"/>
        <v>1+0.00419201065458332i</v>
      </c>
      <c r="U205" s="18">
        <f t="shared" si="176"/>
        <v>1.0000087864380633</v>
      </c>
      <c r="V205" s="18">
        <f t="shared" si="177"/>
        <v>4.1919860995063615E-3</v>
      </c>
      <c r="W205" s="32" t="str">
        <f t="shared" si="164"/>
        <v>1-0.093932090593441i</v>
      </c>
      <c r="X205" s="18">
        <f t="shared" si="178"/>
        <v>1.0044019303263283</v>
      </c>
      <c r="Y205" s="18">
        <f t="shared" si="179"/>
        <v>-9.3657282233491679E-2</v>
      </c>
      <c r="Z205" s="32" t="str">
        <f t="shared" si="165"/>
        <v>0.999986261478154+0.00743693742053855i</v>
      </c>
      <c r="AA205" s="18">
        <f t="shared" si="180"/>
        <v>1.0000139154948053</v>
      </c>
      <c r="AB205" s="18">
        <f t="shared" si="181"/>
        <v>7.4369024858954164E-3</v>
      </c>
      <c r="AC205" s="32" t="str">
        <f>IMDIV(IMSUM(COMPLEX(0,2*PI()*O205*Constants!$B$71*Constants!$B$72),COMPLEX(1,0)),IMSUM(COMPLEX(0,2*PI()*O205*Constants!$B$71*Constants!$B$72),COMPLEX(2,0)))</f>
        <v>0.500043386243159+0.00465738544821793i</v>
      </c>
      <c r="AD205" s="18">
        <f t="shared" si="182"/>
        <v>0.5000650751299659</v>
      </c>
      <c r="AE205" s="18">
        <f t="shared" si="183"/>
        <v>9.3136933863045106E-3</v>
      </c>
      <c r="AF205" s="66" t="str">
        <f t="shared" si="184"/>
        <v>0.481036489938493-3.06338165240307i</v>
      </c>
      <c r="AG205" s="64">
        <f t="shared" si="185"/>
        <v>9.8298105224574002</v>
      </c>
      <c r="AH205" s="61">
        <f t="shared" si="186"/>
        <v>-81.075835979093142</v>
      </c>
      <c r="AI205" s="50" t="str">
        <f t="shared" si="166"/>
        <v>108.866083054159</v>
      </c>
      <c r="AJ205" s="50" t="str">
        <f t="shared" si="167"/>
        <v>1+3.81091877689393i</v>
      </c>
      <c r="AK205" s="50">
        <f t="shared" si="187"/>
        <v>3.9399367918892718</v>
      </c>
      <c r="AL205" s="50">
        <f t="shared" si="188"/>
        <v>1.3141778911044102</v>
      </c>
      <c r="AM205" s="50" t="str">
        <f t="shared" si="168"/>
        <v>1+0.00419201065458332i</v>
      </c>
      <c r="AN205" s="50">
        <f t="shared" si="189"/>
        <v>1.0000087864380633</v>
      </c>
      <c r="AO205" s="50">
        <f t="shared" si="190"/>
        <v>4.1919860995063615E-3</v>
      </c>
      <c r="AP205" s="50" t="str">
        <f t="shared" si="169"/>
        <v>1-0.0209168811297103i</v>
      </c>
      <c r="AQ205" s="50">
        <f t="shared" si="191"/>
        <v>1.000218734035808</v>
      </c>
      <c r="AR205" s="50">
        <f t="shared" si="192"/>
        <v>-2.0913831440772284E-2</v>
      </c>
      <c r="AS205" s="59" t="str">
        <f t="shared" si="193"/>
        <v>6.56678146057709-26.8462419100874i</v>
      </c>
      <c r="AT205" s="50">
        <f t="shared" si="194"/>
        <v>28.830042869253731</v>
      </c>
      <c r="AU205" s="61">
        <f t="shared" si="195"/>
        <v>-76.254937853410837</v>
      </c>
      <c r="AV205" s="32" t="str">
        <f t="shared" si="170"/>
        <v>-0.0000333333333333333</v>
      </c>
      <c r="AW205" s="32" t="str">
        <f t="shared" si="171"/>
        <v>0.000223573901577777i</v>
      </c>
      <c r="AX205" s="32">
        <f t="shared" si="196"/>
        <v>2.23573901577777E-4</v>
      </c>
      <c r="AY205" s="32">
        <f t="shared" si="197"/>
        <v>1.5707963267948966</v>
      </c>
      <c r="AZ205" s="32" t="str">
        <f t="shared" si="172"/>
        <v>1+0.0912150466506555i</v>
      </c>
      <c r="BA205" s="32">
        <f t="shared" si="198"/>
        <v>1.0041514749954219</v>
      </c>
      <c r="BB205" s="32">
        <f t="shared" si="199"/>
        <v>9.0963326728313643E-2</v>
      </c>
      <c r="BC205" s="32" t="str">
        <f t="shared" si="173"/>
        <v>1+4.37832223923147i</v>
      </c>
      <c r="BD205" s="32">
        <f t="shared" si="200"/>
        <v>4.4910695419408588</v>
      </c>
      <c r="BE205" s="32">
        <f t="shared" si="201"/>
        <v>1.346249991566143</v>
      </c>
      <c r="BF205" s="59" t="str">
        <f t="shared" si="202"/>
        <v>-0.633904042006676+0.206914719271979i</v>
      </c>
      <c r="BG205" s="50">
        <f t="shared" si="203"/>
        <v>-3.5198362207778238</v>
      </c>
      <c r="BH205" s="61">
        <f t="shared" si="204"/>
        <v>161.92262797426071</v>
      </c>
      <c r="BI205" s="59" t="str">
        <f t="shared" si="205"/>
        <v>0.328927779305198+2.0414235419426i</v>
      </c>
      <c r="BJ205" s="64">
        <f t="shared" si="206"/>
        <v>6.3099743016795875</v>
      </c>
      <c r="BK205" s="61">
        <f t="shared" si="207"/>
        <v>80.846791995167578</v>
      </c>
      <c r="BL205" s="59" t="str">
        <f t="shared" si="211"/>
        <v>1.39217329749905+18.3767050019292i</v>
      </c>
      <c r="BM205" s="64">
        <f t="shared" si="208"/>
        <v>25.310206648475919</v>
      </c>
      <c r="BN205" s="61">
        <f t="shared" si="212"/>
        <v>85.667690120849869</v>
      </c>
      <c r="BO205" s="50">
        <f t="shared" si="209"/>
        <v>6.3099743016795875</v>
      </c>
      <c r="BP205" s="61">
        <f t="shared" si="210"/>
        <v>80.846791995167578</v>
      </c>
    </row>
    <row r="206" spans="14:68" x14ac:dyDescent="0.25">
      <c r="N206" s="11">
        <v>88</v>
      </c>
      <c r="O206" s="51">
        <f t="shared" si="213"/>
        <v>758.57757502918378</v>
      </c>
      <c r="P206" s="49" t="str">
        <f t="shared" si="161"/>
        <v>25.6231073841137</v>
      </c>
      <c r="Q206" s="18" t="str">
        <f t="shared" si="162"/>
        <v>1+4.12178602292233i</v>
      </c>
      <c r="R206" s="18">
        <f t="shared" si="174"/>
        <v>4.241358275217725</v>
      </c>
      <c r="S206" s="18">
        <f t="shared" si="175"/>
        <v>1.3327818685374677</v>
      </c>
      <c r="T206" s="18" t="str">
        <f t="shared" si="163"/>
        <v>1+0.00428965512640136i</v>
      </c>
      <c r="U206" s="18">
        <f t="shared" si="176"/>
        <v>1.0000092005282268</v>
      </c>
      <c r="V206" s="18">
        <f t="shared" si="177"/>
        <v>4.2896288151754308E-3</v>
      </c>
      <c r="W206" s="32" t="str">
        <f t="shared" si="164"/>
        <v>1-0.0961200500545491i</v>
      </c>
      <c r="X206" s="18">
        <f t="shared" si="178"/>
        <v>1.004608910981029</v>
      </c>
      <c r="Y206" s="18">
        <f t="shared" si="179"/>
        <v>-9.5825660504402554E-2</v>
      </c>
      <c r="Z206" s="32" t="str">
        <f t="shared" si="165"/>
        <v>0.999985614001567+0.0076101659464676i</v>
      </c>
      <c r="AA206" s="18">
        <f t="shared" si="180"/>
        <v>1.0000145713117503</v>
      </c>
      <c r="AB206" s="18">
        <f t="shared" si="181"/>
        <v>7.610128513338343E-3</v>
      </c>
      <c r="AC206" s="32" t="str">
        <f>IMDIV(IMSUM(COMPLEX(0,2*PI()*O206*Constants!$B$71*Constants!$B$72),COMPLEX(1,0)),IMSUM(COMPLEX(0,2*PI()*O206*Constants!$B$71*Constants!$B$72),COMPLEX(2,0)))</f>
        <v>0.500045430788017+0.00476585040175103i</v>
      </c>
      <c r="AD206" s="18">
        <f t="shared" si="182"/>
        <v>0.50006814153875612</v>
      </c>
      <c r="AE206" s="18">
        <f t="shared" si="183"/>
        <v>9.5305462490059452E-3</v>
      </c>
      <c r="AF206" s="66" t="str">
        <f t="shared" si="184"/>
        <v>0.448730969481-3.00158743401673i</v>
      </c>
      <c r="AG206" s="64">
        <f t="shared" si="185"/>
        <v>9.6430143584326107</v>
      </c>
      <c r="AH206" s="61">
        <f t="shared" si="186"/>
        <v>-81.497372536769262</v>
      </c>
      <c r="AI206" s="50" t="str">
        <f t="shared" si="166"/>
        <v>108.866083054159</v>
      </c>
      <c r="AJ206" s="50" t="str">
        <f t="shared" si="167"/>
        <v>1+3.8996864785467i</v>
      </c>
      <c r="AK206" s="50">
        <f t="shared" si="187"/>
        <v>4.0258607316895558</v>
      </c>
      <c r="AL206" s="50">
        <f t="shared" si="188"/>
        <v>1.3197742974557345</v>
      </c>
      <c r="AM206" s="50" t="str">
        <f t="shared" si="168"/>
        <v>1+0.00428965512640136i</v>
      </c>
      <c r="AN206" s="50">
        <f t="shared" si="189"/>
        <v>1.0000092005282268</v>
      </c>
      <c r="AO206" s="50">
        <f t="shared" si="190"/>
        <v>4.2896288151754308E-3</v>
      </c>
      <c r="AP206" s="50" t="str">
        <f t="shared" si="169"/>
        <v>1-0.0214040978804021i</v>
      </c>
      <c r="AQ206" s="50">
        <f t="shared" si="191"/>
        <v>1.0002290414730386</v>
      </c>
      <c r="AR206" s="50">
        <f t="shared" si="192"/>
        <v>-2.140083012024303E-2</v>
      </c>
      <c r="AS206" s="59" t="str">
        <f t="shared" si="193"/>
        <v>6.26931415841442-26.3115419996128i</v>
      </c>
      <c r="AT206" s="50">
        <f t="shared" si="194"/>
        <v>28.642746124157874</v>
      </c>
      <c r="AU206" s="61">
        <f t="shared" si="195"/>
        <v>-76.597896771236009</v>
      </c>
      <c r="AV206" s="32" t="str">
        <f t="shared" si="170"/>
        <v>-0.0000333333333333333</v>
      </c>
      <c r="AW206" s="32" t="str">
        <f t="shared" si="171"/>
        <v>0.000228781606741406i</v>
      </c>
      <c r="AX206" s="32">
        <f t="shared" si="196"/>
        <v>2.2878160674140601E-4</v>
      </c>
      <c r="AY206" s="32">
        <f t="shared" si="197"/>
        <v>1.5707963267948966</v>
      </c>
      <c r="AZ206" s="32" t="str">
        <f t="shared" si="172"/>
        <v>1+0.0933397180281779i</v>
      </c>
      <c r="BA206" s="32">
        <f t="shared" si="198"/>
        <v>1.0043467045605217</v>
      </c>
      <c r="BB206" s="32">
        <f t="shared" si="199"/>
        <v>9.3070058278045695E-2</v>
      </c>
      <c r="BC206" s="32" t="str">
        <f t="shared" si="173"/>
        <v>1+4.48030646535254i</v>
      </c>
      <c r="BD206" s="32">
        <f t="shared" si="200"/>
        <v>4.5905496428510366</v>
      </c>
      <c r="BE206" s="32">
        <f t="shared" si="201"/>
        <v>1.3511967454990148</v>
      </c>
      <c r="BF206" s="59" t="str">
        <f t="shared" si="202"/>
        <v>-0.633657623550456+0.204844782384613i</v>
      </c>
      <c r="BG206" s="50">
        <f t="shared" si="203"/>
        <v>-3.5312266217696529</v>
      </c>
      <c r="BH206" s="61">
        <f t="shared" si="204"/>
        <v>162.08534927053736</v>
      </c>
      <c r="BI206" s="59" t="str">
        <f t="shared" si="205"/>
        <v>0.330517724994723+1.99389895811052i</v>
      </c>
      <c r="BJ206" s="64">
        <f t="shared" si="206"/>
        <v>6.1117877366629418</v>
      </c>
      <c r="BK206" s="61">
        <f t="shared" si="207"/>
        <v>80.587976733768116</v>
      </c>
      <c r="BL206" s="59" t="str">
        <f t="shared" si="211"/>
        <v>1.41718338420218+17.9567454699038i</v>
      </c>
      <c r="BM206" s="64">
        <f t="shared" si="208"/>
        <v>25.111519502388205</v>
      </c>
      <c r="BN206" s="61">
        <f t="shared" si="212"/>
        <v>85.487452499301369</v>
      </c>
      <c r="BO206" s="50">
        <f t="shared" si="209"/>
        <v>6.1117877366629418</v>
      </c>
      <c r="BP206" s="61">
        <f t="shared" si="210"/>
        <v>80.587976733768116</v>
      </c>
    </row>
    <row r="207" spans="14:68" x14ac:dyDescent="0.25">
      <c r="N207" s="11">
        <v>89</v>
      </c>
      <c r="O207" s="51">
        <f t="shared" si="213"/>
        <v>776.24711662869231</v>
      </c>
      <c r="P207" s="49" t="str">
        <f t="shared" si="161"/>
        <v>25.6231073841137</v>
      </c>
      <c r="Q207" s="18" t="str">
        <f t="shared" si="162"/>
        <v>1+4.21779475293718i</v>
      </c>
      <c r="R207" s="18">
        <f t="shared" si="174"/>
        <v>4.3347194347390472</v>
      </c>
      <c r="S207" s="18">
        <f t="shared" si="175"/>
        <v>1.3380039873222387</v>
      </c>
      <c r="T207" s="18" t="str">
        <f t="shared" si="163"/>
        <v>1+0.00438957403014773i</v>
      </c>
      <c r="U207" s="18">
        <f t="shared" si="176"/>
        <v>1.0000096341336748</v>
      </c>
      <c r="V207" s="18">
        <f t="shared" si="177"/>
        <v>4.3895458371758728E-3</v>
      </c>
      <c r="W207" s="32" t="str">
        <f t="shared" si="164"/>
        <v>1-0.0983589736384955i</v>
      </c>
      <c r="X207" s="18">
        <f t="shared" si="178"/>
        <v>1.0048256006368559</v>
      </c>
      <c r="Y207" s="18">
        <f t="shared" si="179"/>
        <v>-9.8043611312422174E-2</v>
      </c>
      <c r="Z207" s="32" t="str">
        <f t="shared" si="165"/>
        <v>0.999984936010348+0.00778742948311393i</v>
      </c>
      <c r="AA207" s="18">
        <f t="shared" si="180"/>
        <v>1.0000152580363832</v>
      </c>
      <c r="AB207" s="18">
        <f t="shared" si="181"/>
        <v>7.7873893728104271E-3</v>
      </c>
      <c r="AC207" s="32" t="str">
        <f>IMDIV(IMSUM(COMPLEX(0,2*PI()*O207*Constants!$B$71*Constants!$B$72),COMPLEX(1,0)),IMSUM(COMPLEX(0,2*PI()*O207*Constants!$B$71*Constants!$B$72),COMPLEX(2,0)))</f>
        <v>0.500047571671383+0.00487684043489021i</v>
      </c>
      <c r="AD207" s="18">
        <f t="shared" si="182"/>
        <v>0.50007135241590706</v>
      </c>
      <c r="AE207" s="18">
        <f t="shared" si="183"/>
        <v>9.7524437630060311E-3</v>
      </c>
      <c r="AF207" s="66" t="str">
        <f t="shared" si="184"/>
        <v>0.417720880085961-2.94071658707059i</v>
      </c>
      <c r="AG207" s="64">
        <f t="shared" si="185"/>
        <v>9.4558205702534046</v>
      </c>
      <c r="AH207" s="61">
        <f t="shared" si="186"/>
        <v>-81.915374808141593</v>
      </c>
      <c r="AI207" s="50" t="str">
        <f t="shared" si="166"/>
        <v>108.866083054159</v>
      </c>
      <c r="AJ207" s="50" t="str">
        <f t="shared" si="167"/>
        <v>1+3.99052184558885i</v>
      </c>
      <c r="AK207" s="50">
        <f t="shared" si="187"/>
        <v>4.113911107464749</v>
      </c>
      <c r="AL207" s="50">
        <f t="shared" si="188"/>
        <v>1.3252588790555606</v>
      </c>
      <c r="AM207" s="50" t="str">
        <f t="shared" si="168"/>
        <v>1+0.00438957403014773i</v>
      </c>
      <c r="AN207" s="50">
        <f t="shared" si="189"/>
        <v>1.0000096341336748</v>
      </c>
      <c r="AO207" s="50">
        <f t="shared" si="190"/>
        <v>4.3895458371758728E-3</v>
      </c>
      <c r="AP207" s="50" t="str">
        <f t="shared" si="169"/>
        <v>1-0.0219026633671068i</v>
      </c>
      <c r="AQ207" s="50">
        <f t="shared" si="191"/>
        <v>1.0002398345709758</v>
      </c>
      <c r="AR207" s="50">
        <f t="shared" si="192"/>
        <v>-2.1899161944354217E-2</v>
      </c>
      <c r="AS207" s="59" t="str">
        <f t="shared" si="193"/>
        <v>5.98361567360489-25.7843304994204i</v>
      </c>
      <c r="AT207" s="50">
        <f t="shared" si="194"/>
        <v>28.45492049133027</v>
      </c>
      <c r="AU207" s="61">
        <f t="shared" si="195"/>
        <v>-76.934967635957619</v>
      </c>
      <c r="AV207" s="32" t="str">
        <f t="shared" si="170"/>
        <v>-0.0000333333333333333</v>
      </c>
      <c r="AW207" s="32" t="str">
        <f t="shared" si="171"/>
        <v>0.000234110614941212i</v>
      </c>
      <c r="AX207" s="32">
        <f t="shared" si="196"/>
        <v>2.3411061494121201E-4</v>
      </c>
      <c r="AY207" s="32">
        <f t="shared" si="197"/>
        <v>1.5707963267948966</v>
      </c>
      <c r="AZ207" s="32" t="str">
        <f t="shared" si="172"/>
        <v>1+0.095513879359696i</v>
      </c>
      <c r="BA207" s="32">
        <f t="shared" si="198"/>
        <v>1.0045510943452993</v>
      </c>
      <c r="BB207" s="32">
        <f t="shared" si="199"/>
        <v>9.5225004385464107E-2</v>
      </c>
      <c r="BC207" s="32" t="str">
        <f t="shared" si="173"/>
        <v>1+4.58466620926542i</v>
      </c>
      <c r="BD207" s="32">
        <f t="shared" si="200"/>
        <v>4.6924582310746414</v>
      </c>
      <c r="BE207" s="32">
        <f t="shared" si="201"/>
        <v>1.3560414757365145</v>
      </c>
      <c r="BF207" s="59" t="str">
        <f t="shared" si="202"/>
        <v>-0.633399797004029+0.202881307969638i</v>
      </c>
      <c r="BG207" s="50">
        <f t="shared" si="203"/>
        <v>-3.5422795206077495</v>
      </c>
      <c r="BH207" s="61">
        <f t="shared" si="204"/>
        <v>162.23946254899221</v>
      </c>
      <c r="BI207" s="59" t="str">
        <f t="shared" si="205"/>
        <v>0.332032106902099+1.94739704781496i</v>
      </c>
      <c r="BJ207" s="64">
        <f t="shared" si="206"/>
        <v>5.9135410496456506</v>
      </c>
      <c r="BK207" s="61">
        <f t="shared" si="207"/>
        <v>80.324087740850615</v>
      </c>
      <c r="BL207" s="59" t="str">
        <f t="shared" si="211"/>
        <v>1.44113774383238+17.5457534784663i</v>
      </c>
      <c r="BM207" s="64">
        <f t="shared" si="208"/>
        <v>24.912640970722538</v>
      </c>
      <c r="BN207" s="61">
        <f t="shared" si="212"/>
        <v>85.304494913034588</v>
      </c>
      <c r="BO207" s="50">
        <f t="shared" si="209"/>
        <v>5.9135410496456506</v>
      </c>
      <c r="BP207" s="61">
        <f t="shared" si="210"/>
        <v>80.324087740850615</v>
      </c>
    </row>
    <row r="208" spans="14:68" x14ac:dyDescent="0.25">
      <c r="N208" s="11">
        <v>90</v>
      </c>
      <c r="O208" s="51">
        <f t="shared" si="213"/>
        <v>794.32823472428208</v>
      </c>
      <c r="P208" s="49" t="str">
        <f t="shared" si="161"/>
        <v>25.6231073841137</v>
      </c>
      <c r="Q208" s="18" t="str">
        <f t="shared" si="162"/>
        <v>1+4.31603981355915i</v>
      </c>
      <c r="R208" s="18">
        <f t="shared" si="174"/>
        <v>4.4303724078487683</v>
      </c>
      <c r="S208" s="18">
        <f t="shared" si="175"/>
        <v>1.3431197618208917</v>
      </c>
      <c r="T208" s="18" t="str">
        <f t="shared" si="163"/>
        <v>1+0.00449182034414776i</v>
      </c>
      <c r="U208" s="18">
        <f t="shared" si="176"/>
        <v>1.0000100881741165</v>
      </c>
      <c r="V208" s="18">
        <f t="shared" si="177"/>
        <v>4.4917901348506019E-3</v>
      </c>
      <c r="W208" s="32" t="str">
        <f t="shared" si="164"/>
        <v>1-0.1006500484522i</v>
      </c>
      <c r="X208" s="18">
        <f t="shared" si="178"/>
        <v>1.0050524524886402</v>
      </c>
      <c r="Y208" s="18">
        <f t="shared" si="179"/>
        <v>-0.1003122233102037</v>
      </c>
      <c r="Z208" s="32" t="str">
        <f t="shared" si="165"/>
        <v>0.999984226066388+0.00796882201795103i</v>
      </c>
      <c r="AA208" s="18">
        <f t="shared" si="180"/>
        <v>1.0000159771253392</v>
      </c>
      <c r="AB208" s="18">
        <f t="shared" si="181"/>
        <v>7.9687790390057245E-3</v>
      </c>
      <c r="AC208" s="32" t="str">
        <f>IMDIV(IMSUM(COMPLEX(0,2*PI()*O208*Constants!$B$71*Constants!$B$72),COMPLEX(1,0)),IMSUM(COMPLEX(0,2*PI()*O208*Constants!$B$71*Constants!$B$72),COMPLEX(2,0)))</f>
        <v>0.500049813431821+0.00499041426463868i</v>
      </c>
      <c r="AD208" s="18">
        <f t="shared" si="182"/>
        <v>0.50007471456546548</v>
      </c>
      <c r="AE208" s="18">
        <f t="shared" si="183"/>
        <v>9.9795029686630156E-3</v>
      </c>
      <c r="AF208" s="66" t="str">
        <f t="shared" si="184"/>
        <v>0.387960757730459-2.88077672397253i</v>
      </c>
      <c r="AG208" s="64">
        <f t="shared" si="185"/>
        <v>9.2682525784510368</v>
      </c>
      <c r="AH208" s="61">
        <f t="shared" si="186"/>
        <v>-82.32999415008122</v>
      </c>
      <c r="AI208" s="50" t="str">
        <f t="shared" si="166"/>
        <v>108.866083054159</v>
      </c>
      <c r="AJ208" s="50" t="str">
        <f t="shared" si="167"/>
        <v>1+4.08347304013433i</v>
      </c>
      <c r="AK208" s="50">
        <f t="shared" si="187"/>
        <v>4.2041351155147133</v>
      </c>
      <c r="AL208" s="50">
        <f t="shared" si="188"/>
        <v>1.3306332235044689</v>
      </c>
      <c r="AM208" s="50" t="str">
        <f t="shared" si="168"/>
        <v>1+0.00449182034414776i</v>
      </c>
      <c r="AN208" s="50">
        <f t="shared" si="189"/>
        <v>1.0000100881741165</v>
      </c>
      <c r="AO208" s="50">
        <f t="shared" si="190"/>
        <v>4.4917901348506019E-3</v>
      </c>
      <c r="AP208" s="50" t="str">
        <f t="shared" si="169"/>
        <v>1-0.0224128419358448i</v>
      </c>
      <c r="AQ208" s="50">
        <f t="shared" si="191"/>
        <v>1.0002511362071234</v>
      </c>
      <c r="AR208" s="50">
        <f t="shared" si="192"/>
        <v>-2.2409090144643401E-2</v>
      </c>
      <c r="AS208" s="59" t="str">
        <f t="shared" si="193"/>
        <v>5.70928643331498-25.2647086538635i</v>
      </c>
      <c r="AT208" s="50">
        <f t="shared" si="194"/>
        <v>28.266587337043102</v>
      </c>
      <c r="AU208" s="61">
        <f t="shared" si="195"/>
        <v>-77.266253457524883</v>
      </c>
      <c r="AV208" s="32" t="str">
        <f t="shared" si="170"/>
        <v>-0.0000333333333333333</v>
      </c>
      <c r="AW208" s="32" t="str">
        <f t="shared" si="171"/>
        <v>0.00023956375168788i</v>
      </c>
      <c r="AX208" s="32">
        <f t="shared" si="196"/>
        <v>2.3956375168788E-4</v>
      </c>
      <c r="AY208" s="32">
        <f t="shared" si="197"/>
        <v>1.5707963267948966</v>
      </c>
      <c r="AZ208" s="32" t="str">
        <f t="shared" si="172"/>
        <v>1+0.0977386834143263i</v>
      </c>
      <c r="BA208" s="32">
        <f t="shared" si="198"/>
        <v>1.0047650721614312</v>
      </c>
      <c r="BB208" s="32">
        <f t="shared" si="199"/>
        <v>9.742922753040234E-2</v>
      </c>
      <c r="BC208" s="32" t="str">
        <f t="shared" si="173"/>
        <v>1+4.69145680388767i</v>
      </c>
      <c r="BD208" s="32">
        <f t="shared" si="200"/>
        <v>4.7968496894049029</v>
      </c>
      <c r="BE208" s="32">
        <f t="shared" si="201"/>
        <v>1.3607858409017208</v>
      </c>
      <c r="BF208" s="59" t="str">
        <f t="shared" si="202"/>
        <v>-0.633130044248399+0.20102310408756i</v>
      </c>
      <c r="BG208" s="50">
        <f t="shared" si="203"/>
        <v>-3.5530156027370792</v>
      </c>
      <c r="BH208" s="61">
        <f t="shared" si="204"/>
        <v>162.38500196611747</v>
      </c>
      <c r="BI208" s="59" t="str">
        <f t="shared" si="205"/>
        <v>0.333473067527622+1.90189537050162i</v>
      </c>
      <c r="BJ208" s="64">
        <f t="shared" si="206"/>
        <v>5.7152369757139363</v>
      </c>
      <c r="BK208" s="61">
        <f t="shared" si="207"/>
        <v>80.055007816036223</v>
      </c>
      <c r="BL208" s="59" t="str">
        <f t="shared" si="211"/>
        <v>1.46406938531598+17.1435445888935i</v>
      </c>
      <c r="BM208" s="64">
        <f t="shared" si="208"/>
        <v>24.713571734306036</v>
      </c>
      <c r="BN208" s="61">
        <f t="shared" si="212"/>
        <v>85.118748508592603</v>
      </c>
      <c r="BO208" s="50">
        <f t="shared" si="209"/>
        <v>5.7152369757139363</v>
      </c>
      <c r="BP208" s="61">
        <f t="shared" si="210"/>
        <v>80.055007816036223</v>
      </c>
    </row>
    <row r="209" spans="14:68" x14ac:dyDescent="0.25">
      <c r="N209" s="11">
        <v>91</v>
      </c>
      <c r="O209" s="51">
        <f t="shared" si="213"/>
        <v>812.83051616409978</v>
      </c>
      <c r="P209" s="49" t="str">
        <f t="shared" si="161"/>
        <v>25.6231073841137</v>
      </c>
      <c r="Q209" s="18" t="str">
        <f t="shared" si="162"/>
        <v>1+4.41657329561981i</v>
      </c>
      <c r="R209" s="18">
        <f t="shared" si="174"/>
        <v>4.5283683237543775</v>
      </c>
      <c r="S209" s="18">
        <f t="shared" si="175"/>
        <v>1.3481308329241475</v>
      </c>
      <c r="T209" s="18" t="str">
        <f t="shared" si="163"/>
        <v>1+0.00459644828075053i</v>
      </c>
      <c r="U209" s="18">
        <f t="shared" si="176"/>
        <v>1.0000105636126038</v>
      </c>
      <c r="V209" s="18">
        <f t="shared" si="177"/>
        <v>4.5964159109238949E-3</v>
      </c>
      <c r="W209" s="32" t="str">
        <f t="shared" si="164"/>
        <v>1-0.102994489253854i</v>
      </c>
      <c r="X209" s="18">
        <f t="shared" si="178"/>
        <v>1.0052899406721736</v>
      </c>
      <c r="Y209" s="18">
        <f t="shared" si="179"/>
        <v>-0.10263260588948524</v>
      </c>
      <c r="Z209" s="32" t="str">
        <f t="shared" si="165"/>
        <v>0.9999834826638+0.00815443972770186i</v>
      </c>
      <c r="AA209" s="18">
        <f t="shared" si="180"/>
        <v>1.0000167301038994</v>
      </c>
      <c r="AB209" s="18">
        <f t="shared" si="181"/>
        <v>8.1543936749538318E-3</v>
      </c>
      <c r="AC209" s="32" t="str">
        <f>IMDIV(IMSUM(COMPLEX(0,2*PI()*O209*Constants!$B$71*Constants!$B$72),COMPLEX(1,0)),IMSUM(COMPLEX(0,2*PI()*O209*Constants!$B$71*Constants!$B$72),COMPLEX(2,0)))</f>
        <v>0.500052160821627+0.00510663196856971i</v>
      </c>
      <c r="AD209" s="18">
        <f t="shared" si="182"/>
        <v>0.5000782351117079</v>
      </c>
      <c r="AE209" s="18">
        <f t="shared" si="183"/>
        <v>1.0211843599355163E-2</v>
      </c>
      <c r="AF209" s="66" t="str">
        <f t="shared" si="184"/>
        <v>0.359406185182762-2.82177375888343i</v>
      </c>
      <c r="AG209" s="64">
        <f t="shared" si="185"/>
        <v>9.0803332971593829</v>
      </c>
      <c r="AH209" s="61">
        <f t="shared" si="186"/>
        <v>-82.741383686096583</v>
      </c>
      <c r="AI209" s="50" t="str">
        <f t="shared" si="166"/>
        <v>108.866083054159</v>
      </c>
      <c r="AJ209" s="50" t="str">
        <f t="shared" si="167"/>
        <v>1+4.17858934613685i</v>
      </c>
      <c r="AK209" s="50">
        <f t="shared" si="187"/>
        <v>4.2965810737897634</v>
      </c>
      <c r="AL209" s="50">
        <f t="shared" si="188"/>
        <v>1.3358989379746791</v>
      </c>
      <c r="AM209" s="50" t="str">
        <f t="shared" si="168"/>
        <v>1+0.00459644828075053i</v>
      </c>
      <c r="AN209" s="50">
        <f t="shared" si="189"/>
        <v>1.0000105636126038</v>
      </c>
      <c r="AO209" s="50">
        <f t="shared" si="190"/>
        <v>4.5964159109238949E-3</v>
      </c>
      <c r="AP209" s="50" t="str">
        <f t="shared" si="169"/>
        <v>1-0.0229349040900462i</v>
      </c>
      <c r="AQ209" s="50">
        <f t="shared" si="191"/>
        <v>1.000262970336111</v>
      </c>
      <c r="AR209" s="50">
        <f t="shared" si="192"/>
        <v>-2.2930884030424127E-2</v>
      </c>
      <c r="AS209" s="59" t="str">
        <f t="shared" si="193"/>
        <v>5.44593487939661-24.7527613200216i</v>
      </c>
      <c r="AT209" s="50">
        <f t="shared" si="194"/>
        <v>28.0777673136954</v>
      </c>
      <c r="AU209" s="61">
        <f t="shared" si="195"/>
        <v>-77.591858644822594</v>
      </c>
      <c r="AV209" s="32" t="str">
        <f t="shared" si="170"/>
        <v>-0.0000333333333333333</v>
      </c>
      <c r="AW209" s="32" t="str">
        <f t="shared" si="171"/>
        <v>0.000245143908306695i</v>
      </c>
      <c r="AX209" s="32">
        <f t="shared" si="196"/>
        <v>2.4514390830669502E-4</v>
      </c>
      <c r="AY209" s="32">
        <f t="shared" si="197"/>
        <v>1.5707963267948966</v>
      </c>
      <c r="AZ209" s="32" t="str">
        <f t="shared" si="172"/>
        <v>1+0.100015309812627i</v>
      </c>
      <c r="BA209" s="32">
        <f t="shared" si="198"/>
        <v>1.0049890856108417</v>
      </c>
      <c r="BB209" s="32">
        <f t="shared" si="199"/>
        <v>9.9683810698507472E-2</v>
      </c>
      <c r="BC209" s="32" t="str">
        <f t="shared" si="173"/>
        <v>1+4.80073487100611i</v>
      </c>
      <c r="BD209" s="32">
        <f t="shared" si="200"/>
        <v>4.9037796954690016</v>
      </c>
      <c r="BE209" s="32">
        <f t="shared" si="201"/>
        <v>1.3654315017979051</v>
      </c>
      <c r="BF209" s="59" t="str">
        <f t="shared" si="202"/>
        <v>-0.632847824590183+0.199269024161731i</v>
      </c>
      <c r="BG209" s="50">
        <f t="shared" si="203"/>
        <v>-3.5634550927196318</v>
      </c>
      <c r="BH209" s="61">
        <f t="shared" si="204"/>
        <v>162.52200062842419</v>
      </c>
      <c r="BI209" s="59" t="str">
        <f t="shared" si="205"/>
        <v>0.334842680900713+1.8573719045941i</v>
      </c>
      <c r="BJ209" s="64">
        <f t="shared" si="206"/>
        <v>5.5168782044397444</v>
      </c>
      <c r="BK209" s="61">
        <f t="shared" si="207"/>
        <v>79.780616942327597</v>
      </c>
      <c r="BL209" s="59" t="str">
        <f t="shared" si="211"/>
        <v>1.486010552263+16.7499372830414i</v>
      </c>
      <c r="BM209" s="64">
        <f t="shared" si="208"/>
        <v>24.514312220975771</v>
      </c>
      <c r="BN209" s="61">
        <f t="shared" si="212"/>
        <v>84.930141983601587</v>
      </c>
      <c r="BO209" s="50">
        <f t="shared" si="209"/>
        <v>5.5168782044397444</v>
      </c>
      <c r="BP209" s="61">
        <f t="shared" si="210"/>
        <v>79.780616942327597</v>
      </c>
    </row>
    <row r="210" spans="14:68" x14ac:dyDescent="0.25">
      <c r="N210" s="11">
        <v>92</v>
      </c>
      <c r="O210" s="51">
        <f t="shared" si="213"/>
        <v>831.7637711026714</v>
      </c>
      <c r="P210" s="49" t="str">
        <f t="shared" si="161"/>
        <v>25.6231073841137</v>
      </c>
      <c r="Q210" s="18" t="str">
        <f t="shared" si="162"/>
        <v>1+4.51944850330207i</v>
      </c>
      <c r="R210" s="18">
        <f t="shared" si="174"/>
        <v>4.6287595286425622</v>
      </c>
      <c r="S210" s="18">
        <f t="shared" si="175"/>
        <v>1.3530388504590176</v>
      </c>
      <c r="T210" s="18" t="str">
        <f t="shared" si="163"/>
        <v>1+0.00470351331507294i</v>
      </c>
      <c r="U210" s="18">
        <f t="shared" si="176"/>
        <v>1.0000110614575746</v>
      </c>
      <c r="V210" s="18">
        <f t="shared" si="177"/>
        <v>4.7034786301995146E-3</v>
      </c>
      <c r="W210" s="32" t="str">
        <f t="shared" si="164"/>
        <v>1-0.105393539097005i</v>
      </c>
      <c r="X210" s="18">
        <f t="shared" si="178"/>
        <v>1.0055385612115491</v>
      </c>
      <c r="Y210" s="18">
        <f t="shared" si="179"/>
        <v>-0.10500588934632687</v>
      </c>
      <c r="Z210" s="32" t="str">
        <f t="shared" si="165"/>
        <v>0.999982704225727+0.00834438102933309i</v>
      </c>
      <c r="AA210" s="18">
        <f t="shared" si="180"/>
        <v>1.0000175185692302</v>
      </c>
      <c r="AB210" s="18">
        <f t="shared" si="181"/>
        <v>8.3443316829487409E-3</v>
      </c>
      <c r="AC210" s="32" t="str">
        <f>IMDIV(IMSUM(COMPLEX(0,2*PI()*O210*Constants!$B$71*Constants!$B$72),COMPLEX(1,0)),IMSUM(COMPLEX(0,2*PI()*O210*Constants!$B$71*Constants!$B$72),COMPLEX(2,0)))</f>
        <v>0.500054618816881+0.00522555501600893i</v>
      </c>
      <c r="AD210" s="18">
        <f t="shared" si="182"/>
        <v>0.50008192151418696</v>
      </c>
      <c r="AE210" s="18">
        <f t="shared" si="183"/>
        <v>1.044958814183841E-2</v>
      </c>
      <c r="AF210" s="66" t="str">
        <f t="shared" si="184"/>
        <v>0.332013817316047-2.7637120117239i</v>
      </c>
      <c r="AG210" s="64">
        <f t="shared" si="185"/>
        <v>8.8920851581278946</v>
      </c>
      <c r="AH210" s="61">
        <f t="shared" si="186"/>
        <v>-83.149698147669071</v>
      </c>
      <c r="AI210" s="50" t="str">
        <f t="shared" si="166"/>
        <v>108.866083054159</v>
      </c>
      <c r="AJ210" s="50" t="str">
        <f t="shared" si="167"/>
        <v>1+4.27592119552085i</v>
      </c>
      <c r="AK210" s="50">
        <f t="shared" si="187"/>
        <v>4.3912984492407769</v>
      </c>
      <c r="AL210" s="50">
        <f t="shared" si="188"/>
        <v>1.3410576458574508</v>
      </c>
      <c r="AM210" s="50" t="str">
        <f t="shared" si="168"/>
        <v>1+0.00470351331507294i</v>
      </c>
      <c r="AN210" s="50">
        <f t="shared" si="189"/>
        <v>1.0000110614575746</v>
      </c>
      <c r="AO210" s="50">
        <f t="shared" si="190"/>
        <v>4.7034786301995146E-3</v>
      </c>
      <c r="AP210" s="50" t="str">
        <f t="shared" si="169"/>
        <v>1-0.0234691266339755i</v>
      </c>
      <c r="AQ210" s="50">
        <f t="shared" si="191"/>
        <v>1.0002753620403542</v>
      </c>
      <c r="AR210" s="50">
        <f t="shared" si="192"/>
        <v>-2.3464819126524223E-2</v>
      </c>
      <c r="AS210" s="59" t="str">
        <f t="shared" si="193"/>
        <v>5.19317781250513-24.2485578987372i</v>
      </c>
      <c r="AT210" s="50">
        <f t="shared" si="194"/>
        <v>27.888480375252875</v>
      </c>
      <c r="AU210" s="61">
        <f t="shared" si="195"/>
        <v>-77.911888819829031</v>
      </c>
      <c r="AV210" s="32" t="str">
        <f t="shared" si="170"/>
        <v>-0.0000333333333333333</v>
      </c>
      <c r="AW210" s="32" t="str">
        <f t="shared" si="171"/>
        <v>0.000250854043470556i</v>
      </c>
      <c r="AX210" s="32">
        <f t="shared" si="196"/>
        <v>2.5085404347055599E-4</v>
      </c>
      <c r="AY210" s="32">
        <f t="shared" si="197"/>
        <v>1.5707963267948966</v>
      </c>
      <c r="AZ210" s="32" t="str">
        <f t="shared" si="172"/>
        <v>1+0.10234496565205i</v>
      </c>
      <c r="BA210" s="32">
        <f t="shared" si="198"/>
        <v>1.0052236029830972</v>
      </c>
      <c r="BB210" s="32">
        <f t="shared" si="199"/>
        <v>0.10198985756628914</v>
      </c>
      <c r="BC210" s="32" t="str">
        <f t="shared" si="173"/>
        <v>1+4.91255835129841i</v>
      </c>
      <c r="BD210" s="32">
        <f t="shared" si="200"/>
        <v>5.0133052525167212</v>
      </c>
      <c r="BE210" s="32">
        <f t="shared" si="201"/>
        <v>1.3699801191344161</v>
      </c>
      <c r="BF210" s="59" t="str">
        <f t="shared" si="202"/>
        <v>-0.632552573869759+0.197617965663138i</v>
      </c>
      <c r="BG210" s="50">
        <f t="shared" si="203"/>
        <v>-3.5736177784918128</v>
      </c>
      <c r="BH210" s="61">
        <f t="shared" si="204"/>
        <v>162.65049045154305</v>
      </c>
      <c r="BI210" s="59" t="str">
        <f t="shared" si="205"/>
        <v>0.336142950732066+1.81380504160077i</v>
      </c>
      <c r="BJ210" s="64">
        <f t="shared" si="206"/>
        <v>5.3184673796360693</v>
      </c>
      <c r="BK210" s="61">
        <f t="shared" si="207"/>
        <v>79.500792303873965</v>
      </c>
      <c r="BL210" s="59" t="str">
        <f t="shared" si="211"/>
        <v>1.50699269034982+16.3647529461103i</v>
      </c>
      <c r="BM210" s="64">
        <f t="shared" si="208"/>
        <v>24.31486259676106</v>
      </c>
      <c r="BN210" s="61">
        <f t="shared" si="212"/>
        <v>84.738601631714005</v>
      </c>
      <c r="BO210" s="50">
        <f t="shared" si="209"/>
        <v>5.3184673796360693</v>
      </c>
      <c r="BP210" s="61">
        <f t="shared" si="210"/>
        <v>79.500792303873965</v>
      </c>
    </row>
    <row r="211" spans="14:68" x14ac:dyDescent="0.25">
      <c r="N211" s="11">
        <v>93</v>
      </c>
      <c r="O211" s="51">
        <f t="shared" si="213"/>
        <v>851.13803820237763</v>
      </c>
      <c r="P211" s="49" t="str">
        <f t="shared" ref="P211:P274" si="214">COMPLEX(Adc,0)</f>
        <v>25.6231073841137</v>
      </c>
      <c r="Q211" s="18" t="str">
        <f t="shared" ref="Q211:Q274" si="215">IMSUM(COMPLEX(1,0),IMDIV(COMPLEX(0,2*PI()*O211),COMPLEX(wp_lf,0)))</f>
        <v>1+4.62471998240276i</v>
      </c>
      <c r="R211" s="18">
        <f t="shared" si="174"/>
        <v>4.7315996148908646</v>
      </c>
      <c r="S211" s="18">
        <f t="shared" si="175"/>
        <v>1.3578454704724106</v>
      </c>
      <c r="T211" s="18" t="str">
        <f t="shared" ref="T211:T274" si="216">IMSUM(COMPLEX(1,0),IMDIV(COMPLEX(0,2*PI()*O211),COMPLEX(wz_esr,0)))</f>
        <v>1+0.00481307221441336i</v>
      </c>
      <c r="U211" s="18">
        <f t="shared" si="176"/>
        <v>1.0000115827649905</v>
      </c>
      <c r="V211" s="18">
        <f t="shared" si="177"/>
        <v>4.813035048925135E-3</v>
      </c>
      <c r="W211" s="32" t="str">
        <f t="shared" ref="W211:W274" si="217">IMSUB(COMPLEX(1,0),IMDIV(COMPLEX(0,2*PI()*O211),COMPLEX(wz_rhp,0)))</f>
        <v>1-0.107848469989633i</v>
      </c>
      <c r="X211" s="18">
        <f t="shared" si="178"/>
        <v>1.0057988330074283</v>
      </c>
      <c r="Y211" s="18">
        <f t="shared" si="179"/>
        <v>-0.107433225028941</v>
      </c>
      <c r="Z211" s="32" t="str">
        <f t="shared" ref="Z211:Z274" si="218">IMSUM(COMPLEX(1,0),IMDIV(COMPLEX(0,2*PI()*O211),COMPLEX(Q*(wsl/2),0)),IMDIV(IMPOWER(COMPLEX(0,2*PI()*O211),2),IMPOWER(COMPLEX(wsl/2,0),2)))</f>
        <v>0.999981889100998+0.00853874663223703i</v>
      </c>
      <c r="AA211" s="18">
        <f t="shared" si="180"/>
        <v>1.0000183441937702</v>
      </c>
      <c r="AB211" s="18">
        <f t="shared" si="181"/>
        <v>8.5386937566607323E-3</v>
      </c>
      <c r="AC211" s="32" t="str">
        <f>IMDIV(IMSUM(COMPLEX(0,2*PI()*O211*Constants!$B$71*Constants!$B$72),COMPLEX(1,0)),IMSUM(COMPLEX(0,2*PI()*O211*Constants!$B$71*Constants!$B$72),COMPLEX(2,0)))</f>
        <v>0.500057192627977+0.00534724629990686i</v>
      </c>
      <c r="AD211" s="18">
        <f t="shared" si="182"/>
        <v>0.50008578158348549</v>
      </c>
      <c r="AE211" s="18">
        <f t="shared" si="183"/>
        <v>1.0692861897841308E-2</v>
      </c>
      <c r="AF211" s="66" t="str">
        <f t="shared" si="184"/>
        <v>0.305741400672431-2.7065943087637i</v>
      </c>
      <c r="AG211" s="64">
        <f t="shared" si="185"/>
        <v>8.70353013538063</v>
      </c>
      <c r="AH211" s="61">
        <f t="shared" si="186"/>
        <v>-83.555093724859219</v>
      </c>
      <c r="AI211" s="50" t="str">
        <f t="shared" ref="AI211:AI274" si="219">COMPLEX($B$72,0)</f>
        <v>108.866083054159</v>
      </c>
      <c r="AJ211" s="50" t="str">
        <f t="shared" ref="AJ211:AJ274" si="220">IMSUM(COMPLEX(1,0),IMDIV(COMPLEX(0,2*PI()*O211),COMPLEX(wp_lf_DCM,0)))</f>
        <v>1+4.37552019492124i</v>
      </c>
      <c r="AK211" s="50">
        <f t="shared" si="187"/>
        <v>4.4883378856948379</v>
      </c>
      <c r="AL211" s="50">
        <f t="shared" si="188"/>
        <v>1.3461109836039855</v>
      </c>
      <c r="AM211" s="50" t="str">
        <f t="shared" ref="AM211:AM274" si="221">IMSUM(COMPLEX(1,0),IMDIV(COMPLEX(0,2*PI()*O211),COMPLEX(wz1_dcm,0)))</f>
        <v>1+0.00481307221441336i</v>
      </c>
      <c r="AN211" s="50">
        <f t="shared" si="189"/>
        <v>1.0000115827649905</v>
      </c>
      <c r="AO211" s="50">
        <f t="shared" si="190"/>
        <v>4.813035048925135E-3</v>
      </c>
      <c r="AP211" s="50" t="str">
        <f t="shared" ref="AP211:AP274" si="222">IMSUB(COMPLEX(1,0),IMDIV(COMPLEX(0,2*PI()*O211),COMPLEX(wz2_dcm,0)))</f>
        <v>1-0.0240157928194967i</v>
      </c>
      <c r="AQ211" s="50">
        <f t="shared" si="191"/>
        <v>1.0002883375830935</v>
      </c>
      <c r="AR211" s="50">
        <f t="shared" si="192"/>
        <v>-2.4011177313958881E-2</v>
      </c>
      <c r="AS211" s="59" t="str">
        <f t="shared" si="193"/>
        <v>4.9506406780814-23.7521532410025i</v>
      </c>
      <c r="AT211" s="50">
        <f t="shared" si="194"/>
        <v>27.698745793284715</v>
      </c>
      <c r="AU211" s="61">
        <f t="shared" si="195"/>
        <v>-78.226450642990457</v>
      </c>
      <c r="AV211" s="32" t="str">
        <f t="shared" ref="AV211:AV274" si="223">COMPLEX(Adc_ea,0)</f>
        <v>-0.0000333333333333333</v>
      </c>
      <c r="AW211" s="32" t="str">
        <f t="shared" ref="AW211:AW274" si="224">COMPLEX(0,2*PI()*O211*wp0_ea)</f>
        <v>0.000256697184768712i</v>
      </c>
      <c r="AX211" s="32">
        <f t="shared" si="196"/>
        <v>2.5669718476871201E-4</v>
      </c>
      <c r="AY211" s="32">
        <f t="shared" si="197"/>
        <v>1.5707963267948966</v>
      </c>
      <c r="AZ211" s="32" t="str">
        <f t="shared" ref="AZ211:AZ274" si="225">IMSUM(COMPLEX(1,0),IMDIV(COMPLEX(0,2*PI()*O211),COMPLEX(wp1_ea,0)))</f>
        <v>1+0.104728886146957i</v>
      </c>
      <c r="BA211" s="32">
        <f t="shared" si="198"/>
        <v>1.0054691141917698</v>
      </c>
      <c r="BB211" s="32">
        <f t="shared" si="199"/>
        <v>0.10434849267083827</v>
      </c>
      <c r="BC211" s="32" t="str">
        <f t="shared" ref="BC211:BC274" si="226">IMSUM(COMPLEX(1,0),IMDIV(COMPLEX(0,2*PI()*O211),COMPLEX(wz_ea,0)))</f>
        <v>1+5.02698653505396i</v>
      </c>
      <c r="BD211" s="32">
        <f t="shared" si="200"/>
        <v>5.1254847208448311</v>
      </c>
      <c r="BE211" s="32">
        <f t="shared" si="201"/>
        <v>1.3744333514095706</v>
      </c>
      <c r="BF211" s="59" t="str">
        <f t="shared" si="202"/>
        <v>-0.632243703543119+0.196068868772725i</v>
      </c>
      <c r="BG211" s="50">
        <f t="shared" si="203"/>
        <v>-3.5835230359751948</v>
      </c>
      <c r="BH211" s="61">
        <f t="shared" si="204"/>
        <v>162.77050202919875</v>
      </c>
      <c r="BI211" s="59" t="str">
        <f t="shared" si="205"/>
        <v>0.337375808858396+1.77117358032832i</v>
      </c>
      <c r="BJ211" s="64">
        <f t="shared" si="206"/>
        <v>5.120007099405429</v>
      </c>
      <c r="BK211" s="61">
        <f t="shared" si="207"/>
        <v>79.215408304339519</v>
      </c>
      <c r="BL211" s="59" t="str">
        <f t="shared" si="211"/>
        <v>1.52704641965837+15.9878158496668i</v>
      </c>
      <c r="BM211" s="64">
        <f t="shared" si="208"/>
        <v>24.115222757309539</v>
      </c>
      <c r="BN211" s="61">
        <f t="shared" si="212"/>
        <v>84.544051386208309</v>
      </c>
      <c r="BO211" s="50">
        <f t="shared" si="209"/>
        <v>5.120007099405429</v>
      </c>
      <c r="BP211" s="61">
        <f t="shared" si="210"/>
        <v>79.215408304339519</v>
      </c>
    </row>
    <row r="212" spans="14:68" x14ac:dyDescent="0.25">
      <c r="N212" s="11">
        <v>94</v>
      </c>
      <c r="O212" s="51">
        <f t="shared" si="213"/>
        <v>870.96358995608091</v>
      </c>
      <c r="P212" s="49" t="str">
        <f t="shared" si="214"/>
        <v>25.6231073841137</v>
      </c>
      <c r="Q212" s="18" t="str">
        <f t="shared" si="215"/>
        <v>1+4.7324435492535i</v>
      </c>
      <c r="R212" s="18">
        <f t="shared" ref="R212:R275" si="227">IMABS(Q212)</f>
        <v>4.8369434508655429</v>
      </c>
      <c r="S212" s="18">
        <f t="shared" ref="S212:S275" si="228">IMARGUMENT(Q212)</f>
        <v>1.3625523526885464</v>
      </c>
      <c r="T212" s="18" t="str">
        <f t="shared" si="216"/>
        <v>1+0.00492518306835039i</v>
      </c>
      <c r="U212" s="18">
        <f t="shared" ref="U212:U275" si="229">IMABS(T212)</f>
        <v>1.0000121286405763</v>
      </c>
      <c r="V212" s="18">
        <f t="shared" ref="V212:V275" si="230">IMARGUMENT(T212)</f>
        <v>4.9251432448383543E-3</v>
      </c>
      <c r="W212" s="32" t="str">
        <f t="shared" si="217"/>
        <v>1-0.110360583568592i</v>
      </c>
      <c r="X212" s="18">
        <f t="shared" ref="X212:X275" si="231">IMABS(W212)</f>
        <v>1.0060712988678289</v>
      </c>
      <c r="Y212" s="18">
        <f t="shared" ref="Y212:Y275" si="232">IMARGUMENT(W212)</f>
        <v>-0.10991578546638928</v>
      </c>
      <c r="Z212" s="32" t="str">
        <f t="shared" si="218"/>
        <v>0.999981035560624+0.00873763959162902i</v>
      </c>
      <c r="AA212" s="18">
        <f t="shared" ref="AA212:AA275" si="233">IMABS(Z212)</f>
        <v>1.000019208728778</v>
      </c>
      <c r="AB212" s="18">
        <f t="shared" ref="AB212:AB275" si="234">IMARGUMENT(Z212)</f>
        <v>8.7375829344587333E-3</v>
      </c>
      <c r="AC212" s="32" t="str">
        <f>IMDIV(IMSUM(COMPLEX(0,2*PI()*O212*Constants!$B$71*Constants!$B$72),COMPLEX(1,0)),IMSUM(COMPLEX(0,2*PI()*O212*Constants!$B$71*Constants!$B$72),COMPLEX(2,0)))</f>
        <v>0.50005988771065+0.00547177016941488i</v>
      </c>
      <c r="AD212" s="18">
        <f t="shared" ref="AD212:AD275" si="235">IMABS(AC212)</f>
        <v>0.50008982349771403</v>
      </c>
      <c r="AE212" s="18">
        <f t="shared" ref="AE212:AE275" si="236">IMARGUMENT(AC212)</f>
        <v>1.0941793046913575E-2</v>
      </c>
      <c r="AF212" s="66" t="str">
        <f t="shared" ref="AF212:AF275" si="237">(IMDIV(IMPRODUCT(P212,T212,W212,AC212),IMPRODUCT(Q212,Z212)))</f>
        <v>0.280547787749325-2.6504220796703i</v>
      </c>
      <c r="AG212" s="64">
        <f t="shared" ref="AG212:AG275" si="238">20*LOG(IMABS(AF212))</f>
        <v>8.5146897704490101</v>
      </c>
      <c r="AH212" s="61">
        <f t="shared" ref="AH212:AH275" si="239">(180/PI())*IMARGUMENT(AF212)</f>
        <v>-83.957727925733707</v>
      </c>
      <c r="AI212" s="50" t="str">
        <f t="shared" si="219"/>
        <v>108.866083054159</v>
      </c>
      <c r="AJ212" s="50" t="str">
        <f t="shared" si="220"/>
        <v>1+4.47743915304582i</v>
      </c>
      <c r="AK212" s="50">
        <f t="shared" ref="AK212:AK275" si="240">IMABS(AJ212)</f>
        <v>4.587751232273571</v>
      </c>
      <c r="AL212" s="50">
        <f t="shared" ref="AL212:AL275" si="241">IMARGUMENT(AJ212)</f>
        <v>1.3510605977544234</v>
      </c>
      <c r="AM212" s="50" t="str">
        <f t="shared" si="221"/>
        <v>1+0.00492518306835039i</v>
      </c>
      <c r="AN212" s="50">
        <f t="shared" ref="AN212:AN275" si="242">IMABS(AM212)</f>
        <v>1.0000121286405763</v>
      </c>
      <c r="AO212" s="50">
        <f t="shared" ref="AO212:AO275" si="243">IMARGUMENT(AM212)</f>
        <v>4.9251432448383543E-3</v>
      </c>
      <c r="AP212" s="50" t="str">
        <f t="shared" si="222"/>
        <v>1-0.0245751924962574i</v>
      </c>
      <c r="AQ212" s="50">
        <f t="shared" ref="AQ212:AQ275" si="244">IMABS(AP212)</f>
        <v>1.0003019244639231</v>
      </c>
      <c r="AR212" s="50">
        <f t="shared" ref="AR212:AR275" si="245">IMARGUMENT(AP212)</f>
        <v>-2.457024697358829E-2</v>
      </c>
      <c r="AS212" s="59" t="str">
        <f t="shared" ref="AS212:AS275" si="246">(IMDIV(IMPRODUCT(AI212,AM212,AP212),IMPRODUCT(AJ212)))</f>
        <v>4.71795779850091-23.2635885278194i</v>
      </c>
      <c r="AT212" s="50">
        <f t="shared" ref="AT212:AT275" si="247">20*LOG(IMABS(AS212))</f>
        <v>27.508582173495366</v>
      </c>
      <c r="AU212" s="61">
        <f t="shared" ref="AU212:AU275" si="248">(180/PI())*IMARGUMENT(AS212)</f>
        <v>-78.535651649504757</v>
      </c>
      <c r="AV212" s="32" t="str">
        <f t="shared" si="223"/>
        <v>-0.0000333333333333333</v>
      </c>
      <c r="AW212" s="32" t="str">
        <f t="shared" si="224"/>
        <v>0.000262676430312021i</v>
      </c>
      <c r="AX212" s="32">
        <f t="shared" ref="AX212:AX275" si="249">IMABS(AW212)</f>
        <v>2.6267643031202098E-4</v>
      </c>
      <c r="AY212" s="32">
        <f t="shared" ref="AY212:AY275" si="250">IMARGUMENT(AW212)</f>
        <v>1.5707963267948966</v>
      </c>
      <c r="AZ212" s="32" t="str">
        <f t="shared" si="225"/>
        <v>1+0.10716833528355i</v>
      </c>
      <c r="BA212" s="32">
        <f t="shared" ref="BA212:BA275" si="251">IMABS(AZ212)</f>
        <v>1.0057261317513071</v>
      </c>
      <c r="BB212" s="32">
        <f t="shared" ref="BB212:BB275" si="252">IMARGUMENT(AZ212)</f>
        <v>0.10676086156261683</v>
      </c>
      <c r="BC212" s="32" t="str">
        <f t="shared" si="226"/>
        <v>1+5.14408009361042i</v>
      </c>
      <c r="BD212" s="32">
        <f t="shared" ref="BD212:BD275" si="253">IMABS(BC212)</f>
        <v>5.2403778498767615</v>
      </c>
      <c r="BE212" s="32">
        <f t="shared" ref="BE212:BE275" si="254">IMARGUMENT(BC212)</f>
        <v>1.3787928529440023</v>
      </c>
      <c r="BF212" s="59" t="str">
        <f t="shared" ref="BF212:BF275" si="255">IMPRODUCT(AV212,IMDIV(BC212,IMPRODUCT(AW212,AZ212)))</f>
        <v>-0.631920599737623+0.194620715017826i</v>
      </c>
      <c r="BG212" s="50">
        <f t="shared" ref="BG212:BG275" si="256">20*LOG(IMABS(BF212))</f>
        <v>-3.5931898539881653</v>
      </c>
      <c r="BH212" s="61">
        <f t="shared" ref="BH212:BH275" si="257">(180/PI())*IMARGUMENT(BF212)</f>
        <v>162.88206451177487</v>
      </c>
      <c r="BI212" s="59" t="str">
        <f t="shared" ref="BI212:BI275" si="258">IMPRODUCT(AF212,BF212)</f>
        <v>0.33854311395485+1.72945672119154i</v>
      </c>
      <c r="BJ212" s="64">
        <f t="shared" ref="BJ212:BJ275" si="259">20*LOG(IMABS(BI212))</f>
        <v>4.9214999164608608</v>
      </c>
      <c r="BK212" s="61">
        <f t="shared" ref="BK212:BK275" si="260">(180/PI())*IMARGUMENT(BI212)</f>
        <v>78.924336586041193</v>
      </c>
      <c r="BL212" s="59" t="str">
        <f t="shared" si="211"/>
        <v>1.54620151159922+15.6189531347171i</v>
      </c>
      <c r="BM212" s="64">
        <f t="shared" ref="BM212:BM275" si="261">20*LOG(IMABS(BL212))</f>
        <v>23.915392319507198</v>
      </c>
      <c r="BN212" s="61">
        <f t="shared" si="212"/>
        <v>84.346412862270114</v>
      </c>
      <c r="BO212" s="50">
        <f t="shared" ref="BO212:BO275" si="262">IF($B$31=0,BM212,BJ212)</f>
        <v>4.9214999164608608</v>
      </c>
      <c r="BP212" s="61">
        <f t="shared" ref="BP212:BP275" si="263">IF($B$31=0,BN212,BK212)</f>
        <v>78.924336586041193</v>
      </c>
    </row>
    <row r="213" spans="14:68" x14ac:dyDescent="0.25">
      <c r="N213" s="11">
        <v>95</v>
      </c>
      <c r="O213" s="51">
        <f t="shared" si="213"/>
        <v>891.25093813374656</v>
      </c>
      <c r="P213" s="49" t="str">
        <f t="shared" si="214"/>
        <v>25.6231073841137</v>
      </c>
      <c r="Q213" s="18" t="str">
        <f t="shared" si="215"/>
        <v>1+4.84267632031538i</v>
      </c>
      <c r="R213" s="18">
        <f t="shared" si="227"/>
        <v>4.9448472113244621</v>
      </c>
      <c r="S213" s="18">
        <f t="shared" si="228"/>
        <v>1.3671611581338761</v>
      </c>
      <c r="T213" s="18" t="str">
        <f t="shared" si="216"/>
        <v>1+0.00503990531954279i</v>
      </c>
      <c r="U213" s="18">
        <f t="shared" si="229"/>
        <v>1.0000127002421668</v>
      </c>
      <c r="V213" s="18">
        <f t="shared" si="230"/>
        <v>5.0398626479101101E-3</v>
      </c>
      <c r="W213" s="32" t="str">
        <f t="shared" si="217"/>
        <v>1-0.112931211789755i</v>
      </c>
      <c r="X213" s="18">
        <f t="shared" si="231"/>
        <v>1.0063565265830507</v>
      </c>
      <c r="Y213" s="18">
        <f t="shared" si="232"/>
        <v>-0.11245476447626125</v>
      </c>
      <c r="Z213" s="32" t="str">
        <f t="shared" si="218"/>
        <v>0.999980141794132+0.00894116536318886i</v>
      </c>
      <c r="AA213" s="18">
        <f t="shared" si="233"/>
        <v>1.0000201140080454</v>
      </c>
      <c r="AB213" s="18">
        <f t="shared" si="234"/>
        <v>8.9411046539713268E-3</v>
      </c>
      <c r="AC213" s="32" t="str">
        <f>IMDIV(IMSUM(COMPLEX(0,2*PI()*O213*Constants!$B$71*Constants!$B$72),COMPLEX(1,0)),IMSUM(COMPLEX(0,2*PI()*O213*Constants!$B$71*Constants!$B$72),COMPLEX(2,0)))</f>
        <v>0.500062709777512+0.00559919246317804i</v>
      </c>
      <c r="AD213" s="18">
        <f t="shared" si="235"/>
        <v>0.50009405581977073</v>
      </c>
      <c r="AE213" s="18">
        <f t="shared" si="236"/>
        <v>1.1196512710544403E-2</v>
      </c>
      <c r="AF213" s="66" t="str">
        <f t="shared" si="237"/>
        <v>0.256392946459539-2.59519545092595i</v>
      </c>
      <c r="AG213" s="64">
        <f t="shared" si="238"/>
        <v>8.325585198106829</v>
      </c>
      <c r="AH213" s="61">
        <f t="shared" si="239"/>
        <v>-84.357759444144037</v>
      </c>
      <c r="AI213" s="50" t="str">
        <f t="shared" si="219"/>
        <v>108.866083054159</v>
      </c>
      <c r="AJ213" s="50" t="str">
        <f t="shared" si="220"/>
        <v>1+4.58173210867526i</v>
      </c>
      <c r="AK213" s="50">
        <f t="shared" si="240"/>
        <v>4.6895915723723576</v>
      </c>
      <c r="AL213" s="50">
        <f t="shared" si="241"/>
        <v>1.355908142149203</v>
      </c>
      <c r="AM213" s="50" t="str">
        <f t="shared" si="221"/>
        <v>1+0.00503990531954279i</v>
      </c>
      <c r="AN213" s="50">
        <f t="shared" si="242"/>
        <v>1.0000127002421668</v>
      </c>
      <c r="AO213" s="50">
        <f t="shared" si="243"/>
        <v>5.0398626479101101E-3</v>
      </c>
      <c r="AP213" s="50" t="str">
        <f t="shared" si="222"/>
        <v>1-0.0251476222653708i</v>
      </c>
      <c r="AQ213" s="50">
        <f t="shared" si="244"/>
        <v>1.0003161514769228</v>
      </c>
      <c r="AR213" s="50">
        <f t="shared" si="245"/>
        <v>-2.5142323132807756E-2</v>
      </c>
      <c r="AS213" s="59" t="str">
        <f t="shared" si="246"/>
        <v>4.4947725555545-22.7828921220304i</v>
      </c>
      <c r="AT213" s="50">
        <f t="shared" si="247"/>
        <v>27.318007472658387</v>
      </c>
      <c r="AU213" s="61">
        <f t="shared" si="248"/>
        <v>-78.839600096186942</v>
      </c>
      <c r="AV213" s="32" t="str">
        <f t="shared" si="223"/>
        <v>-0.0000333333333333333</v>
      </c>
      <c r="AW213" s="32" t="str">
        <f t="shared" si="224"/>
        <v>0.000268794950375615i</v>
      </c>
      <c r="AX213" s="32">
        <f t="shared" si="249"/>
        <v>2.68794950375615E-4</v>
      </c>
      <c r="AY213" s="32">
        <f t="shared" si="250"/>
        <v>1.5707963267948966</v>
      </c>
      <c r="AZ213" s="32" t="str">
        <f t="shared" si="225"/>
        <v>1+0.109664606490051i</v>
      </c>
      <c r="BA213" s="32">
        <f t="shared" si="251"/>
        <v>1.0059951917959737</v>
      </c>
      <c r="BB213" s="32">
        <f t="shared" si="252"/>
        <v>0.10922813093958772</v>
      </c>
      <c r="BC213" s="32" t="str">
        <f t="shared" si="226"/>
        <v>1+5.26390111152247i</v>
      </c>
      <c r="BD213" s="32">
        <f t="shared" si="253"/>
        <v>5.3580458109172131</v>
      </c>
      <c r="BE213" s="32">
        <f t="shared" si="254"/>
        <v>1.3830602720579142</v>
      </c>
      <c r="BF213" s="59" t="str">
        <f t="shared" si="255"/>
        <v>-0.631582622281906+0.193272525879115i</v>
      </c>
      <c r="BG213" s="50">
        <f t="shared" si="256"/>
        <v>-3.6026368594127813</v>
      </c>
      <c r="BH213" s="61">
        <f t="shared" si="257"/>
        <v>162.98520549419311</v>
      </c>
      <c r="BI213" s="59" t="str">
        <f t="shared" si="258"/>
        <v>0.339646650490947+1.68863406060971i</v>
      </c>
      <c r="BJ213" s="64">
        <f t="shared" si="259"/>
        <v>4.7229483386940538</v>
      </c>
      <c r="BK213" s="61">
        <f t="shared" si="260"/>
        <v>78.627446050049102</v>
      </c>
      <c r="BL213" s="59" t="str">
        <f t="shared" si="211"/>
        <v>1.56448687005835+15.2579947946619i</v>
      </c>
      <c r="BM213" s="64">
        <f t="shared" si="261"/>
        <v>23.715370613245618</v>
      </c>
      <c r="BN213" s="61">
        <f t="shared" si="212"/>
        <v>84.145605398006182</v>
      </c>
      <c r="BO213" s="50">
        <f t="shared" si="262"/>
        <v>4.7229483386940538</v>
      </c>
      <c r="BP213" s="61">
        <f t="shared" si="263"/>
        <v>78.627446050049102</v>
      </c>
    </row>
    <row r="214" spans="14:68" x14ac:dyDescent="0.25">
      <c r="N214" s="11">
        <v>96</v>
      </c>
      <c r="O214" s="51">
        <f t="shared" si="213"/>
        <v>912.01083935590987</v>
      </c>
      <c r="P214" s="49" t="str">
        <f t="shared" si="214"/>
        <v>25.6231073841137</v>
      </c>
      <c r="Q214" s="18" t="str">
        <f t="shared" si="215"/>
        <v>1+4.95547674246266i</v>
      </c>
      <c r="R214" s="18">
        <f t="shared" si="227"/>
        <v>5.0553684084434778</v>
      </c>
      <c r="S214" s="18">
        <f t="shared" si="228"/>
        <v>1.3716735469230392</v>
      </c>
      <c r="T214" s="18" t="str">
        <f t="shared" si="216"/>
        <v>1+0.00515729979524662i</v>
      </c>
      <c r="U214" s="18">
        <f t="shared" si="229"/>
        <v>1.0000132987821602</v>
      </c>
      <c r="V214" s="18">
        <f t="shared" si="230"/>
        <v>5.1572540718012585E-3</v>
      </c>
      <c r="W214" s="32" t="str">
        <f t="shared" si="217"/>
        <v>1-0.11556171763423i</v>
      </c>
      <c r="X214" s="18">
        <f t="shared" si="231"/>
        <v>1.0066551100464216</v>
      </c>
      <c r="Y214" s="18">
        <f t="shared" si="232"/>
        <v>-0.11505137724934687</v>
      </c>
      <c r="Z214" s="32" t="str">
        <f t="shared" si="218"/>
        <v>0.999979205905722+0.00914943185897455i</v>
      </c>
      <c r="AA214" s="18">
        <f t="shared" si="233"/>
        <v>1.0000210619517873</v>
      </c>
      <c r="AB214" s="18">
        <f t="shared" si="234"/>
        <v>9.1493668079143491E-3</v>
      </c>
      <c r="AC214" s="32" t="str">
        <f>IMDIV(IMSUM(COMPLEX(0,2*PI()*O214*Constants!$B$71*Constants!$B$72),COMPLEX(1,0)),IMSUM(COMPLEX(0,2*PI()*O214*Constants!$B$71*Constants!$B$72),COMPLEX(2,0)))</f>
        <v>0.50006566481014+0.00572958054335871i</v>
      </c>
      <c r="AD214" s="18">
        <f t="shared" si="235"/>
        <v>0.50009848751541941</v>
      </c>
      <c r="AE214" s="18">
        <f t="shared" si="236"/>
        <v>1.1457155017566466E-2</v>
      </c>
      <c r="AF214" s="66" t="str">
        <f t="shared" si="237"/>
        <v>0.233237965195475-2.54091333555552i</v>
      </c>
      <c r="AG214" s="64">
        <f t="shared" si="238"/>
        <v>8.1362371725477232</v>
      </c>
      <c r="AH214" s="61">
        <f t="shared" si="239"/>
        <v>-84.755348035371071</v>
      </c>
      <c r="AI214" s="50" t="str">
        <f t="shared" si="219"/>
        <v>108.866083054159</v>
      </c>
      <c r="AJ214" s="50" t="str">
        <f t="shared" si="220"/>
        <v>1+4.68845435931511i</v>
      </c>
      <c r="AK214" s="50">
        <f t="shared" si="240"/>
        <v>4.7939132532181743</v>
      </c>
      <c r="AL214" s="50">
        <f t="shared" si="241"/>
        <v>1.3606552753167331</v>
      </c>
      <c r="AM214" s="50" t="str">
        <f t="shared" si="221"/>
        <v>1+0.00515729979524662i</v>
      </c>
      <c r="AN214" s="50">
        <f t="shared" si="242"/>
        <v>1.0000132987821602</v>
      </c>
      <c r="AO214" s="50">
        <f t="shared" si="243"/>
        <v>5.1572540718012585E-3</v>
      </c>
      <c r="AP214" s="50" t="str">
        <f t="shared" si="222"/>
        <v>1-0.0257333856366774i</v>
      </c>
      <c r="AQ214" s="50">
        <f t="shared" si="244"/>
        <v>1.0003310487715185</v>
      </c>
      <c r="AR214" s="50">
        <f t="shared" si="245"/>
        <v>-2.5727707615319E-2</v>
      </c>
      <c r="AS214" s="59" t="str">
        <f t="shared" si="246"/>
        <v>4.28073752726965-22.3100803909539i</v>
      </c>
      <c r="AT214" s="50">
        <f t="shared" si="247"/>
        <v>27.127039015866931</v>
      </c>
      <c r="AU214" s="61">
        <f t="shared" si="248"/>
        <v>-79.138404818573377</v>
      </c>
      <c r="AV214" s="32" t="str">
        <f t="shared" si="223"/>
        <v>-0.0000333333333333333</v>
      </c>
      <c r="AW214" s="32" t="str">
        <f t="shared" si="224"/>
        <v>0.00027505598907982i</v>
      </c>
      <c r="AX214" s="32">
        <f t="shared" si="249"/>
        <v>2.7505598907982001E-4</v>
      </c>
      <c r="AY214" s="32">
        <f t="shared" si="250"/>
        <v>1.5707963267948966</v>
      </c>
      <c r="AZ214" s="32" t="str">
        <f t="shared" si="225"/>
        <v>1+0.112219023322496i</v>
      </c>
      <c r="BA214" s="32">
        <f t="shared" si="251"/>
        <v>1.0062768551424877</v>
      </c>
      <c r="BB214" s="32">
        <f t="shared" si="252"/>
        <v>0.11175148876086088</v>
      </c>
      <c r="BC214" s="32" t="str">
        <f t="shared" si="226"/>
        <v>1+5.38651311947981i</v>
      </c>
      <c r="BD214" s="32">
        <f t="shared" si="253"/>
        <v>5.4785512306017647</v>
      </c>
      <c r="BE214" s="32">
        <f t="shared" si="254"/>
        <v>1.3872372493857126</v>
      </c>
      <c r="BF214" s="59" t="str">
        <f t="shared" si="255"/>
        <v>-0.631229103710366+0.192023361364356i</v>
      </c>
      <c r="BG214" s="50">
        <f t="shared" si="256"/>
        <v>-3.6118823425758828</v>
      </c>
      <c r="BH214" s="61">
        <f t="shared" si="257"/>
        <v>163.07995091283763</v>
      </c>
      <c r="BI214" s="59" t="str">
        <f t="shared" si="258"/>
        <v>0.34068812790732+1.64868558548305i</v>
      </c>
      <c r="BJ214" s="64">
        <f t="shared" si="259"/>
        <v>4.5243548299718634</v>
      </c>
      <c r="BK214" s="61">
        <f t="shared" si="260"/>
        <v>78.324602877466589</v>
      </c>
      <c r="BL214" s="59" t="str">
        <f t="shared" si="211"/>
        <v>1.58193051642222+14.9047736579929i</v>
      </c>
      <c r="BM214" s="64">
        <f t="shared" si="261"/>
        <v>23.515156673291049</v>
      </c>
      <c r="BN214" s="61">
        <f t="shared" si="212"/>
        <v>83.941546094264268</v>
      </c>
      <c r="BO214" s="50">
        <f t="shared" si="262"/>
        <v>4.5243548299718634</v>
      </c>
      <c r="BP214" s="61">
        <f t="shared" si="263"/>
        <v>78.324602877466589</v>
      </c>
    </row>
    <row r="215" spans="14:68" x14ac:dyDescent="0.25">
      <c r="N215" s="11">
        <v>97</v>
      </c>
      <c r="O215" s="51">
        <f t="shared" si="213"/>
        <v>933.25430079699106</v>
      </c>
      <c r="P215" s="49" t="str">
        <f t="shared" si="214"/>
        <v>25.6231073841137</v>
      </c>
      <c r="Q215" s="18" t="str">
        <f t="shared" si="215"/>
        <v>1+5.0709046239723i</v>
      </c>
      <c r="R215" s="18">
        <f t="shared" si="227"/>
        <v>5.1685659234862875</v>
      </c>
      <c r="S215" s="18">
        <f t="shared" si="228"/>
        <v>1.3760911761993735</v>
      </c>
      <c r="T215" s="18" t="str">
        <f t="shared" si="216"/>
        <v>1+0.00527742873956683i</v>
      </c>
      <c r="U215" s="18">
        <f t="shared" si="229"/>
        <v>1.0000139255300904</v>
      </c>
      <c r="V215" s="18">
        <f t="shared" si="230"/>
        <v>5.2773797460492705E-3</v>
      </c>
      <c r="W215" s="32" t="str">
        <f t="shared" si="217"/>
        <v>1-0.118253495831035i</v>
      </c>
      <c r="X215" s="18">
        <f t="shared" si="231"/>
        <v>1.0069676704225716</v>
      </c>
      <c r="Y215" s="18">
        <f t="shared" si="232"/>
        <v>-0.11770686040919871</v>
      </c>
      <c r="Z215" s="32" t="str">
        <f t="shared" si="218"/>
        <v>0.999978225910251+0.00936254950463893i</v>
      </c>
      <c r="AA215" s="18">
        <f t="shared" si="233"/>
        <v>1.0000220545707179</v>
      </c>
      <c r="AB215" s="18">
        <f t="shared" si="234"/>
        <v>9.3624798012151653E-3</v>
      </c>
      <c r="AC215" s="32" t="str">
        <f>IMDIV(IMSUM(COMPLEX(0,2*PI()*O215*Constants!$B$71*Constants!$B$72),COMPLEX(1,0)),IMSUM(COMPLEX(0,2*PI()*O215*Constants!$B$71*Constants!$B$72),COMPLEX(2,0)))</f>
        <v>0.500068759071725+0.00586300333040486i</v>
      </c>
      <c r="AD215" s="18">
        <f t="shared" si="235"/>
        <v>0.50010312797220857</v>
      </c>
      <c r="AE215" s="18">
        <f t="shared" si="236"/>
        <v>1.1723857170861066E-2</v>
      </c>
      <c r="AF215" s="66" t="str">
        <f t="shared" si="237"/>
        <v>0.211045053905319-2.48757351913383i</v>
      </c>
      <c r="AG215" s="64">
        <f t="shared" si="238"/>
        <v>7.9466660939470426</v>
      </c>
      <c r="AH215" s="61">
        <f t="shared" si="239"/>
        <v>-85.150654399145154</v>
      </c>
      <c r="AI215" s="50" t="str">
        <f t="shared" si="219"/>
        <v>108.866083054159</v>
      </c>
      <c r="AJ215" s="50" t="str">
        <f t="shared" si="220"/>
        <v>1+4.79766249051531i</v>
      </c>
      <c r="AK215" s="50">
        <f t="shared" si="240"/>
        <v>4.9007719160248184</v>
      </c>
      <c r="AL215" s="50">
        <f t="shared" si="241"/>
        <v>1.3653036580311457</v>
      </c>
      <c r="AM215" s="50" t="str">
        <f t="shared" si="221"/>
        <v>1+0.00527742873956683i</v>
      </c>
      <c r="AN215" s="50">
        <f t="shared" si="242"/>
        <v>1.0000139255300904</v>
      </c>
      <c r="AO215" s="50">
        <f t="shared" si="243"/>
        <v>5.2773797460492705E-3</v>
      </c>
      <c r="AP215" s="50" t="str">
        <f t="shared" si="222"/>
        <v>1-0.0263327931896702i</v>
      </c>
      <c r="AQ215" s="50">
        <f t="shared" si="244"/>
        <v>1.000346647916196</v>
      </c>
      <c r="AR215" s="50">
        <f t="shared" si="245"/>
        <v>-2.6326709194030989E-2</v>
      </c>
      <c r="AS215" s="59" t="str">
        <f t="shared" si="246"/>
        <v>4.07551458291383-21.8451584989544i</v>
      </c>
      <c r="AT215" s="50">
        <f t="shared" si="247"/>
        <v>26.935693514019803</v>
      </c>
      <c r="AU215" s="61">
        <f t="shared" si="248"/>
        <v>-79.432175097907077</v>
      </c>
      <c r="AV215" s="32" t="str">
        <f t="shared" si="223"/>
        <v>-0.0000333333333333333</v>
      </c>
      <c r="AW215" s="32" t="str">
        <f t="shared" si="224"/>
        <v>0.000281462866110231i</v>
      </c>
      <c r="AX215" s="32">
        <f t="shared" si="249"/>
        <v>2.8146286611023102E-4</v>
      </c>
      <c r="AY215" s="32">
        <f t="shared" si="250"/>
        <v>1.5707963267948966</v>
      </c>
      <c r="AZ215" s="32" t="str">
        <f t="shared" si="225"/>
        <v>1+0.114832940166501i</v>
      </c>
      <c r="BA215" s="32">
        <f t="shared" si="251"/>
        <v>1.0065717083980075</v>
      </c>
      <c r="BB215" s="32">
        <f t="shared" si="252"/>
        <v>0.11433214433789435</v>
      </c>
      <c r="BC215" s="32" t="str">
        <f t="shared" si="226"/>
        <v>1+5.51198112799204i</v>
      </c>
      <c r="BD215" s="32">
        <f t="shared" si="253"/>
        <v>5.6019582250620541</v>
      </c>
      <c r="BE215" s="32">
        <f t="shared" si="254"/>
        <v>1.3913254163215754</v>
      </c>
      <c r="BF215" s="59" t="str">
        <f t="shared" si="255"/>
        <v>-0.630859348242849+0.190872318545081i</v>
      </c>
      <c r="BG215" s="50">
        <f t="shared" si="256"/>
        <v>-3.6209442828083196</v>
      </c>
      <c r="BH215" s="61">
        <f t="shared" si="257"/>
        <v>163.16632495126652</v>
      </c>
      <c r="BI215" s="59" t="str">
        <f t="shared" si="258"/>
        <v>0.341669179991834+1.60959166774332i</v>
      </c>
      <c r="BJ215" s="64">
        <f t="shared" si="259"/>
        <v>4.3257218111387328</v>
      </c>
      <c r="BK215" s="61">
        <f t="shared" si="260"/>
        <v>78.015670552121392</v>
      </c>
      <c r="BL215" s="59" t="str">
        <f t="shared" si="211"/>
        <v>1.59855957814896+14.5591253706172i</v>
      </c>
      <c r="BM215" s="64">
        <f t="shared" si="261"/>
        <v>23.314749231211511</v>
      </c>
      <c r="BN215" s="61">
        <f t="shared" si="212"/>
        <v>83.734149853359483</v>
      </c>
      <c r="BO215" s="50">
        <f t="shared" si="262"/>
        <v>4.3257218111387328</v>
      </c>
      <c r="BP215" s="61">
        <f t="shared" si="263"/>
        <v>78.015670552121392</v>
      </c>
    </row>
    <row r="216" spans="14:68" x14ac:dyDescent="0.25">
      <c r="N216" s="11">
        <v>98</v>
      </c>
      <c r="O216" s="51">
        <f t="shared" si="213"/>
        <v>954.99258602143675</v>
      </c>
      <c r="P216" s="49" t="str">
        <f t="shared" si="214"/>
        <v>25.6231073841137</v>
      </c>
      <c r="Q216" s="18" t="str">
        <f t="shared" si="215"/>
        <v>1+5.18902116623494i</v>
      </c>
      <c r="R216" s="18">
        <f t="shared" si="227"/>
        <v>5.2845000391365513</v>
      </c>
      <c r="S216" s="18">
        <f t="shared" si="228"/>
        <v>1.3804156982233875</v>
      </c>
      <c r="T216" s="18" t="str">
        <f t="shared" si="216"/>
        <v>1+0.0054003558464598i</v>
      </c>
      <c r="U216" s="18">
        <f t="shared" si="229"/>
        <v>1.0000145818153194</v>
      </c>
      <c r="V216" s="18">
        <f t="shared" si="230"/>
        <v>5.4003033490012467E-3</v>
      </c>
      <c r="W216" s="32" t="str">
        <f t="shared" si="217"/>
        <v>1-0.121007973596599i</v>
      </c>
      <c r="X216" s="18">
        <f t="shared" si="231"/>
        <v>1.0072948573649898</v>
      </c>
      <c r="Y216" s="18">
        <f t="shared" si="232"/>
        <v>-0.12042247204431578</v>
      </c>
      <c r="Z216" s="32" t="str">
        <f t="shared" si="218"/>
        <v>0.999977199729016+0.00958063129797868i</v>
      </c>
      <c r="AA216" s="18">
        <f t="shared" si="233"/>
        <v>1.0000230939703103</v>
      </c>
      <c r="AB216" s="18">
        <f t="shared" si="234"/>
        <v>9.5805566094627984E-3</v>
      </c>
      <c r="AC216" s="32" t="str">
        <f>IMDIV(IMSUM(COMPLEX(0,2*PI()*O216*Constants!$B$71*Constants!$B$72),COMPLEX(1,0)),IMSUM(COMPLEX(0,2*PI()*O216*Constants!$B$71*Constants!$B$72),COMPLEX(2,0)))</f>
        <v>0.500071999120312+0.00599953133857685i</v>
      </c>
      <c r="AD216" s="18">
        <f t="shared" si="235"/>
        <v>0.50010798701927162</v>
      </c>
      <c r="AE216" s="18">
        <f t="shared" si="236"/>
        <v>1.1996759515378744E-2</v>
      </c>
      <c r="AF216" s="66" t="str">
        <f t="shared" si="237"/>
        <v>0.189777541567507-2.43517274206745i</v>
      </c>
      <c r="AG216" s="64">
        <f t="shared" si="238"/>
        <v>7.7568920353613269</v>
      </c>
      <c r="AH216" s="61">
        <f t="shared" si="239"/>
        <v>-85.543840069531896</v>
      </c>
      <c r="AI216" s="50" t="str">
        <f t="shared" si="219"/>
        <v>108.866083054159</v>
      </c>
      <c r="AJ216" s="50" t="str">
        <f t="shared" si="220"/>
        <v>1+4.90941440587255i</v>
      </c>
      <c r="AK216" s="50">
        <f t="shared" si="240"/>
        <v>5.0102245267641372</v>
      </c>
      <c r="AL216" s="50">
        <f t="shared" si="241"/>
        <v>1.3698549510337241</v>
      </c>
      <c r="AM216" s="50" t="str">
        <f t="shared" si="221"/>
        <v>1+0.0054003558464598i</v>
      </c>
      <c r="AN216" s="50">
        <f t="shared" si="242"/>
        <v>1.0000145818153194</v>
      </c>
      <c r="AO216" s="50">
        <f t="shared" si="243"/>
        <v>5.4003033490012467E-3</v>
      </c>
      <c r="AP216" s="50" t="str">
        <f t="shared" si="222"/>
        <v>1-0.0269461627381679i</v>
      </c>
      <c r="AQ216" s="50">
        <f t="shared" si="244"/>
        <v>1.0003629819652025</v>
      </c>
      <c r="AR216" s="50">
        <f t="shared" si="245"/>
        <v>-2.6939643747136796E-2</v>
      </c>
      <c r="AS216" s="59" t="str">
        <f t="shared" si="246"/>
        <v>3.8787749398471-21.3881211693643i</v>
      </c>
      <c r="AT216" s="50">
        <f t="shared" si="247"/>
        <v>26.743987081473975</v>
      </c>
      <c r="AU216" s="61">
        <f t="shared" si="248"/>
        <v>-79.721020537641223</v>
      </c>
      <c r="AV216" s="32" t="str">
        <f t="shared" si="223"/>
        <v>-0.0000333333333333333</v>
      </c>
      <c r="AW216" s="32" t="str">
        <f t="shared" si="224"/>
        <v>0.000288018978477856i</v>
      </c>
      <c r="AX216" s="32">
        <f t="shared" si="249"/>
        <v>2.88018978477856E-4</v>
      </c>
      <c r="AY216" s="32">
        <f t="shared" si="250"/>
        <v>1.5707963267948966</v>
      </c>
      <c r="AZ216" s="32" t="str">
        <f t="shared" si="225"/>
        <v>1+0.117507742955375i</v>
      </c>
      <c r="BA216" s="32">
        <f t="shared" si="251"/>
        <v>1.0068803651151741</v>
      </c>
      <c r="BB216" s="32">
        <f t="shared" si="252"/>
        <v>0.11697132840117221</v>
      </c>
      <c r="BC216" s="32" t="str">
        <f t="shared" si="226"/>
        <v>1+5.64037166185802i</v>
      </c>
      <c r="BD216" s="32">
        <f t="shared" si="253"/>
        <v>5.7283324348269975</v>
      </c>
      <c r="BE216" s="32">
        <f t="shared" si="254"/>
        <v>1.3953263935895799</v>
      </c>
      <c r="BF216" s="59" t="str">
        <f t="shared" si="255"/>
        <v>-0.630472630740246+0.189818530052132i</v>
      </c>
      <c r="BG216" s="50">
        <f t="shared" si="256"/>
        <v>-3.6298403741516676</v>
      </c>
      <c r="BH216" s="61">
        <f t="shared" si="257"/>
        <v>163.244349954467</v>
      </c>
      <c r="BI216" s="59" t="str">
        <f t="shared" si="258"/>
        <v>0.34259136443478+1.57133305897546i</v>
      </c>
      <c r="BJ216" s="64">
        <f t="shared" si="259"/>
        <v>4.1270516612096824</v>
      </c>
      <c r="BK216" s="61">
        <f t="shared" si="260"/>
        <v>77.700509884935158</v>
      </c>
      <c r="BL216" s="59" t="str">
        <f t="shared" si="211"/>
        <v>1.61440028057088+14.2208883777251i</v>
      </c>
      <c r="BM216" s="64">
        <f t="shared" si="261"/>
        <v>23.11414670732232</v>
      </c>
      <c r="BN216" s="61">
        <f t="shared" si="212"/>
        <v>83.523329416825774</v>
      </c>
      <c r="BO216" s="50">
        <f t="shared" si="262"/>
        <v>4.1270516612096824</v>
      </c>
      <c r="BP216" s="61">
        <f t="shared" si="263"/>
        <v>77.700509884935158</v>
      </c>
    </row>
    <row r="217" spans="14:68" x14ac:dyDescent="0.25">
      <c r="N217" s="11">
        <v>99</v>
      </c>
      <c r="O217" s="51">
        <f t="shared" si="213"/>
        <v>977.23722095581138</v>
      </c>
      <c r="P217" s="49" t="str">
        <f t="shared" si="214"/>
        <v>25.6231073841137</v>
      </c>
      <c r="Q217" s="18" t="str">
        <f t="shared" si="215"/>
        <v>1+5.30988899620472i</v>
      </c>
      <c r="R217" s="18">
        <f t="shared" si="227"/>
        <v>5.403232472512725</v>
      </c>
      <c r="S217" s="18">
        <f t="shared" si="228"/>
        <v>1.3846487586026779</v>
      </c>
      <c r="T217" s="18" t="str">
        <f t="shared" si="216"/>
        <v>1+0.00552614629350472i</v>
      </c>
      <c r="U217" s="18">
        <f t="shared" si="229"/>
        <v>1.0000152690298569</v>
      </c>
      <c r="V217" s="18">
        <f t="shared" si="230"/>
        <v>5.5260900415107922E-3</v>
      </c>
      <c r="W217" s="32" t="str">
        <f t="shared" si="217"/>
        <v>1-0.123826611391495i</v>
      </c>
      <c r="X217" s="18">
        <f t="shared" si="231"/>
        <v>1.0076373502846649</v>
      </c>
      <c r="Y217" s="18">
        <f t="shared" si="232"/>
        <v>-0.12319949171056985</v>
      </c>
      <c r="Z217" s="32" t="str">
        <f t="shared" si="218"/>
        <v>0.99997612518535+0.00980379286884725i</v>
      </c>
      <c r="AA217" s="18">
        <f t="shared" si="233"/>
        <v>1.0000241823552678</v>
      </c>
      <c r="AB217" s="18">
        <f t="shared" si="234"/>
        <v>9.8037128387148207E-3</v>
      </c>
      <c r="AC217" s="32" t="str">
        <f>IMDIV(IMSUM(COMPLEX(0,2*PI()*O217*Constants!$B$71*Constants!$B$72),COMPLEX(1,0)),IMSUM(COMPLEX(0,2*PI()*O217*Constants!$B$71*Constants!$B$72),COMPLEX(2,0)))</f>
        <v>0.500075391822672+0.00613923671224653i</v>
      </c>
      <c r="AD217" s="18">
        <f t="shared" si="235"/>
        <v>0.50011307494806412</v>
      </c>
      <c r="AE217" s="18">
        <f t="shared" si="236"/>
        <v>1.227600560748834E-2</v>
      </c>
      <c r="AF217" s="66" t="str">
        <f t="shared" si="237"/>
        <v>0.169399870426791-2.38370677816548i</v>
      </c>
      <c r="AG217" s="64">
        <f t="shared" si="238"/>
        <v>7.5669347699168092</v>
      </c>
      <c r="AH217" s="61">
        <f t="shared" si="239"/>
        <v>-85.935067311175544</v>
      </c>
      <c r="AI217" s="50" t="str">
        <f t="shared" si="219"/>
        <v>108.866083054159</v>
      </c>
      <c r="AJ217" s="50" t="str">
        <f t="shared" si="220"/>
        <v>1+5.02376935773157i</v>
      </c>
      <c r="AK217" s="50">
        <f t="shared" si="240"/>
        <v>5.1223294075725621</v>
      </c>
      <c r="AL217" s="50">
        <f t="shared" si="241"/>
        <v>1.3743108129115205</v>
      </c>
      <c r="AM217" s="50" t="str">
        <f t="shared" si="221"/>
        <v>1+0.00552614629350472i</v>
      </c>
      <c r="AN217" s="50">
        <f t="shared" si="242"/>
        <v>1.0000152690298569</v>
      </c>
      <c r="AO217" s="50">
        <f t="shared" si="243"/>
        <v>5.5260900415107922E-3</v>
      </c>
      <c r="AP217" s="50" t="str">
        <f t="shared" si="222"/>
        <v>1-0.027573819498824i</v>
      </c>
      <c r="AQ217" s="50">
        <f t="shared" si="244"/>
        <v>1.0003800855283724</v>
      </c>
      <c r="AR217" s="50">
        <f t="shared" si="245"/>
        <v>-2.7566834417413713E-2</v>
      </c>
      <c r="AS217" s="59" t="str">
        <f t="shared" si="246"/>
        <v>3.69019918570758-20.938953415405i</v>
      </c>
      <c r="AT217" s="50">
        <f t="shared" si="247"/>
        <v>26.551935253795975</v>
      </c>
      <c r="AU217" s="61">
        <f t="shared" si="248"/>
        <v>-80.005050949089366</v>
      </c>
      <c r="AV217" s="32" t="str">
        <f t="shared" si="223"/>
        <v>-0.0000333333333333333</v>
      </c>
      <c r="AW217" s="32" t="str">
        <f t="shared" si="224"/>
        <v>0.000294727802320251i</v>
      </c>
      <c r="AX217" s="32">
        <f t="shared" si="249"/>
        <v>2.9472780232025098E-4</v>
      </c>
      <c r="AY217" s="32">
        <f t="shared" si="250"/>
        <v>1.5707963267948966</v>
      </c>
      <c r="AZ217" s="32" t="str">
        <f t="shared" si="225"/>
        <v>1+0.120244849904964i</v>
      </c>
      <c r="BA217" s="32">
        <f t="shared" si="251"/>
        <v>1.0072034669959529</v>
      </c>
      <c r="BB217" s="32">
        <f t="shared" si="252"/>
        <v>0.11967029314014754</v>
      </c>
      <c r="BC217" s="32" t="str">
        <f t="shared" si="226"/>
        <v>1+5.77175279543827i</v>
      </c>
      <c r="BD217" s="32">
        <f t="shared" si="253"/>
        <v>5.8577410604813771</v>
      </c>
      <c r="BE217" s="32">
        <f t="shared" si="254"/>
        <v>1.399241789932155</v>
      </c>
      <c r="BF217" s="59" t="str">
        <f t="shared" si="255"/>
        <v>-0.630068195636976+0.188861162525911i</v>
      </c>
      <c r="BG217" s="50">
        <f t="shared" si="256"/>
        <v>-3.6385880511851449</v>
      </c>
      <c r="BH217" s="61">
        <f t="shared" si="257"/>
        <v>163.31404635141965</v>
      </c>
      <c r="BI217" s="59" t="str">
        <f t="shared" si="258"/>
        <v>0.343456162544281+1.5338908851069i</v>
      </c>
      <c r="BJ217" s="64">
        <f t="shared" si="259"/>
        <v>3.9283467187316856</v>
      </c>
      <c r="BK217" s="61">
        <f t="shared" si="260"/>
        <v>77.378979040244133</v>
      </c>
      <c r="BL217" s="59" t="str">
        <f t="shared" si="211"/>
        <v>1.62947794162947+13.8899039051358i</v>
      </c>
      <c r="BM217" s="64">
        <f t="shared" si="261"/>
        <v>22.913347202610808</v>
      </c>
      <c r="BN217" s="61">
        <f t="shared" si="212"/>
        <v>83.308995402330268</v>
      </c>
      <c r="BO217" s="50">
        <f t="shared" si="262"/>
        <v>3.9283467187316856</v>
      </c>
      <c r="BP217" s="61">
        <f t="shared" si="263"/>
        <v>77.378979040244133</v>
      </c>
    </row>
    <row r="218" spans="14:68" x14ac:dyDescent="0.25">
      <c r="N218" s="11">
        <v>100</v>
      </c>
      <c r="O218" s="51">
        <f t="shared" si="213"/>
        <v>1000</v>
      </c>
      <c r="P218" s="49" t="str">
        <f t="shared" si="214"/>
        <v>25.6231073841137</v>
      </c>
      <c r="Q218" s="18" t="str">
        <f t="shared" si="215"/>
        <v>1+5.43357219960498i</v>
      </c>
      <c r="R218" s="18">
        <f t="shared" si="227"/>
        <v>5.524826408885632</v>
      </c>
      <c r="S218" s="18">
        <f t="shared" si="228"/>
        <v>1.3887919946567826</v>
      </c>
      <c r="T218" s="18" t="str">
        <f t="shared" si="216"/>
        <v>1+0.00565486677646164i</v>
      </c>
      <c r="U218" s="18">
        <f t="shared" si="229"/>
        <v>1.0000159886313116</v>
      </c>
      <c r="V218" s="18">
        <f t="shared" si="230"/>
        <v>5.6548065014162376E-3</v>
      </c>
      <c r="W218" s="32" t="str">
        <f t="shared" si="217"/>
        <v>1-0.126710903694788i</v>
      </c>
      <c r="X218" s="18">
        <f t="shared" si="231"/>
        <v>1.0079958596716307</v>
      </c>
      <c r="Y218" s="18">
        <f t="shared" si="232"/>
        <v>-0.12603922040131602</v>
      </c>
      <c r="Z218" s="32" t="str">
        <f t="shared" si="218"/>
        <v>0.999975+0.0100321525404634i</v>
      </c>
      <c r="AA218" s="18">
        <f t="shared" si="233"/>
        <v>1.0000253220341948</v>
      </c>
      <c r="AB218" s="18">
        <f t="shared" si="234"/>
        <v>1.0032066786692344E-2</v>
      </c>
      <c r="AC218" s="32" t="str">
        <f>IMDIV(IMSUM(COMPLEX(0,2*PI()*O218*Constants!$B$71*Constants!$B$72),COMPLEX(1,0)),IMSUM(COMPLEX(0,2*PI()*O218*Constants!$B$71*Constants!$B$72),COMPLEX(2,0)))</f>
        <v>0.500078944368814+0.00628219326298315i</v>
      </c>
      <c r="AD218" s="18">
        <f t="shared" si="235"/>
        <v>0.5001184025340607</v>
      </c>
      <c r="AE218" s="18">
        <f t="shared" si="236"/>
        <v>1.2561742285668656E-2</v>
      </c>
      <c r="AF218" s="66" t="str">
        <f t="shared" si="237"/>
        <v>0.149877587333569-2.3331705095349i</v>
      </c>
      <c r="AG218" s="64">
        <f t="shared" si="238"/>
        <v>7.3768137982511188</v>
      </c>
      <c r="AH218" s="61">
        <f t="shared" si="239"/>
        <v>-86.32449902138012</v>
      </c>
      <c r="AI218" s="50" t="str">
        <f t="shared" si="219"/>
        <v>108.866083054159</v>
      </c>
      <c r="AJ218" s="50" t="str">
        <f t="shared" si="220"/>
        <v>1+5.14078797860149i</v>
      </c>
      <c r="AK218" s="50">
        <f t="shared" si="240"/>
        <v>5.2371462688122046</v>
      </c>
      <c r="AL218" s="50">
        <f t="shared" si="241"/>
        <v>1.3786728981266054</v>
      </c>
      <c r="AM218" s="50" t="str">
        <f t="shared" si="221"/>
        <v>1+0.00565486677646164i</v>
      </c>
      <c r="AN218" s="50">
        <f t="shared" si="242"/>
        <v>1.0000159886313116</v>
      </c>
      <c r="AO218" s="50">
        <f t="shared" si="243"/>
        <v>5.6548065014162376E-3</v>
      </c>
      <c r="AP218" s="50" t="str">
        <f t="shared" si="222"/>
        <v>1-0.028216096263561i</v>
      </c>
      <c r="AQ218" s="50">
        <f t="shared" si="244"/>
        <v>1.0003979948442292</v>
      </c>
      <c r="AR218" s="50">
        <f t="shared" si="245"/>
        <v>-2.8208611774792326E-2</v>
      </c>
      <c r="AS218" s="59" t="str">
        <f t="shared" si="246"/>
        <v>3.50947726923008-20.4976312399797i</v>
      </c>
      <c r="AT218" s="50">
        <f t="shared" si="247"/>
        <v>26.359553005554076</v>
      </c>
      <c r="AU218" s="61">
        <f t="shared" si="248"/>
        <v>-80.284376245848549</v>
      </c>
      <c r="AV218" s="32" t="str">
        <f t="shared" si="223"/>
        <v>-0.0000333333333333333</v>
      </c>
      <c r="AW218" s="32" t="str">
        <f t="shared" si="224"/>
        <v>0.00030159289474462i</v>
      </c>
      <c r="AX218" s="32">
        <f t="shared" si="249"/>
        <v>3.0159289474462002E-4</v>
      </c>
      <c r="AY218" s="32">
        <f t="shared" si="250"/>
        <v>1.5707963267948966</v>
      </c>
      <c r="AZ218" s="32" t="str">
        <f t="shared" si="225"/>
        <v>1+0.1230457122656i</v>
      </c>
      <c r="BA218" s="32">
        <f t="shared" si="251"/>
        <v>1.0075416851460532</v>
      </c>
      <c r="BB218" s="32">
        <f t="shared" si="252"/>
        <v>0.12243031221408159</v>
      </c>
      <c r="BC218" s="32" t="str">
        <f t="shared" si="226"/>
        <v>1+5.90619418874883i</v>
      </c>
      <c r="BD218" s="32">
        <f t="shared" si="253"/>
        <v>5.9902528991028792</v>
      </c>
      <c r="BE218" s="32">
        <f t="shared" si="254"/>
        <v>1.4030732009107361</v>
      </c>
      <c r="BF218" s="59" t="str">
        <f t="shared" si="255"/>
        <v>-0.629645255851503+0.187999415016942i</v>
      </c>
      <c r="BG218" s="50">
        <f t="shared" si="256"/>
        <v>-3.6472045149499452</v>
      </c>
      <c r="BH218" s="61">
        <f t="shared" si="257"/>
        <v>163.37543258576036</v>
      </c>
      <c r="BI218" s="59" t="str">
        <f t="shared" si="258"/>
        <v>0.344264979104291+1.49724664116415i</v>
      </c>
      <c r="BJ218" s="64">
        <f t="shared" si="259"/>
        <v>3.7296092833011985</v>
      </c>
      <c r="BK218" s="61">
        <f t="shared" si="260"/>
        <v>77.050933564380273</v>
      </c>
      <c r="BL218" s="59" t="str">
        <f t="shared" si="211"/>
        <v>1.64381696925977+13.5660159400773i</v>
      </c>
      <c r="BM218" s="64">
        <f t="shared" si="261"/>
        <v>22.712348490604136</v>
      </c>
      <c r="BN218" s="61">
        <f t="shared" si="212"/>
        <v>83.09105633991183</v>
      </c>
      <c r="BO218" s="50">
        <f t="shared" si="262"/>
        <v>3.7296092833011985</v>
      </c>
      <c r="BP218" s="61">
        <f t="shared" si="263"/>
        <v>77.050933564380273</v>
      </c>
    </row>
    <row r="219" spans="14:68" x14ac:dyDescent="0.25">
      <c r="N219" s="11">
        <v>1</v>
      </c>
      <c r="O219" s="51">
        <f>10^(3+(N219/100))</f>
        <v>1023.2929922807547</v>
      </c>
      <c r="P219" s="49" t="str">
        <f t="shared" si="214"/>
        <v>25.6231073841137</v>
      </c>
      <c r="Q219" s="18" t="str">
        <f t="shared" si="215"/>
        <v>1+5.56013635490729i</v>
      </c>
      <c r="R219" s="18">
        <f t="shared" si="227"/>
        <v>5.6493465361191753</v>
      </c>
      <c r="S219" s="18">
        <f t="shared" si="228"/>
        <v>1.3928470339105445</v>
      </c>
      <c r="T219" s="18" t="str">
        <f t="shared" si="216"/>
        <v>1+0.00578658554463445i</v>
      </c>
      <c r="U219" s="18">
        <f t="shared" si="229"/>
        <v>1.0000167421459829</v>
      </c>
      <c r="V219" s="18">
        <f t="shared" si="230"/>
        <v>5.786520958818076E-3</v>
      </c>
      <c r="W219" s="32" t="str">
        <f t="shared" si="217"/>
        <v>1-0.129662379796439i</v>
      </c>
      <c r="X219" s="18">
        <f t="shared" si="231"/>
        <v>1.0083711284712966</v>
      </c>
      <c r="Y219" s="18">
        <f t="shared" si="232"/>
        <v>-0.12894298048252506</v>
      </c>
      <c r="Z219" s="32" t="str">
        <f t="shared" si="218"/>
        <v>0.999973821786299+0.0102658313921478i</v>
      </c>
      <c r="AA219" s="18">
        <f t="shared" si="233"/>
        <v>1.0000265154245005</v>
      </c>
      <c r="AB219" s="18">
        <f t="shared" si="234"/>
        <v>1.0265739505394873E-2</v>
      </c>
      <c r="AC219" s="32" t="str">
        <f>IMDIV(IMSUM(COMPLEX(0,2*PI()*O219*Constants!$B$71*Constants!$B$72),COMPLEX(1,0)),IMSUM(COMPLEX(0,2*PI()*O219*Constants!$B$71*Constants!$B$72),COMPLEX(2,0)))</f>
        <v>0.500082664287182+0.00642847650743991i</v>
      </c>
      <c r="AD219" s="18">
        <f t="shared" si="235"/>
        <v>0.50012398105946998</v>
      </c>
      <c r="AE219" s="18">
        <f t="shared" si="236"/>
        <v>1.2854119742553632E-2</v>
      </c>
      <c r="AF219" s="66" t="str">
        <f t="shared" si="237"/>
        <v>0.13117733250597-2.28355799785051i</v>
      </c>
      <c r="AG219" s="64">
        <f t="shared" si="238"/>
        <v>7.1865483761703821</v>
      </c>
      <c r="AH219" s="61">
        <f t="shared" si="239"/>
        <v>-86.712298637507146</v>
      </c>
      <c r="AI219" s="50" t="str">
        <f t="shared" si="219"/>
        <v>108.866083054159</v>
      </c>
      <c r="AJ219" s="50" t="str">
        <f t="shared" si="220"/>
        <v>1+5.26053231330405i</v>
      </c>
      <c r="AK219" s="50">
        <f t="shared" si="240"/>
        <v>5.3547362418065054</v>
      </c>
      <c r="AL219" s="50">
        <f t="shared" si="241"/>
        <v>1.3829428551894107</v>
      </c>
      <c r="AM219" s="50" t="str">
        <f t="shared" si="221"/>
        <v>1+0.00578658554463445i</v>
      </c>
      <c r="AN219" s="50">
        <f t="shared" si="242"/>
        <v>1.0000167421459829</v>
      </c>
      <c r="AO219" s="50">
        <f t="shared" si="243"/>
        <v>5.786520958818076E-3</v>
      </c>
      <c r="AP219" s="50" t="str">
        <f t="shared" si="222"/>
        <v>1-0.0288733335760211i</v>
      </c>
      <c r="AQ219" s="50">
        <f t="shared" si="244"/>
        <v>1.000416747856508</v>
      </c>
      <c r="AR219" s="50">
        <f t="shared" si="245"/>
        <v>-2.8865313982239214E-2</v>
      </c>
      <c r="AS219" s="59" t="str">
        <f t="shared" si="246"/>
        <v>3.33630846281025-20.0641223043985i</v>
      </c>
      <c r="AT219" s="50">
        <f t="shared" si="247"/>
        <v>26.166854768098233</v>
      </c>
      <c r="AU219" s="61">
        <f t="shared" si="248"/>
        <v>-80.559106346623039</v>
      </c>
      <c r="AV219" s="32" t="str">
        <f t="shared" si="223"/>
        <v>-0.0000333333333333333</v>
      </c>
      <c r="AW219" s="32" t="str">
        <f t="shared" si="224"/>
        <v>0.000308617895713837i</v>
      </c>
      <c r="AX219" s="32">
        <f t="shared" si="249"/>
        <v>3.0861789571383699E-4</v>
      </c>
      <c r="AY219" s="32">
        <f t="shared" si="250"/>
        <v>1.5707963267948966</v>
      </c>
      <c r="AZ219" s="32" t="str">
        <f t="shared" si="225"/>
        <v>1+0.125911815091583i</v>
      </c>
      <c r="BA219" s="32">
        <f t="shared" si="251"/>
        <v>1.0078957213817592</v>
      </c>
      <c r="BB219" s="32">
        <f t="shared" si="252"/>
        <v>0.12525268073130871</v>
      </c>
      <c r="BC219" s="32" t="str">
        <f t="shared" si="226"/>
        <v>1+6.04376712439599i</v>
      </c>
      <c r="BD219" s="32">
        <f t="shared" si="253"/>
        <v>6.1259383814995862</v>
      </c>
      <c r="BE219" s="32">
        <f t="shared" si="254"/>
        <v>1.4068222078126751</v>
      </c>
      <c r="BF219" s="59" t="str">
        <f t="shared" si="255"/>
        <v>-0.629202991676309+0.187232517332257i</v>
      </c>
      <c r="BG219" s="50">
        <f t="shared" si="256"/>
        <v>-3.655706758951081</v>
      </c>
      <c r="BH219" s="61">
        <f t="shared" si="257"/>
        <v>163.42852505433916</v>
      </c>
      <c r="BI219" s="59" t="str">
        <f t="shared" si="258"/>
        <v>0.345019142358885+1.46138218609593i</v>
      </c>
      <c r="BJ219" s="64">
        <f t="shared" si="259"/>
        <v>3.5308416172193198</v>
      </c>
      <c r="BK219" s="61">
        <f t="shared" si="260"/>
        <v>76.716226416832072</v>
      </c>
      <c r="BL219" s="59" t="str">
        <f t="shared" si="211"/>
        <v>1.65744086115962+13.2490712113758i</v>
      </c>
      <c r="BM219" s="64">
        <f t="shared" si="261"/>
        <v>22.511148009147171</v>
      </c>
      <c r="BN219" s="61">
        <f t="shared" si="212"/>
        <v>82.86941870771615</v>
      </c>
      <c r="BO219" s="50">
        <f t="shared" si="262"/>
        <v>3.5308416172193198</v>
      </c>
      <c r="BP219" s="61">
        <f t="shared" si="263"/>
        <v>76.716226416832072</v>
      </c>
    </row>
    <row r="220" spans="14:68" x14ac:dyDescent="0.25">
      <c r="N220" s="11">
        <v>2</v>
      </c>
      <c r="O220" s="51">
        <f t="shared" ref="O220:O283" si="264">10^(3+(N220/100))</f>
        <v>1047.1285480509</v>
      </c>
      <c r="P220" s="49" t="str">
        <f t="shared" si="214"/>
        <v>25.6231073841137</v>
      </c>
      <c r="Q220" s="18" t="str">
        <f t="shared" si="215"/>
        <v>1+5.68964856810209i</v>
      </c>
      <c r="R220" s="18">
        <f t="shared" si="227"/>
        <v>5.7768590798552601</v>
      </c>
      <c r="S220" s="18">
        <f t="shared" si="228"/>
        <v>1.3968154927096683</v>
      </c>
      <c r="T220" s="18" t="str">
        <f t="shared" si="216"/>
        <v>1+0.00592137243705754i</v>
      </c>
      <c r="U220" s="18">
        <f t="shared" si="229"/>
        <v>1.0000175311720982</v>
      </c>
      <c r="V220" s="18">
        <f t="shared" si="230"/>
        <v>5.9213032321739746E-3</v>
      </c>
      <c r="W220" s="32" t="str">
        <f t="shared" si="217"/>
        <v>1-0.132682604608141i</v>
      </c>
      <c r="X220" s="18">
        <f t="shared" si="231"/>
        <v>1.008763933517451</v>
      </c>
      <c r="Y220" s="18">
        <f t="shared" si="232"/>
        <v>-0.13191211559004143</v>
      </c>
      <c r="Z220" s="32" t="str">
        <f t="shared" si="218"/>
        <v>0.999972588045096+0.0105049533235206i</v>
      </c>
      <c r="AA220" s="18">
        <f t="shared" si="233"/>
        <v>1.0000277650575193</v>
      </c>
      <c r="AB220" s="18">
        <f t="shared" si="234"/>
        <v>1.0504854865167541E-2</v>
      </c>
      <c r="AC220" s="32" t="str">
        <f>IMDIV(IMSUM(COMPLEX(0,2*PI()*O220*Constants!$B$71*Constants!$B$72),COMPLEX(1,0)),IMSUM(COMPLEX(0,2*PI()*O220*Constants!$B$71*Constants!$B$72),COMPLEX(2,0)))</f>
        <v>0.500086559460568+0.0065781637060551i</v>
      </c>
      <c r="AD220" s="18">
        <f t="shared" si="235"/>
        <v>0.50012982233701264</v>
      </c>
      <c r="AE220" s="18">
        <f t="shared" si="236"/>
        <v>1.3153291598341435E-2</v>
      </c>
      <c r="AF220" s="66" t="str">
        <f t="shared" si="237"/>
        <v>0.113266826013057-2.23486255206465i</v>
      </c>
      <c r="AG220" s="64">
        <f t="shared" si="238"/>
        <v>6.9961575424926492</v>
      </c>
      <c r="AH220" s="61">
        <f t="shared" si="239"/>
        <v>-87.098630049162821</v>
      </c>
      <c r="AI220" s="50" t="str">
        <f t="shared" si="219"/>
        <v>108.866083054159</v>
      </c>
      <c r="AJ220" s="50" t="str">
        <f t="shared" si="220"/>
        <v>1+5.3830658518705i</v>
      </c>
      <c r="AK220" s="50">
        <f t="shared" si="240"/>
        <v>5.4751619122701998</v>
      </c>
      <c r="AL220" s="50">
        <f t="shared" si="241"/>
        <v>1.3871223249696305</v>
      </c>
      <c r="AM220" s="50" t="str">
        <f t="shared" si="221"/>
        <v>1+0.00592137243705754i</v>
      </c>
      <c r="AN220" s="50">
        <f t="shared" si="242"/>
        <v>1.0000175311720982</v>
      </c>
      <c r="AO220" s="50">
        <f t="shared" si="243"/>
        <v>5.9213032321739746E-3</v>
      </c>
      <c r="AP220" s="50" t="str">
        <f t="shared" si="222"/>
        <v>1-0.029545879912127i</v>
      </c>
      <c r="AQ220" s="50">
        <f t="shared" si="244"/>
        <v>1.0004363842942647</v>
      </c>
      <c r="AR220" s="50">
        <f t="shared" si="245"/>
        <v>-2.9537286964997033E-2</v>
      </c>
      <c r="AS220" s="59" t="str">
        <f t="shared" si="246"/>
        <v>3.17040129974228-19.638386566263i</v>
      </c>
      <c r="AT220" s="50">
        <f t="shared" si="247"/>
        <v>25.973854447280196</v>
      </c>
      <c r="AU220" s="61">
        <f t="shared" si="248"/>
        <v>-80.829351086074425</v>
      </c>
      <c r="AV220" s="32" t="str">
        <f t="shared" si="223"/>
        <v>-0.0000333333333333333</v>
      </c>
      <c r="AW220" s="32" t="str">
        <f t="shared" si="224"/>
        <v>0.000315806529976402i</v>
      </c>
      <c r="AX220" s="32">
        <f t="shared" si="249"/>
        <v>3.1580652997640198E-4</v>
      </c>
      <c r="AY220" s="32">
        <f t="shared" si="250"/>
        <v>1.5707963267948966</v>
      </c>
      <c r="AZ220" s="32" t="str">
        <f t="shared" si="225"/>
        <v>1+0.128844678028567i</v>
      </c>
      <c r="BA220" s="32">
        <f t="shared" si="251"/>
        <v>1.0082663095910152</v>
      </c>
      <c r="BB220" s="32">
        <f t="shared" si="252"/>
        <v>0.12813871519424103</v>
      </c>
      <c r="BC220" s="32" t="str">
        <f t="shared" si="226"/>
        <v>1+6.18454454537122i</v>
      </c>
      <c r="BD220" s="32">
        <f t="shared" si="253"/>
        <v>6.2648696102697068</v>
      </c>
      <c r="BE220" s="32">
        <f t="shared" si="254"/>
        <v>1.4104903766586117</v>
      </c>
      <c r="BF220" s="59" t="str">
        <f t="shared" si="255"/>
        <v>-0.628740549648919+0.186559728322896i</v>
      </c>
      <c r="BG220" s="50">
        <f t="shared" si="256"/>
        <v>-3.6641115952211396</v>
      </c>
      <c r="BH220" s="61">
        <f t="shared" si="257"/>
        <v>163.47333805349743</v>
      </c>
      <c r="BI220" s="59" t="str">
        <f t="shared" si="258"/>
        <v>0.345719904107757+1.42627973766391i</v>
      </c>
      <c r="BJ220" s="64">
        <f t="shared" si="259"/>
        <v>3.3320459472715274</v>
      </c>
      <c r="BK220" s="61">
        <f t="shared" si="260"/>
        <v>76.374708004334636</v>
      </c>
      <c r="BL220" s="59" t="str">
        <f t="shared" si="211"/>
        <v>1.67037220669443+12.9389191690446i</v>
      </c>
      <c r="BM220" s="64">
        <f t="shared" si="261"/>
        <v>22.309742852059046</v>
      </c>
      <c r="BN220" s="61">
        <f t="shared" si="212"/>
        <v>82.643986967422961</v>
      </c>
      <c r="BO220" s="50">
        <f t="shared" si="262"/>
        <v>3.3320459472715274</v>
      </c>
      <c r="BP220" s="61">
        <f t="shared" si="263"/>
        <v>76.374708004334636</v>
      </c>
    </row>
    <row r="221" spans="14:68" x14ac:dyDescent="0.25">
      <c r="N221" s="11">
        <v>3</v>
      </c>
      <c r="O221" s="51">
        <f t="shared" si="264"/>
        <v>1071.5193052376069</v>
      </c>
      <c r="P221" s="49" t="str">
        <f t="shared" si="214"/>
        <v>25.6231073841137</v>
      </c>
      <c r="Q221" s="18" t="str">
        <f t="shared" si="215"/>
        <v>1+5.82217750827909i</v>
      </c>
      <c r="R221" s="18">
        <f t="shared" si="227"/>
        <v>5.9074318394638228</v>
      </c>
      <c r="S221" s="18">
        <f t="shared" si="228"/>
        <v>1.4006989749522667</v>
      </c>
      <c r="T221" s="18" t="str">
        <f t="shared" si="216"/>
        <v>1+0.00605929891952539i</v>
      </c>
      <c r="U221" s="18">
        <f t="shared" si="229"/>
        <v>1.0000183573832013</v>
      </c>
      <c r="V221" s="18">
        <f t="shared" si="230"/>
        <v>6.0592247652301529E-3</v>
      </c>
      <c r="W221" s="32" t="str">
        <f t="shared" si="217"/>
        <v>1-0.135773179493069i</v>
      </c>
      <c r="X221" s="18">
        <f t="shared" si="231"/>
        <v>1.0091750870238807</v>
      </c>
      <c r="Y221" s="18">
        <f t="shared" si="232"/>
        <v>-0.13494799048600115</v>
      </c>
      <c r="Z221" s="32" t="str">
        <f t="shared" si="218"/>
        <v>0.999971296159463+0.010749645120195i</v>
      </c>
      <c r="AA221" s="18">
        <f t="shared" si="233"/>
        <v>1.0000290735838866</v>
      </c>
      <c r="AB221" s="18">
        <f t="shared" si="234"/>
        <v>1.074953962025486E-2</v>
      </c>
      <c r="AC221" s="32" t="str">
        <f>IMDIV(IMSUM(COMPLEX(0,2*PI()*O221*Constants!$B$71*Constants!$B$72),COMPLEX(1,0)),IMSUM(COMPLEX(0,2*PI()*O221*Constants!$B$71*Constants!$B$72),COMPLEX(2,0)))</f>
        <v>0.500090638142762+0.00673133390258263i</v>
      </c>
      <c r="AD221" s="18">
        <f t="shared" si="235"/>
        <v>0.50013593873480333</v>
      </c>
      <c r="AE221" s="18">
        <f t="shared" si="236"/>
        <v>1.3459414975578484E-2</v>
      </c>
      <c r="AF221" s="66" t="str">
        <f t="shared" si="237"/>
        <v>0.0961148522564929-2.18707679263296i</v>
      </c>
      <c r="AG221" s="64">
        <f t="shared" si="238"/>
        <v>6.8056601470497338</v>
      </c>
      <c r="AH221" s="61">
        <f t="shared" si="239"/>
        <v>-87.483657514649522</v>
      </c>
      <c r="AI221" s="50" t="str">
        <f t="shared" si="219"/>
        <v>108.866083054159</v>
      </c>
      <c r="AJ221" s="50" t="str">
        <f t="shared" si="220"/>
        <v>1+5.50845356320491i</v>
      </c>
      <c r="AK221" s="50">
        <f t="shared" si="240"/>
        <v>5.5984873544543134</v>
      </c>
      <c r="AL221" s="50">
        <f t="shared" si="241"/>
        <v>1.3912129391382344</v>
      </c>
      <c r="AM221" s="50" t="str">
        <f t="shared" si="221"/>
        <v>1+0.00605929891952539i</v>
      </c>
      <c r="AN221" s="50">
        <f t="shared" si="242"/>
        <v>1.0000183573832013</v>
      </c>
      <c r="AO221" s="50">
        <f t="shared" si="243"/>
        <v>6.0592247652301529E-3</v>
      </c>
      <c r="AP221" s="50" t="str">
        <f t="shared" si="222"/>
        <v>1-0.0302340918648483i</v>
      </c>
      <c r="AQ221" s="50">
        <f t="shared" si="244"/>
        <v>1.0004569457557342</v>
      </c>
      <c r="AR221" s="50">
        <f t="shared" si="245"/>
        <v>-3.0224884583223994E-2</v>
      </c>
      <c r="AS221" s="59" t="str">
        <f t="shared" si="246"/>
        <v>3.01147348887237-19.2203768868788i</v>
      </c>
      <c r="AT221" s="50">
        <f t="shared" si="247"/>
        <v>25.780565441070131</v>
      </c>
      <c r="AU221" s="61">
        <f t="shared" si="248"/>
        <v>-81.095220133331452</v>
      </c>
      <c r="AV221" s="32" t="str">
        <f t="shared" si="223"/>
        <v>-0.0000333333333333333</v>
      </c>
      <c r="AW221" s="32" t="str">
        <f t="shared" si="224"/>
        <v>0.000323162609041354i</v>
      </c>
      <c r="AX221" s="32">
        <f t="shared" si="249"/>
        <v>3.2316260904135402E-4</v>
      </c>
      <c r="AY221" s="32">
        <f t="shared" si="250"/>
        <v>1.5707963267948966</v>
      </c>
      <c r="AZ221" s="32" t="str">
        <f t="shared" si="225"/>
        <v>1+0.131845856119303i</v>
      </c>
      <c r="BA221" s="32">
        <f t="shared" si="251"/>
        <v>1.0086542171506705</v>
      </c>
      <c r="BB221" s="32">
        <f t="shared" si="252"/>
        <v>0.13108975340733925</v>
      </c>
      <c r="BC221" s="32" t="str">
        <f t="shared" si="226"/>
        <v>1+6.32860109372653i</v>
      </c>
      <c r="BD221" s="32">
        <f t="shared" si="253"/>
        <v>6.4071203987061631</v>
      </c>
      <c r="BE221" s="32">
        <f t="shared" si="254"/>
        <v>1.4140792573046916</v>
      </c>
      <c r="BF221" s="59" t="str">
        <f t="shared" si="255"/>
        <v>-0.628257041405993+0.185980334107717i</v>
      </c>
      <c r="BG221" s="50">
        <f t="shared" si="256"/>
        <v>-3.6724356804312173</v>
      </c>
      <c r="BH221" s="61">
        <f t="shared" si="257"/>
        <v>163.50988373290159</v>
      </c>
      <c r="BI221" s="59" t="str">
        <f t="shared" si="258"/>
        <v>0.346368439899274+1.39192186740267i</v>
      </c>
      <c r="BJ221" s="64">
        <f t="shared" si="259"/>
        <v>3.1332244666185272</v>
      </c>
      <c r="BK221" s="61">
        <f t="shared" si="260"/>
        <v>76.026226218252077</v>
      </c>
      <c r="BL221" s="59" t="str">
        <f t="shared" si="211"/>
        <v>1.68263269070642+12.6354119632756i</v>
      </c>
      <c r="BM221" s="64">
        <f t="shared" si="261"/>
        <v>22.108129760638896</v>
      </c>
      <c r="BN221" s="61">
        <f t="shared" si="212"/>
        <v>82.414663599570147</v>
      </c>
      <c r="BO221" s="50">
        <f t="shared" si="262"/>
        <v>3.1332244666185272</v>
      </c>
      <c r="BP221" s="61">
        <f t="shared" si="263"/>
        <v>76.026226218252077</v>
      </c>
    </row>
    <row r="222" spans="14:68" x14ac:dyDescent="0.25">
      <c r="N222" s="11">
        <v>4</v>
      </c>
      <c r="O222" s="51">
        <f t="shared" si="264"/>
        <v>1096.4781961431863</v>
      </c>
      <c r="P222" s="49" t="str">
        <f t="shared" si="214"/>
        <v>25.6231073841137</v>
      </c>
      <c r="Q222" s="18" t="str">
        <f t="shared" si="215"/>
        <v>1+5.95779344403662i</v>
      </c>
      <c r="R222" s="18">
        <f t="shared" si="227"/>
        <v>6.0411342247797917</v>
      </c>
      <c r="S222" s="18">
        <f t="shared" si="228"/>
        <v>1.4044990709303498</v>
      </c>
      <c r="T222" s="18" t="str">
        <f t="shared" si="216"/>
        <v>1+0.00620043812248468i</v>
      </c>
      <c r="U222" s="18">
        <f t="shared" si="229"/>
        <v>1.0000192225317026</v>
      </c>
      <c r="V222" s="18">
        <f t="shared" si="230"/>
        <v>6.2003586648082584E-3</v>
      </c>
      <c r="W222" s="32" t="str">
        <f t="shared" si="217"/>
        <v>1-0.138935743114935i</v>
      </c>
      <c r="X222" s="18">
        <f t="shared" si="231"/>
        <v>1.009605438136552</v>
      </c>
      <c r="Y222" s="18">
        <f t="shared" si="232"/>
        <v>-0.13805199087117315</v>
      </c>
      <c r="Z222" s="32" t="str">
        <f t="shared" si="218"/>
        <v>0.999969943389135+0.0110000365210006i</v>
      </c>
      <c r="AA222" s="18">
        <f t="shared" si="233"/>
        <v>1.0000304437791547</v>
      </c>
      <c r="AB222" s="18">
        <f t="shared" si="234"/>
        <v>1.099992347587446E-2</v>
      </c>
      <c r="AC222" s="32" t="str">
        <f>IMDIV(IMSUM(COMPLEX(0,2*PI()*O222*Constants!$B$71*Constants!$B$72),COMPLEX(1,0)),IMSUM(COMPLEX(0,2*PI()*O222*Constants!$B$71*Constants!$B$72),COMPLEX(2,0)))</f>
        <v>0.500094908975994+0.00688806796446539i</v>
      </c>
      <c r="AD222" s="18">
        <f t="shared" si="235"/>
        <v>0.50014234320240347</v>
      </c>
      <c r="AE222" s="18">
        <f t="shared" si="236"/>
        <v>1.3772650575324744E-2</v>
      </c>
      <c r="AF222" s="66" t="str">
        <f t="shared" si="237"/>
        <v>0.07969124270813-2.14019271234241i</v>
      </c>
      <c r="AG222" s="64">
        <f t="shared" si="238"/>
        <v>6.6150748788236227</v>
      </c>
      <c r="AH222" s="61">
        <f t="shared" si="239"/>
        <v>-87.867545581150182</v>
      </c>
      <c r="AI222" s="50" t="str">
        <f t="shared" si="219"/>
        <v>108.866083054159</v>
      </c>
      <c r="AJ222" s="50" t="str">
        <f t="shared" si="220"/>
        <v>1+5.63676192953153i</v>
      </c>
      <c r="AK222" s="50">
        <f t="shared" si="240"/>
        <v>5.7247781660266996</v>
      </c>
      <c r="AL222" s="50">
        <f t="shared" si="241"/>
        <v>1.3952163187342195</v>
      </c>
      <c r="AM222" s="50" t="str">
        <f t="shared" si="221"/>
        <v>1+0.00620043812248468i</v>
      </c>
      <c r="AN222" s="50">
        <f t="shared" si="242"/>
        <v>1.0000192225317026</v>
      </c>
      <c r="AO222" s="50">
        <f t="shared" si="243"/>
        <v>6.2003586648082584E-3</v>
      </c>
      <c r="AP222" s="50" t="str">
        <f t="shared" si="222"/>
        <v>1-0.0309383343332718i</v>
      </c>
      <c r="AQ222" s="50">
        <f t="shared" si="244"/>
        <v>1.0004784757961149</v>
      </c>
      <c r="AR222" s="50">
        <f t="shared" si="245"/>
        <v>-3.0928468808073765E-2</v>
      </c>
      <c r="AS222" s="59" t="str">
        <f t="shared" si="246"/>
        <v>2.85925180923303-18.8100396086976i</v>
      </c>
      <c r="AT222" s="50">
        <f t="shared" si="247"/>
        <v>25.587000657034913</v>
      </c>
      <c r="AU222" s="61">
        <f t="shared" si="248"/>
        <v>-81.356822917793977</v>
      </c>
      <c r="AV222" s="32" t="str">
        <f t="shared" si="223"/>
        <v>-0.0000333333333333333</v>
      </c>
      <c r="AW222" s="32" t="str">
        <f t="shared" si="224"/>
        <v>0.000330690033199183i</v>
      </c>
      <c r="AX222" s="32">
        <f t="shared" si="249"/>
        <v>3.3069003319918301E-4</v>
      </c>
      <c r="AY222" s="32">
        <f t="shared" si="250"/>
        <v>1.5707963267948966</v>
      </c>
      <c r="AZ222" s="32" t="str">
        <f t="shared" si="225"/>
        <v>1+0.134916940628139i</v>
      </c>
      <c r="BA222" s="32">
        <f t="shared" si="251"/>
        <v>1.0090602464017977</v>
      </c>
      <c r="BB222" s="32">
        <f t="shared" si="252"/>
        <v>0.13410715434505197</v>
      </c>
      <c r="BC222" s="32" t="str">
        <f t="shared" si="226"/>
        <v>1+6.47601315015068i</v>
      </c>
      <c r="BD222" s="32">
        <f t="shared" si="253"/>
        <v>6.5527663105687308</v>
      </c>
      <c r="BE222" s="32">
        <f t="shared" si="254"/>
        <v>1.4175903826342156</v>
      </c>
      <c r="BF222" s="59" t="str">
        <f t="shared" si="255"/>
        <v>-0.627751542522673+0.185493646228477i</v>
      </c>
      <c r="BG222" s="50">
        <f t="shared" si="256"/>
        <v>-3.6806955420387033</v>
      </c>
      <c r="BH222" s="61">
        <f t="shared" si="257"/>
        <v>163.53817205679502</v>
      </c>
      <c r="BI222" s="59" t="str">
        <f t="shared" si="258"/>
        <v>0.34696584930843+1.35829149565114i</v>
      </c>
      <c r="BJ222" s="64">
        <f t="shared" si="259"/>
        <v>2.9343793367849154</v>
      </c>
      <c r="BK222" s="61">
        <f t="shared" si="260"/>
        <v>75.670626475644852</v>
      </c>
      <c r="BL222" s="59" t="str">
        <f t="shared" si="211"/>
        <v>1.69424309901261+12.3384044228525i</v>
      </c>
      <c r="BM222" s="64">
        <f t="shared" si="261"/>
        <v>21.906305114996208</v>
      </c>
      <c r="BN222" s="61">
        <f t="shared" si="212"/>
        <v>82.181349139001071</v>
      </c>
      <c r="BO222" s="50">
        <f t="shared" si="262"/>
        <v>2.9343793367849154</v>
      </c>
      <c r="BP222" s="61">
        <f t="shared" si="263"/>
        <v>75.670626475644852</v>
      </c>
    </row>
    <row r="223" spans="14:68" x14ac:dyDescent="0.25">
      <c r="N223" s="11">
        <v>5</v>
      </c>
      <c r="O223" s="51">
        <f t="shared" si="264"/>
        <v>1122.0184543019636</v>
      </c>
      <c r="P223" s="49" t="str">
        <f t="shared" si="214"/>
        <v>25.6231073841137</v>
      </c>
      <c r="Q223" s="18" t="str">
        <f t="shared" si="215"/>
        <v>1+6.09656828073889i</v>
      </c>
      <c r="R223" s="18">
        <f t="shared" si="227"/>
        <v>6.1780372936484884</v>
      </c>
      <c r="S223" s="18">
        <f t="shared" si="228"/>
        <v>1.4082173562753557</v>
      </c>
      <c r="T223" s="18" t="str">
        <f t="shared" si="216"/>
        <v>1+0.00634486487980901i</v>
      </c>
      <c r="U223" s="18">
        <f t="shared" si="229"/>
        <v>1.0000201284525942</v>
      </c>
      <c r="V223" s="18">
        <f t="shared" si="230"/>
        <v>6.3447797394673294E-3</v>
      </c>
      <c r="W223" s="32" t="str">
        <f t="shared" si="217"/>
        <v>1-0.142171972306832i</v>
      </c>
      <c r="X223" s="18">
        <f t="shared" si="231"/>
        <v>1.0100558745483414</v>
      </c>
      <c r="Y223" s="18">
        <f t="shared" si="232"/>
        <v>-0.14122552314989237</v>
      </c>
      <c r="Z223" s="32" t="str">
        <f t="shared" si="218"/>
        <v>0.999968526864705+0.0112562602867723i</v>
      </c>
      <c r="AA223" s="18">
        <f t="shared" si="233"/>
        <v>1.0000318785496851</v>
      </c>
      <c r="AB223" s="18">
        <f t="shared" si="234"/>
        <v>1.1256139156845467E-2</v>
      </c>
      <c r="AC223" s="32" t="str">
        <f>IMDIV(IMSUM(COMPLEX(0,2*PI()*O223*Constants!$B$71*Constants!$B$72),COMPLEX(1,0)),IMSUM(COMPLEX(0,2*PI()*O223*Constants!$B$71*Constants!$B$72),COMPLEX(2,0)))</f>
        <v>0.500099381009182+0.00704844862406583i</v>
      </c>
      <c r="AD223" s="18">
        <f t="shared" si="235"/>
        <v>0.50014904929807991</v>
      </c>
      <c r="AE223" s="18">
        <f t="shared" si="236"/>
        <v>1.4093162754708037E-2</v>
      </c>
      <c r="AF223" s="66" t="str">
        <f t="shared" si="237"/>
        <v>0.0639668571415302-2.09420173383614i</v>
      </c>
      <c r="AG223" s="64">
        <f t="shared" si="238"/>
        <v>6.4244202941975868</v>
      </c>
      <c r="AH223" s="61">
        <f t="shared" si="239"/>
        <v>-88.250459008116295</v>
      </c>
      <c r="AI223" s="50" t="str">
        <f t="shared" si="219"/>
        <v>108.866083054159</v>
      </c>
      <c r="AJ223" s="50" t="str">
        <f t="shared" si="220"/>
        <v>1+5.76805898164456i</v>
      </c>
      <c r="AK223" s="50">
        <f t="shared" si="240"/>
        <v>5.8541015037092139</v>
      </c>
      <c r="AL223" s="50">
        <f t="shared" si="241"/>
        <v>1.3991340728498542</v>
      </c>
      <c r="AM223" s="50" t="str">
        <f t="shared" si="221"/>
        <v>1+0.00634486487980901i</v>
      </c>
      <c r="AN223" s="50">
        <f t="shared" si="242"/>
        <v>1.0000201284525942</v>
      </c>
      <c r="AO223" s="50">
        <f t="shared" si="243"/>
        <v>6.3447797394673294E-3</v>
      </c>
      <c r="AP223" s="50" t="str">
        <f t="shared" si="222"/>
        <v>1-0.0316589807160761i</v>
      </c>
      <c r="AQ223" s="50">
        <f t="shared" si="244"/>
        <v>1.0005010200194606</v>
      </c>
      <c r="AR223" s="50">
        <f t="shared" si="245"/>
        <v>-3.1648409901254927E-2</v>
      </c>
      <c r="AS223" s="59" t="str">
        <f t="shared" si="246"/>
        <v>2.71347198704412-18.4073151033844i</v>
      </c>
      <c r="AT223" s="50">
        <f t="shared" si="247"/>
        <v>25.393172529642989</v>
      </c>
      <c r="AU223" s="61">
        <f t="shared" si="248"/>
        <v>-81.614268561876472</v>
      </c>
      <c r="AV223" s="32" t="str">
        <f t="shared" si="223"/>
        <v>-0.0000333333333333333</v>
      </c>
      <c r="AW223" s="32" t="str">
        <f t="shared" si="224"/>
        <v>0.000338392793589814i</v>
      </c>
      <c r="AX223" s="32">
        <f t="shared" si="249"/>
        <v>3.38392793589814E-4</v>
      </c>
      <c r="AY223" s="32">
        <f t="shared" si="250"/>
        <v>1.5707963267948966</v>
      </c>
      <c r="AZ223" s="32" t="str">
        <f t="shared" si="225"/>
        <v>1+0.138059559884733i</v>
      </c>
      <c r="BA223" s="32">
        <f t="shared" si="251"/>
        <v>1.0094852361850402</v>
      </c>
      <c r="BB223" s="32">
        <f t="shared" si="252"/>
        <v>0.13719229797660107</v>
      </c>
      <c r="BC223" s="32" t="str">
        <f t="shared" si="226"/>
        <v>1+6.6268588744672i</v>
      </c>
      <c r="BD223" s="32">
        <f t="shared" si="253"/>
        <v>6.7018847007468487</v>
      </c>
      <c r="BE223" s="32">
        <f t="shared" si="254"/>
        <v>1.4210252678334774</v>
      </c>
      <c r="BF223" s="59" t="str">
        <f t="shared" si="255"/>
        <v>-0.627223091339803+0.185098999731077i</v>
      </c>
      <c r="BG223" s="50">
        <f t="shared" si="256"/>
        <v>-3.688907604462095</v>
      </c>
      <c r="BH223" s="61">
        <f t="shared" si="257"/>
        <v>163.55821077254529</v>
      </c>
      <c r="BI223" s="59" t="str">
        <f t="shared" si="258"/>
        <v>0.347513156288555+1.32537188665872i</v>
      </c>
      <c r="BJ223" s="64">
        <f t="shared" si="259"/>
        <v>2.7355126897355109</v>
      </c>
      <c r="BK223" s="61">
        <f t="shared" si="260"/>
        <v>75.307751764429042</v>
      </c>
      <c r="BL223" s="59" t="str">
        <f t="shared" si="211"/>
        <v>1.70522332539343+12.0477540330108i</v>
      </c>
      <c r="BM223" s="64">
        <f t="shared" si="261"/>
        <v>21.704264925180912</v>
      </c>
      <c r="BN223" s="61">
        <f t="shared" si="212"/>
        <v>81.943942210668851</v>
      </c>
      <c r="BO223" s="50">
        <f t="shared" si="262"/>
        <v>2.7355126897355109</v>
      </c>
      <c r="BP223" s="61">
        <f t="shared" si="263"/>
        <v>75.307751764429042</v>
      </c>
    </row>
    <row r="224" spans="14:68" x14ac:dyDescent="0.25">
      <c r="N224" s="11">
        <v>6</v>
      </c>
      <c r="O224" s="51">
        <f t="shared" si="264"/>
        <v>1148.1536214968839</v>
      </c>
      <c r="P224" s="49" t="str">
        <f t="shared" si="214"/>
        <v>25.6231073841137</v>
      </c>
      <c r="Q224" s="18" t="str">
        <f t="shared" si="215"/>
        <v>1+6.23857559864124i</v>
      </c>
      <c r="R224" s="18">
        <f t="shared" si="227"/>
        <v>6.3182137903019635</v>
      </c>
      <c r="S224" s="18">
        <f t="shared" si="228"/>
        <v>1.4118553910020031</v>
      </c>
      <c r="T224" s="18" t="str">
        <f t="shared" si="216"/>
        <v>1+0.00649265576847683i</v>
      </c>
      <c r="U224" s="18">
        <f t="shared" si="229"/>
        <v>1.0000210770673426</v>
      </c>
      <c r="V224" s="18">
        <f t="shared" si="230"/>
        <v>6.4925645390609132E-3</v>
      </c>
      <c r="W224" s="32" t="str">
        <f t="shared" si="217"/>
        <v>1-0.145483582960314i</v>
      </c>
      <c r="X224" s="18">
        <f t="shared" si="231"/>
        <v>1.0105273241783077</v>
      </c>
      <c r="Y224" s="18">
        <f t="shared" si="232"/>
        <v>-0.14447001414402452</v>
      </c>
      <c r="Z224" s="32" t="str">
        <f t="shared" si="218"/>
        <v>0.999967043581536+0.0115184522707422i</v>
      </c>
      <c r="AA224" s="18">
        <f t="shared" si="233"/>
        <v>1.0000333809388118</v>
      </c>
      <c r="AB224" s="18">
        <f t="shared" si="234"/>
        <v>1.1518322477808544E-2</v>
      </c>
      <c r="AC224" s="32" t="str">
        <f>IMDIV(IMSUM(COMPLEX(0,2*PI()*O224*Constants!$B$71*Constants!$B$72),COMPLEX(1,0)),IMSUM(COMPLEX(0,2*PI()*O224*Constants!$B$71*Constants!$B$72),COMPLEX(2,0)))</f>
        <v>0.500104063717046+0.0072125605207681i</v>
      </c>
      <c r="AD224" s="18">
        <f t="shared" si="235"/>
        <v>0.50015607121734407</v>
      </c>
      <c r="AE224" s="18">
        <f t="shared" si="236"/>
        <v>1.4421119605872498E-2</v>
      </c>
      <c r="AF224" s="66" t="str">
        <f t="shared" si="237"/>
        <v>0.0489135635768614-2.04909476393537i</v>
      </c>
      <c r="AG224" s="64">
        <f t="shared" si="238"/>
        <v>6.2337148453020461</v>
      </c>
      <c r="AH224" s="61">
        <f t="shared" si="239"/>
        <v>-88.632562693330073</v>
      </c>
      <c r="AI224" s="50" t="str">
        <f t="shared" si="219"/>
        <v>108.866083054159</v>
      </c>
      <c r="AJ224" s="50" t="str">
        <f t="shared" si="220"/>
        <v>1+5.90241433497894i</v>
      </c>
      <c r="AK224" s="50">
        <f t="shared" si="240"/>
        <v>5.9865261196928632</v>
      </c>
      <c r="AL224" s="50">
        <f t="shared" si="241"/>
        <v>1.4029677974282964</v>
      </c>
      <c r="AM224" s="50" t="str">
        <f t="shared" si="221"/>
        <v>1+0.00649265576847683i</v>
      </c>
      <c r="AN224" s="50">
        <f t="shared" si="242"/>
        <v>1.0000210770673426</v>
      </c>
      <c r="AO224" s="50">
        <f t="shared" si="243"/>
        <v>6.4925645390609132E-3</v>
      </c>
      <c r="AP224" s="50" t="str">
        <f t="shared" si="222"/>
        <v>1-0.0323964131095122i</v>
      </c>
      <c r="AQ224" s="50">
        <f t="shared" si="244"/>
        <v>1.0005246261748695</v>
      </c>
      <c r="AR224" s="50">
        <f t="shared" si="245"/>
        <v>-3.2385086598106141E-2</v>
      </c>
      <c r="AS224" s="59" t="str">
        <f t="shared" si="246"/>
        <v>2.57387855729906-18.0121382912008i</v>
      </c>
      <c r="AT224" s="50">
        <f t="shared" si="247"/>
        <v>25.199093037367923</v>
      </c>
      <c r="AU224" s="61">
        <f t="shared" si="248"/>
        <v>-81.867665820339084</v>
      </c>
      <c r="AV224" s="32" t="str">
        <f t="shared" si="223"/>
        <v>-0.0000333333333333333</v>
      </c>
      <c r="AW224" s="32" t="str">
        <f t="shared" si="224"/>
        <v>0.000346274974318764i</v>
      </c>
      <c r="AX224" s="32">
        <f t="shared" si="249"/>
        <v>3.46274974318764E-4</v>
      </c>
      <c r="AY224" s="32">
        <f t="shared" si="250"/>
        <v>1.5707963267948966</v>
      </c>
      <c r="AZ224" s="32" t="str">
        <f t="shared" si="225"/>
        <v>1+0.141275380147413i</v>
      </c>
      <c r="BA224" s="32">
        <f t="shared" si="251"/>
        <v>1.0099300634379571</v>
      </c>
      <c r="BB224" s="32">
        <f t="shared" si="252"/>
        <v>0.14034658504428432</v>
      </c>
      <c r="BC224" s="32" t="str">
        <f t="shared" si="226"/>
        <v>1+6.78121824707581i</v>
      </c>
      <c r="BD224" s="32">
        <f t="shared" si="253"/>
        <v>6.8545547568367944</v>
      </c>
      <c r="BE224" s="32">
        <f t="shared" si="254"/>
        <v>1.4243854097467641</v>
      </c>
      <c r="BF224" s="59" t="str">
        <f t="shared" si="255"/>
        <v>-0.626670687781943+0.184795751167643i</v>
      </c>
      <c r="BG224" s="50">
        <f t="shared" si="256"/>
        <v>-3.6970882152759916</v>
      </c>
      <c r="BH224" s="61">
        <f t="shared" si="257"/>
        <v>163.5700053863907</v>
      </c>
      <c r="BI224" s="59" t="str">
        <f t="shared" si="258"/>
        <v>0.348011309586543+1.29314664376923i</v>
      </c>
      <c r="BJ224" s="64">
        <f t="shared" si="259"/>
        <v>2.536626630026062</v>
      </c>
      <c r="BK224" s="61">
        <f t="shared" si="260"/>
        <v>74.937442693060646</v>
      </c>
      <c r="BL224" s="59" t="str">
        <f t="shared" si="211"/>
        <v>1.71559237988812+11.7633209127806i</v>
      </c>
      <c r="BM224" s="64">
        <f t="shared" si="261"/>
        <v>21.502004822091898</v>
      </c>
      <c r="BN224" s="61">
        <f t="shared" si="212"/>
        <v>81.702339566051577</v>
      </c>
      <c r="BO224" s="50">
        <f t="shared" si="262"/>
        <v>2.536626630026062</v>
      </c>
      <c r="BP224" s="61">
        <f t="shared" si="263"/>
        <v>74.937442693060646</v>
      </c>
    </row>
    <row r="225" spans="14:68" x14ac:dyDescent="0.25">
      <c r="N225" s="11">
        <v>7</v>
      </c>
      <c r="O225" s="51">
        <f t="shared" si="264"/>
        <v>1174.8975549395295</v>
      </c>
      <c r="P225" s="49" t="str">
        <f t="shared" si="214"/>
        <v>25.6231073841137</v>
      </c>
      <c r="Q225" s="18" t="str">
        <f t="shared" si="215"/>
        <v>1+6.38389069190328i</v>
      </c>
      <c r="R225" s="18">
        <f t="shared" si="227"/>
        <v>6.46173818458852</v>
      </c>
      <c r="S225" s="18">
        <f t="shared" si="228"/>
        <v>1.4154147186449202</v>
      </c>
      <c r="T225" s="18" t="str">
        <f t="shared" si="216"/>
        <v>1+0.00664388914917355i</v>
      </c>
      <c r="U225" s="18">
        <f t="shared" si="229"/>
        <v>1.0000220703879623</v>
      </c>
      <c r="V225" s="18">
        <f t="shared" si="230"/>
        <v>6.64379139520971E-3</v>
      </c>
      <c r="W225" s="32" t="str">
        <f t="shared" si="217"/>
        <v>1-0.148872330935185i</v>
      </c>
      <c r="X225" s="18">
        <f t="shared" si="231"/>
        <v>1.01102075691752</v>
      </c>
      <c r="Y225" s="18">
        <f t="shared" si="232"/>
        <v>-0.14778691075223094</v>
      </c>
      <c r="Z225" s="32" t="str">
        <f t="shared" si="218"/>
        <v>0.999965490393385+0.0117867514905708i</v>
      </c>
      <c r="AA225" s="18">
        <f t="shared" si="233"/>
        <v>1.000034954133296</v>
      </c>
      <c r="AB225" s="18">
        <f t="shared" si="234"/>
        <v>1.1786612415072898E-2</v>
      </c>
      <c r="AC225" s="32" t="str">
        <f>IMDIV(IMSUM(COMPLEX(0,2*PI()*O225*Constants!$B$71*Constants!$B$72),COMPLEX(1,0)),IMSUM(COMPLEX(0,2*PI()*O225*Constants!$B$71*Constants!$B$72),COMPLEX(2,0)))</f>
        <v>0.500108967020105+0.00738049024396506i</v>
      </c>
      <c r="AD225" s="18">
        <f t="shared" si="235"/>
        <v>0.50016342382281176</v>
      </c>
      <c r="AE225" s="18">
        <f t="shared" si="236"/>
        <v>1.4756693036323614E-2</v>
      </c>
      <c r="AF225" s="66" t="str">
        <f t="shared" si="237"/>
        <v>0.0345042171411005-2.00486224486448i</v>
      </c>
      <c r="AG225" s="64">
        <f t="shared" si="238"/>
        <v>6.0429769084406626</v>
      </c>
      <c r="AH225" s="61">
        <f t="shared" si="239"/>
        <v>-89.014021601108084</v>
      </c>
      <c r="AI225" s="50" t="str">
        <f t="shared" si="219"/>
        <v>108.866083054159</v>
      </c>
      <c r="AJ225" s="50" t="str">
        <f t="shared" si="220"/>
        <v>1+6.03989922652141i</v>
      </c>
      <c r="AK225" s="50">
        <f t="shared" si="240"/>
        <v>6.1221223988526985</v>
      </c>
      <c r="AL225" s="50">
        <f t="shared" si="241"/>
        <v>1.4067190741676268</v>
      </c>
      <c r="AM225" s="50" t="str">
        <f t="shared" si="221"/>
        <v>1+0.00664388914917355i</v>
      </c>
      <c r="AN225" s="50">
        <f t="shared" si="242"/>
        <v>1.0000220703879623</v>
      </c>
      <c r="AO225" s="50">
        <f t="shared" si="243"/>
        <v>6.64379139520971E-3</v>
      </c>
      <c r="AP225" s="50" t="str">
        <f t="shared" si="222"/>
        <v>1-0.0331510225099962i</v>
      </c>
      <c r="AQ225" s="50">
        <f t="shared" si="244"/>
        <v>1.0005493442571727</v>
      </c>
      <c r="AR225" s="50">
        <f t="shared" si="245"/>
        <v>-3.313888629422275E-2</v>
      </c>
      <c r="AS225" s="59" t="str">
        <f t="shared" si="246"/>
        <v>2.44022471198924-17.6244391324693i</v>
      </c>
      <c r="AT225" s="50">
        <f t="shared" si="247"/>
        <v>25.004773719567531</v>
      </c>
      <c r="AU225" s="61">
        <f t="shared" si="248"/>
        <v>-82.117123025867713</v>
      </c>
      <c r="AV225" s="32" t="str">
        <f t="shared" si="223"/>
        <v>-0.0000333333333333333</v>
      </c>
      <c r="AW225" s="32" t="str">
        <f t="shared" si="224"/>
        <v>0.000354340754622589i</v>
      </c>
      <c r="AX225" s="32">
        <f t="shared" si="249"/>
        <v>3.54340754622589E-4</v>
      </c>
      <c r="AY225" s="32">
        <f t="shared" si="250"/>
        <v>1.5707963267948966</v>
      </c>
      <c r="AZ225" s="32" t="str">
        <f t="shared" si="225"/>
        <v>1+0.144566106486647i</v>
      </c>
      <c r="BA225" s="32">
        <f t="shared" si="251"/>
        <v>1.0103956448563645</v>
      </c>
      <c r="BB225" s="32">
        <f t="shared" si="252"/>
        <v>0.14357143679180412</v>
      </c>
      <c r="BC225" s="32" t="str">
        <f t="shared" si="226"/>
        <v>1+6.93917311135905i</v>
      </c>
      <c r="BD225" s="32">
        <f t="shared" si="253"/>
        <v>7.0108575416569723</v>
      </c>
      <c r="BE225" s="32">
        <f t="shared" si="254"/>
        <v>1.4276722863056794</v>
      </c>
      <c r="BF225" s="59" t="str">
        <f t="shared" si="255"/>
        <v>-0.626093292169596+0.184583276514036i</v>
      </c>
      <c r="BG225" s="50">
        <f t="shared" si="256"/>
        <v>-3.7052536714190647</v>
      </c>
      <c r="BH225" s="61">
        <f t="shared" si="257"/>
        <v>163.57355914630872</v>
      </c>
      <c r="BI225" s="59" t="str">
        <f t="shared" si="258"/>
        <v>0.348461183212765+1.26159970468718i</v>
      </c>
      <c r="BJ225" s="64">
        <f t="shared" si="259"/>
        <v>2.3377232370215677</v>
      </c>
      <c r="BK225" s="61">
        <f t="shared" si="260"/>
        <v>74.559537545200598</v>
      </c>
      <c r="BL225" s="59" t="str">
        <f t="shared" si="211"/>
        <v>1.72536839823043+11.4849677918599i</v>
      </c>
      <c r="BM225" s="64">
        <f t="shared" si="261"/>
        <v>21.299520048148498</v>
      </c>
      <c r="BN225" s="61">
        <f t="shared" si="212"/>
        <v>81.456436120441055</v>
      </c>
      <c r="BO225" s="50">
        <f t="shared" si="262"/>
        <v>2.3377232370215677</v>
      </c>
      <c r="BP225" s="61">
        <f t="shared" si="263"/>
        <v>74.559537545200598</v>
      </c>
    </row>
    <row r="226" spans="14:68" x14ac:dyDescent="0.25">
      <c r="N226" s="11">
        <v>8</v>
      </c>
      <c r="O226" s="51">
        <f t="shared" si="264"/>
        <v>1202.2644346174138</v>
      </c>
      <c r="P226" s="49" t="str">
        <f t="shared" si="214"/>
        <v>25.6231073841137</v>
      </c>
      <c r="Q226" s="18" t="str">
        <f t="shared" si="215"/>
        <v>1+6.53259060851097i</v>
      </c>
      <c r="R226" s="18">
        <f t="shared" si="227"/>
        <v>6.6086867120787112</v>
      </c>
      <c r="S226" s="18">
        <f t="shared" si="228"/>
        <v>1.4188968654827041</v>
      </c>
      <c r="T226" s="18" t="str">
        <f t="shared" si="216"/>
        <v>1+0.00679864520783945i</v>
      </c>
      <c r="U226" s="18">
        <f t="shared" si="229"/>
        <v>1.0000231105212829</v>
      </c>
      <c r="V226" s="18">
        <f t="shared" si="230"/>
        <v>6.7985404627107686E-3</v>
      </c>
      <c r="W226" s="32" t="str">
        <f t="shared" si="217"/>
        <v>1-0.152340012990476i</v>
      </c>
      <c r="X226" s="18">
        <f t="shared" si="231"/>
        <v>1.0115371864434537</v>
      </c>
      <c r="Y226" s="18">
        <f t="shared" si="232"/>
        <v>-0.15117767955060549</v>
      </c>
      <c r="Z226" s="32" t="str">
        <f t="shared" si="218"/>
        <v>0.999963864005731+0.0120613002020559i</v>
      </c>
      <c r="AA226" s="18">
        <f t="shared" si="233"/>
        <v>1.0000366014700843</v>
      </c>
      <c r="AB226" s="18">
        <f t="shared" si="234"/>
        <v>1.2061151180127832E-2</v>
      </c>
      <c r="AC226" s="32" t="str">
        <f>IMDIV(IMSUM(COMPLEX(0,2*PI()*O226*Constants!$B$71*Constants!$B$72),COMPLEX(1,0)),IMSUM(COMPLEX(0,2*PI()*O226*Constants!$B$71*Constants!$B$72),COMPLEX(2,0)))</f>
        <v>0.500114101305624+0.00755232637694451i</v>
      </c>
      <c r="AD226" s="18">
        <f t="shared" si="235"/>
        <v>0.50017112267546571</v>
      </c>
      <c r="AE226" s="18">
        <f t="shared" si="236"/>
        <v>1.5100058850671618E-2</v>
      </c>
      <c r="AF226" s="66" t="str">
        <f t="shared" si="237"/>
        <v>0.0207126380285162-1.96149420248836i</v>
      </c>
      <c r="AG226" s="64">
        <f t="shared" si="238"/>
        <v>5.8522248125811993</v>
      </c>
      <c r="AH226" s="61">
        <f t="shared" si="239"/>
        <v>-89.395000692117208</v>
      </c>
      <c r="AI226" s="50" t="str">
        <f t="shared" si="219"/>
        <v>108.866083054159</v>
      </c>
      <c r="AJ226" s="50" t="str">
        <f t="shared" si="220"/>
        <v>1+6.18058655258132i</v>
      </c>
      <c r="AK226" s="50">
        <f t="shared" si="240"/>
        <v>6.2609623967844632</v>
      </c>
      <c r="AL226" s="50">
        <f t="shared" si="241"/>
        <v>1.4103894695255044</v>
      </c>
      <c r="AM226" s="50" t="str">
        <f t="shared" si="221"/>
        <v>1+0.00679864520783945i</v>
      </c>
      <c r="AN226" s="50">
        <f t="shared" si="242"/>
        <v>1.0000231105212829</v>
      </c>
      <c r="AO226" s="50">
        <f t="shared" si="243"/>
        <v>6.7985404627107686E-3</v>
      </c>
      <c r="AP226" s="50" t="str">
        <f t="shared" si="222"/>
        <v>1-0.0339232090214207i</v>
      </c>
      <c r="AQ226" s="50">
        <f t="shared" si="244"/>
        <v>1.0005752266123278</v>
      </c>
      <c r="AR226" s="50">
        <f t="shared" si="245"/>
        <v>-3.3910205235666339E-2</v>
      </c>
      <c r="AS226" s="59" t="str">
        <f t="shared" si="246"/>
        <v>2.31227213686169-17.244143091933i</v>
      </c>
      <c r="AT226" s="50">
        <f t="shared" si="247"/>
        <v>24.810225693114639</v>
      </c>
      <c r="AU226" s="61">
        <f t="shared" si="248"/>
        <v>-82.362748040570295</v>
      </c>
      <c r="AV226" s="32" t="str">
        <f t="shared" si="223"/>
        <v>-0.0000333333333333333</v>
      </c>
      <c r="AW226" s="32" t="str">
        <f t="shared" si="224"/>
        <v>0.00036259441108477i</v>
      </c>
      <c r="AX226" s="32">
        <f t="shared" si="249"/>
        <v>3.6259441108477E-4</v>
      </c>
      <c r="AY226" s="32">
        <f t="shared" si="250"/>
        <v>1.5707963267948966</v>
      </c>
      <c r="AZ226" s="32" t="str">
        <f t="shared" si="225"/>
        <v>1+0.147933483689099i</v>
      </c>
      <c r="BA226" s="32">
        <f t="shared" si="251"/>
        <v>1.0108829386216749</v>
      </c>
      <c r="BB226" s="32">
        <f t="shared" si="252"/>
        <v>0.14686829463894824</v>
      </c>
      <c r="BC226" s="32" t="str">
        <f t="shared" si="226"/>
        <v>1+7.10080721707677i</v>
      </c>
      <c r="BD226" s="32">
        <f t="shared" si="253"/>
        <v>7.1708760367258852</v>
      </c>
      <c r="BE226" s="32">
        <f t="shared" si="254"/>
        <v>1.4308873560281572</v>
      </c>
      <c r="BF226" s="59" t="str">
        <f t="shared" si="255"/>
        <v>-0.625489824029353+0.184460968997233i</v>
      </c>
      <c r="BG226" s="50">
        <f t="shared" si="256"/>
        <v>-3.7134202454110401</v>
      </c>
      <c r="BH226" s="61">
        <f t="shared" si="257"/>
        <v>163.56887303195111</v>
      </c>
      <c r="BI226" s="59" t="str">
        <f t="shared" si="258"/>
        <v>0.348863576957817+1.23071533683027i</v>
      </c>
      <c r="BJ226" s="64">
        <f t="shared" si="259"/>
        <v>2.1388045671701597</v>
      </c>
      <c r="BK226" s="61">
        <f t="shared" si="260"/>
        <v>74.17387233983392</v>
      </c>
      <c r="BL226" s="59" t="str">
        <f t="shared" si="211"/>
        <v>1.73456865227131+11.212559987061i</v>
      </c>
      <c r="BM226" s="64">
        <f t="shared" si="261"/>
        <v>21.096805447703627</v>
      </c>
      <c r="BN226" s="61">
        <f t="shared" si="212"/>
        <v>81.206124991380833</v>
      </c>
      <c r="BO226" s="50">
        <f t="shared" si="262"/>
        <v>2.1388045671701597</v>
      </c>
      <c r="BP226" s="61">
        <f t="shared" si="263"/>
        <v>74.17387233983392</v>
      </c>
    </row>
    <row r="227" spans="14:68" x14ac:dyDescent="0.25">
      <c r="N227" s="11">
        <v>9</v>
      </c>
      <c r="O227" s="51">
        <f t="shared" si="264"/>
        <v>1230.2687708123824</v>
      </c>
      <c r="P227" s="49" t="str">
        <f t="shared" si="214"/>
        <v>25.6231073841137</v>
      </c>
      <c r="Q227" s="18" t="str">
        <f t="shared" si="215"/>
        <v>1+6.68475419112834i</v>
      </c>
      <c r="R227" s="18">
        <f t="shared" si="227"/>
        <v>6.7591374150706462</v>
      </c>
      <c r="S227" s="18">
        <f t="shared" si="228"/>
        <v>1.4223033398442426</v>
      </c>
      <c r="T227" s="18" t="str">
        <f t="shared" si="216"/>
        <v>1+0.00695700599818523i</v>
      </c>
      <c r="U227" s="18">
        <f t="shared" si="229"/>
        <v>1.0000241996734174</v>
      </c>
      <c r="V227" s="18">
        <f t="shared" si="230"/>
        <v>6.9568937619044072E-3</v>
      </c>
      <c r="W227" s="32" t="str">
        <f t="shared" si="217"/>
        <v>1-0.155888467737113i</v>
      </c>
      <c r="X227" s="18">
        <f t="shared" si="231"/>
        <v>1.0120776721049749</v>
      </c>
      <c r="Y227" s="18">
        <f t="shared" si="232"/>
        <v>-0.15464380633057459</v>
      </c>
      <c r="Z227" s="32" t="str">
        <f t="shared" si="218"/>
        <v>0.999962160968789+0.0123422439745582i</v>
      </c>
      <c r="AA227" s="18">
        <f t="shared" si="233"/>
        <v>1.0000383264433907</v>
      </c>
      <c r="AB227" s="18">
        <f t="shared" si="234"/>
        <v>1.234208429485683E-2</v>
      </c>
      <c r="AC227" s="32" t="str">
        <f>IMDIV(IMSUM(COMPLEX(0,2*PI()*O227*Constants!$B$71*Constants!$B$72),COMPLEX(1,0)),IMSUM(COMPLEX(0,2*PI()*O227*Constants!$B$71*Constants!$B$72),COMPLEX(2,0)))</f>
        <v>0.500119477449526+0.00772815954168804i</v>
      </c>
      <c r="AD227" s="18">
        <f t="shared" si="235"/>
        <v>0.50017918406735884</v>
      </c>
      <c r="AE227" s="18">
        <f t="shared" si="236"/>
        <v>1.5451396833772403E-2</v>
      </c>
      <c r="AF227" s="66" t="str">
        <f t="shared" si="237"/>
        <v>0.00751358873060038-1.91898029167394i</v>
      </c>
      <c r="AG227" s="64">
        <f t="shared" si="238"/>
        <v>5.661476867897866</v>
      </c>
      <c r="AH227" s="61">
        <f t="shared" si="239"/>
        <v>-89.77566485427171</v>
      </c>
      <c r="AI227" s="50" t="str">
        <f t="shared" si="219"/>
        <v>108.866083054159</v>
      </c>
      <c r="AJ227" s="50" t="str">
        <f t="shared" si="220"/>
        <v>1+6.32455090744113i</v>
      </c>
      <c r="AK227" s="50">
        <f t="shared" si="240"/>
        <v>6.4031198786852652</v>
      </c>
      <c r="AL227" s="50">
        <f t="shared" si="241"/>
        <v>1.4139805338188218</v>
      </c>
      <c r="AM227" s="50" t="str">
        <f t="shared" si="221"/>
        <v>1+0.00695700599818523i</v>
      </c>
      <c r="AN227" s="50">
        <f t="shared" si="242"/>
        <v>1.0000241996734174</v>
      </c>
      <c r="AO227" s="50">
        <f t="shared" si="243"/>
        <v>6.9568937619044072E-3</v>
      </c>
      <c r="AP227" s="50" t="str">
        <f t="shared" si="222"/>
        <v>1-0.034713382067295i</v>
      </c>
      <c r="AQ227" s="50">
        <f t="shared" si="244"/>
        <v>1.0006023280477365</v>
      </c>
      <c r="AR227" s="50">
        <f t="shared" si="245"/>
        <v>-3.4699448712786823E-2</v>
      </c>
      <c r="AS227" s="59" t="str">
        <f t="shared" si="246"/>
        <v>2.18979083845612-16.8711715768861i</v>
      </c>
      <c r="AT227" s="50">
        <f t="shared" si="247"/>
        <v>24.615459668766043</v>
      </c>
      <c r="AU227" s="61">
        <f t="shared" si="248"/>
        <v>-82.604648213068998</v>
      </c>
      <c r="AV227" s="32" t="str">
        <f t="shared" si="223"/>
        <v>-0.0000333333333333333</v>
      </c>
      <c r="AW227" s="32" t="str">
        <f t="shared" si="224"/>
        <v>0.000371040319903212i</v>
      </c>
      <c r="AX227" s="32">
        <f t="shared" si="249"/>
        <v>3.7104031990321199E-4</v>
      </c>
      <c r="AY227" s="32">
        <f t="shared" si="250"/>
        <v>1.5707963267948966</v>
      </c>
      <c r="AZ227" s="32" t="str">
        <f t="shared" si="225"/>
        <v>1+0.151379297182734i</v>
      </c>
      <c r="BA227" s="32">
        <f t="shared" si="251"/>
        <v>1.0113929461962539</v>
      </c>
      <c r="BB227" s="32">
        <f t="shared" si="252"/>
        <v>0.1502386197987351</v>
      </c>
      <c r="BC227" s="32" t="str">
        <f t="shared" si="226"/>
        <v>1+7.26620626477125i</v>
      </c>
      <c r="BD227" s="32">
        <f t="shared" si="253"/>
        <v>7.3346951867273233</v>
      </c>
      <c r="BE227" s="32">
        <f t="shared" si="254"/>
        <v>1.434032057582729</v>
      </c>
      <c r="BF227" s="59" t="str">
        <f t="shared" si="255"/>
        <v>-0.624859160906269+0.184428236826915i</v>
      </c>
      <c r="BG227" s="50">
        <f t="shared" si="256"/>
        <v>-3.7216042115734189</v>
      </c>
      <c r="BH227" s="61">
        <f t="shared" si="257"/>
        <v>163.55594575161371</v>
      </c>
      <c r="BI227" s="59" t="str">
        <f t="shared" si="258"/>
        <v>0.349219216949426+1.20047813277287i</v>
      </c>
      <c r="BJ227" s="64">
        <f t="shared" si="259"/>
        <v>1.9398726563244257</v>
      </c>
      <c r="BK227" s="61">
        <f t="shared" si="260"/>
        <v>73.780280897341939</v>
      </c>
      <c r="BL227" s="59" t="str">
        <f t="shared" si="211"/>
        <v>1.74320956125154+10.9459653783949i</v>
      </c>
      <c r="BM227" s="64">
        <f t="shared" si="261"/>
        <v>20.893855457192597</v>
      </c>
      <c r="BN227" s="61">
        <f t="shared" si="212"/>
        <v>80.951297538544679</v>
      </c>
      <c r="BO227" s="50">
        <f t="shared" si="262"/>
        <v>1.9398726563244257</v>
      </c>
      <c r="BP227" s="61">
        <f t="shared" si="263"/>
        <v>73.780280897341939</v>
      </c>
    </row>
    <row r="228" spans="14:68" x14ac:dyDescent="0.25">
      <c r="N228" s="11">
        <v>10</v>
      </c>
      <c r="O228" s="51">
        <f t="shared" si="264"/>
        <v>1258.925411794168</v>
      </c>
      <c r="P228" s="49" t="str">
        <f t="shared" si="214"/>
        <v>25.6231073841137</v>
      </c>
      <c r="Q228" s="18" t="str">
        <f t="shared" si="215"/>
        <v>1+6.84046211890104i</v>
      </c>
      <c r="R228" s="18">
        <f t="shared" si="227"/>
        <v>6.9131701845188296</v>
      </c>
      <c r="S228" s="18">
        <f t="shared" si="228"/>
        <v>1.4256356314923513</v>
      </c>
      <c r="T228" s="18" t="str">
        <f t="shared" si="216"/>
        <v>1+0.00711905548519812i</v>
      </c>
      <c r="U228" s="18">
        <f t="shared" si="229"/>
        <v>1.000025340154439</v>
      </c>
      <c r="V228" s="18">
        <f t="shared" si="230"/>
        <v>7.1189352220210568E-3</v>
      </c>
      <c r="W228" s="32" t="str">
        <f t="shared" si="217"/>
        <v>1-0.159519576612773i</v>
      </c>
      <c r="X228" s="18">
        <f t="shared" si="231"/>
        <v>1.0126433208799228</v>
      </c>
      <c r="Y228" s="18">
        <f t="shared" si="232"/>
        <v>-0.15818679556973478</v>
      </c>
      <c r="Z228" s="32" t="str">
        <f t="shared" si="218"/>
        <v>0.999960377670189+0.0126297317681848i</v>
      </c>
      <c r="AA228" s="18">
        <f t="shared" si="233"/>
        <v>1.0000401327121042</v>
      </c>
      <c r="AB228" s="18">
        <f t="shared" si="234"/>
        <v>1.2629560668494501E-2</v>
      </c>
      <c r="AC228" s="32" t="str">
        <f>IMDIV(IMSUM(COMPLEX(0,2*PI()*O228*Constants!$B$71*Constants!$B$72),COMPLEX(1,0)),IMSUM(COMPLEX(0,2*PI()*O228*Constants!$B$71*Constants!$B$72),COMPLEX(2,0)))</f>
        <v>0.500125106839344+0.00790808244459598i</v>
      </c>
      <c r="AD228" s="18">
        <f t="shared" si="235"/>
        <v>0.50018762505585423</v>
      </c>
      <c r="AE228" s="18">
        <f t="shared" si="236"/>
        <v>1.5810890835261989E-2</v>
      </c>
      <c r="AF228" s="66" t="str">
        <f t="shared" si="237"/>
        <v>-0.00511724931043779-1.8773098388895i</v>
      </c>
      <c r="AG228" s="64">
        <f t="shared" si="238"/>
        <v>5.4707513943534973</v>
      </c>
      <c r="AH228" s="61">
        <f t="shared" si="239"/>
        <v>-90.156178834181944</v>
      </c>
      <c r="AI228" s="50" t="str">
        <f t="shared" si="219"/>
        <v>108.866083054159</v>
      </c>
      <c r="AJ228" s="50" t="str">
        <f t="shared" si="220"/>
        <v>1+6.47186862290739i</v>
      </c>
      <c r="AK228" s="50">
        <f t="shared" si="240"/>
        <v>6.5486703591013962</v>
      </c>
      <c r="AL228" s="50">
        <f t="shared" si="241"/>
        <v>1.4174938004129398</v>
      </c>
      <c r="AM228" s="50" t="str">
        <f t="shared" si="221"/>
        <v>1+0.00711905548519812i</v>
      </c>
      <c r="AN228" s="50">
        <f t="shared" si="242"/>
        <v>1.000025340154439</v>
      </c>
      <c r="AO228" s="50">
        <f t="shared" si="243"/>
        <v>7.1189352220210568E-3</v>
      </c>
      <c r="AP228" s="50" t="str">
        <f t="shared" si="222"/>
        <v>1-0.0355219606078274i</v>
      </c>
      <c r="AQ228" s="50">
        <f t="shared" si="244"/>
        <v>1.0006307059477157</v>
      </c>
      <c r="AR228" s="50">
        <f t="shared" si="245"/>
        <v>-3.5507031257684271E-2</v>
      </c>
      <c r="AS228" s="59" t="str">
        <f t="shared" si="246"/>
        <v>2.07255896302228-16.5054423499689i</v>
      </c>
      <c r="AT228" s="50">
        <f t="shared" si="247"/>
        <v>24.420485967251253</v>
      </c>
      <c r="AU228" s="61">
        <f t="shared" si="248"/>
        <v>-82.842930340876478</v>
      </c>
      <c r="AV228" s="32" t="str">
        <f t="shared" si="223"/>
        <v>-0.0000333333333333333</v>
      </c>
      <c r="AW228" s="32" t="str">
        <f t="shared" si="224"/>
        <v>0.000379682959210566i</v>
      </c>
      <c r="AX228" s="32">
        <f t="shared" si="249"/>
        <v>3.7968295921056601E-4</v>
      </c>
      <c r="AY228" s="32">
        <f t="shared" si="250"/>
        <v>1.5707963267948966</v>
      </c>
      <c r="AZ228" s="32" t="str">
        <f t="shared" si="225"/>
        <v>1+0.154905373983478i</v>
      </c>
      <c r="BA228" s="32">
        <f t="shared" si="251"/>
        <v>1.0119267141888098</v>
      </c>
      <c r="BB228" s="32">
        <f t="shared" si="252"/>
        <v>0.15368389283297373</v>
      </c>
      <c r="BC228" s="32" t="str">
        <f t="shared" si="226"/>
        <v>1+7.43545795120694i</v>
      </c>
      <c r="BD228" s="32">
        <f t="shared" si="253"/>
        <v>7.5024019449884527</v>
      </c>
      <c r="BE228" s="32">
        <f t="shared" si="254"/>
        <v>1.4371078094138192</v>
      </c>
      <c r="BF228" s="59" t="str">
        <f t="shared" si="255"/>
        <v>-0.624200137183249+0.184484500825512i</v>
      </c>
      <c r="BG228" s="50">
        <f t="shared" si="256"/>
        <v>-3.729821872249548</v>
      </c>
      <c r="BH228" s="61">
        <f t="shared" si="257"/>
        <v>163.53477374623276</v>
      </c>
      <c r="BI228" s="59" t="str">
        <f t="shared" si="258"/>
        <v>0.349528756243928+1.17087300578565i</v>
      </c>
      <c r="BJ228" s="64">
        <f t="shared" si="259"/>
        <v>1.7409295221039287</v>
      </c>
      <c r="BK228" s="61">
        <f t="shared" si="260"/>
        <v>73.378594912050744</v>
      </c>
      <c r="BL228" s="59" t="str">
        <f t="shared" si="211"/>
        <v>1.7513067037994+10.6850543848454i</v>
      </c>
      <c r="BM228" s="64">
        <f t="shared" si="261"/>
        <v>20.690664095001701</v>
      </c>
      <c r="BN228" s="61">
        <f t="shared" si="212"/>
        <v>80.691843405356266</v>
      </c>
      <c r="BO228" s="50">
        <f t="shared" si="262"/>
        <v>1.7409295221039287</v>
      </c>
      <c r="BP228" s="61">
        <f t="shared" si="263"/>
        <v>73.378594912050744</v>
      </c>
    </row>
    <row r="229" spans="14:68" x14ac:dyDescent="0.25">
      <c r="N229" s="11">
        <v>11</v>
      </c>
      <c r="O229" s="51">
        <f t="shared" si="264"/>
        <v>1288.2495516931347</v>
      </c>
      <c r="P229" s="49" t="str">
        <f t="shared" si="214"/>
        <v>25.6231073841137</v>
      </c>
      <c r="Q229" s="18" t="str">
        <f t="shared" si="215"/>
        <v>1+6.99979695023338i</v>
      </c>
      <c r="R229" s="18">
        <f t="shared" si="227"/>
        <v>7.0708668029101291</v>
      </c>
      <c r="S229" s="18">
        <f t="shared" si="228"/>
        <v>1.4288952110799553</v>
      </c>
      <c r="T229" s="18" t="str">
        <f t="shared" si="216"/>
        <v>1+0.0072848795896611i</v>
      </c>
      <c r="U229" s="18">
        <f t="shared" si="229"/>
        <v>1.000026534383281</v>
      </c>
      <c r="V229" s="18">
        <f t="shared" si="230"/>
        <v>7.2847507255298354E-3</v>
      </c>
      <c r="W229" s="32" t="str">
        <f t="shared" si="217"/>
        <v>1-0.163235264879443i</v>
      </c>
      <c r="X229" s="18">
        <f t="shared" si="231"/>
        <v>1.0132352894072836</v>
      </c>
      <c r="Y229" s="18">
        <f t="shared" si="232"/>
        <v>-0.16180816983111096</v>
      </c>
      <c r="Z229" s="32" t="str">
        <f t="shared" si="218"/>
        <v>0.999958510327314+0.0129239160127691i</v>
      </c>
      <c r="AA229" s="18">
        <f t="shared" si="233"/>
        <v>1.0000420241075501</v>
      </c>
      <c r="AB229" s="18">
        <f t="shared" si="234"/>
        <v>1.2923732676363686E-2</v>
      </c>
      <c r="AC229" s="32" t="str">
        <f>IMDIV(IMSUM(COMPLEX(0,2*PI()*O229*Constants!$B$71*Constants!$B$72),COMPLEX(1,0)),IMSUM(COMPLEX(0,2*PI()*O229*Constants!$B$71*Constants!$B$72),COMPLEX(2,0)))</f>
        <v>0.500131001398237+0.00809218992315181i</v>
      </c>
      <c r="AD229" s="18">
        <f t="shared" si="235"/>
        <v>0.50019646349944913</v>
      </c>
      <c r="AE229" s="18">
        <f t="shared" si="236"/>
        <v>1.6178728855479479E-2</v>
      </c>
      <c r="AF229" s="66" t="str">
        <f t="shared" si="237"/>
        <v>-0.0172032994845421-1.83647188215575i</v>
      </c>
      <c r="AG229" s="64">
        <f t="shared" si="238"/>
        <v>5.2800667503091514</v>
      </c>
      <c r="AH229" s="61">
        <f t="shared" si="239"/>
        <v>-90.536707168622769</v>
      </c>
      <c r="AI229" s="50" t="str">
        <f t="shared" si="219"/>
        <v>108.866083054159</v>
      </c>
      <c r="AJ229" s="50" t="str">
        <f t="shared" si="220"/>
        <v>1+6.62261780878282i</v>
      </c>
      <c r="AK229" s="50">
        <f t="shared" si="240"/>
        <v>6.6976911425660237</v>
      </c>
      <c r="AL229" s="50">
        <f t="shared" si="241"/>
        <v>1.4209307849952535</v>
      </c>
      <c r="AM229" s="50" t="str">
        <f t="shared" si="221"/>
        <v>1+0.0072848795896611i</v>
      </c>
      <c r="AN229" s="50">
        <f t="shared" si="242"/>
        <v>1.000026534383281</v>
      </c>
      <c r="AO229" s="50">
        <f t="shared" si="243"/>
        <v>7.2847507255298354E-3</v>
      </c>
      <c r="AP229" s="50" t="str">
        <f t="shared" si="222"/>
        <v>1-0.0363493733620627i</v>
      </c>
      <c r="AQ229" s="50">
        <f t="shared" si="244"/>
        <v>1.0006604203943588</v>
      </c>
      <c r="AR229" s="50">
        <f t="shared" si="245"/>
        <v>-3.6333376845331153E-2</v>
      </c>
      <c r="AS229" s="59" t="str">
        <f t="shared" si="246"/>
        <v>1.9603626087845-16.1468699175615i</v>
      </c>
      <c r="AT229" s="50">
        <f t="shared" si="247"/>
        <v>24.225314535073075</v>
      </c>
      <c r="AU229" s="61">
        <f t="shared" si="248"/>
        <v>-83.077700637757104</v>
      </c>
      <c r="AV229" s="32" t="str">
        <f t="shared" si="223"/>
        <v>-0.0000333333333333333</v>
      </c>
      <c r="AW229" s="32" t="str">
        <f t="shared" si="224"/>
        <v>0.000388526911448592i</v>
      </c>
      <c r="AX229" s="32">
        <f t="shared" si="249"/>
        <v>3.8852691144859199E-4</v>
      </c>
      <c r="AY229" s="32">
        <f t="shared" si="250"/>
        <v>1.5707963267948966</v>
      </c>
      <c r="AZ229" s="32" t="str">
        <f t="shared" si="225"/>
        <v>1+0.158513583663922i</v>
      </c>
      <c r="BA229" s="32">
        <f t="shared" si="251"/>
        <v>1.0124853362918296</v>
      </c>
      <c r="BB229" s="32">
        <f t="shared" si="252"/>
        <v>0.15720561314196366</v>
      </c>
      <c r="BC229" s="32" t="str">
        <f t="shared" si="226"/>
        <v>1+7.60865201586827i</v>
      </c>
      <c r="BD229" s="32">
        <f t="shared" si="253"/>
        <v>7.6740853199958803</v>
      </c>
      <c r="BE229" s="32">
        <f t="shared" si="254"/>
        <v>1.4401160094240153</v>
      </c>
      <c r="BF229" s="59" t="str">
        <f t="shared" si="255"/>
        <v>-0.623511542912669+0.184629191950886i</v>
      </c>
      <c r="BG229" s="50">
        <f t="shared" si="256"/>
        <v>-3.7380895840209174</v>
      </c>
      <c r="BH229" s="61">
        <f t="shared" si="257"/>
        <v>163.50535120041746</v>
      </c>
      <c r="BI229" s="59" t="str">
        <f t="shared" si="258"/>
        <v>0.349792775447734+1.14188518547594i</v>
      </c>
      <c r="BJ229" s="64">
        <f t="shared" si="259"/>
        <v>1.5419771662881998</v>
      </c>
      <c r="BK229" s="61">
        <f t="shared" si="260"/>
        <v>72.968644031794639</v>
      </c>
      <c r="BL229" s="59" t="str">
        <f t="shared" si="211"/>
        <v>1.75887483054392+10.4296999398995i</v>
      </c>
      <c r="BM229" s="64">
        <f t="shared" si="261"/>
        <v>20.48722495105212</v>
      </c>
      <c r="BN229" s="61">
        <f t="shared" si="212"/>
        <v>80.427650562660318</v>
      </c>
      <c r="BO229" s="50">
        <f t="shared" si="262"/>
        <v>1.5419771662881998</v>
      </c>
      <c r="BP229" s="61">
        <f t="shared" si="263"/>
        <v>72.968644031794639</v>
      </c>
    </row>
    <row r="230" spans="14:68" x14ac:dyDescent="0.25">
      <c r="N230" s="11">
        <v>12</v>
      </c>
      <c r="O230" s="51">
        <f t="shared" si="264"/>
        <v>1318.2567385564089</v>
      </c>
      <c r="P230" s="49" t="str">
        <f t="shared" si="214"/>
        <v>25.6231073841137</v>
      </c>
      <c r="Q230" s="18" t="str">
        <f t="shared" si="215"/>
        <v>1+7.16284316656202i</v>
      </c>
      <c r="R230" s="18">
        <f t="shared" si="227"/>
        <v>7.2323109881119061</v>
      </c>
      <c r="S230" s="18">
        <f t="shared" si="228"/>
        <v>1.4320835296742676</v>
      </c>
      <c r="T230" s="18" t="str">
        <f t="shared" si="216"/>
        <v>1+0.00745456623370931i</v>
      </c>
      <c r="U230" s="18">
        <f t="shared" si="229"/>
        <v>1.0000277848928663</v>
      </c>
      <c r="V230" s="18">
        <f t="shared" si="230"/>
        <v>7.4544281535121092E-3</v>
      </c>
      <c r="W230" s="32" t="str">
        <f t="shared" si="217"/>
        <v>1-0.167037502644227i</v>
      </c>
      <c r="X230" s="18">
        <f t="shared" si="231"/>
        <v>1.0138547860959282</v>
      </c>
      <c r="Y230" s="18">
        <f t="shared" si="232"/>
        <v>-0.16550946908613268</v>
      </c>
      <c r="Z230" s="32" t="str">
        <f t="shared" si="218"/>
        <v>0.999956554979281+0.0132249526886917i</v>
      </c>
      <c r="AA230" s="18">
        <f t="shared" si="233"/>
        <v>1.0000440046416208</v>
      </c>
      <c r="AB230" s="18">
        <f t="shared" si="234"/>
        <v>1.322475624043614E-2</v>
      </c>
      <c r="AC230" s="32" t="str">
        <f>IMDIV(IMSUM(COMPLEX(0,2*PI()*O230*Constants!$B$71*Constants!$B$72),COMPLEX(1,0)),IMSUM(COMPLEX(0,2*PI()*O230*Constants!$B$71*Constants!$B$72),COMPLEX(2,0)))</f>
        <v>0.500137173610135+0.00828057899353861i</v>
      </c>
      <c r="AD230" s="18">
        <f t="shared" si="235"/>
        <v>0.50020571809526782</v>
      </c>
      <c r="AE230" s="18">
        <f t="shared" si="236"/>
        <v>1.655510313276869E-2</v>
      </c>
      <c r="AF230" s="66" t="str">
        <f t="shared" si="237"/>
        <v>-0.0287671141063636-1.7964552084627i</v>
      </c>
      <c r="AG230" s="64">
        <f t="shared" si="238"/>
        <v>5.0894413611493272</v>
      </c>
      <c r="AH230" s="61">
        <f t="shared" si="239"/>
        <v>-90.917414115494935</v>
      </c>
      <c r="AI230" s="50" t="str">
        <f t="shared" si="219"/>
        <v>108.866083054159</v>
      </c>
      <c r="AJ230" s="50" t="str">
        <f t="shared" si="220"/>
        <v>1+6.77687839428119i</v>
      </c>
      <c r="AK230" s="50">
        <f t="shared" si="240"/>
        <v>6.8502613651506179</v>
      </c>
      <c r="AL230" s="50">
        <f t="shared" si="241"/>
        <v>1.4242929849280579</v>
      </c>
      <c r="AM230" s="50" t="str">
        <f t="shared" si="221"/>
        <v>1+0.00745456623370931i</v>
      </c>
      <c r="AN230" s="50">
        <f t="shared" si="242"/>
        <v>1.0000277848928663</v>
      </c>
      <c r="AO230" s="50">
        <f t="shared" si="243"/>
        <v>7.4544281535121092E-3</v>
      </c>
      <c r="AP230" s="50" t="str">
        <f t="shared" si="222"/>
        <v>1-0.0371960590351956i</v>
      </c>
      <c r="AQ230" s="50">
        <f t="shared" si="244"/>
        <v>1.000691534294035</v>
      </c>
      <c r="AR230" s="50">
        <f t="shared" si="245"/>
        <v>-3.7178919098377325E-2</v>
      </c>
      <c r="AS230" s="59" t="str">
        <f t="shared" si="246"/>
        <v>1.8529956328905-15.7953658947143i</v>
      </c>
      <c r="AT230" s="50">
        <f t="shared" si="247"/>
        <v>24.029954960008695</v>
      </c>
      <c r="AU230" s="61">
        <f t="shared" si="248"/>
        <v>-83.309064705783499</v>
      </c>
      <c r="AV230" s="32" t="str">
        <f t="shared" si="223"/>
        <v>-0.0000333333333333333</v>
      </c>
      <c r="AW230" s="32" t="str">
        <f t="shared" si="224"/>
        <v>0.000397576865797829i</v>
      </c>
      <c r="AX230" s="32">
        <f t="shared" si="249"/>
        <v>3.9757686579782901E-4</v>
      </c>
      <c r="AY230" s="32">
        <f t="shared" si="250"/>
        <v>1.5707963267948966</v>
      </c>
      <c r="AZ230" s="32" t="str">
        <f t="shared" si="225"/>
        <v>1+0.162205839344601i</v>
      </c>
      <c r="BA230" s="32">
        <f t="shared" si="251"/>
        <v>1.013069955293062</v>
      </c>
      <c r="BB230" s="32">
        <f t="shared" si="252"/>
        <v>0.16080529838389052</v>
      </c>
      <c r="BC230" s="32" t="str">
        <f t="shared" si="226"/>
        <v>1+7.78588028854084i</v>
      </c>
      <c r="BD230" s="32">
        <f t="shared" si="253"/>
        <v>7.8498364229765185</v>
      </c>
      <c r="BE230" s="32">
        <f t="shared" si="254"/>
        <v>1.443058034709483</v>
      </c>
      <c r="BF230" s="59" t="str">
        <f t="shared" si="255"/>
        <v>-0.622792122666246+0.184861748705782i</v>
      </c>
      <c r="BG230" s="50">
        <f t="shared" si="256"/>
        <v>-3.7464237839135506</v>
      </c>
      <c r="BH230" s="61">
        <f t="shared" si="257"/>
        <v>163.46767006055765</v>
      </c>
      <c r="BI230" s="59" t="str">
        <f t="shared" si="258"/>
        <v>0.350011783365309+1.1135002135344i</v>
      </c>
      <c r="BJ230" s="64">
        <f t="shared" si="259"/>
        <v>1.3430175772358008</v>
      </c>
      <c r="BK230" s="61">
        <f t="shared" si="260"/>
        <v>72.550255945062759</v>
      </c>
      <c r="BL230" s="59" t="str">
        <f t="shared" si="211"/>
        <v>1.7659278772454+10.1797774668995i</v>
      </c>
      <c r="BM230" s="64">
        <f t="shared" si="261"/>
        <v>20.283531176095178</v>
      </c>
      <c r="BN230" s="61">
        <f t="shared" si="212"/>
        <v>80.158605354774181</v>
      </c>
      <c r="BO230" s="50">
        <f t="shared" si="262"/>
        <v>1.3430175772358008</v>
      </c>
      <c r="BP230" s="61">
        <f t="shared" si="263"/>
        <v>72.550255945062759</v>
      </c>
    </row>
    <row r="231" spans="14:68" x14ac:dyDescent="0.25">
      <c r="N231" s="11">
        <v>13</v>
      </c>
      <c r="O231" s="51">
        <f t="shared" si="264"/>
        <v>1348.9628825916541</v>
      </c>
      <c r="P231" s="49" t="str">
        <f t="shared" si="214"/>
        <v>25.6231073841137</v>
      </c>
      <c r="Q231" s="18" t="str">
        <f t="shared" si="215"/>
        <v>1+7.329687217149i</v>
      </c>
      <c r="R231" s="18">
        <f t="shared" si="227"/>
        <v>7.3975884382167036</v>
      </c>
      <c r="S231" s="18">
        <f t="shared" si="228"/>
        <v>1.435202018344595</v>
      </c>
      <c r="T231" s="18" t="str">
        <f t="shared" si="216"/>
        <v>1+0.00762820538744746i</v>
      </c>
      <c r="U231" s="18">
        <f t="shared" si="229"/>
        <v>1.0000290943354764</v>
      </c>
      <c r="V231" s="18">
        <f t="shared" si="230"/>
        <v>7.6280574320829716E-3</v>
      </c>
      <c r="W231" s="32" t="str">
        <f t="shared" si="217"/>
        <v>1-0.170928305903915i</v>
      </c>
      <c r="X231" s="18">
        <f t="shared" si="231"/>
        <v>1.0145030733118467</v>
      </c>
      <c r="Y231" s="18">
        <f t="shared" si="232"/>
        <v>-0.1692922499563857</v>
      </c>
      <c r="Z231" s="32" t="str">
        <f t="shared" si="218"/>
        <v>0.999954507478535+0.0135330014095827i</v>
      </c>
      <c r="AA231" s="18">
        <f t="shared" si="233"/>
        <v>1.0000460785152807</v>
      </c>
      <c r="AB231" s="18">
        <f t="shared" si="234"/>
        <v>1.3532790911756125E-2</v>
      </c>
      <c r="AC231" s="32" t="str">
        <f>IMDIV(IMSUM(COMPLEX(0,2*PI()*O231*Constants!$B$71*Constants!$B$72),COMPLEX(1,0)),IMSUM(COMPLEX(0,2*PI()*O231*Constants!$B$71*Constants!$B$72),COMPLEX(2,0)))</f>
        <v>0.500143636546051+0.00847334889922068i</v>
      </c>
      <c r="AD231" s="18">
        <f t="shared" si="235"/>
        <v>0.50021540841828971</v>
      </c>
      <c r="AE231" s="18">
        <f t="shared" si="236"/>
        <v>1.6940210232148062E-2</v>
      </c>
      <c r="AF231" s="66" t="str">
        <f t="shared" si="237"/>
        <v>-0.0398303987029774-1.7572483887657i</v>
      </c>
      <c r="AG231" s="64">
        <f t="shared" si="238"/>
        <v>4.8988937479113073</v>
      </c>
      <c r="AH231" s="61">
        <f t="shared" si="239"/>
        <v>-91.298463583745743</v>
      </c>
      <c r="AI231" s="50" t="str">
        <f t="shared" si="219"/>
        <v>108.866083054159</v>
      </c>
      <c r="AJ231" s="50" t="str">
        <f t="shared" si="220"/>
        <v>1+6.93473217040679i</v>
      </c>
      <c r="AK231" s="50">
        <f t="shared" si="240"/>
        <v>7.0064620369538053</v>
      </c>
      <c r="AL231" s="50">
        <f t="shared" si="241"/>
        <v>1.4275818786758676</v>
      </c>
      <c r="AM231" s="50" t="str">
        <f t="shared" si="221"/>
        <v>1+0.00762820538744746i</v>
      </c>
      <c r="AN231" s="50">
        <f t="shared" si="242"/>
        <v>1.0000290943354764</v>
      </c>
      <c r="AO231" s="50">
        <f t="shared" si="243"/>
        <v>7.6280574320829716E-3</v>
      </c>
      <c r="AP231" s="50" t="str">
        <f t="shared" si="222"/>
        <v>1-0.0380624665511768i</v>
      </c>
      <c r="AQ231" s="50">
        <f t="shared" si="244"/>
        <v>1.0007241135097922</v>
      </c>
      <c r="AR231" s="50">
        <f t="shared" si="245"/>
        <v>-3.8044101495648623E-2</v>
      </c>
      <c r="AS231" s="59" t="str">
        <f t="shared" si="246"/>
        <v>1.75025945426193-15.4508393475713i</v>
      </c>
      <c r="AT231" s="50">
        <f t="shared" si="247"/>
        <v>23.834416486306949</v>
      </c>
      <c r="AU231" s="61">
        <f t="shared" si="248"/>
        <v>-83.537127511810567</v>
      </c>
      <c r="AV231" s="32" t="str">
        <f t="shared" si="223"/>
        <v>-0.0000333333333333333</v>
      </c>
      <c r="AW231" s="32" t="str">
        <f t="shared" si="224"/>
        <v>0.000406837620663864i</v>
      </c>
      <c r="AX231" s="32">
        <f t="shared" si="249"/>
        <v>4.0683762066386401E-4</v>
      </c>
      <c r="AY231" s="32">
        <f t="shared" si="250"/>
        <v>1.5707963267948966</v>
      </c>
      <c r="AZ231" s="32" t="str">
        <f t="shared" si="225"/>
        <v>1+0.165984098708347i</v>
      </c>
      <c r="BA231" s="32">
        <f t="shared" si="251"/>
        <v>1.013681765163023</v>
      </c>
      <c r="BB231" s="32">
        <f t="shared" si="252"/>
        <v>0.16448448381922948</v>
      </c>
      <c r="BC231" s="32" t="str">
        <f t="shared" si="226"/>
        <v>1+7.96723673800069i</v>
      </c>
      <c r="BD231" s="32">
        <f t="shared" si="253"/>
        <v>8.0297485165693629</v>
      </c>
      <c r="BE231" s="32">
        <f t="shared" si="254"/>
        <v>1.4459352413448585</v>
      </c>
      <c r="BF231" s="59" t="str">
        <f t="shared" si="255"/>
        <v>-0.622040574409563+0.185181614428176i</v>
      </c>
      <c r="BG231" s="50">
        <f t="shared" si="256"/>
        <v>-3.7548410155906238</v>
      </c>
      <c r="BH231" s="61">
        <f t="shared" si="257"/>
        <v>163.42172006006078</v>
      </c>
      <c r="BI231" s="59" t="str">
        <f t="shared" si="258"/>
        <v>0.350186217671105+1.08570393959296i</v>
      </c>
      <c r="BJ231" s="64">
        <f t="shared" si="259"/>
        <v>1.1440527323206853</v>
      </c>
      <c r="BK231" s="61">
        <f t="shared" si="260"/>
        <v>72.123256476315049</v>
      </c>
      <c r="BL231" s="59" t="str">
        <f t="shared" si="211"/>
        <v>1.77247897835878+9.93516485428153i</v>
      </c>
      <c r="BM231" s="64">
        <f t="shared" si="261"/>
        <v>20.079575470716328</v>
      </c>
      <c r="BN231" s="61">
        <f t="shared" si="212"/>
        <v>79.884592548250211</v>
      </c>
      <c r="BO231" s="50">
        <f t="shared" si="262"/>
        <v>1.1440527323206853</v>
      </c>
      <c r="BP231" s="61">
        <f t="shared" si="263"/>
        <v>72.123256476315049</v>
      </c>
    </row>
    <row r="232" spans="14:68" x14ac:dyDescent="0.25">
      <c r="N232" s="11">
        <v>14</v>
      </c>
      <c r="O232" s="51">
        <f t="shared" si="264"/>
        <v>1380.3842646028863</v>
      </c>
      <c r="P232" s="49" t="str">
        <f t="shared" si="214"/>
        <v>25.6231073841137</v>
      </c>
      <c r="Q232" s="18" t="str">
        <f t="shared" si="215"/>
        <v>1+7.50041756491839i</v>
      </c>
      <c r="R232" s="18">
        <f t="shared" si="227"/>
        <v>7.5667868774094798</v>
      </c>
      <c r="S232" s="18">
        <f t="shared" si="228"/>
        <v>1.4382520878096225</v>
      </c>
      <c r="T232" s="18" t="str">
        <f t="shared" si="216"/>
        <v>1+0.00780588911665328i</v>
      </c>
      <c r="U232" s="18">
        <f t="shared" si="229"/>
        <v>1.0000304654883778</v>
      </c>
      <c r="V232" s="18">
        <f t="shared" si="230"/>
        <v>7.8057305798847655E-3</v>
      </c>
      <c r="W232" s="32" t="str">
        <f t="shared" si="217"/>
        <v>1-0.174909737613898i</v>
      </c>
      <c r="X232" s="18">
        <f t="shared" si="231"/>
        <v>1.0151814696457784</v>
      </c>
      <c r="Y232" s="18">
        <f t="shared" si="232"/>
        <v>-0.17315808486905124</v>
      </c>
      <c r="Z232" s="32" t="str">
        <f t="shared" si="218"/>
        <v>0.999952363482051+0.0138482255069516i</v>
      </c>
      <c r="AA232" s="18">
        <f t="shared" si="233"/>
        <v>1.0000482501274781</v>
      </c>
      <c r="AB232" s="18">
        <f t="shared" si="234"/>
        <v>1.3847999954771616E-2</v>
      </c>
      <c r="AC232" s="32" t="str">
        <f>IMDIV(IMSUM(COMPLEX(0,2*PI()*O232*Constants!$B$71*Constants!$B$72),COMPLEX(1,0)),IMSUM(COMPLEX(0,2*PI()*O232*Constants!$B$71*Constants!$B$72),COMPLEX(2,0)))</f>
        <v>0.50015040389163+0.00867060116050191i</v>
      </c>
      <c r="AD232" s="18">
        <f t="shared" si="235"/>
        <v>0.50022555496240406</v>
      </c>
      <c r="AE232" s="18">
        <f t="shared" si="236"/>
        <v>1.7334251135331942E-2</v>
      </c>
      <c r="AF232" s="66" t="str">
        <f t="shared" si="237"/>
        <v>-0.050414036394042-1.71883981067245i</v>
      </c>
      <c r="AG232" s="64">
        <f t="shared" si="238"/>
        <v>4.7084425559052354</v>
      </c>
      <c r="AH232" s="61">
        <f t="shared" si="239"/>
        <v>-91.68001906172293</v>
      </c>
      <c r="AI232" s="50" t="str">
        <f t="shared" si="219"/>
        <v>108.866083054159</v>
      </c>
      <c r="AJ232" s="50" t="str">
        <f t="shared" si="220"/>
        <v>1+7.09626283332117i</v>
      </c>
      <c r="AK232" s="50">
        <f t="shared" si="240"/>
        <v>7.1663760855522645</v>
      </c>
      <c r="AL232" s="50">
        <f t="shared" si="241"/>
        <v>1.4307989253025539</v>
      </c>
      <c r="AM232" s="50" t="str">
        <f t="shared" si="221"/>
        <v>1+0.00780588911665328i</v>
      </c>
      <c r="AN232" s="50">
        <f t="shared" si="242"/>
        <v>1.0000304654883778</v>
      </c>
      <c r="AO232" s="50">
        <f t="shared" si="243"/>
        <v>7.8057305798847655E-3</v>
      </c>
      <c r="AP232" s="50" t="str">
        <f t="shared" si="222"/>
        <v>1-0.0389490552907398i</v>
      </c>
      <c r="AQ232" s="50">
        <f t="shared" si="244"/>
        <v>1.0007582269999289</v>
      </c>
      <c r="AR232" s="50">
        <f t="shared" si="245"/>
        <v>-3.8929377584354233E-2</v>
      </c>
      <c r="AS232" s="59" t="str">
        <f t="shared" si="246"/>
        <v>1.65196285344922-15.1131971142364i</v>
      </c>
      <c r="AT232" s="50">
        <f t="shared" si="247"/>
        <v>23.638708029576122</v>
      </c>
      <c r="AU232" s="61">
        <f t="shared" si="248"/>
        <v>-83.761993368101329</v>
      </c>
      <c r="AV232" s="32" t="str">
        <f t="shared" si="223"/>
        <v>-0.0000333333333333333</v>
      </c>
      <c r="AW232" s="32" t="str">
        <f t="shared" si="224"/>
        <v>0.000416314086221508i</v>
      </c>
      <c r="AX232" s="32">
        <f t="shared" si="249"/>
        <v>4.16314086221508E-4</v>
      </c>
      <c r="AY232" s="32">
        <f t="shared" si="250"/>
        <v>1.5707963267948966</v>
      </c>
      <c r="AZ232" s="32" t="str">
        <f t="shared" si="225"/>
        <v>1+0.169850365038289i</v>
      </c>
      <c r="BA232" s="32">
        <f t="shared" si="251"/>
        <v>1.0143220132204762</v>
      </c>
      <c r="BB232" s="32">
        <f t="shared" si="252"/>
        <v>0.16824472157532863</v>
      </c>
      <c r="BC232" s="32" t="str">
        <f t="shared" si="226"/>
        <v>1+8.15281752183789i</v>
      </c>
      <c r="BD232" s="32">
        <f t="shared" si="253"/>
        <v>8.2139170646158188</v>
      </c>
      <c r="BE232" s="32">
        <f t="shared" si="254"/>
        <v>1.4487489642141564</v>
      </c>
      <c r="BF232" s="59" t="str">
        <f t="shared" si="255"/>
        <v>-0.621255548408506+0.185588234456648i</v>
      </c>
      <c r="BG232" s="50">
        <f t="shared" si="256"/>
        <v>-3.7633579555241976</v>
      </c>
      <c r="BH232" s="61">
        <f t="shared" si="257"/>
        <v>163.36748875180075</v>
      </c>
      <c r="BI232" s="59" t="str">
        <f t="shared" si="258"/>
        <v>0.350316445603966+1.05848251719948i</v>
      </c>
      <c r="BJ232" s="64">
        <f t="shared" si="259"/>
        <v>0.94508460038102193</v>
      </c>
      <c r="BK232" s="61">
        <f t="shared" si="260"/>
        <v>71.687469690077791</v>
      </c>
      <c r="BL232" s="59" t="str">
        <f t="shared" si="211"/>
        <v>1.77854048095637+9.69574243077039i</v>
      </c>
      <c r="BM232" s="64">
        <f t="shared" si="261"/>
        <v>19.875350074051926</v>
      </c>
      <c r="BN232" s="61">
        <f t="shared" si="212"/>
        <v>79.605495383699406</v>
      </c>
      <c r="BO232" s="50">
        <f t="shared" si="262"/>
        <v>0.94508460038102193</v>
      </c>
      <c r="BP232" s="61">
        <f t="shared" si="263"/>
        <v>71.687469690077791</v>
      </c>
    </row>
    <row r="233" spans="14:68" x14ac:dyDescent="0.25">
      <c r="N233" s="11">
        <v>15</v>
      </c>
      <c r="O233" s="51">
        <f t="shared" si="264"/>
        <v>1412.5375446227545</v>
      </c>
      <c r="P233" s="49" t="str">
        <f t="shared" si="214"/>
        <v>25.6231073841137</v>
      </c>
      <c r="Q233" s="18" t="str">
        <f t="shared" si="215"/>
        <v>1+7.67512473336047i</v>
      </c>
      <c r="R233" s="18">
        <f t="shared" si="227"/>
        <v>7.739996102882845</v>
      </c>
      <c r="S233" s="18">
        <f t="shared" si="228"/>
        <v>1.4412351281402018</v>
      </c>
      <c r="T233" s="18" t="str">
        <f t="shared" si="216"/>
        <v>1+0.00798771163159191i</v>
      </c>
      <c r="U233" s="18">
        <f t="shared" si="229"/>
        <v>1.0000319012597096</v>
      </c>
      <c r="V233" s="18">
        <f t="shared" si="230"/>
        <v>7.987541756676533E-3</v>
      </c>
      <c r="W233" s="32" t="str">
        <f t="shared" si="217"/>
        <v>1-0.178983908781967i</v>
      </c>
      <c r="X233" s="18">
        <f t="shared" si="231"/>
        <v>1.0158913522630615</v>
      </c>
      <c r="Y233" s="18">
        <f t="shared" si="232"/>
        <v>-0.17710856112069309</v>
      </c>
      <c r="Z233" s="32" t="str">
        <f t="shared" si="218"/>
        <v>0.999950118442126+0.0141707921167871i</v>
      </c>
      <c r="AA233" s="18">
        <f t="shared" si="233"/>
        <v>1.0000505240844779</v>
      </c>
      <c r="AB233" s="18">
        <f t="shared" si="234"/>
        <v>1.4170550433614008E-2</v>
      </c>
      <c r="AC233" s="32" t="str">
        <f>IMDIV(IMSUM(COMPLEX(0,2*PI()*O233*Constants!$B$71*Constants!$B$72),COMPLEX(1,0)),IMSUM(COMPLEX(0,2*PI()*O233*Constants!$B$71*Constants!$B$72),COMPLEX(2,0)))</f>
        <v>0.500157489975986+0.00887243962507313i</v>
      </c>
      <c r="AD233" s="18">
        <f t="shared" si="235"/>
        <v>0.50023617918337249</v>
      </c>
      <c r="AE233" s="18">
        <f t="shared" si="236"/>
        <v>1.7737431332085475E-2</v>
      </c>
      <c r="AF233" s="66" t="str">
        <f t="shared" si="237"/>
        <v>-0.0605381122722322-1.68121770893122i</v>
      </c>
      <c r="AG233" s="64">
        <f t="shared" si="238"/>
        <v>4.5181065833116527</v>
      </c>
      <c r="AH233" s="61">
        <f t="shared" si="239"/>
        <v>-92.062243543430142</v>
      </c>
      <c r="AI233" s="50" t="str">
        <f t="shared" si="219"/>
        <v>108.866083054159</v>
      </c>
      <c r="AJ233" s="50" t="str">
        <f t="shared" si="220"/>
        <v>1+7.26155602871992i</v>
      </c>
      <c r="AK233" s="50">
        <f t="shared" si="240"/>
        <v>7.330088400438199</v>
      </c>
      <c r="AL233" s="50">
        <f t="shared" si="241"/>
        <v>1.4339455640338585</v>
      </c>
      <c r="AM233" s="50" t="str">
        <f t="shared" si="221"/>
        <v>1+0.00798771163159191i</v>
      </c>
      <c r="AN233" s="50">
        <f t="shared" si="242"/>
        <v>1.0000319012597096</v>
      </c>
      <c r="AO233" s="50">
        <f t="shared" si="243"/>
        <v>7.987541756676533E-3</v>
      </c>
      <c r="AP233" s="50" t="str">
        <f t="shared" si="222"/>
        <v>1-0.0398562953349697i</v>
      </c>
      <c r="AQ233" s="50">
        <f t="shared" si="244"/>
        <v>1.0007939469630243</v>
      </c>
      <c r="AR233" s="50">
        <f t="shared" si="245"/>
        <v>-3.9835211196003063E-2</v>
      </c>
      <c r="AS233" s="59" t="str">
        <f t="shared" si="246"/>
        <v>1.55792177048832-14.7823441050338i</v>
      </c>
      <c r="AT233" s="50">
        <f t="shared" si="247"/>
        <v>23.442838191361005</v>
      </c>
      <c r="AU233" s="61">
        <f t="shared" si="248"/>
        <v>-83.983765916847616</v>
      </c>
      <c r="AV233" s="32" t="str">
        <f t="shared" si="223"/>
        <v>-0.0000333333333333333</v>
      </c>
      <c r="AW233" s="32" t="str">
        <f t="shared" si="224"/>
        <v>0.000426011287018235i</v>
      </c>
      <c r="AX233" s="32">
        <f t="shared" si="249"/>
        <v>4.2601128701823498E-4</v>
      </c>
      <c r="AY233" s="32">
        <f t="shared" si="250"/>
        <v>1.5707963267948966</v>
      </c>
      <c r="AZ233" s="32" t="str">
        <f t="shared" si="225"/>
        <v>1+0.173806688280009i</v>
      </c>
      <c r="BA233" s="32">
        <f t="shared" si="251"/>
        <v>1.0149920023777843</v>
      </c>
      <c r="BB233" s="32">
        <f t="shared" si="252"/>
        <v>0.17208757982606993</v>
      </c>
      <c r="BC233" s="32" t="str">
        <f t="shared" si="226"/>
        <v>1+8.34272103744045i</v>
      </c>
      <c r="BD233" s="32">
        <f t="shared" si="253"/>
        <v>8.4024397830958257</v>
      </c>
      <c r="BE233" s="32">
        <f t="shared" si="254"/>
        <v>1.4515005168843935</v>
      </c>
      <c r="BF233" s="59" t="str">
        <f t="shared" si="255"/>
        <v>-0.620435646175513+0.186081053164998i</v>
      </c>
      <c r="BG233" s="50">
        <f t="shared" si="256"/>
        <v>-3.7719914391382261</v>
      </c>
      <c r="BH233" s="61">
        <f t="shared" si="257"/>
        <v>163.30496154787872</v>
      </c>
      <c r="BI233" s="59" t="str">
        <f t="shared" si="258"/>
        <v>0.350402764683435+1.03182239991422i</v>
      </c>
      <c r="BJ233" s="64">
        <f t="shared" si="259"/>
        <v>0.7461151441734325</v>
      </c>
      <c r="BK233" s="61">
        <f t="shared" si="260"/>
        <v>71.242718004448591</v>
      </c>
      <c r="BL233" s="59" t="str">
        <f t="shared" si="211"/>
        <v>1.78412395894827+9.46139294059658i</v>
      </c>
      <c r="BM233" s="64">
        <f t="shared" si="261"/>
        <v>19.670846752222786</v>
      </c>
      <c r="BN233" s="61">
        <f t="shared" si="212"/>
        <v>79.321195631031131</v>
      </c>
      <c r="BO233" s="50">
        <f t="shared" si="262"/>
        <v>0.7461151441734325</v>
      </c>
      <c r="BP233" s="61">
        <f t="shared" si="263"/>
        <v>71.242718004448591</v>
      </c>
    </row>
    <row r="234" spans="14:68" x14ac:dyDescent="0.25">
      <c r="N234" s="11">
        <v>16</v>
      </c>
      <c r="O234" s="51">
        <f t="shared" si="264"/>
        <v>1445.4397707459289</v>
      </c>
      <c r="P234" s="49" t="str">
        <f t="shared" si="214"/>
        <v>25.6231073841137</v>
      </c>
      <c r="Q234" s="18" t="str">
        <f t="shared" si="215"/>
        <v>1+7.85390135452846i</v>
      </c>
      <c r="R234" s="18">
        <f t="shared" si="227"/>
        <v>7.9173080328268135</v>
      </c>
      <c r="S234" s="18">
        <f t="shared" si="228"/>
        <v>1.4441525085138762</v>
      </c>
      <c r="T234" s="18" t="str">
        <f t="shared" si="216"/>
        <v>1+0.00817376933696747i</v>
      </c>
      <c r="U234" s="18">
        <f t="shared" si="229"/>
        <v>1.0000334046946502</v>
      </c>
      <c r="V234" s="18">
        <f t="shared" si="230"/>
        <v>8.1735873130445551E-3</v>
      </c>
      <c r="W234" s="32" t="str">
        <f t="shared" si="217"/>
        <v>1-0.183152979587604i</v>
      </c>
      <c r="X234" s="18">
        <f t="shared" si="231"/>
        <v>1.0166341593374764</v>
      </c>
      <c r="Y234" s="18">
        <f t="shared" si="232"/>
        <v>-0.18114527984391729</v>
      </c>
      <c r="Z234" s="32" t="str">
        <f t="shared" si="218"/>
        <v>0.999947767596729+0.0145008722681756i</v>
      </c>
      <c r="AA234" s="18">
        <f t="shared" si="233"/>
        <v>1.0000529052096294</v>
      </c>
      <c r="AB234" s="18">
        <f t="shared" si="234"/>
        <v>1.4500613300373723E-2</v>
      </c>
      <c r="AC234" s="32" t="str">
        <f>IMDIV(IMSUM(COMPLEX(0,2*PI()*O234*Constants!$B$71*Constants!$B$72),COMPLEX(1,0)),IMSUM(COMPLEX(0,2*PI()*O234*Constants!$B$71*Constants!$B$72),COMPLEX(2,0)))</f>
        <v>0.500164909801876+0.00907897051955955i</v>
      </c>
      <c r="AD234" s="18">
        <f t="shared" si="235"/>
        <v>0.500247303543771</v>
      </c>
      <c r="AE234" s="18">
        <f t="shared" si="236"/>
        <v>1.8149960912890353E-2</v>
      </c>
      <c r="AF234" s="66" t="str">
        <f t="shared" si="237"/>
        <v>-0.0702219377018748-1.64437019382813i</v>
      </c>
      <c r="AG234" s="64">
        <f t="shared" si="238"/>
        <v>4.3279048097408399</v>
      </c>
      <c r="AH234" s="61">
        <f t="shared" si="239"/>
        <v>-92.445299452156007</v>
      </c>
      <c r="AI234" s="50" t="str">
        <f t="shared" si="219"/>
        <v>108.866083054159</v>
      </c>
      <c r="AJ234" s="50" t="str">
        <f t="shared" si="220"/>
        <v>1+7.43069939724316i</v>
      </c>
      <c r="AK234" s="50">
        <f t="shared" si="240"/>
        <v>7.4976858784687597</v>
      </c>
      <c r="AL234" s="50">
        <f t="shared" si="241"/>
        <v>1.4370232138810435</v>
      </c>
      <c r="AM234" s="50" t="str">
        <f t="shared" si="221"/>
        <v>1+0.00817376933696747i</v>
      </c>
      <c r="AN234" s="50">
        <f t="shared" si="242"/>
        <v>1.0000334046946502</v>
      </c>
      <c r="AO234" s="50">
        <f t="shared" si="243"/>
        <v>8.1735873130445551E-3</v>
      </c>
      <c r="AP234" s="50" t="str">
        <f t="shared" si="222"/>
        <v>1-0.0407846677145466i</v>
      </c>
      <c r="AQ234" s="50">
        <f t="shared" si="244"/>
        <v>1.0008313489897216</v>
      </c>
      <c r="AR234" s="50">
        <f t="shared" si="245"/>
        <v>-4.0762076666032321E-2</v>
      </c>
      <c r="AS234" s="59" t="str">
        <f t="shared" si="246"/>
        <v>1.46795910165666-14.458183583102i</v>
      </c>
      <c r="AT234" s="50">
        <f t="shared" si="247"/>
        <v>23.246815273408728</v>
      </c>
      <c r="AU234" s="61">
        <f t="shared" si="248"/>
        <v>-84.20254811834242</v>
      </c>
      <c r="AV234" s="32" t="str">
        <f t="shared" si="223"/>
        <v>-0.0000333333333333333</v>
      </c>
      <c r="AW234" s="32" t="str">
        <f t="shared" si="224"/>
        <v>0.000435934364638265i</v>
      </c>
      <c r="AX234" s="32">
        <f t="shared" si="249"/>
        <v>4.3593436463826502E-4</v>
      </c>
      <c r="AY234" s="32">
        <f t="shared" si="250"/>
        <v>1.5707963267948966</v>
      </c>
      <c r="AZ234" s="32" t="str">
        <f t="shared" si="225"/>
        <v>1+0.177855166128459i</v>
      </c>
      <c r="BA234" s="32">
        <f t="shared" si="251"/>
        <v>1.0156930934679933</v>
      </c>
      <c r="BB234" s="32">
        <f t="shared" si="252"/>
        <v>0.17601464188138966</v>
      </c>
      <c r="BC234" s="32" t="str">
        <f t="shared" si="226"/>
        <v>1+8.53704797416604i</v>
      </c>
      <c r="BD234" s="32">
        <f t="shared" si="253"/>
        <v>8.5954166922385138</v>
      </c>
      <c r="BE234" s="32">
        <f t="shared" si="254"/>
        <v>1.4541911915188175</v>
      </c>
      <c r="BF234" s="59" t="str">
        <f t="shared" si="255"/>
        <v>-0.619579419464246+0.186659510860402i</v>
      </c>
      <c r="BG234" s="50">
        <f t="shared" si="256"/>
        <v>-3.7807584869139936</v>
      </c>
      <c r="BH234" s="61">
        <f t="shared" si="257"/>
        <v>163.23412176681845</v>
      </c>
      <c r="BI234" s="59" t="str">
        <f t="shared" si="258"/>
        <v>0.350445403448365+1.00571033753324i</v>
      </c>
      <c r="BJ234" s="64">
        <f t="shared" si="259"/>
        <v>0.54714632282683717</v>
      </c>
      <c r="BK234" s="61">
        <f t="shared" si="260"/>
        <v>70.788822314662454</v>
      </c>
      <c r="BL234" s="59" t="str">
        <f t="shared" si="211"/>
        <v>1.78924022755002+9.23200151880414i</v>
      </c>
      <c r="BM234" s="64">
        <f t="shared" si="261"/>
        <v>19.466056786494732</v>
      </c>
      <c r="BN234" s="61">
        <f t="shared" si="212"/>
        <v>79.031573648476083</v>
      </c>
      <c r="BO234" s="50">
        <f t="shared" si="262"/>
        <v>0.54714632282683717</v>
      </c>
      <c r="BP234" s="61">
        <f t="shared" si="263"/>
        <v>70.788822314662454</v>
      </c>
    </row>
    <row r="235" spans="14:68" x14ac:dyDescent="0.25">
      <c r="N235" s="11">
        <v>17</v>
      </c>
      <c r="O235" s="51">
        <f t="shared" si="264"/>
        <v>1479.1083881682086</v>
      </c>
      <c r="P235" s="49" t="str">
        <f t="shared" si="214"/>
        <v>25.6231073841137</v>
      </c>
      <c r="Q235" s="18" t="str">
        <f t="shared" si="215"/>
        <v>1+8.0368422181533i</v>
      </c>
      <c r="R235" s="18">
        <f t="shared" si="227"/>
        <v>8.0988167555199855</v>
      </c>
      <c r="S235" s="18">
        <f t="shared" si="228"/>
        <v>1.4470055770175561</v>
      </c>
      <c r="T235" s="18" t="str">
        <f t="shared" si="216"/>
        <v>1+0.00836416088303812i</v>
      </c>
      <c r="U235" s="18">
        <f t="shared" si="229"/>
        <v>1.0000349789818741</v>
      </c>
      <c r="V235" s="18">
        <f t="shared" si="230"/>
        <v>8.3639658412591553E-3</v>
      </c>
      <c r="W235" s="32" t="str">
        <f t="shared" si="217"/>
        <v>1-0.187419160527336i</v>
      </c>
      <c r="X235" s="18">
        <f t="shared" si="231"/>
        <v>1.0174113925707591</v>
      </c>
      <c r="Y235" s="18">
        <f t="shared" si="232"/>
        <v>-0.18526985487119663</v>
      </c>
      <c r="Z235" s="32" t="str">
        <f t="shared" si="218"/>
        <v>0.999945305959401+0.0148386409739824i</v>
      </c>
      <c r="AA235" s="18">
        <f t="shared" si="233"/>
        <v>1.0000553985535974</v>
      </c>
      <c r="AB235" s="18">
        <f t="shared" si="234"/>
        <v>1.483836348541394E-2</v>
      </c>
      <c r="AC235" s="32" t="str">
        <f>IMDIV(IMSUM(COMPLEX(0,2*PI()*O235*Constants!$B$71*Constants!$B$72),COMPLEX(1,0)),IMSUM(COMPLEX(0,2*PI()*O235*Constants!$B$71*Constants!$B$72),COMPLEX(2,0)))</f>
        <v>0.500172679077288+0.00929030250207886i</v>
      </c>
      <c r="AD235" s="18">
        <f t="shared" si="235"/>
        <v>0.50025895156002154</v>
      </c>
      <c r="AE235" s="18">
        <f t="shared" si="236"/>
        <v>1.8572054662893672E-2</v>
      </c>
      <c r="AF235" s="66" t="str">
        <f t="shared" si="237"/>
        <v>-0.0794840744629009-1.60828527759867i</v>
      </c>
      <c r="AG235" s="64">
        <f t="shared" si="238"/>
        <v>4.13785642473582</v>
      </c>
      <c r="AH235" s="61">
        <f t="shared" si="239"/>
        <v>-92.829348560948588</v>
      </c>
      <c r="AI235" s="50" t="str">
        <f t="shared" si="219"/>
        <v>108.866083054159</v>
      </c>
      <c r="AJ235" s="50" t="str">
        <f t="shared" si="220"/>
        <v>1+7.60378262094375i</v>
      </c>
      <c r="AK235" s="50">
        <f t="shared" si="240"/>
        <v>7.6692574703530578</v>
      </c>
      <c r="AL235" s="50">
        <f t="shared" si="241"/>
        <v>1.4400332733216334</v>
      </c>
      <c r="AM235" s="50" t="str">
        <f t="shared" si="221"/>
        <v>1+0.00836416088303812i</v>
      </c>
      <c r="AN235" s="50">
        <f t="shared" si="242"/>
        <v>1.0000349789818741</v>
      </c>
      <c r="AO235" s="50">
        <f t="shared" si="243"/>
        <v>8.3639658412591553E-3</v>
      </c>
      <c r="AP235" s="50" t="str">
        <f t="shared" si="222"/>
        <v>1-0.0417346646647947i</v>
      </c>
      <c r="AQ235" s="50">
        <f t="shared" si="244"/>
        <v>1.0008705122215775</v>
      </c>
      <c r="AR235" s="50">
        <f t="shared" si="245"/>
        <v>-4.1710459057140874E-2</v>
      </c>
      <c r="AS235" s="59" t="str">
        <f t="shared" si="246"/>
        <v>1.38190449593364-14.1406174262481i</v>
      </c>
      <c r="AT235" s="50">
        <f t="shared" si="247"/>
        <v>23.050647291624948</v>
      </c>
      <c r="AU235" s="61">
        <f t="shared" si="248"/>
        <v>-84.418442242570194</v>
      </c>
      <c r="AV235" s="32" t="str">
        <f t="shared" si="223"/>
        <v>-0.0000333333333333333</v>
      </c>
      <c r="AW235" s="32" t="str">
        <f t="shared" si="224"/>
        <v>0.000446088580428699i</v>
      </c>
      <c r="AX235" s="32">
        <f t="shared" si="249"/>
        <v>4.46088580428699E-4</v>
      </c>
      <c r="AY235" s="32">
        <f t="shared" si="250"/>
        <v>1.5707963267948966</v>
      </c>
      <c r="AZ235" s="32" t="str">
        <f t="shared" si="225"/>
        <v>1+0.181997945140181i</v>
      </c>
      <c r="BA235" s="32">
        <f t="shared" si="251"/>
        <v>1.0164267076554256</v>
      </c>
      <c r="BB235" s="32">
        <f t="shared" si="252"/>
        <v>0.1800275051811748</v>
      </c>
      <c r="BC235" s="32" t="str">
        <f t="shared" si="226"/>
        <v>1+8.73590136672872i</v>
      </c>
      <c r="BD235" s="32">
        <f t="shared" si="253"/>
        <v>8.7929501698356454</v>
      </c>
      <c r="BE235" s="32">
        <f t="shared" si="254"/>
        <v>1.4568222588267892</v>
      </c>
      <c r="BF235" s="59" t="str">
        <f t="shared" si="255"/>
        <v>-0.618685369322163+0.187323040539587i</v>
      </c>
      <c r="BG235" s="50">
        <f t="shared" si="256"/>
        <v>-3.7896763304461469</v>
      </c>
      <c r="BH235" s="61">
        <f t="shared" si="257"/>
        <v>163.15495068833943</v>
      </c>
      <c r="BI235" s="59" t="str">
        <f t="shared" si="258"/>
        <v>0.350444522219147+0.980133372443665i</v>
      </c>
      <c r="BJ235" s="64">
        <f t="shared" si="259"/>
        <v>0.34818009428967395</v>
      </c>
      <c r="BK235" s="61">
        <f t="shared" si="260"/>
        <v>70.325602127390809</v>
      </c>
      <c r="BL235" s="59" t="str">
        <f t="shared" si="211"/>
        <v>1.7938993579572+9.00745566671533i</v>
      </c>
      <c r="BM235" s="64">
        <f t="shared" si="261"/>
        <v>19.260970961178792</v>
      </c>
      <c r="BN235" s="61">
        <f t="shared" si="212"/>
        <v>78.736508445769232</v>
      </c>
      <c r="BO235" s="50">
        <f t="shared" si="262"/>
        <v>0.34818009428967395</v>
      </c>
      <c r="BP235" s="61">
        <f t="shared" si="263"/>
        <v>70.325602127390809</v>
      </c>
    </row>
    <row r="236" spans="14:68" x14ac:dyDescent="0.25">
      <c r="N236" s="11">
        <v>18</v>
      </c>
      <c r="O236" s="51">
        <f t="shared" si="264"/>
        <v>1513.5612484362093</v>
      </c>
      <c r="P236" s="49" t="str">
        <f t="shared" si="214"/>
        <v>25.6231073841137</v>
      </c>
      <c r="Q236" s="18" t="str">
        <f t="shared" si="215"/>
        <v>1+8.22404432190238i</v>
      </c>
      <c r="R236" s="18">
        <f t="shared" si="227"/>
        <v>8.2846185795493792</v>
      </c>
      <c r="S236" s="18">
        <f t="shared" si="228"/>
        <v>1.4497956604949387</v>
      </c>
      <c r="T236" s="18" t="str">
        <f t="shared" si="216"/>
        <v>1+0.00855898721792171i</v>
      </c>
      <c r="U236" s="18">
        <f t="shared" si="229"/>
        <v>1.000036627460313</v>
      </c>
      <c r="V236" s="18">
        <f t="shared" si="230"/>
        <v>8.558778227303632E-3</v>
      </c>
      <c r="W236" s="32" t="str">
        <f t="shared" si="217"/>
        <v>1-0.191784713586764i</v>
      </c>
      <c r="X236" s="18">
        <f t="shared" si="231"/>
        <v>1.018224619799363</v>
      </c>
      <c r="Y236" s="18">
        <f t="shared" si="232"/>
        <v>-0.18948391149000451</v>
      </c>
      <c r="Z236" s="32" t="str">
        <f t="shared" si="218"/>
        <v>0.999942728308681+0.0151842773236463i</v>
      </c>
      <c r="AA236" s="18">
        <f t="shared" si="233"/>
        <v>1.0000580094050795</v>
      </c>
      <c r="AB236" s="18">
        <f t="shared" si="234"/>
        <v>1.5183979989771433E-2</v>
      </c>
      <c r="AC236" s="32" t="str">
        <f>IMDIV(IMSUM(COMPLEX(0,2*PI()*O236*Constants!$B$71*Constants!$B$72),COMPLEX(1,0)),IMSUM(COMPLEX(0,2*PI()*O236*Constants!$B$71*Constants!$B$72),COMPLEX(2,0)))</f>
        <v>0.500180814248505+0.00950654671582017i</v>
      </c>
      <c r="AD236" s="18">
        <f t="shared" si="235"/>
        <v>0.5002711478516001</v>
      </c>
      <c r="AE236" s="18">
        <f t="shared" si="236"/>
        <v>1.9003932157108359E-2</v>
      </c>
      <c r="AF236" s="66" t="str">
        <f t="shared" si="237"/>
        <v>-0.0883423586757543-1.57295089895634i</v>
      </c>
      <c r="AG236" s="64">
        <f t="shared" si="238"/>
        <v>3.9479808562012071</v>
      </c>
      <c r="AH236" s="61">
        <f t="shared" si="239"/>
        <v>-93.21455190940604</v>
      </c>
      <c r="AI236" s="50" t="str">
        <f t="shared" si="219"/>
        <v>108.866083054159</v>
      </c>
      <c r="AJ236" s="50" t="str">
        <f t="shared" si="220"/>
        <v>1+7.78089747083793i</v>
      </c>
      <c r="AK236" s="50">
        <f t="shared" si="240"/>
        <v>7.8448942282029588</v>
      </c>
      <c r="AL236" s="50">
        <f t="shared" si="241"/>
        <v>1.4429771200334012</v>
      </c>
      <c r="AM236" s="50" t="str">
        <f t="shared" si="221"/>
        <v>1+0.00855898721792171i</v>
      </c>
      <c r="AN236" s="50">
        <f t="shared" si="242"/>
        <v>1.000036627460313</v>
      </c>
      <c r="AO236" s="50">
        <f t="shared" si="243"/>
        <v>8.558778227303632E-3</v>
      </c>
      <c r="AP236" s="50" t="str">
        <f t="shared" si="222"/>
        <v>1-0.0427067898866716i</v>
      </c>
      <c r="AQ236" s="50">
        <f t="shared" si="244"/>
        <v>1.0009115195172968</v>
      </c>
      <c r="AR236" s="50">
        <f t="shared" si="245"/>
        <v>-4.2680854386313763E-2</v>
      </c>
      <c r="AS236" s="59" t="str">
        <f t="shared" si="246"/>
        <v>1.29959415188506-13.8295463709714i</v>
      </c>
      <c r="AT236" s="50">
        <f t="shared" si="247"/>
        <v>22.854341989723221</v>
      </c>
      <c r="AU236" s="61">
        <f t="shared" si="248"/>
        <v>-84.631549863991523</v>
      </c>
      <c r="AV236" s="32" t="str">
        <f t="shared" si="223"/>
        <v>-0.0000333333333333333</v>
      </c>
      <c r="AW236" s="32" t="str">
        <f t="shared" si="224"/>
        <v>0.000456479318289158i</v>
      </c>
      <c r="AX236" s="32">
        <f t="shared" si="249"/>
        <v>4.5647931828915797E-4</v>
      </c>
      <c r="AY236" s="32">
        <f t="shared" si="250"/>
        <v>1.5707963267948966</v>
      </c>
      <c r="AZ236" s="32" t="str">
        <f t="shared" si="225"/>
        <v>1+0.186237221871445i</v>
      </c>
      <c r="BA236" s="32">
        <f t="shared" si="251"/>
        <v>1.0171943289314946</v>
      </c>
      <c r="BB236" s="32">
        <f t="shared" si="252"/>
        <v>0.18412778018792261</v>
      </c>
      <c r="BC236" s="32" t="str">
        <f t="shared" si="226"/>
        <v>1+8.93938664982936i</v>
      </c>
      <c r="BD236" s="32">
        <f t="shared" si="253"/>
        <v>8.9951450057877</v>
      </c>
      <c r="BE236" s="32">
        <f t="shared" si="254"/>
        <v>1.459394968047532</v>
      </c>
      <c r="BF236" s="59" t="str">
        <f t="shared" si="255"/>
        <v>-0.617751945211323+0.188071064497696i</v>
      </c>
      <c r="BG236" s="50">
        <f t="shared" si="256"/>
        <v>-3.7987624384348111</v>
      </c>
      <c r="BH236" s="61">
        <f t="shared" si="257"/>
        <v>163.06742761587279</v>
      </c>
      <c r="BI236" s="59" t="str">
        <f t="shared" si="258"/>
        <v>0.35040021388583+0.955078836115792i</v>
      </c>
      <c r="BJ236" s="64">
        <f t="shared" si="259"/>
        <v>0.14921841776639391</v>
      </c>
      <c r="BK236" s="61">
        <f t="shared" si="260"/>
        <v>69.852875706466776</v>
      </c>
      <c r="BL236" s="59" t="str">
        <f t="shared" si="211"/>
        <v>1.79811069219658+8.78764522761778i</v>
      </c>
      <c r="BM236" s="64">
        <f t="shared" si="261"/>
        <v>19.055579551288407</v>
      </c>
      <c r="BN236" s="61">
        <f t="shared" si="212"/>
        <v>78.435877751881293</v>
      </c>
      <c r="BO236" s="50">
        <f t="shared" si="262"/>
        <v>0.14921841776639391</v>
      </c>
      <c r="BP236" s="61">
        <f t="shared" si="263"/>
        <v>69.852875706466776</v>
      </c>
    </row>
    <row r="237" spans="14:68" x14ac:dyDescent="0.25">
      <c r="N237" s="11">
        <v>19</v>
      </c>
      <c r="O237" s="51">
        <f t="shared" si="264"/>
        <v>1548.8166189124822</v>
      </c>
      <c r="P237" s="49" t="str">
        <f t="shared" si="214"/>
        <v>25.6231073841137</v>
      </c>
      <c r="Q237" s="18" t="str">
        <f t="shared" si="215"/>
        <v>1+8.41560692280903i</v>
      </c>
      <c r="R237" s="18">
        <f t="shared" si="227"/>
        <v>8.4748120851869775</v>
      </c>
      <c r="S237" s="18">
        <f t="shared" si="228"/>
        <v>1.4525240644354531</v>
      </c>
      <c r="T237" s="18" t="str">
        <f t="shared" si="216"/>
        <v>1+0.00875835164111983i</v>
      </c>
      <c r="U237" s="18">
        <f t="shared" si="229"/>
        <v>1.0000383536262345</v>
      </c>
      <c r="V237" s="18">
        <f t="shared" si="230"/>
        <v>8.7581277041017969E-3</v>
      </c>
      <c r="W237" s="32" t="str">
        <f t="shared" si="217"/>
        <v>1-0.196251953439907i</v>
      </c>
      <c r="X237" s="18">
        <f t="shared" si="231"/>
        <v>1.01907547768994</v>
      </c>
      <c r="Y237" s="18">
        <f t="shared" si="232"/>
        <v>-0.19378908508325435</v>
      </c>
      <c r="Z237" s="32" t="str">
        <f t="shared" si="218"/>
        <v>0.999940029177025+0.0155379645781348i</v>
      </c>
      <c r="AA237" s="18">
        <f t="shared" si="233"/>
        <v>1.0000607433020161</v>
      </c>
      <c r="AB237" s="18">
        <f t="shared" si="234"/>
        <v>1.5537645979689964E-2</v>
      </c>
      <c r="AC237" s="32" t="str">
        <f>IMDIV(IMSUM(COMPLEX(0,2*PI()*O237*Constants!$B$71*Constants!$B$72),COMPLEX(1,0)),IMSUM(COMPLEX(0,2*PI()*O237*Constants!$B$71*Constants!$B$72),COMPLEX(2,0)))</f>
        <v>0.500189332534705+0.00972781684365303i</v>
      </c>
      <c r="AD237" s="18">
        <f t="shared" si="235"/>
        <v>0.50028391819251727</v>
      </c>
      <c r="AE237" s="18">
        <f t="shared" si="236"/>
        <v>1.9445817856828661E-2</v>
      </c>
      <c r="AF237" s="66" t="str">
        <f t="shared" si="237"/>
        <v>-0.0968139244507953-1.53835494583762i</v>
      </c>
      <c r="AG237" s="64">
        <f t="shared" si="238"/>
        <v>3.7582977987342487</v>
      </c>
      <c r="AH237" s="61">
        <f t="shared" si="239"/>
        <v>-93.601069716258579</v>
      </c>
      <c r="AI237" s="50" t="str">
        <f t="shared" si="219"/>
        <v>108.866083054159</v>
      </c>
      <c r="AJ237" s="50" t="str">
        <f t="shared" si="220"/>
        <v>1+7.96213785556349i</v>
      </c>
      <c r="AK237" s="50">
        <f t="shared" si="240"/>
        <v>8.0246893541742264</v>
      </c>
      <c r="AL237" s="50">
        <f t="shared" si="241"/>
        <v>1.4458561106779342</v>
      </c>
      <c r="AM237" s="50" t="str">
        <f t="shared" si="221"/>
        <v>1+0.00875835164111983i</v>
      </c>
      <c r="AN237" s="50">
        <f t="shared" si="242"/>
        <v>1.0000383536262345</v>
      </c>
      <c r="AO237" s="50">
        <f t="shared" si="243"/>
        <v>8.7581277041017969E-3</v>
      </c>
      <c r="AP237" s="50" t="str">
        <f t="shared" si="222"/>
        <v>1-0.0437015588138376i</v>
      </c>
      <c r="AQ237" s="50">
        <f t="shared" si="244"/>
        <v>1.0009544576266991</v>
      </c>
      <c r="AR237" s="50">
        <f t="shared" si="245"/>
        <v>-4.3673769855519143E-2</v>
      </c>
      <c r="AS237" s="59" t="str">
        <f t="shared" si="246"/>
        <v>1.22087061561092-13.5248702395446i</v>
      </c>
      <c r="AT237" s="50">
        <f t="shared" si="247"/>
        <v>22.657906852571355</v>
      </c>
      <c r="AU237" s="61">
        <f t="shared" si="248"/>
        <v>-84.841971859310974</v>
      </c>
      <c r="AV237" s="32" t="str">
        <f t="shared" si="223"/>
        <v>-0.0000333333333333333</v>
      </c>
      <c r="AW237" s="32" t="str">
        <f t="shared" si="224"/>
        <v>0.000467112087526391i</v>
      </c>
      <c r="AX237" s="32">
        <f t="shared" si="249"/>
        <v>4.6711208752639102E-4</v>
      </c>
      <c r="AY237" s="32">
        <f t="shared" si="250"/>
        <v>1.5707963267948966</v>
      </c>
      <c r="AZ237" s="32" t="str">
        <f t="shared" si="225"/>
        <v>1+0.190575244042885i</v>
      </c>
      <c r="BA237" s="32">
        <f t="shared" si="251"/>
        <v>1.0179975066973421</v>
      </c>
      <c r="BB237" s="32">
        <f t="shared" si="252"/>
        <v>0.18831708917232814</v>
      </c>
      <c r="BC237" s="32" t="str">
        <f t="shared" si="226"/>
        <v>1+9.1476117140585i</v>
      </c>
      <c r="BD237" s="32">
        <f t="shared" si="253"/>
        <v>9.2021084579122583</v>
      </c>
      <c r="BE237" s="32">
        <f t="shared" si="254"/>
        <v>1.4619105469651223</v>
      </c>
      <c r="BF237" s="59" t="str">
        <f t="shared" si="255"/>
        <v>-0.616777544208529+0.188902990784831i</v>
      </c>
      <c r="BG237" s="50">
        <f t="shared" si="256"/>
        <v>-3.8080345425979552</v>
      </c>
      <c r="BH237" s="61">
        <f t="shared" si="257"/>
        <v>162.97152994700008</v>
      </c>
      <c r="BI237" s="59" t="str">
        <f t="shared" si="258"/>
        <v>0.350312504725315+0.9305343457364i</v>
      </c>
      <c r="BJ237" s="64">
        <f t="shared" si="259"/>
        <v>-4.9736743863706266E-2</v>
      </c>
      <c r="BK237" s="61">
        <f t="shared" si="260"/>
        <v>69.370460230741486</v>
      </c>
      <c r="BL237" s="59" t="str">
        <f t="shared" si="211"/>
        <v>1.80188285813387+8.57246236273556i</v>
      </c>
      <c r="BM237" s="64">
        <f t="shared" si="261"/>
        <v>18.849872309973399</v>
      </c>
      <c r="BN237" s="61">
        <f t="shared" si="212"/>
        <v>78.129558087689105</v>
      </c>
      <c r="BO237" s="50">
        <f t="shared" si="262"/>
        <v>-4.9736743863706266E-2</v>
      </c>
      <c r="BP237" s="61">
        <f t="shared" si="263"/>
        <v>69.370460230741486</v>
      </c>
    </row>
    <row r="238" spans="14:68" x14ac:dyDescent="0.25">
      <c r="N238" s="11">
        <v>20</v>
      </c>
      <c r="O238" s="51">
        <f t="shared" si="264"/>
        <v>1584.8931924611156</v>
      </c>
      <c r="P238" s="49" t="str">
        <f t="shared" si="214"/>
        <v>25.6231073841137</v>
      </c>
      <c r="Q238" s="18" t="str">
        <f t="shared" si="215"/>
        <v>1+8.61163158989989i</v>
      </c>
      <c r="R238" s="18">
        <f t="shared" si="227"/>
        <v>8.6694981769512882</v>
      </c>
      <c r="S238" s="18">
        <f t="shared" si="228"/>
        <v>1.4551920729016716</v>
      </c>
      <c r="T238" s="18" t="str">
        <f t="shared" si="216"/>
        <v>1+0.00896235985828858i</v>
      </c>
      <c r="U238" s="18">
        <f t="shared" si="229"/>
        <v>1.0000401611406562</v>
      </c>
      <c r="V238" s="18">
        <f t="shared" si="230"/>
        <v>8.9621199059710492E-3</v>
      </c>
      <c r="W238" s="32" t="str">
        <f t="shared" si="217"/>
        <v>1-0.200823248676466i</v>
      </c>
      <c r="X238" s="18">
        <f t="shared" si="231"/>
        <v>1.0199656745248684</v>
      </c>
      <c r="Y238" s="18">
        <f t="shared" si="232"/>
        <v>-0.19818701964884511</v>
      </c>
      <c r="Z238" s="32" t="str">
        <f t="shared" si="218"/>
        <v>0.999937202839212+0.0158998902671119i</v>
      </c>
      <c r="AA238" s="18">
        <f t="shared" si="233"/>
        <v>1.0000636060433423</v>
      </c>
      <c r="AB238" s="18">
        <f t="shared" si="234"/>
        <v>1.5899548883335991E-2</v>
      </c>
      <c r="AC238" s="32" t="str">
        <f>IMDIV(IMSUM(COMPLEX(0,2*PI()*O238*Constants!$B$71*Constants!$B$72),COMPLEX(1,0)),IMSUM(COMPLEX(0,2*PI()*O238*Constants!$B$71*Constants!$B$72),COMPLEX(2,0)))</f>
        <v>0.500198251964172+0.00995422916377501i</v>
      </c>
      <c r="AD238" s="18">
        <f t="shared" si="235"/>
        <v>0.50029728956517272</v>
      </c>
      <c r="AE238" s="18">
        <f t="shared" si="236"/>
        <v>1.9897941207218144E-2</v>
      </c>
      <c r="AF238" s="66" t="str">
        <f t="shared" si="237"/>
        <v>-0.104915227212927-1.50448527645947i</v>
      </c>
      <c r="AG238" s="64">
        <f t="shared" si="238"/>
        <v>3.5688272418321887</v>
      </c>
      <c r="AH238" s="61">
        <f t="shared" si="239"/>
        <v>-93.989061287216302</v>
      </c>
      <c r="AI238" s="50" t="str">
        <f t="shared" si="219"/>
        <v>108.866083054159</v>
      </c>
      <c r="AJ238" s="50" t="str">
        <f t="shared" si="220"/>
        <v>1+8.14759987117144i</v>
      </c>
      <c r="AK238" s="50">
        <f t="shared" si="240"/>
        <v>8.2087382502253572</v>
      </c>
      <c r="AL238" s="50">
        <f t="shared" si="241"/>
        <v>1.448671580730307</v>
      </c>
      <c r="AM238" s="50" t="str">
        <f t="shared" si="221"/>
        <v>1+0.00896235985828858i</v>
      </c>
      <c r="AN238" s="50">
        <f t="shared" si="242"/>
        <v>1.0000401611406562</v>
      </c>
      <c r="AO238" s="50">
        <f t="shared" si="243"/>
        <v>8.9621199059710492E-3</v>
      </c>
      <c r="AP238" s="50" t="str">
        <f t="shared" si="222"/>
        <v>1-0.0447194988859453i</v>
      </c>
      <c r="AQ238" s="50">
        <f t="shared" si="244"/>
        <v>1.0009994173727625</v>
      </c>
      <c r="AR238" s="50">
        <f t="shared" si="245"/>
        <v>-4.4689724086048287E-2</v>
      </c>
      <c r="AS238" s="59" t="str">
        <f t="shared" si="246"/>
        <v>1.14558258032311-13.2264881510208i</v>
      </c>
      <c r="AT238" s="50">
        <f t="shared" si="247"/>
        <v>22.461349119241547</v>
      </c>
      <c r="AU238" s="61">
        <f t="shared" si="248"/>
        <v>-85.049808408024504</v>
      </c>
      <c r="AV238" s="32" t="str">
        <f t="shared" si="223"/>
        <v>-0.0000333333333333333</v>
      </c>
      <c r="AW238" s="32" t="str">
        <f t="shared" si="224"/>
        <v>0.00047799252577539i</v>
      </c>
      <c r="AX238" s="32">
        <f t="shared" si="249"/>
        <v>4.7799252577539002E-4</v>
      </c>
      <c r="AY238" s="32">
        <f t="shared" si="250"/>
        <v>1.5707963267948966</v>
      </c>
      <c r="AZ238" s="32" t="str">
        <f t="shared" si="225"/>
        <v>1+0.195014311731279i</v>
      </c>
      <c r="BA238" s="32">
        <f t="shared" si="251"/>
        <v>1.0188378584348072</v>
      </c>
      <c r="BB238" s="32">
        <f t="shared" si="252"/>
        <v>0.19259706488584791</v>
      </c>
      <c r="BC238" s="32" t="str">
        <f t="shared" si="226"/>
        <v>1+9.36068696310141i</v>
      </c>
      <c r="BD238" s="32">
        <f t="shared" si="253"/>
        <v>9.4139503090454362</v>
      </c>
      <c r="BE238" s="32">
        <f t="shared" si="254"/>
        <v>1.4643702019522398</v>
      </c>
      <c r="BF238" s="59" t="str">
        <f t="shared" si="255"/>
        <v>-0.615760510296983+0.189818209505588i</v>
      </c>
      <c r="BG238" s="50">
        <f t="shared" si="256"/>
        <v>-3.8175106634831395</v>
      </c>
      <c r="BH238" s="61">
        <f t="shared" si="257"/>
        <v>162.86723325201706</v>
      </c>
      <c r="BI238" s="59" t="str">
        <f t="shared" si="258"/>
        <v>0.350181355251612+0.906487800987551i</v>
      </c>
      <c r="BJ238" s="64">
        <f t="shared" si="259"/>
        <v>-0.24868342165094984</v>
      </c>
      <c r="BK238" s="61">
        <f t="shared" si="260"/>
        <v>68.878171964800757</v>
      </c>
      <c r="BL238" s="59" t="str">
        <f t="shared" si="211"/>
        <v>1.80522378462655+8.36180152754729i</v>
      </c>
      <c r="BM238" s="64">
        <f t="shared" si="261"/>
        <v>18.643838455758406</v>
      </c>
      <c r="BN238" s="61">
        <f t="shared" si="212"/>
        <v>77.817424843992555</v>
      </c>
      <c r="BO238" s="50">
        <f t="shared" si="262"/>
        <v>-0.24868342165094984</v>
      </c>
      <c r="BP238" s="61">
        <f t="shared" si="263"/>
        <v>68.878171964800757</v>
      </c>
    </row>
    <row r="239" spans="14:68" x14ac:dyDescent="0.25">
      <c r="N239" s="11">
        <v>21</v>
      </c>
      <c r="O239" s="51">
        <f t="shared" si="264"/>
        <v>1621.8100973589308</v>
      </c>
      <c r="P239" s="49" t="str">
        <f t="shared" si="214"/>
        <v>25.6231073841137</v>
      </c>
      <c r="Q239" s="18" t="str">
        <f t="shared" si="215"/>
        <v>1+8.8122222580481i</v>
      </c>
      <c r="R239" s="18">
        <f t="shared" si="227"/>
        <v>8.8687801373829522</v>
      </c>
      <c r="S239" s="18">
        <f t="shared" si="228"/>
        <v>1.4578009484923051</v>
      </c>
      <c r="T239" s="18" t="str">
        <f t="shared" si="216"/>
        <v>1+0.009171120037285i</v>
      </c>
      <c r="U239" s="18">
        <f t="shared" si="229"/>
        <v>1.0000420538371066</v>
      </c>
      <c r="V239" s="18">
        <f t="shared" si="230"/>
        <v>9.1708629243283778E-3</v>
      </c>
      <c r="W239" s="32" t="str">
        <f t="shared" si="217"/>
        <v>1-0.205501023057682i</v>
      </c>
      <c r="X239" s="18">
        <f t="shared" si="231"/>
        <v>1.0208969930790051</v>
      </c>
      <c r="Y239" s="18">
        <f t="shared" si="232"/>
        <v>-0.20267936619203891</v>
      </c>
      <c r="Z239" s="32" t="str">
        <f t="shared" si="218"/>
        <v>0.999934243300203+0.0162702462883686i</v>
      </c>
      <c r="AA239" s="18">
        <f t="shared" si="233"/>
        <v>1.0000666037012902</v>
      </c>
      <c r="AB239" s="18">
        <f t="shared" si="234"/>
        <v>1.6269880489744776E-2</v>
      </c>
      <c r="AC239" s="32" t="str">
        <f>IMDIV(IMSUM(COMPLEX(0,2*PI()*O239*Constants!$B$71*Constants!$B$72),COMPLEX(1,0)),IMSUM(COMPLEX(0,2*PI()*O239*Constants!$B$71*Constants!$B$72),COMPLEX(2,0)))</f>
        <v>0.500207591412203+0.0101859026064055i</v>
      </c>
      <c r="AD239" s="18">
        <f t="shared" si="235"/>
        <v>0.50031129021670551</v>
      </c>
      <c r="AE239" s="18">
        <f t="shared" si="236"/>
        <v>2.0360536736021815E-2</v>
      </c>
      <c r="AF239" s="66" t="str">
        <f t="shared" si="237"/>
        <v>-0.112662066658811-1.4713297387826i</v>
      </c>
      <c r="AG239" s="64">
        <f t="shared" si="238"/>
        <v>3.3795894979486443</v>
      </c>
      <c r="AH239" s="61">
        <f t="shared" si="239"/>
        <v>-94.378684917560193</v>
      </c>
      <c r="AI239" s="50" t="str">
        <f t="shared" si="219"/>
        <v>108.866083054159</v>
      </c>
      <c r="AJ239" s="50" t="str">
        <f t="shared" si="220"/>
        <v>1+8.33738185207728i</v>
      </c>
      <c r="AK239" s="50">
        <f t="shared" si="240"/>
        <v>8.3971385690214486</v>
      </c>
      <c r="AL239" s="50">
        <f t="shared" si="241"/>
        <v>1.4514248443515601</v>
      </c>
      <c r="AM239" s="50" t="str">
        <f t="shared" si="221"/>
        <v>1+0.009171120037285i</v>
      </c>
      <c r="AN239" s="50">
        <f t="shared" si="242"/>
        <v>1.0000420538371066</v>
      </c>
      <c r="AO239" s="50">
        <f t="shared" si="243"/>
        <v>9.1708629243283778E-3</v>
      </c>
      <c r="AP239" s="50" t="str">
        <f t="shared" si="222"/>
        <v>1-0.0457611498282946i</v>
      </c>
      <c r="AQ239" s="50">
        <f t="shared" si="244"/>
        <v>1.0010464938421231</v>
      </c>
      <c r="AR239" s="50">
        <f t="shared" si="245"/>
        <v>-4.5729247356462478E-2</v>
      </c>
      <c r="AS239" s="59" t="str">
        <f t="shared" si="246"/>
        <v>1.07358468805083-12.9342987170053i</v>
      </c>
      <c r="AT239" s="50">
        <f t="shared" si="247"/>
        <v>22.264675795769364</v>
      </c>
      <c r="AU239" s="61">
        <f t="shared" si="248"/>
        <v>-85.255158995554893</v>
      </c>
      <c r="AV239" s="32" t="str">
        <f t="shared" si="223"/>
        <v>-0.0000333333333333333</v>
      </c>
      <c r="AW239" s="32" t="str">
        <f t="shared" si="224"/>
        <v>0.000489126401988534i</v>
      </c>
      <c r="AX239" s="32">
        <f t="shared" si="249"/>
        <v>4.8912640198853403E-4</v>
      </c>
      <c r="AY239" s="32">
        <f t="shared" si="250"/>
        <v>1.5707963267948966</v>
      </c>
      <c r="AZ239" s="32" t="str">
        <f t="shared" si="225"/>
        <v>1+0.199556778589072i</v>
      </c>
      <c r="BA239" s="32">
        <f t="shared" si="251"/>
        <v>1.0197170724670876</v>
      </c>
      <c r="BB239" s="32">
        <f t="shared" si="252"/>
        <v>0.19696934911407801</v>
      </c>
      <c r="BC239" s="32" t="str">
        <f t="shared" si="226"/>
        <v>1+9.57872537227546i</v>
      </c>
      <c r="BD239" s="32">
        <f t="shared" si="253"/>
        <v>9.6307829254673596</v>
      </c>
      <c r="BE239" s="32">
        <f t="shared" si="254"/>
        <v>1.4667751180403417</v>
      </c>
      <c r="BF239" s="59" t="str">
        <f t="shared" si="255"/>
        <v>-0.614699133762479+0.190816088957363i</v>
      </c>
      <c r="BG239" s="50">
        <f t="shared" si="256"/>
        <v>-3.8272091361556559</v>
      </c>
      <c r="BH239" s="61">
        <f t="shared" si="257"/>
        <v>162.75451136083916</v>
      </c>
      <c r="BI239" s="59" t="str">
        <f t="shared" si="258"/>
        <v>0.350006661104216+0.882927380974951i</v>
      </c>
      <c r="BJ239" s="64">
        <f t="shared" si="259"/>
        <v>-0.44761963820701067</v>
      </c>
      <c r="BK239" s="61">
        <f t="shared" si="260"/>
        <v>68.37582644327901</v>
      </c>
      <c r="BL239" s="59" t="str">
        <f t="shared" si="211"/>
        <v>1.80814071681968+8.15555944850667i</v>
      </c>
      <c r="BM239" s="64">
        <f t="shared" si="261"/>
        <v>18.437466659613708</v>
      </c>
      <c r="BN239" s="61">
        <f t="shared" si="212"/>
        <v>77.499352365284324</v>
      </c>
      <c r="BO239" s="50">
        <f t="shared" si="262"/>
        <v>-0.44761963820701067</v>
      </c>
      <c r="BP239" s="61">
        <f t="shared" si="263"/>
        <v>68.37582644327901</v>
      </c>
    </row>
    <row r="240" spans="14:68" x14ac:dyDescent="0.25">
      <c r="N240" s="11">
        <v>22</v>
      </c>
      <c r="O240" s="51">
        <f t="shared" si="264"/>
        <v>1659.5869074375626</v>
      </c>
      <c r="P240" s="49" t="str">
        <f t="shared" si="214"/>
        <v>25.6231073841137</v>
      </c>
      <c r="Q240" s="18" t="str">
        <f t="shared" si="215"/>
        <v>1+9.01748528308113i</v>
      </c>
      <c r="R240" s="18">
        <f t="shared" si="227"/>
        <v>9.0727636820642896</v>
      </c>
      <c r="S240" s="18">
        <f t="shared" si="228"/>
        <v>1.4603519323380567</v>
      </c>
      <c r="T240" s="18" t="str">
        <f t="shared" si="216"/>
        <v>1+0.00938474286551938i</v>
      </c>
      <c r="U240" s="18">
        <f t="shared" si="229"/>
        <v>1.0000440357297533</v>
      </c>
      <c r="V240" s="18">
        <f t="shared" si="230"/>
        <v>9.3844673646779307E-3</v>
      </c>
      <c r="W240" s="32" t="str">
        <f t="shared" si="217"/>
        <v>1-0.210287756801453i</v>
      </c>
      <c r="X240" s="18">
        <f t="shared" si="231"/>
        <v>1.0218712935886727</v>
      </c>
      <c r="Y240" s="18">
        <f t="shared" si="232"/>
        <v>-0.2072677809842644</v>
      </c>
      <c r="Z240" s="32" t="str">
        <f t="shared" si="218"/>
        <v>0.999931144282417+0.0166492290095696i</v>
      </c>
      <c r="AA240" s="18">
        <f t="shared" si="233"/>
        <v>1.0000697426342611</v>
      </c>
      <c r="AB240" s="18">
        <f t="shared" si="234"/>
        <v>1.6648837050048191E-2</v>
      </c>
      <c r="AC240" s="32" t="str">
        <f>IMDIV(IMSUM(COMPLEX(0,2*PI()*O240*Constants!$B$71*Constants!$B$72),COMPLEX(1,0)),IMSUM(COMPLEX(0,2*PI()*O240*Constants!$B$71*Constants!$B$72),COMPLEX(2,0)))</f>
        <v>0.500217370640765+0.0104229588115324i</v>
      </c>
      <c r="AD240" s="18">
        <f t="shared" si="235"/>
        <v>0.50032594971792865</v>
      </c>
      <c r="AE240" s="18">
        <f t="shared" si="236"/>
        <v>2.083384415334881E-2</v>
      </c>
      <c r="AF240" s="66" t="str">
        <f t="shared" si="237"/>
        <v>-0.120069609310131-1.43887618846951i</v>
      </c>
      <c r="AG240" s="64">
        <f t="shared" si="238"/>
        <v>3.1906052303632331</v>
      </c>
      <c r="AH240" s="61">
        <f t="shared" si="239"/>
        <v>-94.770097788959575</v>
      </c>
      <c r="AI240" s="50" t="str">
        <f t="shared" si="219"/>
        <v>108.866083054159</v>
      </c>
      <c r="AJ240" s="50" t="str">
        <f t="shared" si="220"/>
        <v>1+8.53158442319944i</v>
      </c>
      <c r="AK240" s="50">
        <f t="shared" si="240"/>
        <v>8.5899902660119078</v>
      </c>
      <c r="AL240" s="50">
        <f t="shared" si="241"/>
        <v>1.4541171943008702</v>
      </c>
      <c r="AM240" s="50" t="str">
        <f t="shared" si="221"/>
        <v>1+0.00938474286551938i</v>
      </c>
      <c r="AN240" s="50">
        <f t="shared" si="242"/>
        <v>1.0000440357297533</v>
      </c>
      <c r="AO240" s="50">
        <f t="shared" si="243"/>
        <v>9.3844673646779307E-3</v>
      </c>
      <c r="AP240" s="50" t="str">
        <f t="shared" si="222"/>
        <v>1-0.0468270639380037i</v>
      </c>
      <c r="AQ240" s="50">
        <f t="shared" si="244"/>
        <v>1.0010957865844077</v>
      </c>
      <c r="AR240" s="50">
        <f t="shared" si="245"/>
        <v>-4.6792881844103372E-2</v>
      </c>
      <c r="AS240" s="59" t="str">
        <f t="shared" si="246"/>
        <v>1.00473733390965-12.6482002230081i</v>
      </c>
      <c r="AT240" s="50">
        <f t="shared" si="247"/>
        <v>22.06789366762959</v>
      </c>
      <c r="AU240" s="61">
        <f t="shared" si="248"/>
        <v>-85.458122418791703</v>
      </c>
      <c r="AV240" s="32" t="str">
        <f t="shared" si="223"/>
        <v>-0.0000333333333333333</v>
      </c>
      <c r="AW240" s="32" t="str">
        <f t="shared" si="224"/>
        <v>0.000500519619494367i</v>
      </c>
      <c r="AX240" s="32">
        <f t="shared" si="249"/>
        <v>5.0051961949436699E-4</v>
      </c>
      <c r="AY240" s="32">
        <f t="shared" si="250"/>
        <v>1.5707963267948966</v>
      </c>
      <c r="AZ240" s="32" t="str">
        <f t="shared" si="225"/>
        <v>1+0.20420505309232i</v>
      </c>
      <c r="BA240" s="32">
        <f t="shared" si="251"/>
        <v>1.0206369108103219</v>
      </c>
      <c r="BB240" s="32">
        <f t="shared" si="252"/>
        <v>0.20143559110471285</v>
      </c>
      <c r="BC240" s="32" t="str">
        <f t="shared" si="226"/>
        <v>1+9.80184254843136i</v>
      </c>
      <c r="BD240" s="32">
        <f t="shared" si="253"/>
        <v>9.8527213166840042</v>
      </c>
      <c r="BE240" s="32">
        <f t="shared" si="254"/>
        <v>1.4691264590140729</v>
      </c>
      <c r="BF240" s="59" t="str">
        <f t="shared" si="255"/>
        <v>-0.613591650708236+0.191895971603727i</v>
      </c>
      <c r="BG240" s="50">
        <f t="shared" si="256"/>
        <v>-3.8371486357351885</v>
      </c>
      <c r="BH240" s="61">
        <f t="shared" si="257"/>
        <v>162.63333645848263</v>
      </c>
      <c r="BI240" s="59" t="str">
        <f t="shared" si="258"/>
        <v>0.34978825398032+0.859841541309134i</v>
      </c>
      <c r="BJ240" s="64">
        <f t="shared" si="259"/>
        <v>-0.64654340537195709</v>
      </c>
      <c r="BK240" s="61">
        <f t="shared" si="260"/>
        <v>67.863238669523085</v>
      </c>
      <c r="BL240" s="59" t="str">
        <f t="shared" si="211"/>
        <v>1.8106402315908+7.95363510022095i</v>
      </c>
      <c r="BM240" s="64">
        <f t="shared" si="261"/>
        <v>18.230745031894404</v>
      </c>
      <c r="BN240" s="61">
        <f t="shared" si="212"/>
        <v>77.175214039690957</v>
      </c>
      <c r="BO240" s="50">
        <f t="shared" si="262"/>
        <v>-0.64654340537195709</v>
      </c>
      <c r="BP240" s="61">
        <f t="shared" si="263"/>
        <v>67.863238669523085</v>
      </c>
    </row>
    <row r="241" spans="14:68" x14ac:dyDescent="0.25">
      <c r="N241" s="11">
        <v>23</v>
      </c>
      <c r="O241" s="51">
        <f t="shared" si="264"/>
        <v>1698.2436524617447</v>
      </c>
      <c r="P241" s="49" t="str">
        <f t="shared" si="214"/>
        <v>25.6231073841137</v>
      </c>
      <c r="Q241" s="18" t="str">
        <f t="shared" si="215"/>
        <v>1+9.22752949817172i</v>
      </c>
      <c r="R241" s="18">
        <f t="shared" si="227"/>
        <v>9.2815570159122132</v>
      </c>
      <c r="S241" s="18">
        <f t="shared" si="228"/>
        <v>1.462846244127757</v>
      </c>
      <c r="T241" s="18" t="str">
        <f t="shared" si="216"/>
        <v>1+0.00960334160864275i</v>
      </c>
      <c r="U241" s="18">
        <f t="shared" si="229"/>
        <v>1.000046111021913</v>
      </c>
      <c r="V241" s="18">
        <f t="shared" si="230"/>
        <v>9.6030464049076687E-3</v>
      </c>
      <c r="W241" s="32" t="str">
        <f t="shared" si="217"/>
        <v>1-0.215185987897365i</v>
      </c>
      <c r="X241" s="18">
        <f t="shared" si="231"/>
        <v>1.0228905168136837</v>
      </c>
      <c r="Y241" s="18">
        <f t="shared" si="232"/>
        <v>-0.2119539236818348</v>
      </c>
      <c r="Z241" s="32" t="str">
        <f t="shared" si="218"/>
        <v>0.999927899212422+0.0170370393723699i</v>
      </c>
      <c r="AA241" s="18">
        <f t="shared" si="233"/>
        <v>1.0000730295003177</v>
      </c>
      <c r="AB241" s="18">
        <f t="shared" si="234"/>
        <v>1.7036619381035137E-2</v>
      </c>
      <c r="AC241" s="32" t="str">
        <f>IMDIV(IMSUM(COMPLEX(0,2*PI()*O241*Constants!$B$71*Constants!$B$72),COMPLEX(1,0)),IMSUM(COMPLEX(0,2*PI()*O241*Constants!$B$71*Constants!$B$72),COMPLEX(2,0)))</f>
        <v>0.500227610340007+0.010665522187717i</v>
      </c>
      <c r="AD241" s="18">
        <f t="shared" si="235"/>
        <v>0.50034129902498603</v>
      </c>
      <c r="AE241" s="18">
        <f t="shared" si="236"/>
        <v>2.1318108452463035E-2</v>
      </c>
      <c r="AF241" s="66" t="str">
        <f t="shared" si="237"/>
        <v>-0.127152410631807-1.40711250542393i</v>
      </c>
      <c r="AG241" s="64">
        <f t="shared" si="238"/>
        <v>3.0018954808305782</v>
      </c>
      <c r="AH241" s="61">
        <f t="shared" si="239"/>
        <v>-95.163455859997967</v>
      </c>
      <c r="AI241" s="50" t="str">
        <f t="shared" si="219"/>
        <v>108.866083054159</v>
      </c>
      <c r="AJ241" s="50" t="str">
        <f t="shared" si="220"/>
        <v>1+8.7303105533116i</v>
      </c>
      <c r="AK241" s="50">
        <f t="shared" si="240"/>
        <v>8.7873956527098454</v>
      </c>
      <c r="AL241" s="50">
        <f t="shared" si="241"/>
        <v>1.4567499018844481</v>
      </c>
      <c r="AM241" s="50" t="str">
        <f t="shared" si="221"/>
        <v>1+0.00960334160864275i</v>
      </c>
      <c r="AN241" s="50">
        <f t="shared" si="242"/>
        <v>1.000046111021913</v>
      </c>
      <c r="AO241" s="50">
        <f t="shared" si="243"/>
        <v>9.6030464049076687E-3</v>
      </c>
      <c r="AP241" s="50" t="str">
        <f t="shared" si="222"/>
        <v>1-0.0479178063768418i</v>
      </c>
      <c r="AQ241" s="50">
        <f t="shared" si="244"/>
        <v>1.0011473998208098</v>
      </c>
      <c r="AR241" s="50">
        <f t="shared" si="245"/>
        <v>-4.7881181870104955E-2</v>
      </c>
      <c r="AS241" s="59" t="str">
        <f t="shared" si="246"/>
        <v>0.938906473312962-12.3680907961671i</v>
      </c>
      <c r="AT241" s="50">
        <f t="shared" si="247"/>
        <v>21.871009311939016</v>
      </c>
      <c r="AU241" s="61">
        <f t="shared" si="248"/>
        <v>-85.65879679386147</v>
      </c>
      <c r="AV241" s="32" t="str">
        <f t="shared" si="223"/>
        <v>-0.0000333333333333333</v>
      </c>
      <c r="AW241" s="32" t="str">
        <f t="shared" si="224"/>
        <v>0.000512178219127614i</v>
      </c>
      <c r="AX241" s="32">
        <f t="shared" si="249"/>
        <v>5.1217821912761402E-4</v>
      </c>
      <c r="AY241" s="32">
        <f t="shared" si="250"/>
        <v>1.5707963267948966</v>
      </c>
      <c r="AZ241" s="32" t="str">
        <f t="shared" si="225"/>
        <v>1+0.208961599817689i</v>
      </c>
      <c r="BA241" s="32">
        <f t="shared" si="251"/>
        <v>1.0215992121171433</v>
      </c>
      <c r="BB241" s="32">
        <f t="shared" si="252"/>
        <v>0.20599744586367966</v>
      </c>
      <c r="BC241" s="32" t="str">
        <f t="shared" si="226"/>
        <v>1+10.0301567912491i</v>
      </c>
      <c r="BD241" s="32">
        <f t="shared" si="253"/>
        <v>10.079883196597095</v>
      </c>
      <c r="BE241" s="32">
        <f t="shared" si="254"/>
        <v>1.4714253675278346</v>
      </c>
      <c r="BF241" s="59" t="str">
        <f t="shared" si="255"/>
        <v>-0.612436242703419+0.193057169879795i</v>
      </c>
      <c r="BG241" s="50">
        <f t="shared" si="256"/>
        <v>-3.8473482027498678</v>
      </c>
      <c r="BH241" s="61">
        <f t="shared" si="257"/>
        <v>162.50367918936746</v>
      </c>
      <c r="BI241" s="59" t="str">
        <f t="shared" si="258"/>
        <v>0.349525902617638+0.837219011342856i</v>
      </c>
      <c r="BJ241" s="64">
        <f t="shared" si="259"/>
        <v>-0.84545272191928689</v>
      </c>
      <c r="BK241" s="61">
        <f t="shared" si="260"/>
        <v>67.340223329369465</v>
      </c>
      <c r="BL241" s="59" t="str">
        <f t="shared" si="211"/>
        <v>1.81272825315865+7.75592968313894i</v>
      </c>
      <c r="BM241" s="64">
        <f t="shared" si="261"/>
        <v>18.023661109189149</v>
      </c>
      <c r="BN241" s="61">
        <f t="shared" si="212"/>
        <v>76.844882395506019</v>
      </c>
      <c r="BO241" s="50">
        <f t="shared" si="262"/>
        <v>-0.84545272191928689</v>
      </c>
      <c r="BP241" s="61">
        <f t="shared" si="263"/>
        <v>67.340223329369465</v>
      </c>
    </row>
    <row r="242" spans="14:68" x14ac:dyDescent="0.25">
      <c r="N242" s="11">
        <v>24</v>
      </c>
      <c r="O242" s="51">
        <f t="shared" si="264"/>
        <v>1737.8008287493772</v>
      </c>
      <c r="P242" s="49" t="str">
        <f t="shared" si="214"/>
        <v>25.6231073841137</v>
      </c>
      <c r="Q242" s="18" t="str">
        <f t="shared" si="215"/>
        <v>1+9.4424662715431i</v>
      </c>
      <c r="R242" s="18">
        <f t="shared" si="227"/>
        <v>9.4952708907765793</v>
      </c>
      <c r="S242" s="18">
        <f t="shared" si="228"/>
        <v>1.4652850821623677</v>
      </c>
      <c r="T242" s="18" t="str">
        <f t="shared" si="216"/>
        <v>1+0.00982703217060235i</v>
      </c>
      <c r="U242" s="18">
        <f t="shared" si="229"/>
        <v>1.0000482841149632</v>
      </c>
      <c r="V242" s="18">
        <f t="shared" si="230"/>
        <v>9.8267158549260655E-3</v>
      </c>
      <c r="W242" s="32" t="str">
        <f t="shared" si="217"/>
        <v>1-0.220198313452386i</v>
      </c>
      <c r="X242" s="18">
        <f t="shared" si="231"/>
        <v>1.0239566871930059</v>
      </c>
      <c r="Y242" s="18">
        <f t="shared" si="232"/>
        <v>-0.21673945529809346</v>
      </c>
      <c r="Z242" s="32" t="str">
        <f t="shared" si="218"/>
        <v>0.99992450120699+0.0174338829989575i</v>
      </c>
      <c r="AA242" s="18">
        <f t="shared" si="233"/>
        <v>1.0000764712713068</v>
      </c>
      <c r="AB242" s="18">
        <f t="shared" si="234"/>
        <v>1.7433432971098412E-2</v>
      </c>
      <c r="AC242" s="32" t="str">
        <f>IMDIV(IMSUM(COMPLEX(0,2*PI()*O242*Constants!$B$71*Constants!$B$72),COMPLEX(1,0)),IMSUM(COMPLEX(0,2*PI()*O242*Constants!$B$71*Constants!$B$72),COMPLEX(2,0)))</f>
        <v>0.500238332171701+0.0109137199719613i</v>
      </c>
      <c r="AD242" s="18">
        <f t="shared" si="235"/>
        <v>0.50035737054384588</v>
      </c>
      <c r="AE242" s="18">
        <f t="shared" si="236"/>
        <v>2.1813580011513144E-2</v>
      </c>
      <c r="AF242" s="66" t="str">
        <f t="shared" si="237"/>
        <v>-0.133924436689264-1.37602660899347i</v>
      </c>
      <c r="AG242" s="64">
        <f t="shared" si="238"/>
        <v>2.813481696962425</v>
      </c>
      <c r="AH242" s="61">
        <f t="shared" si="239"/>
        <v>-95.558913749904818</v>
      </c>
      <c r="AI242" s="50" t="str">
        <f t="shared" si="219"/>
        <v>108.866083054159</v>
      </c>
      <c r="AJ242" s="50" t="str">
        <f t="shared" si="220"/>
        <v>1+8.93366560963851i</v>
      </c>
      <c r="AK242" s="50">
        <f t="shared" si="240"/>
        <v>8.9894594512038264</v>
      </c>
      <c r="AL242" s="50">
        <f t="shared" si="241"/>
        <v>1.4593242169383878</v>
      </c>
      <c r="AM242" s="50" t="str">
        <f t="shared" si="221"/>
        <v>1+0.00982703217060235i</v>
      </c>
      <c r="AN242" s="50">
        <f t="shared" si="242"/>
        <v>1.0000482841149632</v>
      </c>
      <c r="AO242" s="50">
        <f t="shared" si="243"/>
        <v>9.8267158549260655E-3</v>
      </c>
      <c r="AP242" s="50" t="str">
        <f t="shared" si="222"/>
        <v>1-0.0490339554708885i</v>
      </c>
      <c r="AQ242" s="50">
        <f t="shared" si="244"/>
        <v>1.001201442662325</v>
      </c>
      <c r="AR242" s="50">
        <f t="shared" si="245"/>
        <v>-4.8994714147850331E-2</v>
      </c>
      <c r="AS242" s="59" t="str">
        <f t="shared" si="246"/>
        <v>0.875963432451203-12.0938685600972i</v>
      </c>
      <c r="AT242" s="50">
        <f t="shared" si="247"/>
        <v>21.674029109392734</v>
      </c>
      <c r="AU242" s="61">
        <f t="shared" si="248"/>
        <v>-85.857279565963552</v>
      </c>
      <c r="AV242" s="32" t="str">
        <f t="shared" si="223"/>
        <v>-0.0000333333333333333</v>
      </c>
      <c r="AW242" s="32" t="str">
        <f t="shared" si="224"/>
        <v>0.000524108382432125i</v>
      </c>
      <c r="AX242" s="32">
        <f t="shared" si="249"/>
        <v>5.2410838243212505E-4</v>
      </c>
      <c r="AY242" s="32">
        <f t="shared" si="250"/>
        <v>1.5707963267948966</v>
      </c>
      <c r="AZ242" s="32" t="str">
        <f t="shared" si="225"/>
        <v>1+0.213828940749218i</v>
      </c>
      <c r="BA242" s="32">
        <f t="shared" si="251"/>
        <v>1.0226058947130769</v>
      </c>
      <c r="BB242" s="32">
        <f t="shared" si="252"/>
        <v>0.21065657231301399</v>
      </c>
      <c r="BC242" s="32" t="str">
        <f t="shared" si="226"/>
        <v>1+10.2637891559625i</v>
      </c>
      <c r="BD242" s="32">
        <f t="shared" si="253"/>
        <v>10.312389046096612</v>
      </c>
      <c r="BE242" s="32">
        <f t="shared" si="254"/>
        <v>1.4736729652425924</v>
      </c>
      <c r="BF242" s="59" t="str">
        <f t="shared" si="255"/>
        <v>-0.611231036581576+0.194298961827298i</v>
      </c>
      <c r="BG242" s="50">
        <f t="shared" si="256"/>
        <v>-3.8578272682702579</v>
      </c>
      <c r="BH242" s="61">
        <f t="shared" si="257"/>
        <v>162.36550877070167</v>
      </c>
      <c r="BI242" s="59" t="str">
        <f t="shared" si="258"/>
        <v>0.349219313835351+0.81504879156688i</v>
      </c>
      <c r="BJ242" s="64">
        <f t="shared" si="259"/>
        <v>-1.0443455713078325</v>
      </c>
      <c r="BK242" s="61">
        <f t="shared" si="260"/>
        <v>66.806595020796848</v>
      </c>
      <c r="BL242" s="59" t="str">
        <f t="shared" ref="BL242:BL305" si="265">IMPRODUCT(AS242,BF242)</f>
        <v>1.81441006887798+7.56234660179349i</v>
      </c>
      <c r="BM242" s="64">
        <f t="shared" si="261"/>
        <v>17.816201841122478</v>
      </c>
      <c r="BN242" s="61">
        <f t="shared" ref="BN242:BN305" si="266">(180/PI())*IMARGUMENT(BL242)</f>
        <v>76.508229204738129</v>
      </c>
      <c r="BO242" s="50">
        <f t="shared" si="262"/>
        <v>-1.0443455713078325</v>
      </c>
      <c r="BP242" s="61">
        <f t="shared" si="263"/>
        <v>66.806595020796848</v>
      </c>
    </row>
    <row r="243" spans="14:68" x14ac:dyDescent="0.25">
      <c r="N243" s="11">
        <v>25</v>
      </c>
      <c r="O243" s="51">
        <f t="shared" si="264"/>
        <v>1778.2794100389244</v>
      </c>
      <c r="P243" s="49" t="str">
        <f t="shared" si="214"/>
        <v>25.6231073841137</v>
      </c>
      <c r="Q243" s="18" t="str">
        <f t="shared" si="215"/>
        <v>1+9.66240956551747i</v>
      </c>
      <c r="R243" s="18">
        <f t="shared" si="227"/>
        <v>9.7140186643738478</v>
      </c>
      <c r="S243" s="18">
        <f t="shared" si="228"/>
        <v>1.4676696234345581</v>
      </c>
      <c r="T243" s="18" t="str">
        <f t="shared" si="216"/>
        <v>1+0.010055933155095i</v>
      </c>
      <c r="U243" s="18">
        <f t="shared" si="229"/>
        <v>1.0000505596176725</v>
      </c>
      <c r="V243" s="18">
        <f t="shared" si="230"/>
        <v>1.0055594217666788E-2</v>
      </c>
      <c r="W243" s="32" t="str">
        <f t="shared" si="217"/>
        <v>1-0.225327391067868i</v>
      </c>
      <c r="X243" s="18">
        <f t="shared" si="231"/>
        <v>1.0250719160944035</v>
      </c>
      <c r="Y243" s="18">
        <f t="shared" si="232"/>
        <v>-0.22162603602236658</v>
      </c>
      <c r="Z243" s="32" t="str">
        <f t="shared" si="218"/>
        <v>0.999920943058496+0.0178399703010758i</v>
      </c>
      <c r="AA243" s="18">
        <f t="shared" si="233"/>
        <v>1.0000800752476449</v>
      </c>
      <c r="AB243" s="18">
        <f t="shared" si="234"/>
        <v>1.7839488088618662E-2</v>
      </c>
      <c r="AC243" s="32" t="str">
        <f>IMDIV(IMSUM(COMPLEX(0,2*PI()*O243*Constants!$B$71*Constants!$B$72),COMPLEX(1,0)),IMSUM(COMPLEX(0,2*PI()*O243*Constants!$B$71*Constants!$B$72),COMPLEX(2,0)))</f>
        <v>0.500249558814693+0.0111676822906414i</v>
      </c>
      <c r="AD243" s="18">
        <f t="shared" si="235"/>
        <v>0.50037419819774842</v>
      </c>
      <c r="AE243" s="18">
        <f t="shared" si="236"/>
        <v>2.232051469612693E-2</v>
      </c>
      <c r="AF243" s="66" t="str">
        <f t="shared" si="237"/>
        <v>-0.140399085323226-1.34560647191507i</v>
      </c>
      <c r="AG243" s="64">
        <f t="shared" si="238"/>
        <v>2.6253857592989061</v>
      </c>
      <c r="AH243" s="61">
        <f t="shared" si="239"/>
        <v>-95.956624614986382</v>
      </c>
      <c r="AI243" s="50" t="str">
        <f t="shared" si="219"/>
        <v>108.866083054159</v>
      </c>
      <c r="AJ243" s="50" t="str">
        <f t="shared" si="220"/>
        <v>1+9.14175741372269i</v>
      </c>
      <c r="AK243" s="50">
        <f t="shared" si="240"/>
        <v>9.1962888499303759</v>
      </c>
      <c r="AL243" s="50">
        <f t="shared" si="241"/>
        <v>1.4618413678428175</v>
      </c>
      <c r="AM243" s="50" t="str">
        <f t="shared" si="221"/>
        <v>1+0.010055933155095i</v>
      </c>
      <c r="AN243" s="50">
        <f t="shared" si="242"/>
        <v>1.0000505596176725</v>
      </c>
      <c r="AO243" s="50">
        <f t="shared" si="243"/>
        <v>1.0055594217666788E-2</v>
      </c>
      <c r="AP243" s="50" t="str">
        <f t="shared" si="222"/>
        <v>1-0.0501761030171669i</v>
      </c>
      <c r="AQ243" s="50">
        <f t="shared" si="244"/>
        <v>1.0012580293380868</v>
      </c>
      <c r="AR243" s="50">
        <f t="shared" si="245"/>
        <v>-5.0134058034783047E-2</v>
      </c>
      <c r="AS243" s="59" t="str">
        <f t="shared" si="246"/>
        <v>0.815784722317428-11.8254317775983i</v>
      </c>
      <c r="AT243" s="50">
        <f t="shared" si="247"/>
        <v>21.47695925594563</v>
      </c>
      <c r="AU243" s="61">
        <f t="shared" si="248"/>
        <v>-86.053667521113269</v>
      </c>
      <c r="AV243" s="32" t="str">
        <f t="shared" si="223"/>
        <v>-0.0000333333333333333</v>
      </c>
      <c r="AW243" s="32" t="str">
        <f t="shared" si="224"/>
        <v>0.000536316434938395i</v>
      </c>
      <c r="AX243" s="32">
        <f t="shared" si="249"/>
        <v>5.3631643493839498E-4</v>
      </c>
      <c r="AY243" s="32">
        <f t="shared" si="250"/>
        <v>1.5707963267948966</v>
      </c>
      <c r="AZ243" s="32" t="str">
        <f t="shared" si="225"/>
        <v>1+0.218809656615492i</v>
      </c>
      <c r="BA243" s="32">
        <f t="shared" si="251"/>
        <v>1.0236589597264263</v>
      </c>
      <c r="BB243" s="32">
        <f t="shared" si="252"/>
        <v>0.21541463130390404</v>
      </c>
      <c r="BC243" s="32" t="str">
        <f t="shared" si="226"/>
        <v>1+10.5028635175436i</v>
      </c>
      <c r="BD243" s="32">
        <f t="shared" si="253"/>
        <v>10.550362177107871</v>
      </c>
      <c r="BE243" s="32">
        <f t="shared" si="254"/>
        <v>1.4758703529810815</v>
      </c>
      <c r="BF243" s="59" t="str">
        <f t="shared" si="255"/>
        <v>-0.609974104406136+0.195620586557845i</v>
      </c>
      <c r="BG243" s="50">
        <f t="shared" si="256"/>
        <v>-3.8686056787830099</v>
      </c>
      <c r="BH243" s="61">
        <f t="shared" si="257"/>
        <v>162.21879311521863</v>
      </c>
      <c r="BI243" s="59" t="str">
        <f t="shared" si="258"/>
        <v>0.348868133641534+0.793320151166381i</v>
      </c>
      <c r="BJ243" s="64">
        <f t="shared" si="259"/>
        <v>-1.2432199194841014</v>
      </c>
      <c r="BK243" s="61">
        <f t="shared" si="260"/>
        <v>66.262168500232249</v>
      </c>
      <c r="BL243" s="59" t="str">
        <f t="shared" si="265"/>
        <v>1.81569034524978+7.37279144364105i</v>
      </c>
      <c r="BM243" s="64">
        <f t="shared" si="261"/>
        <v>17.608353577162625</v>
      </c>
      <c r="BN243" s="61">
        <f t="shared" si="266"/>
        <v>76.165125594105376</v>
      </c>
      <c r="BO243" s="50">
        <f t="shared" si="262"/>
        <v>-1.2432199194841014</v>
      </c>
      <c r="BP243" s="61">
        <f t="shared" si="263"/>
        <v>66.262168500232249</v>
      </c>
    </row>
    <row r="244" spans="14:68" x14ac:dyDescent="0.25">
      <c r="N244" s="11">
        <v>26</v>
      </c>
      <c r="O244" s="51">
        <f t="shared" si="264"/>
        <v>1819.7008586099832</v>
      </c>
      <c r="P244" s="49" t="str">
        <f t="shared" si="214"/>
        <v>25.6231073841137</v>
      </c>
      <c r="Q244" s="18" t="str">
        <f t="shared" si="215"/>
        <v>1+9.88747599694048i</v>
      </c>
      <c r="R244" s="18">
        <f t="shared" si="227"/>
        <v>9.9379163605895862</v>
      </c>
      <c r="S244" s="18">
        <f t="shared" si="228"/>
        <v>1.4700010237317229</v>
      </c>
      <c r="T244" s="18" t="str">
        <f t="shared" si="216"/>
        <v>1+0.0102901659284523i</v>
      </c>
      <c r="U244" s="18">
        <f t="shared" si="229"/>
        <v>1.000052942355971</v>
      </c>
      <c r="V244" s="18">
        <f t="shared" si="230"/>
        <v>1.0289802751493096E-2</v>
      </c>
      <c r="W244" s="32" t="str">
        <f t="shared" si="217"/>
        <v>1-0.230575940248653i</v>
      </c>
      <c r="X244" s="18">
        <f t="shared" si="231"/>
        <v>1.0262384051581535</v>
      </c>
      <c r="Y244" s="18">
        <f t="shared" si="232"/>
        <v>-0.22661532287925507</v>
      </c>
      <c r="Z244" s="32" t="str">
        <f t="shared" si="218"/>
        <v>0.999917217219629+0.0182555165915876i</v>
      </c>
      <c r="AA244" s="18">
        <f t="shared" si="233"/>
        <v>1.0000838490738027</v>
      </c>
      <c r="AB244" s="18">
        <f t="shared" si="234"/>
        <v>1.8254999892844327E-2</v>
      </c>
      <c r="AC244" s="32" t="str">
        <f>IMDIV(IMSUM(COMPLEX(0,2*PI()*O244*Constants!$B$71*Constants!$B$72),COMPLEX(1,0)),IMSUM(COMPLEX(0,2*PI()*O244*Constants!$B$71*Constants!$B$72),COMPLEX(2,0)))</f>
        <v>0.500261314012475+0.0114275422215074i</v>
      </c>
      <c r="AD244" s="18">
        <f t="shared" si="235"/>
        <v>0.50039181749776085</v>
      </c>
      <c r="AE244" s="18">
        <f t="shared" si="236"/>
        <v>2.2839173962781744E-2</v>
      </c>
      <c r="AF244" s="66" t="str">
        <f t="shared" si="237"/>
        <v>-0.146589206824872-1.31584013307841i</v>
      </c>
      <c r="AG244" s="64">
        <f t="shared" si="238"/>
        <v>2.4376300080138193</v>
      </c>
      <c r="AH244" s="61">
        <f t="shared" si="239"/>
        <v>-96.356740017270511</v>
      </c>
      <c r="AI244" s="50" t="str">
        <f t="shared" si="219"/>
        <v>108.866083054159</v>
      </c>
      <c r="AJ244" s="50" t="str">
        <f t="shared" si="220"/>
        <v>1+9.35469629859299i</v>
      </c>
      <c r="AK244" s="50">
        <f t="shared" si="240"/>
        <v>9.4079935607391523</v>
      </c>
      <c r="AL244" s="50">
        <f t="shared" si="241"/>
        <v>1.4643025615648833</v>
      </c>
      <c r="AM244" s="50" t="str">
        <f t="shared" si="221"/>
        <v>1+0.0102901659284523i</v>
      </c>
      <c r="AN244" s="50">
        <f t="shared" si="242"/>
        <v>1.000052942355971</v>
      </c>
      <c r="AO244" s="50">
        <f t="shared" si="243"/>
        <v>1.0289802751493096E-2</v>
      </c>
      <c r="AP244" s="50" t="str">
        <f t="shared" si="222"/>
        <v>1-0.0513448545974237i</v>
      </c>
      <c r="AQ244" s="50">
        <f t="shared" si="244"/>
        <v>1.0013172794342613</v>
      </c>
      <c r="AR244" s="50">
        <f t="shared" si="245"/>
        <v>-5.1299805787492554E-2</v>
      </c>
      <c r="AS244" s="59" t="str">
        <f t="shared" si="246"/>
        <v>0.758251856513118-11.5626789819234i</v>
      </c>
      <c r="AT244" s="50">
        <f t="shared" si="247"/>
        <v>21.279805774249727</v>
      </c>
      <c r="AU244" s="61">
        <f t="shared" si="248"/>
        <v>-86.248056799644672</v>
      </c>
      <c r="AV244" s="32" t="str">
        <f t="shared" si="223"/>
        <v>-0.0000333333333333333</v>
      </c>
      <c r="AW244" s="32" t="str">
        <f t="shared" si="224"/>
        <v>0.000548808849517456i</v>
      </c>
      <c r="AX244" s="32">
        <f t="shared" si="249"/>
        <v>5.4880884951745597E-4</v>
      </c>
      <c r="AY244" s="32">
        <f t="shared" si="250"/>
        <v>1.5707963267948966</v>
      </c>
      <c r="AZ244" s="32" t="str">
        <f t="shared" si="225"/>
        <v>1+0.223906388257989i</v>
      </c>
      <c r="BA244" s="32">
        <f t="shared" si="251"/>
        <v>1.0247604943120794</v>
      </c>
      <c r="BB244" s="32">
        <f t="shared" si="252"/>
        <v>0.22027328347840366</v>
      </c>
      <c r="BC244" s="32" t="str">
        <f t="shared" si="226"/>
        <v>1+10.7475066363835i</v>
      </c>
      <c r="BD244" s="32">
        <f t="shared" si="253"/>
        <v>10.793928798130334</v>
      </c>
      <c r="BE244" s="32">
        <f t="shared" si="254"/>
        <v>1.4780186108997344</v>
      </c>
      <c r="BF244" s="59" t="str">
        <f t="shared" si="255"/>
        <v>-0.608663463621373+0.197021239543977i</v>
      </c>
      <c r="BG244" s="50">
        <f t="shared" si="256"/>
        <v>-3.8797037207558294</v>
      </c>
      <c r="BH244" s="61">
        <f t="shared" si="257"/>
        <v>162.06349896354206</v>
      </c>
      <c r="BI244" s="59" t="str">
        <f t="shared" si="258"/>
        <v>0.348471948416356+0.772022625739109i</v>
      </c>
      <c r="BJ244" s="64">
        <f t="shared" si="259"/>
        <v>-1.4420737127420122</v>
      </c>
      <c r="BK244" s="61">
        <f t="shared" si="260"/>
        <v>65.706758946271577</v>
      </c>
      <c r="BL244" s="59" t="str">
        <f t="shared" si="265"/>
        <v>1.81657314418503+7.18717195853628i</v>
      </c>
      <c r="BM244" s="64">
        <f t="shared" si="261"/>
        <v>17.400102053493896</v>
      </c>
      <c r="BN244" s="61">
        <f t="shared" si="266"/>
        <v>75.815442163897359</v>
      </c>
      <c r="BO244" s="50">
        <f t="shared" si="262"/>
        <v>-1.4420737127420122</v>
      </c>
      <c r="BP244" s="61">
        <f t="shared" si="263"/>
        <v>65.706758946271577</v>
      </c>
    </row>
    <row r="245" spans="14:68" x14ac:dyDescent="0.25">
      <c r="N245" s="11">
        <v>27</v>
      </c>
      <c r="O245" s="51">
        <f t="shared" si="264"/>
        <v>1862.0871366628687</v>
      </c>
      <c r="P245" s="49" t="str">
        <f t="shared" si="214"/>
        <v>25.6231073841137</v>
      </c>
      <c r="Q245" s="18" t="str">
        <f t="shared" si="215"/>
        <v>1+10.1177848990133i</v>
      </c>
      <c r="R245" s="18">
        <f t="shared" si="227"/>
        <v>10.167082731182115</v>
      </c>
      <c r="S245" s="18">
        <f t="shared" si="228"/>
        <v>1.4722804177604218</v>
      </c>
      <c r="T245" s="18" t="str">
        <f t="shared" si="216"/>
        <v>1+0.0105298546839914i</v>
      </c>
      <c r="U245" s="18">
        <f t="shared" si="229"/>
        <v>1.0000554373831811</v>
      </c>
      <c r="V245" s="18">
        <f t="shared" si="230"/>
        <v>1.0529465534033484E-2</v>
      </c>
      <c r="W245" s="32" t="str">
        <f t="shared" si="217"/>
        <v>1-0.235946743844992i</v>
      </c>
      <c r="X245" s="18">
        <f t="shared" si="231"/>
        <v>1.0274584497346131</v>
      </c>
      <c r="Y245" s="18">
        <f t="shared" si="232"/>
        <v>-0.23170896722176551</v>
      </c>
      <c r="Z245" s="32" t="str">
        <f t="shared" si="218"/>
        <v>0.999913315787387+0.0186807421986366i</v>
      </c>
      <c r="AA245" s="18">
        <f t="shared" si="233"/>
        <v>1.0000878007545231</v>
      </c>
      <c r="AB245" s="18">
        <f t="shared" si="234"/>
        <v>1.868018854732004E-2</v>
      </c>
      <c r="AC245" s="32" t="str">
        <f>IMDIV(IMSUM(COMPLEX(0,2*PI()*O245*Constants!$B$71*Constants!$B$72),COMPLEX(1,0)),IMSUM(COMPLEX(0,2*PI()*O245*Constants!$B$71*Constants!$B$72),COMPLEX(2,0)))</f>
        <v>0.500273622622951+0.0116934358567506i</v>
      </c>
      <c r="AD245" s="18">
        <f t="shared" si="235"/>
        <v>0.50041026561655066</v>
      </c>
      <c r="AE245" s="18">
        <f t="shared" si="236"/>
        <v>2.3369824962859238E-2</v>
      </c>
      <c r="AF245" s="66" t="str">
        <f t="shared" si="237"/>
        <v>-0.152507124097745-1.28671570917942i</v>
      </c>
      <c r="AG245" s="64">
        <f t="shared" si="238"/>
        <v>2.2502372691951895</v>
      </c>
      <c r="AH245" s="61">
        <f t="shared" si="239"/>
        <v>-96.759409784882308</v>
      </c>
      <c r="AI245" s="50" t="str">
        <f t="shared" si="219"/>
        <v>108.866083054159</v>
      </c>
      <c r="AJ245" s="50" t="str">
        <f t="shared" si="220"/>
        <v>1+9.57259516726491i</v>
      </c>
      <c r="AK245" s="50">
        <f t="shared" si="240"/>
        <v>9.6246858772815784</v>
      </c>
      <c r="AL245" s="50">
        <f t="shared" si="241"/>
        <v>1.4667089837282254</v>
      </c>
      <c r="AM245" s="50" t="str">
        <f t="shared" si="221"/>
        <v>1+0.0105298546839914i</v>
      </c>
      <c r="AN245" s="50">
        <f t="shared" si="242"/>
        <v>1.0000554373831811</v>
      </c>
      <c r="AO245" s="50">
        <f t="shared" si="243"/>
        <v>1.0529465534033484E-2</v>
      </c>
      <c r="AP245" s="50" t="str">
        <f t="shared" si="222"/>
        <v>1-0.0525408298992179i</v>
      </c>
      <c r="AQ245" s="50">
        <f t="shared" si="244"/>
        <v>1.0013793181439781</v>
      </c>
      <c r="AR245" s="50">
        <f t="shared" si="245"/>
        <v>-5.2492562819964353E-2</v>
      </c>
      <c r="AS245" s="59" t="str">
        <f t="shared" si="246"/>
        <v>0.703251173028845-11.3055090972764i</v>
      </c>
      <c r="AT245" s="50">
        <f t="shared" si="247"/>
        <v>21.082574524856895</v>
      </c>
      <c r="AU245" s="61">
        <f t="shared" si="248"/>
        <v>-86.440542911330184</v>
      </c>
      <c r="AV245" s="32" t="str">
        <f t="shared" si="223"/>
        <v>-0.0000333333333333333</v>
      </c>
      <c r="AW245" s="32" t="str">
        <f t="shared" si="224"/>
        <v>0.000561592249812876i</v>
      </c>
      <c r="AX245" s="32">
        <f t="shared" si="249"/>
        <v>5.6159224981287598E-4</v>
      </c>
      <c r="AY245" s="32">
        <f t="shared" si="250"/>
        <v>1.5707963267948966</v>
      </c>
      <c r="AZ245" s="32" t="str">
        <f t="shared" si="225"/>
        <v>1+0.229121838031294i</v>
      </c>
      <c r="BA245" s="32">
        <f t="shared" si="251"/>
        <v>1.0259126749693848</v>
      </c>
      <c r="BB245" s="32">
        <f t="shared" si="252"/>
        <v>0.22523418697324124</v>
      </c>
      <c r="BC245" s="32" t="str">
        <f t="shared" si="226"/>
        <v>1+10.9978482255021i</v>
      </c>
      <c r="BD245" s="32">
        <f t="shared" si="253"/>
        <v>11.043218081301287</v>
      </c>
      <c r="BE245" s="32">
        <f t="shared" si="254"/>
        <v>1.4801187986757109</v>
      </c>
      <c r="BF245" s="59" t="str">
        <f t="shared" si="255"/>
        <v>-0.607297077408163+0.198500067738629i</v>
      </c>
      <c r="BG245" s="50">
        <f t="shared" si="256"/>
        <v>-3.8911421448421972</v>
      </c>
      <c r="BH245" s="61">
        <f t="shared" si="257"/>
        <v>161.8995920264646</v>
      </c>
      <c r="BI245" s="59" t="str">
        <f t="shared" si="258"/>
        <v>0.348030286180957+0.751146015175808i</v>
      </c>
      <c r="BJ245" s="64">
        <f t="shared" si="259"/>
        <v>-1.640904875647005</v>
      </c>
      <c r="BK245" s="61">
        <f t="shared" si="260"/>
        <v>65.140182241582323</v>
      </c>
      <c r="BL245" s="59" t="str">
        <f t="shared" si="265"/>
        <v>1.81706193956477+7.00539803887085i</v>
      </c>
      <c r="BM245" s="64">
        <f t="shared" si="261"/>
        <v>17.191432380014692</v>
      </c>
      <c r="BN245" s="61">
        <f t="shared" si="266"/>
        <v>75.459049115134434</v>
      </c>
      <c r="BO245" s="50">
        <f t="shared" si="262"/>
        <v>-1.640904875647005</v>
      </c>
      <c r="BP245" s="61">
        <f t="shared" si="263"/>
        <v>65.140182241582323</v>
      </c>
    </row>
    <row r="246" spans="14:68" x14ac:dyDescent="0.25">
      <c r="N246" s="11">
        <v>28</v>
      </c>
      <c r="O246" s="51">
        <f t="shared" si="264"/>
        <v>1905.4607179632501</v>
      </c>
      <c r="P246" s="49" t="str">
        <f t="shared" si="214"/>
        <v>25.6231073841137</v>
      </c>
      <c r="Q246" s="18" t="str">
        <f t="shared" si="215"/>
        <v>1+10.3534583845645i</v>
      </c>
      <c r="R246" s="18">
        <f t="shared" si="227"/>
        <v>10.401639318920308</v>
      </c>
      <c r="S246" s="18">
        <f t="shared" si="228"/>
        <v>1.4745089192903409</v>
      </c>
      <c r="T246" s="18" t="str">
        <f t="shared" si="216"/>
        <v>1+0.0107751265078632i</v>
      </c>
      <c r="U246" s="18">
        <f t="shared" si="229"/>
        <v>1.0000580499907294</v>
      </c>
      <c r="V246" s="18">
        <f t="shared" si="230"/>
        <v>1.0774709527477902E-2</v>
      </c>
      <c r="W246" s="32" t="str">
        <f t="shared" si="217"/>
        <v>1-0.241442649528045i</v>
      </c>
      <c r="X246" s="18">
        <f t="shared" si="231"/>
        <v>1.0287344424151075</v>
      </c>
      <c r="Y246" s="18">
        <f t="shared" si="232"/>
        <v>-0.23690861205193761</v>
      </c>
      <c r="Z246" s="32" t="str">
        <f t="shared" si="218"/>
        <v>0.999909230486307+0.0191158725824683i</v>
      </c>
      <c r="AA246" s="18">
        <f t="shared" si="233"/>
        <v>1.0000919386717944</v>
      </c>
      <c r="AB246" s="18">
        <f t="shared" si="234"/>
        <v>1.9115279335922265E-2</v>
      </c>
      <c r="AC246" s="32" t="str">
        <f>IMDIV(IMSUM(COMPLEX(0,2*PI()*O246*Constants!$B$71*Constants!$B$72),COMPLEX(1,0)),IMSUM(COMPLEX(0,2*PI()*O246*Constants!$B$71*Constants!$B$72),COMPLEX(2,0)))</f>
        <v>0.500286510670525+0.0119655023671351i</v>
      </c>
      <c r="AD246" s="18">
        <f t="shared" si="235"/>
        <v>0.50042958146555161</v>
      </c>
      <c r="AE246" s="18">
        <f t="shared" si="236"/>
        <v>2.3912740647276665E-2</v>
      </c>
      <c r="AF246" s="66" t="str">
        <f t="shared" si="237"/>
        <v>-0.158164652296335-1.25822140533264i</v>
      </c>
      <c r="AG246" s="64">
        <f t="shared" si="238"/>
        <v>2.0632308806360729</v>
      </c>
      <c r="AH246" s="61">
        <f t="shared" si="239"/>
        <v>-97.164781863689043</v>
      </c>
      <c r="AI246" s="50" t="str">
        <f t="shared" si="219"/>
        <v>108.866083054159</v>
      </c>
      <c r="AJ246" s="50" t="str">
        <f t="shared" si="220"/>
        <v>1+9.79556955260287i</v>
      </c>
      <c r="AK246" s="50">
        <f t="shared" si="240"/>
        <v>9.8464807347539356</v>
      </c>
      <c r="AL246" s="50">
        <f t="shared" si="241"/>
        <v>1.469061798706734</v>
      </c>
      <c r="AM246" s="50" t="str">
        <f t="shared" si="221"/>
        <v>1+0.0107751265078632i</v>
      </c>
      <c r="AN246" s="50">
        <f t="shared" si="242"/>
        <v>1.0000580499907294</v>
      </c>
      <c r="AO246" s="50">
        <f t="shared" si="243"/>
        <v>1.0774709527477902E-2</v>
      </c>
      <c r="AP246" s="50" t="str">
        <f t="shared" si="222"/>
        <v>1-0.0537646630444852i</v>
      </c>
      <c r="AQ246" s="50">
        <f t="shared" si="244"/>
        <v>1.0014442765287979</v>
      </c>
      <c r="AR246" s="50">
        <f t="shared" si="245"/>
        <v>-5.3712947964871957E-2</v>
      </c>
      <c r="AS246" s="59" t="str">
        <f t="shared" si="246"/>
        <v>0.650673660158529-11.0538215491852i</v>
      </c>
      <c r="AT246" s="50">
        <f t="shared" si="247"/>
        <v>20.885271217200604</v>
      </c>
      <c r="AU246" s="61">
        <f t="shared" si="248"/>
        <v>-86.631220751982241</v>
      </c>
      <c r="AV246" s="32" t="str">
        <f t="shared" si="223"/>
        <v>-0.0000333333333333333</v>
      </c>
      <c r="AW246" s="32" t="str">
        <f t="shared" si="224"/>
        <v>0.000574673413752699i</v>
      </c>
      <c r="AX246" s="32">
        <f t="shared" si="249"/>
        <v>5.7467341375269903E-4</v>
      </c>
      <c r="AY246" s="32">
        <f t="shared" si="250"/>
        <v>1.5707963267948966</v>
      </c>
      <c r="AZ246" s="32" t="str">
        <f t="shared" si="225"/>
        <v>1+0.234458771235911i</v>
      </c>
      <c r="BA246" s="32">
        <f t="shared" si="251"/>
        <v>1.0271177709539707</v>
      </c>
      <c r="BB246" s="32">
        <f t="shared" si="252"/>
        <v>0.23029899495922598</v>
      </c>
      <c r="BC246" s="32" t="str">
        <f t="shared" si="226"/>
        <v>1+11.2540210193238i</v>
      </c>
      <c r="BD246" s="32">
        <f t="shared" si="253"/>
        <v>11.298362231021889</v>
      </c>
      <c r="BE246" s="32">
        <f t="shared" si="254"/>
        <v>1.4821719557075559</v>
      </c>
      <c r="BF246" s="59" t="str">
        <f t="shared" si="255"/>
        <v>-0.605872855265086+0.200056164524988i</v>
      </c>
      <c r="BG246" s="50">
        <f t="shared" si="256"/>
        <v>-3.9029421896658079</v>
      </c>
      <c r="BH246" s="61">
        <f t="shared" si="257"/>
        <v>161.7270371374259</v>
      </c>
      <c r="BI246" s="59" t="str">
        <f t="shared" si="258"/>
        <v>0.347542617962878+0.730680381702703i</v>
      </c>
      <c r="BJ246" s="64">
        <f t="shared" si="259"/>
        <v>-1.8397113090297321</v>
      </c>
      <c r="BK246" s="61">
        <f t="shared" si="260"/>
        <v>64.562255273736881</v>
      </c>
      <c r="BL246" s="59" t="str">
        <f t="shared" si="265"/>
        <v>1.81715963414762+6.82738170040432i</v>
      </c>
      <c r="BM246" s="64">
        <f t="shared" si="261"/>
        <v>16.982329027534792</v>
      </c>
      <c r="BN246" s="61">
        <f t="shared" si="266"/>
        <v>75.095816385443669</v>
      </c>
      <c r="BO246" s="50">
        <f t="shared" si="262"/>
        <v>-1.8397113090297321</v>
      </c>
      <c r="BP246" s="61">
        <f t="shared" si="263"/>
        <v>64.562255273736881</v>
      </c>
    </row>
    <row r="247" spans="14:68" x14ac:dyDescent="0.25">
      <c r="N247" s="11">
        <v>29</v>
      </c>
      <c r="O247" s="51">
        <f t="shared" si="264"/>
        <v>1949.8445997580463</v>
      </c>
      <c r="P247" s="49" t="str">
        <f t="shared" si="214"/>
        <v>25.6231073841137</v>
      </c>
      <c r="Q247" s="18" t="str">
        <f t="shared" si="215"/>
        <v>1+10.5946214107952i</v>
      </c>
      <c r="R247" s="18">
        <f t="shared" si="227"/>
        <v>10.641710522189562</v>
      </c>
      <c r="S247" s="18">
        <f t="shared" si="228"/>
        <v>1.4766876213160056</v>
      </c>
      <c r="T247" s="18" t="str">
        <f t="shared" si="216"/>
        <v>1+0.0110261114464349i</v>
      </c>
      <c r="U247" s="18">
        <f t="shared" si="229"/>
        <v>1.0000607857193629</v>
      </c>
      <c r="V247" s="18">
        <f t="shared" si="230"/>
        <v>1.1025664645368883E-2</v>
      </c>
      <c r="W247" s="32" t="str">
        <f t="shared" si="217"/>
        <v>1-0.247066571299745i</v>
      </c>
      <c r="X247" s="18">
        <f t="shared" si="231"/>
        <v>1.0300688766552517</v>
      </c>
      <c r="Y247" s="18">
        <f t="shared" si="232"/>
        <v>-0.24221588916279954</v>
      </c>
      <c r="Z247" s="32" t="str">
        <f t="shared" si="218"/>
        <v>0.99990495265092+0.0195611384549715i</v>
      </c>
      <c r="AA247" s="18">
        <f t="shared" si="233"/>
        <v>1.0000962716026358</v>
      </c>
      <c r="AB247" s="18">
        <f t="shared" si="234"/>
        <v>1.9560502781559106E-2</v>
      </c>
      <c r="AC247" s="32" t="str">
        <f>IMDIV(IMSUM(COMPLEX(0,2*PI()*O247*Constants!$B$71*Constants!$B$72),COMPLEX(1,0)),IMSUM(COMPLEX(0,2*PI()*O247*Constants!$B$71*Constants!$B$72),COMPLEX(2,0)))</f>
        <v>0.500300005400582+0.0122438840671913i</v>
      </c>
      <c r="AD247" s="18">
        <f t="shared" si="235"/>
        <v>0.50044980577563736</v>
      </c>
      <c r="AE247" s="18">
        <f t="shared" si="236"/>
        <v>2.4468199871583527E-2</v>
      </c>
      <c r="AF247" s="66" t="str">
        <f t="shared" si="237"/>
        <v>-0.163573117934151-1.23034552470784i</v>
      </c>
      <c r="AG247" s="64">
        <f t="shared" si="238"/>
        <v>1.8766347170636251</v>
      </c>
      <c r="AH247" s="61">
        <f t="shared" si="239"/>
        <v>-97.573002159763519</v>
      </c>
      <c r="AI247" s="50" t="str">
        <f t="shared" si="219"/>
        <v>108.866083054159</v>
      </c>
      <c r="AJ247" s="50" t="str">
        <f t="shared" si="220"/>
        <v>1+10.0237376785772i</v>
      </c>
      <c r="AK247" s="50">
        <f t="shared" si="240"/>
        <v>10.073495771028458</v>
      </c>
      <c r="AL247" s="50">
        <f t="shared" si="241"/>
        <v>1.4713621497405331</v>
      </c>
      <c r="AM247" s="50" t="str">
        <f t="shared" si="221"/>
        <v>1+0.0110261114464349i</v>
      </c>
      <c r="AN247" s="50">
        <f t="shared" si="242"/>
        <v>1.0000607857193629</v>
      </c>
      <c r="AO247" s="50">
        <f t="shared" si="243"/>
        <v>1.1025664645368883E-2</v>
      </c>
      <c r="AP247" s="50" t="str">
        <f t="shared" si="222"/>
        <v>1-0.0550170029257575i</v>
      </c>
      <c r="AQ247" s="50">
        <f t="shared" si="244"/>
        <v>1.0015122917922341</v>
      </c>
      <c r="AR247" s="50">
        <f t="shared" si="245"/>
        <v>-5.4961593737780298E-2</v>
      </c>
      <c r="AS247" s="59" t="str">
        <f t="shared" si="246"/>
        <v>0.600414786672945-10.8075163653629i</v>
      </c>
      <c r="AT247" s="50">
        <f t="shared" si="247"/>
        <v>20.687901420368206</v>
      </c>
      <c r="AU247" s="61">
        <f t="shared" si="248"/>
        <v>-86.820184621409609</v>
      </c>
      <c r="AV247" s="32" t="str">
        <f t="shared" si="223"/>
        <v>-0.0000333333333333333</v>
      </c>
      <c r="AW247" s="32" t="str">
        <f t="shared" si="224"/>
        <v>0.000588059277143195i</v>
      </c>
      <c r="AX247" s="32">
        <f t="shared" si="249"/>
        <v>5.8805927714319505E-4</v>
      </c>
      <c r="AY247" s="32">
        <f t="shared" si="250"/>
        <v>1.5707963267948966</v>
      </c>
      <c r="AZ247" s="32" t="str">
        <f t="shared" si="225"/>
        <v>1+0.239920017584463i</v>
      </c>
      <c r="BA247" s="32">
        <f t="shared" si="251"/>
        <v>1.0283781477830658</v>
      </c>
      <c r="BB247" s="32">
        <f t="shared" si="252"/>
        <v>0.23546935300989758</v>
      </c>
      <c r="BC247" s="32" t="str">
        <f t="shared" si="226"/>
        <v>1+11.5161608440542i</v>
      </c>
      <c r="BD247" s="32">
        <f t="shared" si="253"/>
        <v>11.559496554181205</v>
      </c>
      <c r="BE247" s="32">
        <f t="shared" si="254"/>
        <v>1.4841791013280732</v>
      </c>
      <c r="BF247" s="59" t="str">
        <f t="shared" si="255"/>
        <v>-0.604388653836319+0.201688564500132i</v>
      </c>
      <c r="BG247" s="50">
        <f t="shared" si="256"/>
        <v>-3.9151256051205623</v>
      </c>
      <c r="BH247" s="61">
        <f t="shared" si="257"/>
        <v>161.54579841547468</v>
      </c>
      <c r="BI247" s="59" t="str">
        <f t="shared" si="258"/>
        <v>0.347008359269517+0.710616048084761i</v>
      </c>
      <c r="BJ247" s="64">
        <f t="shared" si="259"/>
        <v>-2.0384908880569399</v>
      </c>
      <c r="BK247" s="61">
        <f t="shared" si="260"/>
        <v>63.972796255711167</v>
      </c>
      <c r="BL247" s="59" t="str">
        <f t="shared" si="265"/>
        <v>1.81686857688105+6.65303706380439i</v>
      </c>
      <c r="BM247" s="64">
        <f t="shared" si="261"/>
        <v>16.772775815247641</v>
      </c>
      <c r="BN247" s="61">
        <f t="shared" si="266"/>
        <v>74.725613794065055</v>
      </c>
      <c r="BO247" s="50">
        <f t="shared" si="262"/>
        <v>-2.0384908880569399</v>
      </c>
      <c r="BP247" s="61">
        <f t="shared" si="263"/>
        <v>63.972796255711167</v>
      </c>
    </row>
    <row r="248" spans="14:68" x14ac:dyDescent="0.25">
      <c r="N248" s="11">
        <v>30</v>
      </c>
      <c r="O248" s="51">
        <f t="shared" si="264"/>
        <v>1995.2623149688804</v>
      </c>
      <c r="P248" s="49" t="str">
        <f t="shared" si="214"/>
        <v>25.6231073841137</v>
      </c>
      <c r="Q248" s="18" t="str">
        <f t="shared" si="215"/>
        <v>1+10.8414018455344i</v>
      </c>
      <c r="R248" s="18">
        <f t="shared" si="227"/>
        <v>10.887423661103517</v>
      </c>
      <c r="S248" s="18">
        <f t="shared" si="228"/>
        <v>1.4788175962346062</v>
      </c>
      <c r="T248" s="18" t="str">
        <f t="shared" si="216"/>
        <v>1+0.0112829425752435i</v>
      </c>
      <c r="U248" s="18">
        <f t="shared" si="229"/>
        <v>1.0000636503708933</v>
      </c>
      <c r="V248" s="18">
        <f t="shared" si="230"/>
        <v>1.1282463820921355E-2</v>
      </c>
      <c r="W248" s="32" t="str">
        <f t="shared" si="217"/>
        <v>1-0.252821491037862i</v>
      </c>
      <c r="X248" s="18">
        <f t="shared" si="231"/>
        <v>1.0314643504894425</v>
      </c>
      <c r="Y248" s="18">
        <f t="shared" si="232"/>
        <v>-0.24763241609575223</v>
      </c>
      <c r="Z248" s="32" t="str">
        <f t="shared" si="218"/>
        <v>0.999900473207362+0.020016775902006i</v>
      </c>
      <c r="AA248" s="18">
        <f t="shared" si="233"/>
        <v>1.0001008087377079</v>
      </c>
      <c r="AB248" s="18">
        <f t="shared" si="234"/>
        <v>2.0016094767596429E-2</v>
      </c>
      <c r="AC248" s="32" t="str">
        <f>IMDIV(IMSUM(COMPLEX(0,2*PI()*O248*Constants!$B$71*Constants!$B$72),COMPLEX(1,0)),IMSUM(COMPLEX(0,2*PI()*O248*Constants!$B$71*Constants!$B$72),COMPLEX(2,0)))</f>
        <v>0.500314135336514+0.0125287264814644i</v>
      </c>
      <c r="AD248" s="18">
        <f t="shared" si="235"/>
        <v>0.50047098118149769</v>
      </c>
      <c r="AE248" s="18">
        <f t="shared" si="236"/>
        <v>2.5036487501392993E-2</v>
      </c>
      <c r="AF248" s="66" t="str">
        <f t="shared" si="237"/>
        <v>-0.168743377456986-1.20307647725272i</v>
      </c>
      <c r="AG248" s="64">
        <f t="shared" si="238"/>
        <v>1.690473214725086</v>
      </c>
      <c r="AH248" s="61">
        <f t="shared" si="239"/>
        <v>-97.984214372245916</v>
      </c>
      <c r="AI248" s="50" t="str">
        <f t="shared" si="219"/>
        <v>108.866083054159</v>
      </c>
      <c r="AJ248" s="50" t="str">
        <f t="shared" si="220"/>
        <v>1+10.2572205229486i</v>
      </c>
      <c r="AK248" s="50">
        <f t="shared" si="240"/>
        <v>10.305851389205939</v>
      </c>
      <c r="AL248" s="50">
        <f t="shared" si="241"/>
        <v>1.4736111590722503</v>
      </c>
      <c r="AM248" s="50" t="str">
        <f t="shared" si="221"/>
        <v>1+0.0112829425752435i</v>
      </c>
      <c r="AN248" s="50">
        <f t="shared" si="242"/>
        <v>1.0000636503708933</v>
      </c>
      <c r="AO248" s="50">
        <f t="shared" si="243"/>
        <v>1.1282463820921355E-2</v>
      </c>
      <c r="AP248" s="50" t="str">
        <f t="shared" si="222"/>
        <v>1-0.0562985135502174i</v>
      </c>
      <c r="AQ248" s="50">
        <f t="shared" si="244"/>
        <v>1.0015835075658763</v>
      </c>
      <c r="AR248" s="50">
        <f t="shared" si="245"/>
        <v>-5.6239146604109384E-2</v>
      </c>
      <c r="AS248" s="59" t="str">
        <f t="shared" si="246"/>
        <v>0.552374336348795-10.5664942676389i</v>
      </c>
      <c r="AT248" s="50">
        <f t="shared" si="247"/>
        <v>20.490470573673175</v>
      </c>
      <c r="AU248" s="61">
        <f t="shared" si="248"/>
        <v>-87.007528242606469</v>
      </c>
      <c r="AV248" s="32" t="str">
        <f t="shared" si="223"/>
        <v>-0.0000333333333333333</v>
      </c>
      <c r="AW248" s="32" t="str">
        <f t="shared" si="224"/>
        <v>0.000601756937346317i</v>
      </c>
      <c r="AX248" s="32">
        <f t="shared" si="249"/>
        <v>6.0175693734631705E-4</v>
      </c>
      <c r="AY248" s="32">
        <f t="shared" si="250"/>
        <v>1.5707963267948966</v>
      </c>
      <c r="AZ248" s="32" t="str">
        <f t="shared" si="225"/>
        <v>1+0.245508472702057i</v>
      </c>
      <c r="BA248" s="32">
        <f t="shared" si="251"/>
        <v>1.0296962708335389</v>
      </c>
      <c r="BB248" s="32">
        <f t="shared" si="252"/>
        <v>0.24074689629319437</v>
      </c>
      <c r="BC248" s="32" t="str">
        <f t="shared" si="226"/>
        <v>1+11.7844066896987i</v>
      </c>
      <c r="BD248" s="32">
        <f t="shared" si="253"/>
        <v>11.826759532019558</v>
      </c>
      <c r="BE248" s="32">
        <f t="shared" si="254"/>
        <v>1.4861412350281495</v>
      </c>
      <c r="BF248" s="59" t="str">
        <f t="shared" si="255"/>
        <v>-0.602842278009106+0.203396238097532i</v>
      </c>
      <c r="BG248" s="50">
        <f t="shared" si="256"/>
        <v>-3.927714675110491</v>
      </c>
      <c r="BH248" s="61">
        <f t="shared" si="257"/>
        <v>161.35583943899886</v>
      </c>
      <c r="BI248" s="59" t="str">
        <f t="shared" si="258"/>
        <v>0.346426871681954+0.690943595987577i</v>
      </c>
      <c r="BJ248" s="64">
        <f t="shared" si="259"/>
        <v>-2.2372414603854063</v>
      </c>
      <c r="BK248" s="61">
        <f t="shared" si="260"/>
        <v>63.371625066752941</v>
      </c>
      <c r="BL248" s="59" t="str">
        <f t="shared" si="265"/>
        <v>1.81619058067861+6.48228033690856i</v>
      </c>
      <c r="BM248" s="64">
        <f t="shared" si="261"/>
        <v>16.562755898562685</v>
      </c>
      <c r="BN248" s="61">
        <f t="shared" si="266"/>
        <v>74.34831119639243</v>
      </c>
      <c r="BO248" s="50">
        <f t="shared" si="262"/>
        <v>-2.2372414603854063</v>
      </c>
      <c r="BP248" s="61">
        <f t="shared" si="263"/>
        <v>63.371625066752941</v>
      </c>
    </row>
    <row r="249" spans="14:68" x14ac:dyDescent="0.25">
      <c r="N249" s="11">
        <v>31</v>
      </c>
      <c r="O249" s="51">
        <f t="shared" si="264"/>
        <v>2041.7379446695318</v>
      </c>
      <c r="P249" s="49" t="str">
        <f t="shared" si="214"/>
        <v>25.6231073841137</v>
      </c>
      <c r="Q249" s="18" t="str">
        <f t="shared" si="215"/>
        <v>1+11.0939305350349i</v>
      </c>
      <c r="R249" s="18">
        <f t="shared" si="227"/>
        <v>11.138909045152479</v>
      </c>
      <c r="S249" s="18">
        <f t="shared" si="228"/>
        <v>1.4808998960383335</v>
      </c>
      <c r="T249" s="18" t="str">
        <f t="shared" si="216"/>
        <v>1+0.0115457560695527i</v>
      </c>
      <c r="U249" s="18">
        <f t="shared" si="229"/>
        <v>1.0000666500204962</v>
      </c>
      <c r="V249" s="18">
        <f t="shared" si="230"/>
        <v>1.1545243076900536E-2</v>
      </c>
      <c r="W249" s="32" t="str">
        <f t="shared" si="217"/>
        <v>1-0.258710460077015i</v>
      </c>
      <c r="X249" s="18">
        <f t="shared" si="231"/>
        <v>1.0329235703348341</v>
      </c>
      <c r="Y249" s="18">
        <f t="shared" si="232"/>
        <v>-0.25315979290769258</v>
      </c>
      <c r="Z249" s="32" t="str">
        <f t="shared" si="218"/>
        <v>0.999895782654132+0.0204830265085769i</v>
      </c>
      <c r="AA249" s="18">
        <f t="shared" si="233"/>
        <v>1.0001055597008099</v>
      </c>
      <c r="AB249" s="18">
        <f t="shared" si="234"/>
        <v>2.0482296662065941E-2</v>
      </c>
      <c r="AC249" s="32" t="str">
        <f>IMDIV(IMSUM(COMPLEX(0,2*PI()*O249*Constants!$B$71*Constants!$B$72),COMPLEX(1,0)),IMSUM(COMPLEX(0,2*PI()*O249*Constants!$B$71*Constants!$B$72),COMPLEX(2,0)))</f>
        <v>0.500328930339358+0.0128201784118095i</v>
      </c>
      <c r="AD249" s="18">
        <f t="shared" si="235"/>
        <v>0.50049315230983604</v>
      </c>
      <c r="AE249" s="18">
        <f t="shared" si="236"/>
        <v>2.5617894518010751E-2</v>
      </c>
      <c r="AF249" s="66" t="str">
        <f t="shared" si="237"/>
        <v>-0.173685835279276-1.17640278756111i</v>
      </c>
      <c r="AG249" s="64">
        <f t="shared" si="238"/>
        <v>1.504771395246717</v>
      </c>
      <c r="AH249" s="61">
        <f t="shared" si="239"/>
        <v>-98.398559816194606</v>
      </c>
      <c r="AI249" s="50" t="str">
        <f t="shared" si="219"/>
        <v>108.866083054159</v>
      </c>
      <c r="AJ249" s="50" t="str">
        <f t="shared" si="220"/>
        <v>1+10.4961418814116i</v>
      </c>
      <c r="AK249" s="50">
        <f t="shared" si="240"/>
        <v>10.543670821621976</v>
      </c>
      <c r="AL249" s="50">
        <f t="shared" si="241"/>
        <v>1.4758099281017361</v>
      </c>
      <c r="AM249" s="50" t="str">
        <f t="shared" si="221"/>
        <v>1+0.0115457560695527i</v>
      </c>
      <c r="AN249" s="50">
        <f t="shared" si="242"/>
        <v>1.0000666500204962</v>
      </c>
      <c r="AO249" s="50">
        <f t="shared" si="243"/>
        <v>1.1545243076900536E-2</v>
      </c>
      <c r="AP249" s="50" t="str">
        <f t="shared" si="222"/>
        <v>1-0.0576098743917604i</v>
      </c>
      <c r="AQ249" s="50">
        <f t="shared" si="244"/>
        <v>1.0016580742086765</v>
      </c>
      <c r="AR249" s="50">
        <f t="shared" si="245"/>
        <v>-5.7546267248677209E-2</v>
      </c>
      <c r="AS249" s="59" t="str">
        <f t="shared" si="246"/>
        <v>0.506456246924037-10.330656755524i</v>
      </c>
      <c r="AT249" s="50">
        <f t="shared" si="247"/>
        <v>20.292983997045518</v>
      </c>
      <c r="AU249" s="61">
        <f t="shared" si="248"/>
        <v>-87.193344782057025</v>
      </c>
      <c r="AV249" s="32" t="str">
        <f t="shared" si="223"/>
        <v>-0.0000333333333333333</v>
      </c>
      <c r="AW249" s="32" t="str">
        <f t="shared" si="224"/>
        <v>0.000615773657042815i</v>
      </c>
      <c r="AX249" s="32">
        <f t="shared" si="249"/>
        <v>6.1577365704281503E-4</v>
      </c>
      <c r="AY249" s="32">
        <f t="shared" si="250"/>
        <v>1.5707963267948966</v>
      </c>
      <c r="AZ249" s="32" t="str">
        <f t="shared" si="225"/>
        <v>1+0.251227099661564i</v>
      </c>
      <c r="BA249" s="32">
        <f t="shared" si="251"/>
        <v>1.0310747090314849</v>
      </c>
      <c r="BB249" s="32">
        <f t="shared" si="252"/>
        <v>0.24613324658009306</v>
      </c>
      <c r="BC249" s="32" t="str">
        <f t="shared" si="226"/>
        <v>1+12.0589007837551i</v>
      </c>
      <c r="BD249" s="32">
        <f t="shared" si="253"/>
        <v>12.100292893663747</v>
      </c>
      <c r="BE249" s="32">
        <f t="shared" si="254"/>
        <v>1.4880593366902626</v>
      </c>
      <c r="BF249" s="59" t="str">
        <f t="shared" si="255"/>
        <v>-0.601231482304026+0.205178086055158i</v>
      </c>
      <c r="BG249" s="50">
        <f t="shared" si="256"/>
        <v>-3.9407322396542765</v>
      </c>
      <c r="BH249" s="61">
        <f t="shared" si="257"/>
        <v>161.15712343049668</v>
      </c>
      <c r="BI249" s="59" t="str">
        <f t="shared" si="258"/>
        <v>0.345797464581913+0.671653864494461i</v>
      </c>
      <c r="BJ249" s="64">
        <f t="shared" si="259"/>
        <v>-2.4359608444075604</v>
      </c>
      <c r="BK249" s="61">
        <f t="shared" si="260"/>
        <v>62.758563614302084</v>
      </c>
      <c r="BL249" s="59" t="str">
        <f t="shared" si="265"/>
        <v>1.81512694073093+6.31502979771235i</v>
      </c>
      <c r="BM249" s="64">
        <f t="shared" si="261"/>
        <v>16.352251757391247</v>
      </c>
      <c r="BN249" s="61">
        <f t="shared" si="266"/>
        <v>73.963778648439671</v>
      </c>
      <c r="BO249" s="50">
        <f t="shared" si="262"/>
        <v>-2.4359608444075604</v>
      </c>
      <c r="BP249" s="61">
        <f t="shared" si="263"/>
        <v>62.758563614302084</v>
      </c>
    </row>
    <row r="250" spans="14:68" x14ac:dyDescent="0.25">
      <c r="N250" s="11">
        <v>32</v>
      </c>
      <c r="O250" s="51">
        <f t="shared" si="264"/>
        <v>2089.2961308540398</v>
      </c>
      <c r="P250" s="49" t="str">
        <f t="shared" si="214"/>
        <v>25.6231073841137</v>
      </c>
      <c r="Q250" s="18" t="str">
        <f t="shared" si="215"/>
        <v>1+11.3523413733508i</v>
      </c>
      <c r="R250" s="18">
        <f t="shared" si="227"/>
        <v>11.396300042430102</v>
      </c>
      <c r="S250" s="18">
        <f t="shared" si="228"/>
        <v>1.4829355525198225</v>
      </c>
      <c r="T250" s="18" t="str">
        <f t="shared" si="216"/>
        <v>1+0.0118146912765564i</v>
      </c>
      <c r="U250" s="18">
        <f t="shared" si="229"/>
        <v>1.0000697910295862</v>
      </c>
      <c r="V250" s="18">
        <f t="shared" si="230"/>
        <v>1.1814141597097932E-2</v>
      </c>
      <c r="W250" s="32" t="str">
        <f t="shared" si="217"/>
        <v>1-0.264736600826541i</v>
      </c>
      <c r="X250" s="18">
        <f t="shared" si="231"/>
        <v>1.0344493548826792</v>
      </c>
      <c r="Y250" s="18">
        <f t="shared" si="232"/>
        <v>-0.25879959874270503</v>
      </c>
      <c r="Z250" s="32" t="str">
        <f t="shared" si="218"/>
        <v>0.99989087104194+0.0209601374869278i</v>
      </c>
      <c r="AA250" s="18">
        <f t="shared" si="233"/>
        <v>1.0001105345692944</v>
      </c>
      <c r="AB250" s="18">
        <f t="shared" si="234"/>
        <v>2.0959355444723118E-2</v>
      </c>
      <c r="AC250" s="32" t="str">
        <f>IMDIV(IMSUM(COMPLEX(0,2*PI()*O250*Constants!$B$71*Constants!$B$72),COMPLEX(1,0)),IMSUM(COMPLEX(0,2*PI()*O250*Constants!$B$71*Constants!$B$72),COMPLEX(2,0)))</f>
        <v>0.500344421670205+0.0131183920057238i</v>
      </c>
      <c r="AD250" s="18">
        <f t="shared" si="235"/>
        <v>0.50051636587159443</v>
      </c>
      <c r="AE250" s="18">
        <f t="shared" si="236"/>
        <v>2.6212718124109441E-2</v>
      </c>
      <c r="AF250" s="66" t="str">
        <f t="shared" si="237"/>
        <v>-0.178410461283832-1.15031310194223i</v>
      </c>
      <c r="AG250" s="64">
        <f t="shared" si="238"/>
        <v>1.3195548886687916</v>
      </c>
      <c r="AH250" s="61">
        <f t="shared" si="239"/>
        <v>-98.816177235058845</v>
      </c>
      <c r="AI250" s="50" t="str">
        <f t="shared" si="219"/>
        <v>108.866083054159</v>
      </c>
      <c r="AJ250" s="50" t="str">
        <f t="shared" si="220"/>
        <v>1+10.7406284332331i</v>
      </c>
      <c r="AK250" s="50">
        <f t="shared" si="240"/>
        <v>10.787080195343654</v>
      </c>
      <c r="AL250" s="50">
        <f t="shared" si="241"/>
        <v>1.4779595375575463</v>
      </c>
      <c r="AM250" s="50" t="str">
        <f t="shared" si="221"/>
        <v>1+0.0118146912765564i</v>
      </c>
      <c r="AN250" s="50">
        <f t="shared" si="242"/>
        <v>1.0000697910295862</v>
      </c>
      <c r="AO250" s="50">
        <f t="shared" si="243"/>
        <v>1.1814141597097932E-2</v>
      </c>
      <c r="AP250" s="50" t="str">
        <f t="shared" si="222"/>
        <v>1-0.0589517807512632i</v>
      </c>
      <c r="AQ250" s="50">
        <f t="shared" si="244"/>
        <v>1.001736149119989</v>
      </c>
      <c r="AR250" s="50">
        <f t="shared" si="245"/>
        <v>-5.8883630847642206E-2</v>
      </c>
      <c r="AS250" s="59" t="str">
        <f t="shared" si="246"/>
        <v>0.462568453525095-10.0999061819331i</v>
      </c>
      <c r="AT250" s="50">
        <f t="shared" si="247"/>
        <v>20.095446901248057</v>
      </c>
      <c r="AU250" s="61">
        <f t="shared" si="248"/>
        <v>-87.377726871046875</v>
      </c>
      <c r="AV250" s="32" t="str">
        <f t="shared" si="223"/>
        <v>-0.0000333333333333333</v>
      </c>
      <c r="AW250" s="32" t="str">
        <f t="shared" si="224"/>
        <v>0.000630116868083005i</v>
      </c>
      <c r="AX250" s="32">
        <f t="shared" si="249"/>
        <v>6.3011686808300501E-4</v>
      </c>
      <c r="AY250" s="32">
        <f t="shared" si="250"/>
        <v>1.5707963267948966</v>
      </c>
      <c r="AZ250" s="32" t="str">
        <f t="shared" si="225"/>
        <v>1+0.257078930554699i</v>
      </c>
      <c r="BA250" s="32">
        <f t="shared" si="251"/>
        <v>1.0325161386318122</v>
      </c>
      <c r="BB250" s="32">
        <f t="shared" si="252"/>
        <v>0.25163000906457178</v>
      </c>
      <c r="BC250" s="32" t="str">
        <f t="shared" si="226"/>
        <v>1+12.3397886666256i</v>
      </c>
      <c r="BD250" s="32">
        <f t="shared" si="253"/>
        <v>12.380241691379922</v>
      </c>
      <c r="BE250" s="32">
        <f t="shared" si="254"/>
        <v>1.489934366830592</v>
      </c>
      <c r="BF250" s="59" t="str">
        <f t="shared" si="255"/>
        <v>-0.599553972582783+0.207032933738124i</v>
      </c>
      <c r="BG250" s="50">
        <f t="shared" si="256"/>
        <v>-3.9542017162628036</v>
      </c>
      <c r="BH250" s="61">
        <f t="shared" si="257"/>
        <v>160.94961345265091</v>
      </c>
      <c r="BI250" s="59" t="str">
        <f t="shared" si="258"/>
        <v>0.34511939702555+0.652737948774324i</v>
      </c>
      <c r="BJ250" s="64">
        <f t="shared" si="259"/>
        <v>-2.6346468275940098</v>
      </c>
      <c r="BK250" s="61">
        <f t="shared" si="260"/>
        <v>62.133436217592049</v>
      </c>
      <c r="BL250" s="59" t="str">
        <f t="shared" si="265"/>
        <v>1.81367845342298+6.15120577807941i</v>
      </c>
      <c r="BM250" s="64">
        <f t="shared" si="261"/>
        <v>16.141245184985262</v>
      </c>
      <c r="BN250" s="61">
        <f t="shared" si="266"/>
        <v>73.571886581604033</v>
      </c>
      <c r="BO250" s="50">
        <f t="shared" si="262"/>
        <v>-2.6346468275940098</v>
      </c>
      <c r="BP250" s="61">
        <f t="shared" si="263"/>
        <v>62.133436217592049</v>
      </c>
    </row>
    <row r="251" spans="14:68" x14ac:dyDescent="0.25">
      <c r="N251" s="11">
        <v>33</v>
      </c>
      <c r="O251" s="51">
        <f t="shared" si="264"/>
        <v>2137.9620895022344</v>
      </c>
      <c r="P251" s="49" t="str">
        <f t="shared" si="214"/>
        <v>25.6231073841137</v>
      </c>
      <c r="Q251" s="18" t="str">
        <f t="shared" si="215"/>
        <v>1+11.6167713733287i</v>
      </c>
      <c r="R251" s="18">
        <f t="shared" si="227"/>
        <v>11.659733150470862</v>
      </c>
      <c r="S251" s="18">
        <f t="shared" si="228"/>
        <v>1.4849255774893</v>
      </c>
      <c r="T251" s="18" t="str">
        <f t="shared" si="216"/>
        <v>1+0.0120898907892607i</v>
      </c>
      <c r="U251" s="18">
        <f t="shared" si="229"/>
        <v>1.0000730800593005</v>
      </c>
      <c r="V251" s="18">
        <f t="shared" si="230"/>
        <v>1.2089301799433799E-2</v>
      </c>
      <c r="W251" s="32" t="str">
        <f t="shared" si="217"/>
        <v>1-0.270903108426026i</v>
      </c>
      <c r="X251" s="18">
        <f t="shared" si="231"/>
        <v>1.0360446390744384</v>
      </c>
      <c r="Y251" s="18">
        <f t="shared" si="232"/>
        <v>-0.2645533882035041</v>
      </c>
      <c r="Z251" s="32" t="str">
        <f t="shared" si="218"/>
        <v>0.999885727952596+0.0214483618076143i</v>
      </c>
      <c r="AA251" s="18">
        <f t="shared" si="233"/>
        <v>1.0001157438954369</v>
      </c>
      <c r="AB251" s="18">
        <f t="shared" si="234"/>
        <v>2.1447523837011633E-2</v>
      </c>
      <c r="AC251" s="32" t="str">
        <f>IMDIV(IMSUM(COMPLEX(0,2*PI()*O251*Constants!$B$71*Constants!$B$72),COMPLEX(1,0)),IMSUM(COMPLEX(0,2*PI()*O251*Constants!$B$71*Constants!$B$72),COMPLEX(2,0)))</f>
        <v>0.500360642055489+0.013423522825701i</v>
      </c>
      <c r="AD251" s="18">
        <f t="shared" si="235"/>
        <v>0.50054067075836439</v>
      </c>
      <c r="AE251" s="18">
        <f t="shared" si="236"/>
        <v>2.6821261849279812E-2</v>
      </c>
      <c r="AF251" s="66" t="str">
        <f t="shared" si="237"/>
        <v>-0.182926807786982-1.12479619474414i</v>
      </c>
      <c r="AG251" s="64">
        <f t="shared" si="238"/>
        <v>1.1348499555551865</v>
      </c>
      <c r="AH251" s="61">
        <f t="shared" si="239"/>
        <v>-99.23720260243077</v>
      </c>
      <c r="AI251" s="50" t="str">
        <f t="shared" si="219"/>
        <v>108.866083054159</v>
      </c>
      <c r="AJ251" s="50" t="str">
        <f t="shared" si="220"/>
        <v>1+10.9908098084188i</v>
      </c>
      <c r="AK251" s="50">
        <f t="shared" si="240"/>
        <v>11.036208599189983</v>
      </c>
      <c r="AL251" s="50">
        <f t="shared" si="241"/>
        <v>1.4800610476835703</v>
      </c>
      <c r="AM251" s="50" t="str">
        <f t="shared" si="221"/>
        <v>1+0.0120898907892607i</v>
      </c>
      <c r="AN251" s="50">
        <f t="shared" si="242"/>
        <v>1.0000730800593005</v>
      </c>
      <c r="AO251" s="50">
        <f t="shared" si="243"/>
        <v>1.2089301799433799E-2</v>
      </c>
      <c r="AP251" s="50" t="str">
        <f t="shared" si="222"/>
        <v>1-0.060324944125239i</v>
      </c>
      <c r="AQ251" s="50">
        <f t="shared" si="244"/>
        <v>1.0018178970669835</v>
      </c>
      <c r="AR251" s="50">
        <f t="shared" si="245"/>
        <v>-6.0251927342622448E-2</v>
      </c>
      <c r="AS251" s="59" t="str">
        <f t="shared" si="246"/>
        <v>0.42062273659178-9.87414582157329i</v>
      </c>
      <c r="AT251" s="50">
        <f t="shared" si="247"/>
        <v>19.897864397935471</v>
      </c>
      <c r="AU251" s="61">
        <f t="shared" si="248"/>
        <v>-87.560766627873164</v>
      </c>
      <c r="AV251" s="32" t="str">
        <f t="shared" si="223"/>
        <v>-0.0000333333333333333</v>
      </c>
      <c r="AW251" s="32" t="str">
        <f t="shared" si="224"/>
        <v>0.000644794175427236i</v>
      </c>
      <c r="AX251" s="32">
        <f t="shared" si="249"/>
        <v>6.4479417542723596E-4</v>
      </c>
      <c r="AY251" s="32">
        <f t="shared" si="250"/>
        <v>1.5707963267948966</v>
      </c>
      <c r="AZ251" s="32" t="str">
        <f t="shared" si="225"/>
        <v>1+0.263067068099653i</v>
      </c>
      <c r="BA251" s="32">
        <f t="shared" si="251"/>
        <v>1.0340233470858129</v>
      </c>
      <c r="BB251" s="32">
        <f t="shared" si="252"/>
        <v>0.25723876898946846</v>
      </c>
      <c r="BC251" s="32" t="str">
        <f t="shared" si="226"/>
        <v>1+12.6272192687834i</v>
      </c>
      <c r="BD251" s="32">
        <f t="shared" si="253"/>
        <v>12.666754377579712</v>
      </c>
      <c r="BE251" s="32">
        <f t="shared" si="254"/>
        <v>1.4917672668486479</v>
      </c>
      <c r="BF251" s="59" t="str">
        <f t="shared" si="255"/>
        <v>-0.597807408098569+0.208959525326773i</v>
      </c>
      <c r="BG251" s="50">
        <f t="shared" si="256"/>
        <v>-3.9681471204973118</v>
      </c>
      <c r="BH251" s="61">
        <f t="shared" si="257"/>
        <v>160.73327261595631</v>
      </c>
      <c r="BI251" s="59" t="str">
        <f t="shared" si="258"/>
        <v>0.344391879777977+0.634187198894418i</v>
      </c>
      <c r="BJ251" s="64">
        <f t="shared" si="259"/>
        <v>-2.8332971649421266</v>
      </c>
      <c r="BK251" s="61">
        <f t="shared" si="260"/>
        <v>61.496070013525525</v>
      </c>
      <c r="BL251" s="59" t="str">
        <f t="shared" si="265"/>
        <v>1.81184543593403+5.99073064816191i</v>
      </c>
      <c r="BM251" s="64">
        <f t="shared" si="261"/>
        <v>15.929717277438158</v>
      </c>
      <c r="BN251" s="61">
        <f t="shared" si="266"/>
        <v>73.172505988083202</v>
      </c>
      <c r="BO251" s="50">
        <f t="shared" si="262"/>
        <v>-2.8332971649421266</v>
      </c>
      <c r="BP251" s="61">
        <f t="shared" si="263"/>
        <v>61.496070013525525</v>
      </c>
    </row>
    <row r="252" spans="14:68" x14ac:dyDescent="0.25">
      <c r="N252" s="11">
        <v>34</v>
      </c>
      <c r="O252" s="51">
        <f t="shared" si="264"/>
        <v>2187.7616239495528</v>
      </c>
      <c r="P252" s="49" t="str">
        <f t="shared" si="214"/>
        <v>25.6231073841137</v>
      </c>
      <c r="Q252" s="18" t="str">
        <f t="shared" si="215"/>
        <v>1+11.8873607392549i</v>
      </c>
      <c r="R252" s="18">
        <f t="shared" si="227"/>
        <v>11.929348068741174</v>
      </c>
      <c r="S252" s="18">
        <f t="shared" si="228"/>
        <v>1.486870963002211</v>
      </c>
      <c r="T252" s="18" t="str">
        <f t="shared" si="216"/>
        <v>1+0.0123715005220901i</v>
      </c>
      <c r="U252" s="18">
        <f t="shared" si="229"/>
        <v>1.0000765240846161</v>
      </c>
      <c r="V252" s="18">
        <f t="shared" si="230"/>
        <v>1.237086941072814E-2</v>
      </c>
      <c r="W252" s="32" t="str">
        <f t="shared" si="217"/>
        <v>1-0.277213252439426i</v>
      </c>
      <c r="X252" s="18">
        <f t="shared" si="231"/>
        <v>1.037712478159555</v>
      </c>
      <c r="Y252" s="18">
        <f t="shared" si="232"/>
        <v>-0.27042268751847093</v>
      </c>
      <c r="Z252" s="32" t="str">
        <f t="shared" si="218"/>
        <v>0.999880342476919+0.0219479583336339i</v>
      </c>
      <c r="AA252" s="18">
        <f t="shared" si="233"/>
        <v>1.0001211987288219</v>
      </c>
      <c r="AB252" s="18">
        <f t="shared" si="234"/>
        <v>2.1947060435004592E-2</v>
      </c>
      <c r="AC252" s="32" t="str">
        <f>IMDIV(IMSUM(COMPLEX(0,2*PI()*O252*Constants!$B$71*Constants!$B$72),COMPLEX(1,0)),IMSUM(COMPLEX(0,2*PI()*O252*Constants!$B$71*Constants!$B$72),COMPLEX(2,0)))</f>
        <v>0.50037762575527+0.0137357299195923i</v>
      </c>
      <c r="AD252" s="18">
        <f t="shared" si="235"/>
        <v>0.50056611814315299</v>
      </c>
      <c r="AE252" s="18">
        <f t="shared" si="236"/>
        <v>2.7443835655279122E-2</v>
      </c>
      <c r="AF252" s="66" t="str">
        <f t="shared" si="237"/>
        <v>-0.18724402597292-1.09984097398146i</v>
      </c>
      <c r="AG252" s="64">
        <f t="shared" si="238"/>
        <v>0.95068350806665292</v>
      </c>
      <c r="AH252" s="61">
        <f t="shared" si="239"/>
        <v>-99.661768912776523</v>
      </c>
      <c r="AI252" s="50" t="str">
        <f t="shared" si="219"/>
        <v>108.866083054159</v>
      </c>
      <c r="AJ252" s="50" t="str">
        <f t="shared" si="220"/>
        <v>1+11.2468186564455i</v>
      </c>
      <c r="AK252" s="50">
        <f t="shared" si="240"/>
        <v>11.291188152314643</v>
      </c>
      <c r="AL252" s="50">
        <f t="shared" si="241"/>
        <v>1.4821154984393337</v>
      </c>
      <c r="AM252" s="50" t="str">
        <f t="shared" si="221"/>
        <v>1+0.0123715005220901i</v>
      </c>
      <c r="AN252" s="50">
        <f t="shared" si="242"/>
        <v>1.0000765240846161</v>
      </c>
      <c r="AO252" s="50">
        <f t="shared" si="243"/>
        <v>1.237086941072814E-2</v>
      </c>
      <c r="AP252" s="50" t="str">
        <f t="shared" si="222"/>
        <v>1-0.0617300925830851i</v>
      </c>
      <c r="AQ252" s="50">
        <f t="shared" si="244"/>
        <v>1.001903490527065</v>
      </c>
      <c r="AR252" s="50">
        <f t="shared" si="245"/>
        <v>-6.1651861716765677E-2</v>
      </c>
      <c r="AS252" s="59" t="str">
        <f t="shared" si="246"/>
        <v>0.380534574305663-9.65327993247212i</v>
      </c>
      <c r="AT252" s="50">
        <f t="shared" si="247"/>
        <v>19.700241509567135</v>
      </c>
      <c r="AU252" s="61">
        <f t="shared" si="248"/>
        <v>-87.742555680854792</v>
      </c>
      <c r="AV252" s="32" t="str">
        <f t="shared" si="223"/>
        <v>-0.0000333333333333333</v>
      </c>
      <c r="AW252" s="32" t="str">
        <f t="shared" si="224"/>
        <v>0.000659813361178137i</v>
      </c>
      <c r="AX252" s="32">
        <f t="shared" si="249"/>
        <v>6.5981336117813697E-4</v>
      </c>
      <c r="AY252" s="32">
        <f t="shared" si="250"/>
        <v>1.5707963267948966</v>
      </c>
      <c r="AZ252" s="32" t="str">
        <f t="shared" si="225"/>
        <v>1+0.26919468728622i</v>
      </c>
      <c r="BA252" s="32">
        <f t="shared" si="251"/>
        <v>1.0355992369942757</v>
      </c>
      <c r="BB252" s="32">
        <f t="shared" si="252"/>
        <v>0.26296108807341501</v>
      </c>
      <c r="BC252" s="32" t="str">
        <f t="shared" si="226"/>
        <v>1+12.9213449897386i</v>
      </c>
      <c r="BD252" s="32">
        <f t="shared" si="253"/>
        <v>12.959982883624608</v>
      </c>
      <c r="BE252" s="32">
        <f t="shared" si="254"/>
        <v>1.4935589592834595</v>
      </c>
      <c r="BF252" s="59" t="str">
        <f t="shared" si="255"/>
        <v>-0.595989403915076+0.210956517883745i</v>
      </c>
      <c r="BG252" s="50">
        <f t="shared" si="256"/>
        <v>-3.9825930856022644</v>
      </c>
      <c r="BH252" s="61">
        <f t="shared" si="257"/>
        <v>160.50806429811919</v>
      </c>
      <c r="BI252" s="59" t="str">
        <f t="shared" si="258"/>
        <v>0.343614077523255+0.615993218770806i</v>
      </c>
      <c r="BJ252" s="64">
        <f t="shared" si="259"/>
        <v>-3.0319095775356142</v>
      </c>
      <c r="BK252" s="61">
        <f t="shared" si="260"/>
        <v>60.84629538534265</v>
      </c>
      <c r="BL252" s="59" t="str">
        <f t="shared" si="265"/>
        <v>1.80962774660184+5.83352880150932i</v>
      </c>
      <c r="BM252" s="64">
        <f t="shared" si="261"/>
        <v>15.717648423964869</v>
      </c>
      <c r="BN252" s="61">
        <f t="shared" si="266"/>
        <v>72.765508617264416</v>
      </c>
      <c r="BO252" s="50">
        <f t="shared" si="262"/>
        <v>-3.0319095775356142</v>
      </c>
      <c r="BP252" s="61">
        <f t="shared" si="263"/>
        <v>60.84629538534265</v>
      </c>
    </row>
    <row r="253" spans="14:68" x14ac:dyDescent="0.25">
      <c r="N253" s="11">
        <v>35</v>
      </c>
      <c r="O253" s="51">
        <f t="shared" si="264"/>
        <v>2238.7211385683418</v>
      </c>
      <c r="P253" s="49" t="str">
        <f t="shared" si="214"/>
        <v>25.6231073841137</v>
      </c>
      <c r="Q253" s="18" t="str">
        <f t="shared" si="215"/>
        <v>1+12.164252941193i</v>
      </c>
      <c r="R253" s="18">
        <f t="shared" si="227"/>
        <v>12.205287772818901</v>
      </c>
      <c r="S253" s="18">
        <f t="shared" si="228"/>
        <v>1.4887726815961055</v>
      </c>
      <c r="T253" s="18" t="str">
        <f t="shared" si="216"/>
        <v>1+0.0126596697882525i</v>
      </c>
      <c r="U253" s="18">
        <f t="shared" si="229"/>
        <v>1.0000801304091327</v>
      </c>
      <c r="V253" s="18">
        <f t="shared" si="230"/>
        <v>1.2658993543170774E-2</v>
      </c>
      <c r="W253" s="32" t="str">
        <f t="shared" si="217"/>
        <v>1-0.283670378588621i</v>
      </c>
      <c r="X253" s="18">
        <f t="shared" si="231"/>
        <v>1.0394560518312506</v>
      </c>
      <c r="Y253" s="18">
        <f t="shared" si="232"/>
        <v>-0.27640899050068801</v>
      </c>
      <c r="Z253" s="32" t="str">
        <f t="shared" si="218"/>
        <v>0.999874703191593+0.0224591919576776i</v>
      </c>
      <c r="AA253" s="18">
        <f t="shared" si="233"/>
        <v>1.0001269106397788</v>
      </c>
      <c r="AB253" s="18">
        <f t="shared" si="234"/>
        <v>2.2458229845382781E-2</v>
      </c>
      <c r="AC253" s="32" t="str">
        <f>IMDIV(IMSUM(COMPLEX(0,2*PI()*O253*Constants!$B$71*Constants!$B$72),COMPLEX(1,0)),IMSUM(COMPLEX(0,2*PI()*O253*Constants!$B$71*Constants!$B$72),COMPLEX(2,0)))</f>
        <v>0.500395408634684+0.0140551758919549i</v>
      </c>
      <c r="AD253" s="18">
        <f t="shared" si="235"/>
        <v>0.50059276158572874</v>
      </c>
      <c r="AE253" s="18">
        <f t="shared" si="236"/>
        <v>2.8080756040777515E-2</v>
      </c>
      <c r="AF253" s="66" t="str">
        <f t="shared" si="237"/>
        <v>-0.191370881802458-1.07543648631466i</v>
      </c>
      <c r="AG253" s="64">
        <f t="shared" si="238"/>
        <v>0.76708312987820648</v>
      </c>
      <c r="AH253" s="61">
        <f t="shared" si="239"/>
        <v>-100.09000596088694</v>
      </c>
      <c r="AI253" s="50" t="str">
        <f t="shared" si="219"/>
        <v>108.866083054159</v>
      </c>
      <c r="AJ253" s="50" t="str">
        <f t="shared" si="220"/>
        <v>1+11.5087907165932i</v>
      </c>
      <c r="AK253" s="50">
        <f t="shared" si="240"/>
        <v>11.552154074385513</v>
      </c>
      <c r="AL253" s="50">
        <f t="shared" si="241"/>
        <v>1.4841239097125545</v>
      </c>
      <c r="AM253" s="50" t="str">
        <f t="shared" si="221"/>
        <v>1+0.0126596697882525i</v>
      </c>
      <c r="AN253" s="50">
        <f t="shared" si="242"/>
        <v>1.0000801304091327</v>
      </c>
      <c r="AO253" s="50">
        <f t="shared" si="243"/>
        <v>1.2658993543170774E-2</v>
      </c>
      <c r="AP253" s="50" t="str">
        <f t="shared" si="222"/>
        <v>1-0.0631679711531133i</v>
      </c>
      <c r="AQ253" s="50">
        <f t="shared" si="244"/>
        <v>1.0019931100459727</v>
      </c>
      <c r="AR253" s="50">
        <f t="shared" si="245"/>
        <v>-6.3084154272499929E-2</v>
      </c>
      <c r="AS253" s="59" t="str">
        <f t="shared" si="246"/>
        <v>0.342222999511987-9.43721381109967i</v>
      </c>
      <c r="AT253" s="50">
        <f t="shared" si="247"/>
        <v>19.502583179188221</v>
      </c>
      <c r="AU253" s="61">
        <f t="shared" si="248"/>
        <v>-87.923185192043604</v>
      </c>
      <c r="AV253" s="32" t="str">
        <f t="shared" si="223"/>
        <v>-0.0000333333333333333</v>
      </c>
      <c r="AW253" s="32" t="str">
        <f t="shared" si="224"/>
        <v>0.000675182388706798i</v>
      </c>
      <c r="AX253" s="32">
        <f t="shared" si="249"/>
        <v>6.7518238870679795E-4</v>
      </c>
      <c r="AY253" s="32">
        <f t="shared" si="250"/>
        <v>1.5707963267948966</v>
      </c>
      <c r="AZ253" s="32" t="str">
        <f t="shared" si="225"/>
        <v>1+0.275465037059198i</v>
      </c>
      <c r="BA253" s="32">
        <f t="shared" si="251"/>
        <v>1.0372468301431561</v>
      </c>
      <c r="BB253" s="32">
        <f t="shared" si="252"/>
        <v>0.26879850073439054</v>
      </c>
      <c r="BC253" s="32" t="str">
        <f t="shared" si="226"/>
        <v>1+13.2223217788415i</v>
      </c>
      <c r="BD253" s="32">
        <f t="shared" si="253"/>
        <v>13.260082700467077</v>
      </c>
      <c r="BE253" s="32">
        <f t="shared" si="254"/>
        <v>1.4953103480753944</v>
      </c>
      <c r="BF253" s="59" t="str">
        <f t="shared" si="255"/>
        <v>-0.594097533720443+0.213022475315906i</v>
      </c>
      <c r="BG253" s="50">
        <f t="shared" si="256"/>
        <v>-3.9975648811040876</v>
      </c>
      <c r="BH253" s="61">
        <f t="shared" si="257"/>
        <v>160.27395237543348</v>
      </c>
      <c r="BI253" s="59" t="str">
        <f t="shared" si="258"/>
        <v>0.342785111264536+0.598147865247571i</v>
      </c>
      <c r="BJ253" s="64">
        <f t="shared" si="259"/>
        <v>-3.2304817512258839</v>
      </c>
      <c r="BK253" s="61">
        <f t="shared" si="260"/>
        <v>60.183946414546526</v>
      </c>
      <c r="BL253" s="59" t="str">
        <f t="shared" si="265"/>
        <v>1.80702480613342+5.6795266408329i</v>
      </c>
      <c r="BM253" s="64">
        <f t="shared" si="261"/>
        <v>15.505018298084138</v>
      </c>
      <c r="BN253" s="61">
        <f t="shared" si="266"/>
        <v>72.35076718338992</v>
      </c>
      <c r="BO253" s="50">
        <f t="shared" si="262"/>
        <v>-3.2304817512258839</v>
      </c>
      <c r="BP253" s="61">
        <f t="shared" si="263"/>
        <v>60.183946414546526</v>
      </c>
    </row>
    <row r="254" spans="14:68" x14ac:dyDescent="0.25">
      <c r="N254" s="11">
        <v>36</v>
      </c>
      <c r="O254" s="51">
        <f t="shared" si="264"/>
        <v>2290.8676527677749</v>
      </c>
      <c r="P254" s="49" t="str">
        <f t="shared" si="214"/>
        <v>25.6231073841137</v>
      </c>
      <c r="Q254" s="18" t="str">
        <f t="shared" si="215"/>
        <v>1+12.4475947910533i</v>
      </c>
      <c r="R254" s="18">
        <f t="shared" si="227"/>
        <v>12.487698590303069</v>
      </c>
      <c r="S254" s="18">
        <f t="shared" si="228"/>
        <v>1.490631686535705</v>
      </c>
      <c r="T254" s="18" t="str">
        <f t="shared" si="216"/>
        <v>1+0.0129545513789072i</v>
      </c>
      <c r="U254" s="18">
        <f t="shared" si="229"/>
        <v>1.0000839066805489</v>
      </c>
      <c r="V254" s="18">
        <f t="shared" si="230"/>
        <v>1.2953826772530461E-2</v>
      </c>
      <c r="W254" s="32" t="str">
        <f t="shared" si="217"/>
        <v>1-0.290277910527364i</v>
      </c>
      <c r="X254" s="18">
        <f t="shared" si="231"/>
        <v>1.0412786684361359</v>
      </c>
      <c r="Y254" s="18">
        <f t="shared" si="232"/>
        <v>-0.28251375429623798</v>
      </c>
      <c r="Z254" s="32" t="str">
        <f t="shared" si="218"/>
        <v>0.999868798134938+0.0229823337425797i</v>
      </c>
      <c r="AA254" s="18">
        <f t="shared" si="233"/>
        <v>1.0001328917439225</v>
      </c>
      <c r="AB254" s="18">
        <f t="shared" si="234"/>
        <v>2.2981302824519961E-2</v>
      </c>
      <c r="AC254" s="32" t="str">
        <f>IMDIV(IMSUM(COMPLEX(0,2*PI()*O254*Constants!$B$71*Constants!$B$72),COMPLEX(1,0)),IMSUM(COMPLEX(0,2*PI()*O254*Constants!$B$71*Constants!$B$72),COMPLEX(2,0)))</f>
        <v>0.500414028238663+0.0143820269763633i</v>
      </c>
      <c r="AD254" s="18">
        <f t="shared" si="235"/>
        <v>0.50062065714270543</v>
      </c>
      <c r="AE254" s="18">
        <f t="shared" si="236"/>
        <v>2.8732346145385272E-2</v>
      </c>
      <c r="AF254" s="66" t="str">
        <f t="shared" si="237"/>
        <v>-0.195315771402772-1.05157192142577i</v>
      </c>
      <c r="AG254" s="64">
        <f t="shared" si="238"/>
        <v>0.58407709481407855</v>
      </c>
      <c r="AH254" s="61">
        <f t="shared" si="239"/>
        <v>-100.52204010984217</v>
      </c>
      <c r="AI254" s="50" t="str">
        <f t="shared" si="219"/>
        <v>108.866083054159</v>
      </c>
      <c r="AJ254" s="50" t="str">
        <f t="shared" si="220"/>
        <v>1+11.7768648899156i</v>
      </c>
      <c r="AK254" s="50">
        <f t="shared" si="240"/>
        <v>11.819244757399977</v>
      </c>
      <c r="AL254" s="50">
        <f t="shared" si="241"/>
        <v>1.4860872815426642</v>
      </c>
      <c r="AM254" s="50" t="str">
        <f t="shared" si="221"/>
        <v>1+0.0129545513789072i</v>
      </c>
      <c r="AN254" s="50">
        <f t="shared" si="242"/>
        <v>1.0000839066805489</v>
      </c>
      <c r="AO254" s="50">
        <f t="shared" si="243"/>
        <v>1.2953826772530461E-2</v>
      </c>
      <c r="AP254" s="50" t="str">
        <f t="shared" si="222"/>
        <v>1-0.0646393422175736i</v>
      </c>
      <c r="AQ254" s="50">
        <f t="shared" si="244"/>
        <v>1.0020869446122531</v>
      </c>
      <c r="AR254" s="50">
        <f t="shared" si="245"/>
        <v>-6.4549540910683767E-2</v>
      </c>
      <c r="AS254" s="59" t="str">
        <f t="shared" si="246"/>
        <v>0.305610461109864-9.22585384151476i</v>
      </c>
      <c r="AT254" s="50">
        <f t="shared" si="247"/>
        <v>19.304894280094594</v>
      </c>
      <c r="AU254" s="61">
        <f t="shared" si="248"/>
        <v>-88.102745881544024</v>
      </c>
      <c r="AV254" s="32" t="str">
        <f t="shared" si="223"/>
        <v>-0.0000333333333333333</v>
      </c>
      <c r="AW254" s="32" t="str">
        <f t="shared" si="224"/>
        <v>0.000690909406875047i</v>
      </c>
      <c r="AX254" s="32">
        <f t="shared" si="249"/>
        <v>6.9090940687504697E-4</v>
      </c>
      <c r="AY254" s="32">
        <f t="shared" si="250"/>
        <v>1.5707963267948966</v>
      </c>
      <c r="AZ254" s="32" t="str">
        <f t="shared" si="225"/>
        <v>1+0.281881442041035i</v>
      </c>
      <c r="BA254" s="32">
        <f t="shared" si="251"/>
        <v>1.038969271618335</v>
      </c>
      <c r="BB254" s="32">
        <f t="shared" si="252"/>
        <v>0.27475251010623103</v>
      </c>
      <c r="BC254" s="32" t="str">
        <f t="shared" si="226"/>
        <v>1+13.5303092179697i</v>
      </c>
      <c r="BD254" s="32">
        <f t="shared" si="253"/>
        <v>13.567212961175033</v>
      </c>
      <c r="BE254" s="32">
        <f t="shared" si="254"/>
        <v>1.4970223188327858</v>
      </c>
      <c r="BF254" s="59" t="str">
        <f t="shared" si="255"/>
        <v>-0.592129333063143+0.215155862250089i</v>
      </c>
      <c r="BG254" s="50">
        <f t="shared" si="256"/>
        <v>-4.013088430252842</v>
      </c>
      <c r="BH254" s="61">
        <f t="shared" si="257"/>
        <v>160.03090146629404</v>
      </c>
      <c r="BI254" s="59" t="str">
        <f t="shared" si="258"/>
        <v>0.341904060929781+0.580643247294564i</v>
      </c>
      <c r="BJ254" s="64">
        <f t="shared" si="259"/>
        <v>-3.4290113354387675</v>
      </c>
      <c r="BK254" s="61">
        <f t="shared" si="260"/>
        <v>59.508861356451874</v>
      </c>
      <c r="BL254" s="59" t="str">
        <f t="shared" si="265"/>
        <v>1.8040356197503+5.52865256438691i</v>
      </c>
      <c r="BM254" s="64">
        <f t="shared" si="261"/>
        <v>15.291805849841749</v>
      </c>
      <c r="BN254" s="61">
        <f t="shared" si="266"/>
        <v>71.928155584750044</v>
      </c>
      <c r="BO254" s="50">
        <f t="shared" si="262"/>
        <v>-3.4290113354387675</v>
      </c>
      <c r="BP254" s="61">
        <f t="shared" si="263"/>
        <v>59.508861356451874</v>
      </c>
    </row>
    <row r="255" spans="14:68" x14ac:dyDescent="0.25">
      <c r="N255" s="11">
        <v>37</v>
      </c>
      <c r="O255" s="51">
        <f t="shared" si="264"/>
        <v>2344.2288153199238</v>
      </c>
      <c r="P255" s="49" t="str">
        <f t="shared" si="214"/>
        <v>25.6231073841137</v>
      </c>
      <c r="Q255" s="18" t="str">
        <f t="shared" si="215"/>
        <v>1+12.7375365204353i</v>
      </c>
      <c r="R255" s="18">
        <f t="shared" si="227"/>
        <v>12.776730278495474</v>
      </c>
      <c r="S255" s="18">
        <f t="shared" si="228"/>
        <v>1.4924489120651263</v>
      </c>
      <c r="T255" s="18" t="str">
        <f t="shared" si="216"/>
        <v>1+0.0132563016441767i</v>
      </c>
      <c r="U255" s="18">
        <f t="shared" si="229"/>
        <v>1.0000878609068713</v>
      </c>
      <c r="V255" s="18">
        <f t="shared" si="230"/>
        <v>1.3255525218139323E-2</v>
      </c>
      <c r="W255" s="32" t="str">
        <f t="shared" si="217"/>
        <v>1-0.297039351656552i</v>
      </c>
      <c r="X255" s="18">
        <f t="shared" si="231"/>
        <v>1.0431837692528314</v>
      </c>
      <c r="Y255" s="18">
        <f t="shared" si="232"/>
        <v>-0.28873839491986253</v>
      </c>
      <c r="Z255" s="32" t="str">
        <f t="shared" si="218"/>
        <v>0.999862614781536+0.0235176610650394i</v>
      </c>
      <c r="AA255" s="18">
        <f t="shared" si="233"/>
        <v>1.0001391547278511</v>
      </c>
      <c r="AB255" s="18">
        <f t="shared" si="234"/>
        <v>2.3516556420742518E-2</v>
      </c>
      <c r="AC255" s="32" t="str">
        <f>IMDIV(IMSUM(COMPLEX(0,2*PI()*O255*Constants!$B$71*Constants!$B$72),COMPLEX(1,0)),IMSUM(COMPLEX(0,2*PI()*O255*Constants!$B$71*Constants!$B$72),COMPLEX(2,0)))</f>
        <v>0.500433523870091+0.0147164531086588i</v>
      </c>
      <c r="AD255" s="18">
        <f t="shared" si="235"/>
        <v>0.50064986348259022</v>
      </c>
      <c r="AE255" s="18">
        <f t="shared" si="236"/>
        <v>2.9398935852729811E-2</v>
      </c>
      <c r="AF255" s="66" t="str">
        <f t="shared" si="237"/>
        <v>-0.199086735945735-1.02823661583256i</v>
      </c>
      <c r="AG255" s="64">
        <f t="shared" si="238"/>
        <v>0.40169438406322866</v>
      </c>
      <c r="AH255" s="61">
        <f t="shared" si="239"/>
        <v>-100.9579940473368</v>
      </c>
      <c r="AI255" s="50" t="str">
        <f t="shared" si="219"/>
        <v>108.866083054159</v>
      </c>
      <c r="AJ255" s="50" t="str">
        <f t="shared" si="220"/>
        <v>1+12.0511833128879i</v>
      </c>
      <c r="AK255" s="50">
        <f t="shared" si="240"/>
        <v>12.092601839175382</v>
      </c>
      <c r="AL255" s="50">
        <f t="shared" si="241"/>
        <v>1.4880065943540794</v>
      </c>
      <c r="AM255" s="50" t="str">
        <f t="shared" si="221"/>
        <v>1+0.0132563016441767i</v>
      </c>
      <c r="AN255" s="50">
        <f t="shared" si="242"/>
        <v>1.0000878609068713</v>
      </c>
      <c r="AO255" s="50">
        <f t="shared" si="243"/>
        <v>1.3255525218139323E-2</v>
      </c>
      <c r="AP255" s="50" t="str">
        <f t="shared" si="222"/>
        <v>1-0.0661449859168807i</v>
      </c>
      <c r="AQ255" s="50">
        <f t="shared" si="244"/>
        <v>1.0021851920488269</v>
      </c>
      <c r="AR255" s="50">
        <f t="shared" si="245"/>
        <v>-6.6048773410840284E-2</v>
      </c>
      <c r="AS255" s="59" t="str">
        <f t="shared" si="246"/>
        <v>0.270622689872323-9.01910753893556i</v>
      </c>
      <c r="AT255" s="50">
        <f t="shared" si="247"/>
        <v>19.107179625390991</v>
      </c>
      <c r="AU255" s="61">
        <f t="shared" si="248"/>
        <v>-88.281328052352279</v>
      </c>
      <c r="AV255" s="32" t="str">
        <f t="shared" si="223"/>
        <v>-0.0000333333333333333</v>
      </c>
      <c r="AW255" s="32" t="str">
        <f t="shared" si="224"/>
        <v>0.000707002754356087i</v>
      </c>
      <c r="AX255" s="32">
        <f t="shared" si="249"/>
        <v>7.0700275435608701E-4</v>
      </c>
      <c r="AY255" s="32">
        <f t="shared" si="250"/>
        <v>1.5707963267948966</v>
      </c>
      <c r="AZ255" s="32" t="str">
        <f t="shared" si="225"/>
        <v>1+0.288447304294585i</v>
      </c>
      <c r="BA255" s="32">
        <f t="shared" si="251"/>
        <v>1.0407698339954001</v>
      </c>
      <c r="BB255" s="32">
        <f t="shared" si="252"/>
        <v>0.28082458384505488</v>
      </c>
      <c r="BC255" s="32" t="str">
        <f t="shared" si="226"/>
        <v>1+13.8454706061401i</v>
      </c>
      <c r="BD255" s="32">
        <f t="shared" si="253"/>
        <v>13.881536525381096</v>
      </c>
      <c r="BE255" s="32">
        <f t="shared" si="254"/>
        <v>1.498695739102565</v>
      </c>
      <c r="BF255" s="59" t="str">
        <f t="shared" si="255"/>
        <v>-0.590082303036706+0.217355037844431i</v>
      </c>
      <c r="BG255" s="50">
        <f t="shared" si="256"/>
        <v>-4.0291903261796218</v>
      </c>
      <c r="BH255" s="61">
        <f t="shared" si="257"/>
        <v>159.77887718697713</v>
      </c>
      <c r="BI255" s="59" t="str">
        <f t="shared" si="258"/>
        <v>0.340969968198236+0.563471725311336i</v>
      </c>
      <c r="BJ255" s="64">
        <f t="shared" si="259"/>
        <v>-3.6274959421163895</v>
      </c>
      <c r="BK255" s="61">
        <f t="shared" si="260"/>
        <v>58.820883139640294</v>
      </c>
      <c r="BL255" s="59" t="str">
        <f t="shared" si="265"/>
        <v>1.80065880035448+5.38083695290957i</v>
      </c>
      <c r="BM255" s="64">
        <f t="shared" si="261"/>
        <v>15.077989299211366</v>
      </c>
      <c r="BN255" s="61">
        <f t="shared" si="266"/>
        <v>71.497549134624876</v>
      </c>
      <c r="BO255" s="50">
        <f t="shared" si="262"/>
        <v>-3.6274959421163895</v>
      </c>
      <c r="BP255" s="61">
        <f t="shared" si="263"/>
        <v>58.820883139640294</v>
      </c>
    </row>
    <row r="256" spans="14:68" x14ac:dyDescent="0.25">
      <c r="N256" s="11">
        <v>38</v>
      </c>
      <c r="O256" s="51">
        <f t="shared" si="264"/>
        <v>2398.8329190194918</v>
      </c>
      <c r="P256" s="49" t="str">
        <f t="shared" si="214"/>
        <v>25.6231073841137</v>
      </c>
      <c r="Q256" s="18" t="str">
        <f t="shared" si="215"/>
        <v>1+13.0342318602816i</v>
      </c>
      <c r="R256" s="18">
        <f t="shared" si="227"/>
        <v>13.072536103892769</v>
      </c>
      <c r="S256" s="18">
        <f t="shared" si="228"/>
        <v>1.4942252736662944</v>
      </c>
      <c r="T256" s="18" t="str">
        <f t="shared" si="216"/>
        <v>1+0.0135650805760458i</v>
      </c>
      <c r="U256" s="18">
        <f t="shared" si="229"/>
        <v>1.0000920014733816</v>
      </c>
      <c r="V256" s="18">
        <f t="shared" si="230"/>
        <v>1.3564248624691128E-2</v>
      </c>
      <c r="W256" s="32" t="str">
        <f t="shared" si="217"/>
        <v>1-0.303958286981767i</v>
      </c>
      <c r="X256" s="18">
        <f t="shared" si="231"/>
        <v>1.0451749328341597</v>
      </c>
      <c r="Y256" s="18">
        <f t="shared" si="232"/>
        <v>-0.29508428257708297</v>
      </c>
      <c r="Z256" s="32" t="str">
        <f t="shared" si="218"/>
        <v>0.999856140015666+0.0240654577626887i</v>
      </c>
      <c r="AA256" s="18">
        <f t="shared" si="233"/>
        <v>1.0001457128760562</v>
      </c>
      <c r="AB256" s="18">
        <f t="shared" si="234"/>
        <v>2.4064274119830815E-2</v>
      </c>
      <c r="AC256" s="32" t="str">
        <f>IMDIV(IMSUM(COMPLEX(0,2*PI()*O256*Constants!$B$71*Constants!$B$72),COMPLEX(1,0)),IMSUM(COMPLEX(0,2*PI()*O256*Constants!$B$71*Constants!$B$72),COMPLEX(2,0)))</f>
        <v>0.500453936671555+0.0150586280011041i</v>
      </c>
      <c r="AD256" s="18">
        <f t="shared" si="235"/>
        <v>0.50068044200600892</v>
      </c>
      <c r="AE256" s="18">
        <f t="shared" si="236"/>
        <v>3.0080861892323143E-2</v>
      </c>
      <c r="AF256" s="66" t="str">
        <f t="shared" si="237"/>
        <v>-0.202691476023446-1.00542005618102i</v>
      </c>
      <c r="AG256" s="64">
        <f t="shared" si="238"/>
        <v>0.21996470183154848</v>
      </c>
      <c r="AH256" s="61">
        <f t="shared" si="239"/>
        <v>-101.39798653027694</v>
      </c>
      <c r="AI256" s="50" t="str">
        <f t="shared" si="219"/>
        <v>108.866083054159</v>
      </c>
      <c r="AJ256" s="50" t="str">
        <f t="shared" si="220"/>
        <v>1+12.3318914327689i</v>
      </c>
      <c r="AK256" s="50">
        <f t="shared" si="240"/>
        <v>12.372370278552085</v>
      </c>
      <c r="AL256" s="50">
        <f t="shared" si="241"/>
        <v>1.4898828091980767</v>
      </c>
      <c r="AM256" s="50" t="str">
        <f t="shared" si="221"/>
        <v>1+0.0135650805760458i</v>
      </c>
      <c r="AN256" s="50">
        <f t="shared" si="242"/>
        <v>1.0000920014733816</v>
      </c>
      <c r="AO256" s="50">
        <f t="shared" si="243"/>
        <v>1.3564248624691128E-2</v>
      </c>
      <c r="AP256" s="50" t="str">
        <f t="shared" si="222"/>
        <v>1-0.067685700563253i</v>
      </c>
      <c r="AQ256" s="50">
        <f t="shared" si="244"/>
        <v>1.0022880594224091</v>
      </c>
      <c r="AR256" s="50">
        <f t="shared" si="245"/>
        <v>-6.7582619712124495E-2</v>
      </c>
      <c r="AS256" s="59" t="str">
        <f t="shared" si="246"/>
        <v>0.237188568647394-8.81688358812339i</v>
      </c>
      <c r="AT256" s="50">
        <f t="shared" si="247"/>
        <v>18.909443977462008</v>
      </c>
      <c r="AU256" s="61">
        <f t="shared" si="248"/>
        <v>-88.459021615626142</v>
      </c>
      <c r="AV256" s="32" t="str">
        <f t="shared" si="223"/>
        <v>-0.0000333333333333333</v>
      </c>
      <c r="AW256" s="32" t="str">
        <f t="shared" si="224"/>
        <v>0.000723470964055776i</v>
      </c>
      <c r="AX256" s="32">
        <f t="shared" si="249"/>
        <v>7.23470964055776E-4</v>
      </c>
      <c r="AY256" s="32">
        <f t="shared" si="250"/>
        <v>1.5707963267948966</v>
      </c>
      <c r="AZ256" s="32" t="str">
        <f t="shared" si="225"/>
        <v>1+0.295166105126923i</v>
      </c>
      <c r="BA256" s="32">
        <f t="shared" si="251"/>
        <v>1.0426519215998202</v>
      </c>
      <c r="BB256" s="32">
        <f t="shared" si="252"/>
        <v>0.28701614972347017</v>
      </c>
      <c r="BC256" s="32" t="str">
        <f t="shared" si="226"/>
        <v>1+14.1679730460923i</v>
      </c>
      <c r="BD256" s="32">
        <f t="shared" si="253"/>
        <v>14.203220065703338</v>
      </c>
      <c r="BE256" s="32">
        <f t="shared" si="254"/>
        <v>1.5003314586441934</v>
      </c>
      <c r="BF256" s="59" t="str">
        <f t="shared" si="255"/>
        <v>-0.587953914440239+0.219618249560408i</v>
      </c>
      <c r="BG256" s="50">
        <f t="shared" si="256"/>
        <v>-4.0458978466317834</v>
      </c>
      <c r="BH256" s="61">
        <f t="shared" si="257"/>
        <v>159.51784641976914</v>
      </c>
      <c r="BI256" s="59" t="str">
        <f t="shared" si="258"/>
        <v>0.339981839563058+0.546625910523271i</v>
      </c>
      <c r="BJ256" s="64">
        <f t="shared" si="259"/>
        <v>-3.8259331448002332</v>
      </c>
      <c r="BK256" s="61">
        <f t="shared" si="260"/>
        <v>58.119859889492155</v>
      </c>
      <c r="BL256" s="59" t="str">
        <f t="shared" si="265"/>
        <v>1.79689259280484+5.23601215706313i</v>
      </c>
      <c r="BM256" s="64">
        <f t="shared" si="261"/>
        <v>14.863546130830233</v>
      </c>
      <c r="BN256" s="61">
        <f t="shared" si="266"/>
        <v>71.058824804142944</v>
      </c>
      <c r="BO256" s="50">
        <f t="shared" si="262"/>
        <v>-3.8259331448002332</v>
      </c>
      <c r="BP256" s="61">
        <f t="shared" si="263"/>
        <v>58.119859889492155</v>
      </c>
    </row>
    <row r="257" spans="14:68" x14ac:dyDescent="0.25">
      <c r="N257" s="11">
        <v>39</v>
      </c>
      <c r="O257" s="51">
        <f t="shared" si="264"/>
        <v>2454.7089156850338</v>
      </c>
      <c r="P257" s="49" t="str">
        <f t="shared" si="214"/>
        <v>25.6231073841137</v>
      </c>
      <c r="Q257" s="18" t="str">
        <f t="shared" si="215"/>
        <v>1+13.3378381223886i</v>
      </c>
      <c r="R257" s="18">
        <f t="shared" si="227"/>
        <v>13.375272923534782</v>
      </c>
      <c r="S257" s="18">
        <f t="shared" si="228"/>
        <v>1.495961668322678</v>
      </c>
      <c r="T257" s="18" t="str">
        <f t="shared" si="216"/>
        <v>1+0.0138810518931914i</v>
      </c>
      <c r="U257" s="18">
        <f t="shared" si="229"/>
        <v>1.0000963371604066</v>
      </c>
      <c r="V257" s="18">
        <f t="shared" si="230"/>
        <v>1.388016044589162E-2</v>
      </c>
      <c r="W257" s="32" t="str">
        <f t="shared" si="217"/>
        <v>1-0.311038385014104i</v>
      </c>
      <c r="X257" s="18">
        <f t="shared" si="231"/>
        <v>1.0472558794068343</v>
      </c>
      <c r="Y257" s="18">
        <f t="shared" si="232"/>
        <v>-0.30155273677305877</v>
      </c>
      <c r="Z257" s="32" t="str">
        <f t="shared" si="218"/>
        <v>0.999849360103481+0.0246260142845877i</v>
      </c>
      <c r="AA257" s="18">
        <f t="shared" si="233"/>
        <v>1.0001525800990991</v>
      </c>
      <c r="AB257" s="18">
        <f t="shared" si="234"/>
        <v>2.4624745993836124E-2</v>
      </c>
      <c r="AC257" s="32" t="str">
        <f>IMDIV(IMSUM(COMPLEX(0,2*PI()*O257*Constants!$B$71*Constants!$B$72),COMPLEX(1,0)),IMSUM(COMPLEX(0,2*PI()*O257*Constants!$B$71*Constants!$B$72),COMPLEX(2,0)))</f>
        <v>0.500475309710833+0.0154087292174096i</v>
      </c>
      <c r="AD257" s="18">
        <f t="shared" si="235"/>
        <v>0.50071245697131361</v>
      </c>
      <c r="AE257" s="18">
        <f t="shared" si="236"/>
        <v>3.0778467939948189E-2</v>
      </c>
      <c r="AF257" s="66" t="str">
        <f t="shared" si="237"/>
        <v>-0.20613736553039-0.983111882053596i</v>
      </c>
      <c r="AG257" s="64">
        <f t="shared" si="238"/>
        <v>3.8918489278330443E-2</v>
      </c>
      <c r="AH257" s="61">
        <f t="shared" si="239"/>
        <v>-101.84213211763138</v>
      </c>
      <c r="AI257" s="50" t="str">
        <f t="shared" si="219"/>
        <v>108.866083054159</v>
      </c>
      <c r="AJ257" s="50" t="str">
        <f t="shared" si="220"/>
        <v>1+12.6191380847195i</v>
      </c>
      <c r="AK257" s="50">
        <f t="shared" si="240"/>
        <v>12.658698432351491</v>
      </c>
      <c r="AL257" s="50">
        <f t="shared" si="241"/>
        <v>1.4917168680022339</v>
      </c>
      <c r="AM257" s="50" t="str">
        <f t="shared" si="221"/>
        <v>1+0.0138810518931914i</v>
      </c>
      <c r="AN257" s="50">
        <f t="shared" si="242"/>
        <v>1.0000963371604066</v>
      </c>
      <c r="AO257" s="50">
        <f t="shared" si="243"/>
        <v>1.388016044589162E-2</v>
      </c>
      <c r="AP257" s="50" t="str">
        <f t="shared" si="222"/>
        <v>1-0.0692623030639901i</v>
      </c>
      <c r="AQ257" s="50">
        <f t="shared" si="244"/>
        <v>1.0023957634715581</v>
      </c>
      <c r="AR257" s="50">
        <f t="shared" si="245"/>
        <v>-6.9151864194651927E-2</v>
      </c>
      <c r="AS257" s="59" t="str">
        <f t="shared" si="246"/>
        <v>0.205240006880404-8.619091876936i</v>
      </c>
      <c r="AT257" s="50">
        <f t="shared" si="247"/>
        <v>18.71169205736539</v>
      </c>
      <c r="AU257" s="61">
        <f t="shared" si="248"/>
        <v>-88.635916116303079</v>
      </c>
      <c r="AV257" s="32" t="str">
        <f t="shared" si="223"/>
        <v>-0.0000333333333333333</v>
      </c>
      <c r="AW257" s="32" t="str">
        <f t="shared" si="224"/>
        <v>0.000740322767636877i</v>
      </c>
      <c r="AX257" s="32">
        <f t="shared" si="249"/>
        <v>7.4032276763687699E-4</v>
      </c>
      <c r="AY257" s="32">
        <f t="shared" si="250"/>
        <v>1.5707963267948966</v>
      </c>
      <c r="AZ257" s="32" t="str">
        <f t="shared" si="225"/>
        <v>1+0.302041406935184i</v>
      </c>
      <c r="BA257" s="32">
        <f t="shared" si="251"/>
        <v>1.0446190748322497</v>
      </c>
      <c r="BB257" s="32">
        <f t="shared" si="252"/>
        <v>0.29332859101139896</v>
      </c>
      <c r="BC257" s="32" t="str">
        <f t="shared" si="226"/>
        <v>1+14.4979875328888i</v>
      </c>
      <c r="BD257" s="32">
        <f t="shared" si="253"/>
        <v>14.532434156183166</v>
      </c>
      <c r="BE257" s="32">
        <f t="shared" si="254"/>
        <v>1.5019303097062102</v>
      </c>
      <c r="BF257" s="59" t="str">
        <f t="shared" si="255"/>
        <v>-0.585741612441316+0.221943626924116i</v>
      </c>
      <c r="BG257" s="50">
        <f t="shared" si="256"/>
        <v>-4.0632389671399425</v>
      </c>
      <c r="BH257" s="61">
        <f t="shared" si="257"/>
        <v>159.24777759347018</v>
      </c>
      <c r="BI257" s="59" t="str">
        <f t="shared" si="258"/>
        <v>0.338938649645344+0.530098664453893i</v>
      </c>
      <c r="BJ257" s="64">
        <f t="shared" si="259"/>
        <v>-4.0243204778616173</v>
      </c>
      <c r="BK257" s="61">
        <f t="shared" si="260"/>
        <v>57.405645475838817</v>
      </c>
      <c r="BL257" s="59" t="str">
        <f t="shared" si="265"/>
        <v>1.79273489939177+5.09411248529331i</v>
      </c>
      <c r="BM257" s="64">
        <f t="shared" si="261"/>
        <v>14.648453090225448</v>
      </c>
      <c r="BN257" s="61">
        <f t="shared" si="266"/>
        <v>70.611861477167082</v>
      </c>
      <c r="BO257" s="50">
        <f t="shared" si="262"/>
        <v>-4.0243204778616173</v>
      </c>
      <c r="BP257" s="61">
        <f t="shared" si="263"/>
        <v>57.405645475838817</v>
      </c>
    </row>
    <row r="258" spans="14:68" x14ac:dyDescent="0.25">
      <c r="N258" s="11">
        <v>40</v>
      </c>
      <c r="O258" s="51">
        <f t="shared" si="264"/>
        <v>2511.8864315095811</v>
      </c>
      <c r="P258" s="49" t="str">
        <f t="shared" si="214"/>
        <v>25.6231073841137</v>
      </c>
      <c r="Q258" s="18" t="str">
        <f t="shared" si="215"/>
        <v>1+13.6485162828154i</v>
      </c>
      <c r="R258" s="18">
        <f t="shared" si="227"/>
        <v>13.685101268250706</v>
      </c>
      <c r="S258" s="18">
        <f t="shared" si="228"/>
        <v>1.4976589747875175</v>
      </c>
      <c r="T258" s="18" t="str">
        <f t="shared" si="216"/>
        <v>1+0.0142043831277883i</v>
      </c>
      <c r="U258" s="18">
        <f t="shared" si="229"/>
        <v>1.0001008771619195</v>
      </c>
      <c r="V258" s="18">
        <f t="shared" si="230"/>
        <v>1.4203427930000579E-2</v>
      </c>
      <c r="W258" s="32" t="str">
        <f t="shared" si="217"/>
        <v>1-0.318283399715257i</v>
      </c>
      <c r="X258" s="18">
        <f t="shared" si="231"/>
        <v>1.0494304753218777</v>
      </c>
      <c r="Y258" s="18">
        <f t="shared" si="232"/>
        <v>-0.30814502120966836</v>
      </c>
      <c r="Z258" s="32" t="str">
        <f t="shared" si="218"/>
        <v>0.99984226066388+0.0251996278452245i</v>
      </c>
      <c r="AA258" s="18">
        <f t="shared" si="233"/>
        <v>1.0001597709631176</v>
      </c>
      <c r="AB258" s="18">
        <f t="shared" si="234"/>
        <v>2.5198268853282073E-2</v>
      </c>
      <c r="AC258" s="32" t="str">
        <f>IMDIV(IMSUM(COMPLEX(0,2*PI()*O258*Constants!$B$71*Constants!$B$72),COMPLEX(1,0)),IMSUM(COMPLEX(0,2*PI()*O258*Constants!$B$71*Constants!$B$72),COMPLEX(2,0)))</f>
        <v>0.5004976880703+0.0157669382485899i</v>
      </c>
      <c r="AD258" s="18">
        <f t="shared" si="235"/>
        <v>0.50074597562581591</v>
      </c>
      <c r="AE258" s="18">
        <f t="shared" si="236"/>
        <v>3.1492104716261349E-2</v>
      </c>
      <c r="AF258" s="66" t="str">
        <f t="shared" si="237"/>
        <v>-0.209431465062282-0.961301888328368i</v>
      </c>
      <c r="AG258" s="64">
        <f t="shared" si="238"/>
        <v>-0.1414130634238944</v>
      </c>
      <c r="AH258" s="61">
        <f t="shared" si="239"/>
        <v>-102.29054089159376</v>
      </c>
      <c r="AI258" s="50" t="str">
        <f t="shared" si="219"/>
        <v>108.866083054159</v>
      </c>
      <c r="AJ258" s="50" t="str">
        <f t="shared" si="220"/>
        <v>1+12.9130755707167i</v>
      </c>
      <c r="AK258" s="50">
        <f t="shared" si="240"/>
        <v>12.951738134128579</v>
      </c>
      <c r="AL258" s="50">
        <f t="shared" si="241"/>
        <v>1.4935096938264412</v>
      </c>
      <c r="AM258" s="50" t="str">
        <f t="shared" si="221"/>
        <v>1+0.0142043831277883i</v>
      </c>
      <c r="AN258" s="50">
        <f t="shared" si="242"/>
        <v>1.0001008771619195</v>
      </c>
      <c r="AO258" s="50">
        <f t="shared" si="243"/>
        <v>1.4203427930000579E-2</v>
      </c>
      <c r="AP258" s="50" t="str">
        <f t="shared" si="222"/>
        <v>1-0.0708756293546071i</v>
      </c>
      <c r="AQ258" s="50">
        <f t="shared" si="244"/>
        <v>1.0025085310541808</v>
      </c>
      <c r="AR258" s="50">
        <f t="shared" si="245"/>
        <v>-7.0757307960768637E-2</v>
      </c>
      <c r="AS258" s="59" t="str">
        <f t="shared" si="246"/>
        <v>0.17471181939013-8.42564352539371i</v>
      </c>
      <c r="AT258" s="50">
        <f t="shared" si="247"/>
        <v>18.513928554164334</v>
      </c>
      <c r="AU258" s="61">
        <f t="shared" si="248"/>
        <v>-88.812100758983064</v>
      </c>
      <c r="AV258" s="32" t="str">
        <f t="shared" si="223"/>
        <v>-0.0000333333333333333</v>
      </c>
      <c r="AW258" s="32" t="str">
        <f t="shared" si="224"/>
        <v>0.000757567100148709i</v>
      </c>
      <c r="AX258" s="32">
        <f t="shared" si="249"/>
        <v>7.5756710014870899E-4</v>
      </c>
      <c r="AY258" s="32">
        <f t="shared" si="250"/>
        <v>1.5707963267948966</v>
      </c>
      <c r="AZ258" s="32" t="str">
        <f t="shared" si="225"/>
        <v>1+0.309076855095394i</v>
      </c>
      <c r="BA258" s="32">
        <f t="shared" si="251"/>
        <v>1.046674974553065</v>
      </c>
      <c r="BB258" s="32">
        <f t="shared" si="252"/>
        <v>0.29976324164343077</v>
      </c>
      <c r="BC258" s="32" t="str">
        <f t="shared" si="226"/>
        <v>1+14.8356890445789i</v>
      </c>
      <c r="BD258" s="32">
        <f t="shared" si="253"/>
        <v>14.869353362787448</v>
      </c>
      <c r="BE258" s="32">
        <f t="shared" si="254"/>
        <v>1.5034931073047859</v>
      </c>
      <c r="BF258" s="59" t="str">
        <f t="shared" si="255"/>
        <v>-0.583442821767163+0.224329175308886i</v>
      </c>
      <c r="BG258" s="50">
        <f t="shared" si="256"/>
        <v>-4.0812423724624836</v>
      </c>
      <c r="BH258" s="61">
        <f t="shared" si="257"/>
        <v>158.96864097624524</v>
      </c>
      <c r="BI258" s="59" t="str">
        <f t="shared" si="258"/>
        <v>0.337839344774346+0.513883098455252i</v>
      </c>
      <c r="BJ258" s="64">
        <f t="shared" si="259"/>
        <v>-4.2226554358863773</v>
      </c>
      <c r="BK258" s="61">
        <f t="shared" si="260"/>
        <v>56.678100084651525</v>
      </c>
      <c r="BL258" s="59" t="str">
        <f t="shared" si="265"/>
        <v>1.78818330659717+4.95507419202044i</v>
      </c>
      <c r="BM258" s="64">
        <f t="shared" si="261"/>
        <v>14.432686181701854</v>
      </c>
      <c r="BN258" s="61">
        <f t="shared" si="266"/>
        <v>70.156540217262219</v>
      </c>
      <c r="BO258" s="50">
        <f t="shared" si="262"/>
        <v>-4.2226554358863773</v>
      </c>
      <c r="BP258" s="61">
        <f t="shared" si="263"/>
        <v>56.678100084651525</v>
      </c>
    </row>
    <row r="259" spans="14:68" x14ac:dyDescent="0.25">
      <c r="N259" s="11">
        <v>41</v>
      </c>
      <c r="O259" s="51">
        <f t="shared" si="264"/>
        <v>2570.3957827688669</v>
      </c>
      <c r="P259" s="49" t="str">
        <f t="shared" si="214"/>
        <v>25.6231073841137</v>
      </c>
      <c r="Q259" s="18" t="str">
        <f t="shared" si="215"/>
        <v>1+13.9664310672348i</v>
      </c>
      <c r="R259" s="18">
        <f t="shared" si="227"/>
        <v>14.002185427847376</v>
      </c>
      <c r="S259" s="18">
        <f t="shared" si="228"/>
        <v>1.4993180538557851</v>
      </c>
      <c r="T259" s="18" t="str">
        <f t="shared" si="216"/>
        <v>1+0.0145352457143367i</v>
      </c>
      <c r="U259" s="18">
        <f t="shared" si="229"/>
        <v>1.0001056311050229</v>
      </c>
      <c r="V259" s="18">
        <f t="shared" si="230"/>
        <v>1.453422220730529E-2</v>
      </c>
      <c r="W259" s="32" t="str">
        <f t="shared" si="217"/>
        <v>1-0.325697172487916i</v>
      </c>
      <c r="X259" s="18">
        <f t="shared" si="231"/>
        <v>1.0517027375483166</v>
      </c>
      <c r="Y259" s="18">
        <f t="shared" si="232"/>
        <v>-0.31486233847375805</v>
      </c>
      <c r="Z259" s="32" t="str">
        <f t="shared" si="218"/>
        <v>0.999834826637998+0.0257866025821011i</v>
      </c>
      <c r="AA259" s="18">
        <f t="shared" si="233"/>
        <v>1.0001673007207157</v>
      </c>
      <c r="AB259" s="18">
        <f t="shared" si="234"/>
        <v>2.5785146402823783E-2</v>
      </c>
      <c r="AC259" s="32" t="str">
        <f>IMDIV(IMSUM(COMPLEX(0,2*PI()*O259*Constants!$B$71*Constants!$B$72),COMPLEX(1,0)),IMSUM(COMPLEX(0,2*PI()*O259*Constants!$B$71*Constants!$B$72),COMPLEX(2,0)))</f>
        <v>0.500521118940417+0.0161334405896067i</v>
      </c>
      <c r="AD259" s="18">
        <f t="shared" si="235"/>
        <v>0.50078106834286917</v>
      </c>
      <c r="AE259" s="18">
        <f t="shared" si="236"/>
        <v>3.2222130083290786E-2</v>
      </c>
      <c r="AF259" s="66" t="str">
        <f t="shared" si="237"/>
        <v>-0.212580534842314-0.939980027122463i</v>
      </c>
      <c r="AG259" s="64">
        <f t="shared" si="238"/>
        <v>-0.32099800707263992</v>
      </c>
      <c r="AH259" s="61">
        <f t="shared" si="239"/>
        <v>-102.74331816720139</v>
      </c>
      <c r="AI259" s="50" t="str">
        <f t="shared" si="219"/>
        <v>108.866083054159</v>
      </c>
      <c r="AJ259" s="50" t="str">
        <f t="shared" si="220"/>
        <v>1+13.2138597403061i</v>
      </c>
      <c r="AK259" s="50">
        <f t="shared" si="240"/>
        <v>13.251644774762203</v>
      </c>
      <c r="AL259" s="50">
        <f t="shared" si="241"/>
        <v>1.49526219112458</v>
      </c>
      <c r="AM259" s="50" t="str">
        <f t="shared" si="221"/>
        <v>1+0.0145352457143367i</v>
      </c>
      <c r="AN259" s="50">
        <f t="shared" si="242"/>
        <v>1.0001056311050229</v>
      </c>
      <c r="AO259" s="50">
        <f t="shared" si="243"/>
        <v>1.453422220730529E-2</v>
      </c>
      <c r="AP259" s="50" t="str">
        <f t="shared" si="222"/>
        <v>1-0.0725265348420574i</v>
      </c>
      <c r="AQ259" s="50">
        <f t="shared" si="244"/>
        <v>1.0026265996153285</v>
      </c>
      <c r="AR259" s="50">
        <f t="shared" si="245"/>
        <v>-7.2399769115813847E-2</v>
      </c>
      <c r="AS259" s="59" t="str">
        <f t="shared" si="246"/>
        <v>0.145541609323804-8.23645091057937i</v>
      </c>
      <c r="AT259" s="50">
        <f t="shared" si="247"/>
        <v>18.316158134213111</v>
      </c>
      <c r="AU259" s="61">
        <f t="shared" si="248"/>
        <v>-88.98766443399613</v>
      </c>
      <c r="AV259" s="32" t="str">
        <f t="shared" si="223"/>
        <v>-0.0000333333333333333</v>
      </c>
      <c r="AW259" s="32" t="str">
        <f t="shared" si="224"/>
        <v>0.000775213104764626i</v>
      </c>
      <c r="AX259" s="32">
        <f t="shared" si="249"/>
        <v>7.7521310476462598E-4</v>
      </c>
      <c r="AY259" s="32">
        <f t="shared" si="250"/>
        <v>1.5707963267948966</v>
      </c>
      <c r="AZ259" s="32" t="str">
        <f t="shared" si="225"/>
        <v>1+0.31627617989529i</v>
      </c>
      <c r="BA259" s="32">
        <f t="shared" si="251"/>
        <v>1.0488234465195549</v>
      </c>
      <c r="BB259" s="32">
        <f t="shared" si="252"/>
        <v>0.30632138117385604</v>
      </c>
      <c r="BC259" s="32" t="str">
        <f t="shared" si="226"/>
        <v>1+15.181256634974i</v>
      </c>
      <c r="BD259" s="32">
        <f t="shared" si="253"/>
        <v>15.21415633602278</v>
      </c>
      <c r="BE259" s="32">
        <f t="shared" si="254"/>
        <v>1.5050206495037048</v>
      </c>
      <c r="BF259" s="59" t="str">
        <f t="shared" si="255"/>
        <v>-0.581054952449009+0.226772769775189i</v>
      </c>
      <c r="BG259" s="50">
        <f t="shared" si="256"/>
        <v>-4.0999374661454402</v>
      </c>
      <c r="BH259" s="61">
        <f t="shared" si="257"/>
        <v>158.6804089807201</v>
      </c>
      <c r="BI259" s="59" t="str">
        <f t="shared" si="258"/>
        <v>0.336682846848304+0.497972573276178i</v>
      </c>
      <c r="BJ259" s="64">
        <f t="shared" si="259"/>
        <v>-4.4209354732180826</v>
      </c>
      <c r="BK259" s="61">
        <f t="shared" si="260"/>
        <v>55.937090813518687</v>
      </c>
      <c r="BL259" s="59" t="str">
        <f t="shared" si="265"/>
        <v>1.78323511322447+4.81883546605919i</v>
      </c>
      <c r="BM259" s="64">
        <f t="shared" si="261"/>
        <v>14.216220668067674</v>
      </c>
      <c r="BN259" s="61">
        <f t="shared" si="266"/>
        <v>69.692744546723944</v>
      </c>
      <c r="BO259" s="50">
        <f t="shared" si="262"/>
        <v>-4.4209354732180826</v>
      </c>
      <c r="BP259" s="61">
        <f t="shared" si="263"/>
        <v>55.937090813518687</v>
      </c>
    </row>
    <row r="260" spans="14:68" x14ac:dyDescent="0.25">
      <c r="N260" s="11">
        <v>42</v>
      </c>
      <c r="O260" s="51">
        <f t="shared" si="264"/>
        <v>2630.2679918953822</v>
      </c>
      <c r="P260" s="49" t="str">
        <f t="shared" si="214"/>
        <v>25.6231073841137</v>
      </c>
      <c r="Q260" s="18" t="str">
        <f t="shared" si="215"/>
        <v>1+14.2917510382735i</v>
      </c>
      <c r="R260" s="18">
        <f t="shared" si="227"/>
        <v>14.326693538286902</v>
      </c>
      <c r="S260" s="18">
        <f t="shared" si="228"/>
        <v>1.5009397486391807</v>
      </c>
      <c r="T260" s="18" t="str">
        <f t="shared" si="216"/>
        <v>1+0.0148738150805596i</v>
      </c>
      <c r="U260" s="18">
        <f t="shared" si="229"/>
        <v>1.000110609070342</v>
      </c>
      <c r="V260" s="18">
        <f t="shared" si="230"/>
        <v>1.4872718379567161E-2</v>
      </c>
      <c r="W260" s="32" t="str">
        <f t="shared" si="217"/>
        <v>1-0.33328363421254i</v>
      </c>
      <c r="X260" s="18">
        <f t="shared" si="231"/>
        <v>1.0540768382019967</v>
      </c>
      <c r="Y260" s="18">
        <f t="shared" si="232"/>
        <v>-0.32170582452104735</v>
      </c>
      <c r="Z260" s="32" t="str">
        <f t="shared" si="218"/>
        <v>0.99982704225727+0.0263872497169928i</v>
      </c>
      <c r="AA260" s="18">
        <f t="shared" si="233"/>
        <v>1.0001751853433216</v>
      </c>
      <c r="AB260" s="18">
        <f t="shared" si="234"/>
        <v>2.6385689400442575E-2</v>
      </c>
      <c r="AC260" s="32" t="str">
        <f>IMDIV(IMSUM(COMPLEX(0,2*PI()*O260*Constants!$B$71*Constants!$B$72),COMPLEX(1,0)),IMSUM(COMPLEX(0,2*PI()*O260*Constants!$B$71*Constants!$B$72),COMPLEX(2,0)))</f>
        <v>0.500545651717488+0.0165084258167456i</v>
      </c>
      <c r="AD260" s="18">
        <f t="shared" si="235"/>
        <v>0.50081780876505555</v>
      </c>
      <c r="AE260" s="18">
        <f t="shared" si="236"/>
        <v>3.2968909138476735E-2</v>
      </c>
      <c r="AF260" s="66" t="str">
        <f t="shared" si="237"/>
        <v>-0.215591047185904-0.91913640935045i</v>
      </c>
      <c r="AG260" s="64">
        <f t="shared" si="238"/>
        <v>-0.4998036256400249</v>
      </c>
      <c r="AH260" s="61">
        <f t="shared" si="239"/>
        <v>-103.20056419065153</v>
      </c>
      <c r="AI260" s="50" t="str">
        <f t="shared" si="219"/>
        <v>108.866083054159</v>
      </c>
      <c r="AJ260" s="50" t="str">
        <f t="shared" si="220"/>
        <v>1+13.521650073236i</v>
      </c>
      <c r="AK260" s="50">
        <f t="shared" si="240"/>
        <v>13.558577384926604</v>
      </c>
      <c r="AL260" s="50">
        <f t="shared" si="241"/>
        <v>1.4969752460110277</v>
      </c>
      <c r="AM260" s="50" t="str">
        <f t="shared" si="221"/>
        <v>1+0.0148738150805596i</v>
      </c>
      <c r="AN260" s="50">
        <f t="shared" si="242"/>
        <v>1.000110609070342</v>
      </c>
      <c r="AO260" s="50">
        <f t="shared" si="243"/>
        <v>1.4872718379567161E-2</v>
      </c>
      <c r="AP260" s="50" t="str">
        <f t="shared" si="222"/>
        <v>1-0.0742158948582832i</v>
      </c>
      <c r="AQ260" s="50">
        <f t="shared" si="244"/>
        <v>1.0027502176761747</v>
      </c>
      <c r="AR260" s="50">
        <f t="shared" si="245"/>
        <v>-7.4080083047888226E-2</v>
      </c>
      <c r="AS260" s="59" t="str">
        <f t="shared" si="246"/>
        <v>0.117669655209687-8.05142768767191i</v>
      </c>
      <c r="AT260" s="50">
        <f t="shared" si="247"/>
        <v>18.11838545040774</v>
      </c>
      <c r="AU260" s="61">
        <f t="shared" si="248"/>
        <v>-89.162695743576805</v>
      </c>
      <c r="AV260" s="32" t="str">
        <f t="shared" si="223"/>
        <v>-0.0000333333333333333</v>
      </c>
      <c r="AW260" s="32" t="str">
        <f t="shared" si="224"/>
        <v>0.000793270137629847i</v>
      </c>
      <c r="AX260" s="32">
        <f t="shared" si="249"/>
        <v>7.9327013762984697E-4</v>
      </c>
      <c r="AY260" s="32">
        <f t="shared" si="250"/>
        <v>1.5707963267948966</v>
      </c>
      <c r="AZ260" s="32" t="str">
        <f t="shared" si="225"/>
        <v>1+0.323643198512177i</v>
      </c>
      <c r="BA260" s="32">
        <f t="shared" si="251"/>
        <v>1.0510684658685143</v>
      </c>
      <c r="BB260" s="32">
        <f t="shared" si="252"/>
        <v>0.31300422952192597</v>
      </c>
      <c r="BC260" s="32" t="str">
        <f t="shared" si="226"/>
        <v>1+15.5348735285845i</v>
      </c>
      <c r="BD260" s="32">
        <f t="shared" si="253"/>
        <v>15.567025905712224</v>
      </c>
      <c r="BE260" s="32">
        <f t="shared" si="254"/>
        <v>1.5065137176952563</v>
      </c>
      <c r="BF260" s="59" t="str">
        <f t="shared" si="255"/>
        <v>-0.578575406143173+0.229272149007673i</v>
      </c>
      <c r="BG260" s="50">
        <f t="shared" si="256"/>
        <v>-4.119354378026677</v>
      </c>
      <c r="BH260" s="61">
        <f t="shared" si="257"/>
        <v>158.38305648115087</v>
      </c>
      <c r="BI260" s="59" t="str">
        <f t="shared" si="258"/>
        <v>0.33546805748939+0.482360698645788i</v>
      </c>
      <c r="BJ260" s="64">
        <f t="shared" si="259"/>
        <v>-4.6191580036666986</v>
      </c>
      <c r="BK260" s="61">
        <f t="shared" si="260"/>
        <v>55.182492290499376</v>
      </c>
      <c r="BL260" s="59" t="str">
        <f t="shared" si="265"/>
        <v>1.77788735997875+4.68533641915008i</v>
      </c>
      <c r="BM260" s="64">
        <f t="shared" si="261"/>
        <v>13.999031072381062</v>
      </c>
      <c r="BN260" s="61">
        <f t="shared" si="266"/>
        <v>69.220360737574026</v>
      </c>
      <c r="BO260" s="50">
        <f t="shared" si="262"/>
        <v>-4.6191580036666986</v>
      </c>
      <c r="BP260" s="61">
        <f t="shared" si="263"/>
        <v>55.182492290499376</v>
      </c>
    </row>
    <row r="261" spans="14:68" x14ac:dyDescent="0.25">
      <c r="N261" s="11">
        <v>43</v>
      </c>
      <c r="O261" s="51">
        <f t="shared" si="264"/>
        <v>2691.5348039269184</v>
      </c>
      <c r="P261" s="49" t="str">
        <f t="shared" si="214"/>
        <v>25.6231073841137</v>
      </c>
      <c r="Q261" s="18" t="str">
        <f t="shared" si="215"/>
        <v>1+14.6246486848865i</v>
      </c>
      <c r="R261" s="18">
        <f t="shared" si="227"/>
        <v>14.658797670898949</v>
      </c>
      <c r="S261" s="18">
        <f t="shared" si="228"/>
        <v>1.5025248848435102</v>
      </c>
      <c r="T261" s="18" t="str">
        <f t="shared" si="216"/>
        <v>1+0.0152202707404165i</v>
      </c>
      <c r="U261" s="18">
        <f t="shared" si="229"/>
        <v>1.0001158216133827</v>
      </c>
      <c r="V261" s="18">
        <f t="shared" si="230"/>
        <v>1.5219095611480996E-2</v>
      </c>
      <c r="W261" s="32" t="str">
        <f t="shared" si="217"/>
        <v>1-0.341046807331555i</v>
      </c>
      <c r="X261" s="18">
        <f t="shared" si="231"/>
        <v>1.0565571091006141</v>
      </c>
      <c r="Y261" s="18">
        <f t="shared" si="232"/>
        <v>-0.32867654296184862</v>
      </c>
      <c r="Z261" s="32" t="str">
        <f t="shared" si="218"/>
        <v>0.999818891009981+0.0270018877209611i</v>
      </c>
      <c r="AA261" s="18">
        <f t="shared" si="233"/>
        <v>1.0001834415550599</v>
      </c>
      <c r="AB261" s="18">
        <f t="shared" si="234"/>
        <v>2.7000215820246781E-2</v>
      </c>
      <c r="AC261" s="32" t="str">
        <f>IMDIV(IMSUM(COMPLEX(0,2*PI()*O261*Constants!$B$71*Constants!$B$72),COMPLEX(1,0)),IMSUM(COMPLEX(0,2*PI()*O261*Constants!$B$71*Constants!$B$72),COMPLEX(2,0)))</f>
        <v>0.500571338105872+0.0168920876656723i</v>
      </c>
      <c r="AD261" s="18">
        <f t="shared" si="235"/>
        <v>0.50085627395372412</v>
      </c>
      <c r="AE261" s="18">
        <f t="shared" si="236"/>
        <v>3.3732814305880529E-2</v>
      </c>
      <c r="AF261" s="66" t="str">
        <f t="shared" si="237"/>
        <v>-0.218469198515447-0.898761305927368i</v>
      </c>
      <c r="AG261" s="64">
        <f t="shared" si="238"/>
        <v>-0.67779643087613239</v>
      </c>
      <c r="AH261" s="61">
        <f t="shared" si="239"/>
        <v>-103.66237382665042</v>
      </c>
      <c r="AI261" s="50" t="str">
        <f t="shared" si="219"/>
        <v>108.866083054159</v>
      </c>
      <c r="AJ261" s="50" t="str">
        <f t="shared" si="220"/>
        <v>1+13.836609764015i</v>
      </c>
      <c r="AK261" s="50">
        <f t="shared" si="240"/>
        <v>13.872698719486241</v>
      </c>
      <c r="AL261" s="50">
        <f t="shared" si="241"/>
        <v>1.4986497265311878</v>
      </c>
      <c r="AM261" s="50" t="str">
        <f t="shared" si="221"/>
        <v>1+0.0152202707404165i</v>
      </c>
      <c r="AN261" s="50">
        <f t="shared" si="242"/>
        <v>1.0001158216133827</v>
      </c>
      <c r="AO261" s="50">
        <f t="shared" si="243"/>
        <v>1.5219095611480996E-2</v>
      </c>
      <c r="AP261" s="50" t="str">
        <f t="shared" si="222"/>
        <v>1-0.0759446051243266i</v>
      </c>
      <c r="AQ261" s="50">
        <f t="shared" si="244"/>
        <v>1.0028796453450881</v>
      </c>
      <c r="AR261" s="50">
        <f t="shared" si="245"/>
        <v>-7.5799102706086793E-2</v>
      </c>
      <c r="AS261" s="59" t="str">
        <f t="shared" si="246"/>
        <v>0.0910388020214871-7.87048880740202i</v>
      </c>
      <c r="AT261" s="50">
        <f t="shared" si="247"/>
        <v>17.920615151420481</v>
      </c>
      <c r="AU261" s="61">
        <f t="shared" si="248"/>
        <v>-89.337283028065528</v>
      </c>
      <c r="AV261" s="32" t="str">
        <f t="shared" si="223"/>
        <v>-0.0000333333333333333</v>
      </c>
      <c r="AW261" s="32" t="str">
        <f t="shared" si="224"/>
        <v>0.000811747772822213i</v>
      </c>
      <c r="AX261" s="32">
        <f t="shared" si="249"/>
        <v>8.1174777282221305E-4</v>
      </c>
      <c r="AY261" s="32">
        <f t="shared" si="250"/>
        <v>1.5707963267948966</v>
      </c>
      <c r="AZ261" s="32" t="str">
        <f t="shared" si="225"/>
        <v>1+0.331181817036841i</v>
      </c>
      <c r="BA261" s="32">
        <f t="shared" si="251"/>
        <v>1.0534141616362596</v>
      </c>
      <c r="BB261" s="32">
        <f t="shared" si="252"/>
        <v>0.31981294151134954</v>
      </c>
      <c r="BC261" s="32" t="str">
        <f t="shared" si="226"/>
        <v>1+15.8967272177684i</v>
      </c>
      <c r="BD261" s="32">
        <f t="shared" si="253"/>
        <v>15.928149177984825</v>
      </c>
      <c r="BE261" s="32">
        <f t="shared" si="254"/>
        <v>1.5079730768815502</v>
      </c>
      <c r="BF261" s="59" t="str">
        <f t="shared" si="255"/>
        <v>-0.576001583050516+0.231824909393263i</v>
      </c>
      <c r="BG261" s="50">
        <f t="shared" si="256"/>
        <v>-4.1395239695072599</v>
      </c>
      <c r="BH261" s="61">
        <f t="shared" si="257"/>
        <v>158.07656114240507</v>
      </c>
      <c r="BI261" s="59" t="str">
        <f t="shared" si="258"/>
        <v>0.334193862505458+0.467041332847651i</v>
      </c>
      <c r="BJ261" s="64">
        <f t="shared" si="259"/>
        <v>-4.8173204003833874</v>
      </c>
      <c r="BK261" s="61">
        <f t="shared" si="260"/>
        <v>54.414187315754617</v>
      </c>
      <c r="BL261" s="59" t="str">
        <f t="shared" si="265"/>
        <v>1.77213686057326+4.55451907447483i</v>
      </c>
      <c r="BM261" s="64">
        <f t="shared" si="261"/>
        <v>13.781091181913212</v>
      </c>
      <c r="BN261" s="61">
        <f t="shared" si="266"/>
        <v>68.739278114339555</v>
      </c>
      <c r="BO261" s="50">
        <f t="shared" si="262"/>
        <v>-4.8173204003833874</v>
      </c>
      <c r="BP261" s="61">
        <f t="shared" si="263"/>
        <v>54.414187315754617</v>
      </c>
    </row>
    <row r="262" spans="14:68" x14ac:dyDescent="0.25">
      <c r="N262" s="11">
        <v>44</v>
      </c>
      <c r="O262" s="51">
        <f t="shared" si="264"/>
        <v>2754.228703338169</v>
      </c>
      <c r="P262" s="49" t="str">
        <f t="shared" si="214"/>
        <v>25.6231073841137</v>
      </c>
      <c r="Q262" s="18" t="str">
        <f t="shared" si="215"/>
        <v>1+14.9653005138124i</v>
      </c>
      <c r="R262" s="18">
        <f t="shared" si="227"/>
        <v>14.998673923674509</v>
      </c>
      <c r="S262" s="18">
        <f t="shared" si="228"/>
        <v>1.5040742710478399</v>
      </c>
      <c r="T262" s="18" t="str">
        <f t="shared" si="216"/>
        <v>1+0.015574796389284i</v>
      </c>
      <c r="U262" s="18">
        <f t="shared" si="229"/>
        <v>1.0001212797868904</v>
      </c>
      <c r="V262" s="18">
        <f t="shared" si="230"/>
        <v>1.5573537224190139E-2</v>
      </c>
      <c r="W262" s="32" t="str">
        <f t="shared" si="217"/>
        <v>1-0.348990807982105i</v>
      </c>
      <c r="X262" s="18">
        <f t="shared" si="231"/>
        <v>1.0591480463353564</v>
      </c>
      <c r="Y262" s="18">
        <f t="shared" si="232"/>
        <v>-0.33577547915665501</v>
      </c>
      <c r="Z262" s="32" t="str">
        <f t="shared" si="218"/>
        <v>0.999810355606243+0.0276308424832113i</v>
      </c>
      <c r="AA262" s="18">
        <f t="shared" si="233"/>
        <v>1.0001920868682246</v>
      </c>
      <c r="AB262" s="18">
        <f t="shared" si="234"/>
        <v>2.7629051018959183E-2</v>
      </c>
      <c r="AC262" s="32" t="str">
        <f>IMDIV(IMSUM(COMPLEX(0,2*PI()*O262*Constants!$B$71*Constants!$B$72),COMPLEX(1,0)),IMSUM(COMPLEX(0,2*PI()*O262*Constants!$B$71*Constants!$B$72),COMPLEX(2,0)))</f>
        <v>0.500598232224845+0.0172846241101034i</v>
      </c>
      <c r="AD262" s="18">
        <f t="shared" si="235"/>
        <v>0.50089654454514598</v>
      </c>
      <c r="AE262" s="18">
        <f t="shared" si="236"/>
        <v>3.4514225424151244E-2</v>
      </c>
      <c r="AF262" s="66" t="str">
        <f t="shared" si="237"/>
        <v>-0.221220920936889-0.878845148643525i</v>
      </c>
      <c r="AG262" s="64">
        <f t="shared" si="238"/>
        <v>-0.85494215949999008</v>
      </c>
      <c r="AH262" s="61">
        <f t="shared" si="239"/>
        <v>-104.12883623525138</v>
      </c>
      <c r="AI262" s="50" t="str">
        <f t="shared" si="219"/>
        <v>108.866083054159</v>
      </c>
      <c r="AJ262" s="50" t="str">
        <f t="shared" si="220"/>
        <v>1+14.1589058084401i</v>
      </c>
      <c r="AK262" s="50">
        <f t="shared" si="240"/>
        <v>14.194175343861257</v>
      </c>
      <c r="AL262" s="50">
        <f t="shared" si="241"/>
        <v>1.5002864829353375</v>
      </c>
      <c r="AM262" s="50" t="str">
        <f t="shared" si="221"/>
        <v>1+0.015574796389284i</v>
      </c>
      <c r="AN262" s="50">
        <f t="shared" si="242"/>
        <v>1.0001212797868904</v>
      </c>
      <c r="AO262" s="50">
        <f t="shared" si="243"/>
        <v>1.5573537224190139E-2</v>
      </c>
      <c r="AP262" s="50" t="str">
        <f t="shared" si="222"/>
        <v>1-0.0777135822252526i</v>
      </c>
      <c r="AQ262" s="50">
        <f t="shared" si="244"/>
        <v>1.0030151548517505</v>
      </c>
      <c r="AR262" s="50">
        <f t="shared" si="245"/>
        <v>-7.7557698876622463E-2</v>
      </c>
      <c r="AS262" s="59" t="str">
        <f t="shared" si="246"/>
        <v>0.0655943561638738-7.69355053019272i</v>
      </c>
      <c r="AT262" s="50">
        <f t="shared" si="247"/>
        <v>17.722851890927924</v>
      </c>
      <c r="AU262" s="61">
        <f t="shared" si="248"/>
        <v>-89.511514392061841</v>
      </c>
      <c r="AV262" s="32" t="str">
        <f t="shared" si="223"/>
        <v>-0.0000333333333333333</v>
      </c>
      <c r="AW262" s="32" t="str">
        <f t="shared" si="224"/>
        <v>0.00083065580742848i</v>
      </c>
      <c r="AX262" s="32">
        <f t="shared" si="249"/>
        <v>8.3065580742848E-4</v>
      </c>
      <c r="AY262" s="32">
        <f t="shared" si="250"/>
        <v>1.5707963267948966</v>
      </c>
      <c r="AZ262" s="32" t="str">
        <f t="shared" si="225"/>
        <v>1+0.338896032544606i</v>
      </c>
      <c r="BA262" s="32">
        <f t="shared" si="251"/>
        <v>1.0558648213073842</v>
      </c>
      <c r="BB262" s="32">
        <f t="shared" si="252"/>
        <v>0.32674860120974314</v>
      </c>
      <c r="BC262" s="32" t="str">
        <f t="shared" si="226"/>
        <v>1+16.2670095621411i</v>
      </c>
      <c r="BD262" s="32">
        <f t="shared" si="253"/>
        <v>16.29771763452754</v>
      </c>
      <c r="BE262" s="32">
        <f t="shared" si="254"/>
        <v>1.5093994759558036</v>
      </c>
      <c r="BF262" s="59" t="str">
        <f t="shared" si="255"/>
        <v>-0.573330889453573+0.234428499288344i</v>
      </c>
      <c r="BG262" s="50">
        <f t="shared" si="256"/>
        <v>-4.1604778364065211</v>
      </c>
      <c r="BH262" s="61">
        <f t="shared" si="257"/>
        <v>157.7609037604042</v>
      </c>
      <c r="BI262" s="59" t="str">
        <f t="shared" si="258"/>
        <v>0.332859136669828+0.452008582257329i</v>
      </c>
      <c r="BJ262" s="64">
        <f t="shared" si="259"/>
        <v>-5.0154199959065195</v>
      </c>
      <c r="BK262" s="61">
        <f t="shared" si="260"/>
        <v>53.632067525152813</v>
      </c>
      <c r="BL262" s="59" t="str">
        <f t="shared" si="265"/>
        <v>1.76598023442955+4.42632735500868i</v>
      </c>
      <c r="BM262" s="64">
        <f t="shared" si="261"/>
        <v>13.562374054521397</v>
      </c>
      <c r="BN262" s="61">
        <f t="shared" si="266"/>
        <v>68.249389368342392</v>
      </c>
      <c r="BO262" s="50">
        <f t="shared" si="262"/>
        <v>-5.0154199959065195</v>
      </c>
      <c r="BP262" s="61">
        <f t="shared" si="263"/>
        <v>53.632067525152813</v>
      </c>
    </row>
    <row r="263" spans="14:68" x14ac:dyDescent="0.25">
      <c r="N263" s="11">
        <v>45</v>
      </c>
      <c r="O263" s="51">
        <f t="shared" si="264"/>
        <v>2818.3829312644561</v>
      </c>
      <c r="P263" s="49" t="str">
        <f t="shared" si="214"/>
        <v>25.6231073841137</v>
      </c>
      <c r="Q263" s="18" t="str">
        <f t="shared" si="215"/>
        <v>1+15.3138871431597i</v>
      </c>
      <c r="R263" s="18">
        <f t="shared" si="227"/>
        <v>15.34650251469148</v>
      </c>
      <c r="S263" s="18">
        <f t="shared" si="228"/>
        <v>1.505588698984883</v>
      </c>
      <c r="T263" s="18" t="str">
        <f t="shared" si="216"/>
        <v>1+0.015937580001354i</v>
      </c>
      <c r="U263" s="18">
        <f t="shared" si="229"/>
        <v>1.000126995164264</v>
      </c>
      <c r="V263" s="18">
        <f t="shared" si="230"/>
        <v>1.5936230790900219E-2</v>
      </c>
      <c r="W263" s="32" t="str">
        <f t="shared" si="217"/>
        <v>1-0.357119848178487i</v>
      </c>
      <c r="X263" s="18">
        <f t="shared" si="231"/>
        <v>1.0618543148488053</v>
      </c>
      <c r="Y263" s="18">
        <f t="shared" si="232"/>
        <v>-0.34300353413164075</v>
      </c>
      <c r="Z263" s="32" t="str">
        <f t="shared" si="218"/>
        <v>0.999801417941319+0.0282744474838835i</v>
      </c>
      <c r="AA263" s="18">
        <f t="shared" si="233"/>
        <v>1.0002011396204222</v>
      </c>
      <c r="AB263" s="18">
        <f t="shared" si="234"/>
        <v>2.8272527906168528E-2</v>
      </c>
      <c r="AC263" s="32" t="str">
        <f>IMDIV(IMSUM(COMPLEX(0,2*PI()*O263*Constants!$B$71*Constants!$B$72),COMPLEX(1,0)),IMSUM(COMPLEX(0,2*PI()*O263*Constants!$B$71*Constants!$B$72),COMPLEX(2,0)))</f>
        <v>0.500626390720309+0.017686237441022i</v>
      </c>
      <c r="AD263" s="18">
        <f t="shared" si="235"/>
        <v>0.50093870491354897</v>
      </c>
      <c r="AE263" s="18">
        <f t="shared" si="236"/>
        <v>3.531352983081143E-2</v>
      </c>
      <c r="AF263" s="66" t="str">
        <f t="shared" si="237"/>
        <v>-0.223851893390093-0.859378530736803i</v>
      </c>
      <c r="AG263" s="64">
        <f t="shared" si="238"/>
        <v>-1.0312057731688644</v>
      </c>
      <c r="AH263" s="61">
        <f t="shared" si="239"/>
        <v>-104.60003453875034</v>
      </c>
      <c r="AI263" s="50" t="str">
        <f t="shared" si="219"/>
        <v>108.866083054159</v>
      </c>
      <c r="AJ263" s="50" t="str">
        <f t="shared" si="220"/>
        <v>1+14.48870909214i</v>
      </c>
      <c r="AK263" s="50">
        <f t="shared" si="240"/>
        <v>14.523177722408422</v>
      </c>
      <c r="AL263" s="50">
        <f t="shared" si="241"/>
        <v>1.5018863479551146</v>
      </c>
      <c r="AM263" s="50" t="str">
        <f t="shared" si="221"/>
        <v>1+0.015937580001354i</v>
      </c>
      <c r="AN263" s="50">
        <f t="shared" si="242"/>
        <v>1.000126995164264</v>
      </c>
      <c r="AO263" s="50">
        <f t="shared" si="243"/>
        <v>1.5936230790900219E-2</v>
      </c>
      <c r="AP263" s="50" t="str">
        <f t="shared" si="222"/>
        <v>1-0.0795237640961352i</v>
      </c>
      <c r="AQ263" s="50">
        <f t="shared" si="244"/>
        <v>1.0031570311053091</v>
      </c>
      <c r="AR263" s="50">
        <f t="shared" si="245"/>
        <v>-7.9356760456212233E-2</v>
      </c>
      <c r="AS263" s="59" t="str">
        <f t="shared" si="246"/>
        <v>0.0412839842856956-7.52053043723941i</v>
      </c>
      <c r="AT263" s="50">
        <f t="shared" si="247"/>
        <v>17.525100336850766</v>
      </c>
      <c r="AU263" s="61">
        <f t="shared" si="248"/>
        <v>-89.685477730451268</v>
      </c>
      <c r="AV263" s="32" t="str">
        <f t="shared" si="223"/>
        <v>-0.0000333333333333333</v>
      </c>
      <c r="AW263" s="32" t="str">
        <f t="shared" si="224"/>
        <v>0.000850004266738875i</v>
      </c>
      <c r="AX263" s="32">
        <f t="shared" si="249"/>
        <v>8.5000426673887504E-4</v>
      </c>
      <c r="AY263" s="32">
        <f t="shared" si="250"/>
        <v>1.5707963267948966</v>
      </c>
      <c r="AZ263" s="32" t="str">
        <f t="shared" si="225"/>
        <v>1+0.346789935214646i</v>
      </c>
      <c r="BA263" s="32">
        <f t="shared" si="251"/>
        <v>1.0584248953828412</v>
      </c>
      <c r="BB263" s="32">
        <f t="shared" si="252"/>
        <v>0.33381221607555661</v>
      </c>
      <c r="BC263" s="32" t="str">
        <f t="shared" si="226"/>
        <v>1+16.645916890303i</v>
      </c>
      <c r="BD263" s="32">
        <f t="shared" si="253"/>
        <v>16.675927234156266</v>
      </c>
      <c r="BE263" s="32">
        <f t="shared" si="254"/>
        <v>1.5107936479832089</v>
      </c>
      <c r="BF263" s="59" t="str">
        <f t="shared" si="255"/>
        <v>-0.570560745887969+0.237080213527309i</v>
      </c>
      <c r="BG263" s="50">
        <f t="shared" si="256"/>
        <v>-4.1822483092096627</v>
      </c>
      <c r="BH263" s="61">
        <f t="shared" si="257"/>
        <v>157.43606861357276</v>
      </c>
      <c r="BI263" s="59" t="str">
        <f t="shared" si="258"/>
        <v>0.331462748828952+0.437256800813882i</v>
      </c>
      <c r="BJ263" s="64">
        <f t="shared" si="259"/>
        <v>-5.2134540823785187</v>
      </c>
      <c r="BK263" s="61">
        <f t="shared" si="260"/>
        <v>52.836034074822436</v>
      </c>
      <c r="BL263" s="59" t="str">
        <f t="shared" si="265"/>
        <v>1.75941394103207+4.3007070715542i</v>
      </c>
      <c r="BM263" s="64">
        <f t="shared" si="261"/>
        <v>13.342852027641101</v>
      </c>
      <c r="BN263" s="61">
        <f t="shared" si="266"/>
        <v>67.750590883121504</v>
      </c>
      <c r="BO263" s="50">
        <f t="shared" si="262"/>
        <v>-5.2134540823785187</v>
      </c>
      <c r="BP263" s="61">
        <f t="shared" si="263"/>
        <v>52.836034074822436</v>
      </c>
    </row>
    <row r="264" spans="14:68" x14ac:dyDescent="0.25">
      <c r="N264" s="11">
        <v>46</v>
      </c>
      <c r="O264" s="51">
        <f t="shared" si="264"/>
        <v>2884.0315031266077</v>
      </c>
      <c r="P264" s="49" t="str">
        <f t="shared" si="214"/>
        <v>25.6231073841137</v>
      </c>
      <c r="Q264" s="18" t="str">
        <f t="shared" si="215"/>
        <v>1+15.6705933981737i</v>
      </c>
      <c r="R264" s="18">
        <f t="shared" si="227"/>
        <v>15.702467877721805</v>
      </c>
      <c r="S264" s="18">
        <f t="shared" si="228"/>
        <v>1.5070689438221079</v>
      </c>
      <c r="T264" s="18" t="str">
        <f t="shared" si="216"/>
        <v>1+0.0163088139292994i</v>
      </c>
      <c r="U264" s="18">
        <f t="shared" si="229"/>
        <v>1.0001329798640681</v>
      </c>
      <c r="V264" s="18">
        <f t="shared" si="230"/>
        <v>1.6307368234632955E-2</v>
      </c>
      <c r="W264" s="32" t="str">
        <f t="shared" si="217"/>
        <v>1-0.365438238045412i</v>
      </c>
      <c r="X264" s="18">
        <f t="shared" si="231"/>
        <v>1.0646807530080249</v>
      </c>
      <c r="Y264" s="18">
        <f t="shared" si="232"/>
        <v>-0.35036151832624968</v>
      </c>
      <c r="Z264" s="32" t="str">
        <f t="shared" si="218"/>
        <v>0.999792059057224+0.0289330439708682i</v>
      </c>
      <c r="AA264" s="18">
        <f t="shared" si="233"/>
        <v>1.0002106190134676</v>
      </c>
      <c r="AB264" s="18">
        <f t="shared" si="234"/>
        <v>2.8930987118424081E-2</v>
      </c>
      <c r="AC264" s="32" t="str">
        <f>IMDIV(IMSUM(COMPLEX(0,2*PI()*O264*Constants!$B$71*Constants!$B$72),COMPLEX(1,0)),IMSUM(COMPLEX(0,2*PI()*O264*Constants!$B$71*Constants!$B$72),COMPLEX(2,0)))</f>
        <v>0.500655872881574+0.0180971343463618i</v>
      </c>
      <c r="AD264" s="18">
        <f t="shared" si="235"/>
        <v>0.50098284334132737</v>
      </c>
      <c r="AE264" s="18">
        <f t="shared" si="236"/>
        <v>3.6131122442390196E-2</v>
      </c>
      <c r="AF264" s="66" t="str">
        <f t="shared" si="237"/>
        <v>-0.226367552385138-0.840352207186447i</v>
      </c>
      <c r="AG264" s="64">
        <f t="shared" si="238"/>
        <v>-1.2065514614209751</v>
      </c>
      <c r="AH264" s="61">
        <f t="shared" si="239"/>
        <v>-105.07604547933839</v>
      </c>
      <c r="AI264" s="50" t="str">
        <f t="shared" si="219"/>
        <v>108.866083054159</v>
      </c>
      <c r="AJ264" s="50" t="str">
        <f t="shared" si="220"/>
        <v>1+14.8261944811813i</v>
      </c>
      <c r="AK264" s="50">
        <f t="shared" si="240"/>
        <v>14.859880308865575</v>
      </c>
      <c r="AL264" s="50">
        <f t="shared" si="241"/>
        <v>1.5034501370820206</v>
      </c>
      <c r="AM264" s="50" t="str">
        <f t="shared" si="221"/>
        <v>1+0.0163088139292994i</v>
      </c>
      <c r="AN264" s="50">
        <f t="shared" si="242"/>
        <v>1.0001329798640681</v>
      </c>
      <c r="AO264" s="50">
        <f t="shared" si="243"/>
        <v>1.6307368234632955E-2</v>
      </c>
      <c r="AP264" s="50" t="str">
        <f t="shared" si="222"/>
        <v>1-0.081376110519363i</v>
      </c>
      <c r="AQ264" s="50">
        <f t="shared" si="244"/>
        <v>1.0033055722775885</v>
      </c>
      <c r="AR264" s="50">
        <f t="shared" si="245"/>
        <v>-8.1197194722045063E-2</v>
      </c>
      <c r="AS264" s="59" t="str">
        <f t="shared" si="246"/>
        <v>0.0180576158244007-7.35134743876248i</v>
      </c>
      <c r="AT264" s="50">
        <f t="shared" si="247"/>
        <v>17.327365180617097</v>
      </c>
      <c r="AU264" s="61">
        <f t="shared" si="248"/>
        <v>-89.85926075422978</v>
      </c>
      <c r="AV264" s="32" t="str">
        <f t="shared" si="223"/>
        <v>-0.0000333333333333333</v>
      </c>
      <c r="AW264" s="32" t="str">
        <f t="shared" si="224"/>
        <v>0.000869803409562632i</v>
      </c>
      <c r="AX264" s="32">
        <f t="shared" si="249"/>
        <v>8.6980340956263201E-4</v>
      </c>
      <c r="AY264" s="32">
        <f t="shared" si="250"/>
        <v>1.5707963267948966</v>
      </c>
      <c r="AZ264" s="32" t="str">
        <f t="shared" si="225"/>
        <v>1+0.354867710498644i</v>
      </c>
      <c r="BA264" s="32">
        <f t="shared" si="251"/>
        <v>1.0610990019571922</v>
      </c>
      <c r="BB264" s="32">
        <f t="shared" si="252"/>
        <v>0.34100471092192086</v>
      </c>
      <c r="BC264" s="32" t="str">
        <f t="shared" si="226"/>
        <v>1+17.0336501039349i</v>
      </c>
      <c r="BD264" s="32">
        <f t="shared" si="253"/>
        <v>17.062978516756136</v>
      </c>
      <c r="BE264" s="32">
        <f t="shared" si="254"/>
        <v>1.5121563104809936</v>
      </c>
      <c r="BF264" s="59" t="str">
        <f t="shared" si="255"/>
        <v>-0.567688595961203+0.239777188228855i</v>
      </c>
      <c r="BG264" s="50">
        <f t="shared" si="256"/>
        <v>-4.2048684505139056</v>
      </c>
      <c r="BH264" s="61">
        <f t="shared" si="257"/>
        <v>157.10204382473034</v>
      </c>
      <c r="BI264" s="59" t="str">
        <f t="shared" si="258"/>
        <v>0.330003567345772+0.422780589393416i</v>
      </c>
      <c r="BJ264" s="64">
        <f t="shared" si="259"/>
        <v>-5.4114199119348703</v>
      </c>
      <c r="BK264" s="61">
        <f t="shared" si="260"/>
        <v>52.025998345391947</v>
      </c>
      <c r="BL264" s="59" t="str">
        <f t="shared" si="265"/>
        <v>1.7524343159861+4.17760591028255i</v>
      </c>
      <c r="BM264" s="64">
        <f t="shared" si="261"/>
        <v>13.122496730103189</v>
      </c>
      <c r="BN264" s="61">
        <f t="shared" si="266"/>
        <v>67.242783070500593</v>
      </c>
      <c r="BO264" s="50">
        <f t="shared" si="262"/>
        <v>-5.4114199119348703</v>
      </c>
      <c r="BP264" s="61">
        <f t="shared" si="263"/>
        <v>52.025998345391947</v>
      </c>
    </row>
    <row r="265" spans="14:68" x14ac:dyDescent="0.25">
      <c r="N265" s="11">
        <v>47</v>
      </c>
      <c r="O265" s="51">
        <f t="shared" si="264"/>
        <v>2951.2092266663876</v>
      </c>
      <c r="P265" s="49" t="str">
        <f t="shared" si="214"/>
        <v>25.6231073841137</v>
      </c>
      <c r="Q265" s="18" t="str">
        <f t="shared" si="215"/>
        <v>1+16.0356084092322i</v>
      </c>
      <c r="R265" s="18">
        <f t="shared" si="227"/>
        <v>16.06675876006852</v>
      </c>
      <c r="S265" s="18">
        <f t="shared" si="228"/>
        <v>1.5085157644430884</v>
      </c>
      <c r="T265" s="18" t="str">
        <f t="shared" si="216"/>
        <v>1+0.0166886950062628i</v>
      </c>
      <c r="U265" s="18">
        <f t="shared" si="229"/>
        <v>1.0001392465757015</v>
      </c>
      <c r="V265" s="18">
        <f t="shared" si="230"/>
        <v>1.6687145928166378E-2</v>
      </c>
      <c r="W265" s="32" t="str">
        <f t="shared" si="217"/>
        <v>1-0.373950388103296i</v>
      </c>
      <c r="X265" s="18">
        <f t="shared" si="231"/>
        <v>1.0676323771610741</v>
      </c>
      <c r="Y265" s="18">
        <f t="shared" si="232"/>
        <v>-0.35785014518738117</v>
      </c>
      <c r="Z265" s="32" t="str">
        <f t="shared" si="218"/>
        <v>0.999782259102511+0.0296069811407403i</v>
      </c>
      <c r="AA265" s="18">
        <f t="shared" si="233"/>
        <v>1.0002205451541117</v>
      </c>
      <c r="AB265" s="18">
        <f t="shared" si="234"/>
        <v>2.9604777197254302E-2</v>
      </c>
      <c r="AC265" s="32" t="str">
        <f>IMDIV(IMSUM(COMPLEX(0,2*PI()*O265*Constants!$B$71*Constants!$B$72),COMPLEX(1,0)),IMSUM(COMPLEX(0,2*PI()*O265*Constants!$B$71*Constants!$B$72),COMPLEX(2,0)))</f>
        <v>0.500686740763412+0.0185175259910721i</v>
      </c>
      <c r="AD265" s="18">
        <f t="shared" si="235"/>
        <v>0.50102905219669458</v>
      </c>
      <c r="AE265" s="18">
        <f t="shared" si="236"/>
        <v>3.6967405829891123E-2</v>
      </c>
      <c r="AF265" s="66" t="str">
        <f t="shared" si="237"/>
        <v>-0.22877310233682-0.821757094751042i</v>
      </c>
      <c r="AG265" s="64">
        <f t="shared" si="238"/>
        <v>-1.3809426477858324</v>
      </c>
      <c r="AH265" s="61">
        <f t="shared" si="239"/>
        <v>-105.55693906834561</v>
      </c>
      <c r="AI265" s="50" t="str">
        <f t="shared" si="219"/>
        <v>108.866083054159</v>
      </c>
      <c r="AJ265" s="50" t="str">
        <f t="shared" si="220"/>
        <v>1+15.1715409147844i</v>
      </c>
      <c r="AK265" s="50">
        <f t="shared" si="240"/>
        <v>15.204461638906425</v>
      </c>
      <c r="AL265" s="50">
        <f t="shared" si="241"/>
        <v>1.5049786488473738</v>
      </c>
      <c r="AM265" s="50" t="str">
        <f t="shared" si="221"/>
        <v>1+0.0166886950062628i</v>
      </c>
      <c r="AN265" s="50">
        <f t="shared" si="242"/>
        <v>1.0001392465757015</v>
      </c>
      <c r="AO265" s="50">
        <f t="shared" si="243"/>
        <v>1.6687145928166378E-2</v>
      </c>
      <c r="AP265" s="50" t="str">
        <f t="shared" si="222"/>
        <v>1-0.0832716036335282i</v>
      </c>
      <c r="AQ265" s="50">
        <f t="shared" si="244"/>
        <v>1.0034610904124281</v>
      </c>
      <c r="AR265" s="50">
        <f t="shared" si="245"/>
        <v>-8.3079927597597442E-2</v>
      </c>
      <c r="AS265" s="59" t="str">
        <f t="shared" si="246"/>
        <v>-0.00413265081643607-7.18592177965528i</v>
      </c>
      <c r="AT265" s="50">
        <f t="shared" si="247"/>
        <v>17.129651146465534</v>
      </c>
      <c r="AU265" s="61">
        <f t="shared" si="248"/>
        <v>-90.032951016047591</v>
      </c>
      <c r="AV265" s="32" t="str">
        <f t="shared" si="223"/>
        <v>-0.0000333333333333333</v>
      </c>
      <c r="AW265" s="32" t="str">
        <f t="shared" si="224"/>
        <v>0.000890063733667348i</v>
      </c>
      <c r="AX265" s="32">
        <f t="shared" si="249"/>
        <v>8.9006373366734798E-4</v>
      </c>
      <c r="AY265" s="32">
        <f t="shared" si="250"/>
        <v>1.5707963267948966</v>
      </c>
      <c r="AZ265" s="32" t="str">
        <f t="shared" si="225"/>
        <v>1+0.363133641339978i</v>
      </c>
      <c r="BA265" s="32">
        <f t="shared" si="251"/>
        <v>1.0638919312941666</v>
      </c>
      <c r="BB265" s="32">
        <f t="shared" si="252"/>
        <v>0.34832692170903251</v>
      </c>
      <c r="BC265" s="32" t="str">
        <f t="shared" si="226"/>
        <v>1+17.430414784319i</v>
      </c>
      <c r="BD265" s="32">
        <f t="shared" si="253"/>
        <v>17.459076709648947</v>
      </c>
      <c r="BE265" s="32">
        <f t="shared" si="254"/>
        <v>1.5134881656973411</v>
      </c>
      <c r="BF265" s="59" t="str">
        <f t="shared" si="255"/>
        <v>-0.564711915827969+0.242516395960572i</v>
      </c>
      <c r="BG265" s="50">
        <f t="shared" si="256"/>
        <v>-4.2283720494745358</v>
      </c>
      <c r="BH265" s="61">
        <f t="shared" si="257"/>
        <v>156.75882173274283</v>
      </c>
      <c r="BI265" s="59" t="str">
        <f t="shared" si="258"/>
        <v>0.328480465884587+0.408574795050642i</v>
      </c>
      <c r="BJ265" s="64">
        <f t="shared" si="259"/>
        <v>-5.6093146972603662</v>
      </c>
      <c r="BK265" s="61">
        <f t="shared" si="260"/>
        <v>51.201882664397154</v>
      </c>
      <c r="BL265" s="59" t="str">
        <f t="shared" si="265"/>
        <v>1.74503760881658+4.0569734195973i</v>
      </c>
      <c r="BM265" s="64">
        <f t="shared" si="261"/>
        <v>12.90127909699101</v>
      </c>
      <c r="BN265" s="61">
        <f t="shared" si="266"/>
        <v>66.725870716695184</v>
      </c>
      <c r="BO265" s="50">
        <f t="shared" si="262"/>
        <v>-5.6093146972603662</v>
      </c>
      <c r="BP265" s="61">
        <f t="shared" si="263"/>
        <v>51.201882664397154</v>
      </c>
    </row>
    <row r="266" spans="14:68" x14ac:dyDescent="0.25">
      <c r="N266" s="11">
        <v>48</v>
      </c>
      <c r="O266" s="51">
        <f t="shared" si="264"/>
        <v>3019.9517204020176</v>
      </c>
      <c r="P266" s="49" t="str">
        <f t="shared" si="214"/>
        <v>25.6231073841137</v>
      </c>
      <c r="Q266" s="18" t="str">
        <f t="shared" si="215"/>
        <v>1+16.4091257121256i</v>
      </c>
      <c r="R266" s="18">
        <f t="shared" si="227"/>
        <v>16.439568322688448</v>
      </c>
      <c r="S266" s="18">
        <f t="shared" si="228"/>
        <v>1.5099299037286831</v>
      </c>
      <c r="T266" s="18" t="str">
        <f t="shared" si="216"/>
        <v>1+0.0170774246502195i</v>
      </c>
      <c r="U266" s="18">
        <f t="shared" si="229"/>
        <v>1.00014580858627</v>
      </c>
      <c r="V266" s="18">
        <f t="shared" si="230"/>
        <v>1.7075764796203066E-2</v>
      </c>
      <c r="W266" s="32" t="str">
        <f t="shared" si="217"/>
        <v>1-0.382660811606771i</v>
      </c>
      <c r="X266" s="18">
        <f t="shared" si="231"/>
        <v>1.0707143861644677</v>
      </c>
      <c r="Y266" s="18">
        <f t="shared" si="232"/>
        <v>-0.3654700246270764</v>
      </c>
      <c r="Z266" s="32" t="str">
        <f t="shared" si="218"/>
        <v>0.999771997290161+0.030296616323908i</v>
      </c>
      <c r="AA266" s="18">
        <f t="shared" si="233"/>
        <v>1.0002309390966846</v>
      </c>
      <c r="AB266" s="18">
        <f t="shared" si="234"/>
        <v>3.0294254771192165E-2</v>
      </c>
      <c r="AC266" s="32" t="str">
        <f>IMDIV(IMSUM(COMPLEX(0,2*PI()*O266*Constants!$B$71*Constants!$B$72),COMPLEX(1,0)),IMSUM(COMPLEX(0,2*PI()*O266*Constants!$B$71*Constants!$B$72),COMPLEX(2,0)))</f>
        <v>0.500719059313633+0.0189476280974714i</v>
      </c>
      <c r="AD266" s="18">
        <f t="shared" si="235"/>
        <v>0.50107742811909783</v>
      </c>
      <c r="AE266" s="18">
        <f t="shared" si="236"/>
        <v>3.7822790289049855E-2</v>
      </c>
      <c r="AF266" s="66" t="str">
        <f t="shared" si="237"/>
        <v>-0.231073525509535-0.803584271771472i</v>
      </c>
      <c r="AG266" s="64">
        <f t="shared" si="238"/>
        <v>-1.5543419992612106</v>
      </c>
      <c r="AH266" s="61">
        <f t="shared" si="239"/>
        <v>-106.04277822805392</v>
      </c>
      <c r="AI266" s="50" t="str">
        <f t="shared" si="219"/>
        <v>108.866083054159</v>
      </c>
      <c r="AJ266" s="50" t="str">
        <f t="shared" si="220"/>
        <v>1+15.5249315001996i</v>
      </c>
      <c r="AK266" s="50">
        <f t="shared" si="240"/>
        <v>15.557104424856501</v>
      </c>
      <c r="AL266" s="50">
        <f t="shared" si="241"/>
        <v>1.506472665103179</v>
      </c>
      <c r="AM266" s="50" t="str">
        <f t="shared" si="221"/>
        <v>1+0.0170774246502195i</v>
      </c>
      <c r="AN266" s="50">
        <f t="shared" si="242"/>
        <v>1.00014580858627</v>
      </c>
      <c r="AO266" s="50">
        <f t="shared" si="243"/>
        <v>1.7075764796203066E-2</v>
      </c>
      <c r="AP266" s="50" t="str">
        <f t="shared" si="222"/>
        <v>1-0.08521124845417i</v>
      </c>
      <c r="AQ266" s="50">
        <f t="shared" si="244"/>
        <v>1.0036239120622417</v>
      </c>
      <c r="AR266" s="50">
        <f t="shared" si="245"/>
        <v>-8.5005903913504891E-2</v>
      </c>
      <c r="AS266" s="59" t="str">
        <f t="shared" si="246"/>
        <v>-0.0253326385562355-7.02417504273344i</v>
      </c>
      <c r="AT266" s="50">
        <f t="shared" si="247"/>
        <v>16.93196300080152</v>
      </c>
      <c r="AU266" s="61">
        <f t="shared" si="248"/>
        <v>-90.206635935395184</v>
      </c>
      <c r="AV266" s="32" t="str">
        <f t="shared" si="223"/>
        <v>-0.0000333333333333333</v>
      </c>
      <c r="AW266" s="32" t="str">
        <f t="shared" si="224"/>
        <v>0.00091079598134504i</v>
      </c>
      <c r="AX266" s="32">
        <f t="shared" si="249"/>
        <v>9.1079598134504E-4</v>
      </c>
      <c r="AY266" s="32">
        <f t="shared" si="250"/>
        <v>1.5707963267948966</v>
      </c>
      <c r="AZ266" s="32" t="str">
        <f t="shared" si="225"/>
        <v>1+0.371592110444592i</v>
      </c>
      <c r="BA266" s="32">
        <f t="shared" si="251"/>
        <v>1.0668086503889374</v>
      </c>
      <c r="BB266" s="32">
        <f t="shared" si="252"/>
        <v>0.35577958917890179</v>
      </c>
      <c r="BC266" s="32" t="str">
        <f t="shared" si="226"/>
        <v>1+17.8364213013404i</v>
      </c>
      <c r="BD266" s="32">
        <f t="shared" si="253"/>
        <v>17.864431836442758</v>
      </c>
      <c r="BE266" s="32">
        <f t="shared" si="254"/>
        <v>1.5147899008888592</v>
      </c>
      <c r="BF266" s="59" t="str">
        <f t="shared" si="255"/>
        <v>-0.561628224326583+0.245294641326317i</v>
      </c>
      <c r="BG266" s="50">
        <f t="shared" si="256"/>
        <v>-4.252793613049934</v>
      </c>
      <c r="BH266" s="61">
        <f t="shared" si="257"/>
        <v>156.40639927312256</v>
      </c>
      <c r="BI266" s="59" t="str">
        <f t="shared" si="258"/>
        <v>0.326892329540456+0.394634510091913i</v>
      </c>
      <c r="BJ266" s="64">
        <f t="shared" si="259"/>
        <v>-5.8071356123111508</v>
      </c>
      <c r="BK266" s="61">
        <f t="shared" si="260"/>
        <v>50.363621045068655</v>
      </c>
      <c r="BL266" s="59" t="str">
        <f t="shared" si="265"/>
        <v>1.73722002253041+3.93876099612098i</v>
      </c>
      <c r="BM266" s="64">
        <f t="shared" si="261"/>
        <v>12.679169387751582</v>
      </c>
      <c r="BN266" s="61">
        <f t="shared" si="266"/>
        <v>66.199763337727404</v>
      </c>
      <c r="BO266" s="50">
        <f t="shared" si="262"/>
        <v>-5.8071356123111508</v>
      </c>
      <c r="BP266" s="61">
        <f t="shared" si="263"/>
        <v>50.363621045068655</v>
      </c>
    </row>
    <row r="267" spans="14:68" x14ac:dyDescent="0.25">
      <c r="N267" s="11">
        <v>49</v>
      </c>
      <c r="O267" s="51">
        <f t="shared" si="264"/>
        <v>3090.295432513592</v>
      </c>
      <c r="P267" s="49" t="str">
        <f t="shared" si="214"/>
        <v>25.6231073841137</v>
      </c>
      <c r="Q267" s="18" t="str">
        <f t="shared" si="215"/>
        <v>1+16.7913433506721i</v>
      </c>
      <c r="R267" s="18">
        <f t="shared" si="227"/>
        <v>16.821094242651402</v>
      </c>
      <c r="S267" s="18">
        <f t="shared" si="228"/>
        <v>1.5113120888376368</v>
      </c>
      <c r="T267" s="18" t="str">
        <f t="shared" si="216"/>
        <v>1+0.0174752089707723i</v>
      </c>
      <c r="U267" s="18">
        <f t="shared" si="229"/>
        <v>1.0001526798087241</v>
      </c>
      <c r="V267" s="18">
        <f t="shared" si="230"/>
        <v>1.7473430419813418E-2</v>
      </c>
      <c r="W267" s="32" t="str">
        <f t="shared" si="217"/>
        <v>1-0.391574126937675i</v>
      </c>
      <c r="X267" s="18">
        <f t="shared" si="231"/>
        <v>1.0739321658684977</v>
      </c>
      <c r="Y267" s="18">
        <f t="shared" si="232"/>
        <v>-0.3732216563632092</v>
      </c>
      <c r="Z267" s="32" t="str">
        <f t="shared" si="218"/>
        <v>0.999761251853495+0.0310023151740737i</v>
      </c>
      <c r="AA267" s="18">
        <f t="shared" si="233"/>
        <v>1.0002418228877554</v>
      </c>
      <c r="AB267" s="18">
        <f t="shared" si="234"/>
        <v>3.0999784741889205E-2</v>
      </c>
      <c r="AC267" s="32" t="str">
        <f>IMDIV(IMSUM(COMPLEX(0,2*PI()*O267*Constants!$B$71*Constants!$B$72),COMPLEX(1,0)),IMSUM(COMPLEX(0,2*PI()*O267*Constants!$B$71*Constants!$B$72),COMPLEX(2,0)))</f>
        <v>0.5007528965064+0.0193876610257853i</v>
      </c>
      <c r="AD267" s="18">
        <f t="shared" si="235"/>
        <v>0.50112807221268307</v>
      </c>
      <c r="AE267" s="18">
        <f t="shared" si="236"/>
        <v>3.8697693904791747E-2</v>
      </c>
      <c r="AF267" s="66" t="str">
        <f t="shared" si="237"/>
        <v>-0.233273591584859-0.785824977758701i</v>
      </c>
      <c r="AG267" s="64">
        <f t="shared" si="238"/>
        <v>-1.7267114393498111</v>
      </c>
      <c r="AH267" s="61">
        <f t="shared" si="239"/>
        <v>-106.53361842721073</v>
      </c>
      <c r="AI267" s="50" t="str">
        <f t="shared" si="219"/>
        <v>108.866083054159</v>
      </c>
      <c r="AJ267" s="50" t="str">
        <f t="shared" si="220"/>
        <v>1+15.886553609793i</v>
      </c>
      <c r="AK267" s="50">
        <f t="shared" si="240"/>
        <v>15.917995652619929</v>
      </c>
      <c r="AL267" s="50">
        <f t="shared" si="241"/>
        <v>1.5079329513034372</v>
      </c>
      <c r="AM267" s="50" t="str">
        <f t="shared" si="221"/>
        <v>1+0.0174752089707723i</v>
      </c>
      <c r="AN267" s="50">
        <f t="shared" si="242"/>
        <v>1.0001526798087241</v>
      </c>
      <c r="AO267" s="50">
        <f t="shared" si="243"/>
        <v>1.7473430419813418E-2</v>
      </c>
      <c r="AP267" s="50" t="str">
        <f t="shared" si="222"/>
        <v>1-0.0871960734066463i</v>
      </c>
      <c r="AQ267" s="50">
        <f t="shared" si="244"/>
        <v>1.0037943789529493</v>
      </c>
      <c r="AR267" s="50">
        <f t="shared" si="245"/>
        <v>-8.6976087662631638E-2</v>
      </c>
      <c r="AS267" s="59" t="str">
        <f t="shared" si="246"/>
        <v>-0.0455861784935436-6.86603014978035i</v>
      </c>
      <c r="AT267" s="50">
        <f t="shared" si="247"/>
        <v>16.734305561621991</v>
      </c>
      <c r="AU267" s="61">
        <f t="shared" si="248"/>
        <v>-90.380402823351062</v>
      </c>
      <c r="AV267" s="32" t="str">
        <f t="shared" si="223"/>
        <v>-0.0000333333333333333</v>
      </c>
      <c r="AW267" s="32" t="str">
        <f t="shared" si="224"/>
        <v>0.000932011145107852i</v>
      </c>
      <c r="AX267" s="32">
        <f t="shared" si="249"/>
        <v>9.3201114510785201E-4</v>
      </c>
      <c r="AY267" s="32">
        <f t="shared" si="250"/>
        <v>1.5707963267948966</v>
      </c>
      <c r="AZ267" s="32" t="str">
        <f t="shared" si="225"/>
        <v>1+0.380247602604767i</v>
      </c>
      <c r="BA267" s="32">
        <f t="shared" si="251"/>
        <v>1.0698543075048457</v>
      </c>
      <c r="BB267" s="32">
        <f t="shared" si="252"/>
        <v>0.36336335234871553</v>
      </c>
      <c r="BC267" s="32" t="str">
        <f t="shared" si="226"/>
        <v>1+18.2518849250288i</v>
      </c>
      <c r="BD267" s="32">
        <f t="shared" si="253"/>
        <v>18.279258828423366</v>
      </c>
      <c r="BE267" s="32">
        <f t="shared" si="254"/>
        <v>1.5160621885963155</v>
      </c>
      <c r="BF267" s="59" t="str">
        <f t="shared" si="255"/>
        <v>-0.558435093775809+0.248108557044684i</v>
      </c>
      <c r="BG267" s="50">
        <f t="shared" si="256"/>
        <v>-4.2781683538439639</v>
      </c>
      <c r="BH267" s="61">
        <f t="shared" si="257"/>
        <v>156.04477836662912</v>
      </c>
      <c r="BI267" s="59" t="str">
        <f t="shared" si="258"/>
        <v>0.325238061313493+0.380955070941303i</v>
      </c>
      <c r="BJ267" s="64">
        <f t="shared" si="259"/>
        <v>-6.0048797931937727</v>
      </c>
      <c r="BK267" s="61">
        <f t="shared" si="260"/>
        <v>49.511159939418349</v>
      </c>
      <c r="BL267" s="59" t="str">
        <f t="shared" si="265"/>
        <v>1.72897775494922+3.82292186959291i</v>
      </c>
      <c r="BM267" s="64">
        <f t="shared" si="261"/>
        <v>12.456137207778031</v>
      </c>
      <c r="BN267" s="61">
        <f t="shared" si="266"/>
        <v>65.664375543278055</v>
      </c>
      <c r="BO267" s="50">
        <f t="shared" si="262"/>
        <v>-6.0048797931937727</v>
      </c>
      <c r="BP267" s="61">
        <f t="shared" si="263"/>
        <v>49.511159939418349</v>
      </c>
    </row>
    <row r="268" spans="14:68" x14ac:dyDescent="0.25">
      <c r="N268" s="11">
        <v>50</v>
      </c>
      <c r="O268" s="51">
        <f t="shared" si="264"/>
        <v>3162.2776601683804</v>
      </c>
      <c r="P268" s="49" t="str">
        <f t="shared" si="214"/>
        <v>25.6231073841137</v>
      </c>
      <c r="Q268" s="18" t="str">
        <f t="shared" si="215"/>
        <v>1+17.1824639817228i</v>
      </c>
      <c r="R268" s="18">
        <f t="shared" si="227"/>
        <v>17.211538817990718</v>
      </c>
      <c r="S268" s="18">
        <f t="shared" si="228"/>
        <v>1.5126630314862493</v>
      </c>
      <c r="T268" s="18" t="str">
        <f t="shared" si="216"/>
        <v>1+0.017882258878433i</v>
      </c>
      <c r="U268" s="18">
        <f t="shared" si="229"/>
        <v>1.0001598748113201</v>
      </c>
      <c r="V268" s="18">
        <f t="shared" si="230"/>
        <v>1.7880353143197719E-2</v>
      </c>
      <c r="W268" s="32" t="str">
        <f t="shared" si="217"/>
        <v>1-0.400695060053776i</v>
      </c>
      <c r="X268" s="18">
        <f t="shared" si="231"/>
        <v>1.0772912935466894</v>
      </c>
      <c r="Y268" s="18">
        <f t="shared" si="232"/>
        <v>-0.3811054231653313</v>
      </c>
      <c r="Z268" s="32" t="str">
        <f t="shared" si="218"/>
        <v>0.99975+0.0317244518621089i</v>
      </c>
      <c r="AA268" s="18">
        <f t="shared" si="233"/>
        <v>1.0002532196128895</v>
      </c>
      <c r="AB268" s="18">
        <f t="shared" si="234"/>
        <v>3.1721740474404674E-2</v>
      </c>
      <c r="AC268" s="32" t="str">
        <f>IMDIV(IMSUM(COMPLEX(0,2*PI()*O268*Constants!$B$71*Constants!$B$72),COMPLEX(1,0)),IMSUM(COMPLEX(0,2*PI()*O268*Constants!$B$71*Constants!$B$72),COMPLEX(2,0)))</f>
        <v>0.500788323481543+0.0198378498547547i</v>
      </c>
      <c r="AD268" s="18">
        <f t="shared" si="235"/>
        <v>0.50118109024814006</v>
      </c>
      <c r="AE268" s="18">
        <f t="shared" si="236"/>
        <v>3.9592542609255772E-2</v>
      </c>
      <c r="AF268" s="66" t="str">
        <f t="shared" si="237"/>
        <v>-0.235377866863947-0.768470612784611i</v>
      </c>
      <c r="AG268" s="64">
        <f t="shared" si="238"/>
        <v>-1.8980121648483639</v>
      </c>
      <c r="AH268" s="61">
        <f t="shared" si="239"/>
        <v>-107.02950731152943</v>
      </c>
      <c r="AI268" s="50" t="str">
        <f t="shared" si="219"/>
        <v>108.866083054159</v>
      </c>
      <c r="AJ268" s="50" t="str">
        <f t="shared" si="220"/>
        <v>1+16.2565989803936i</v>
      </c>
      <c r="AK268" s="50">
        <f t="shared" si="240"/>
        <v>16.287326680868603</v>
      </c>
      <c r="AL268" s="50">
        <f t="shared" si="241"/>
        <v>1.5093602567854423</v>
      </c>
      <c r="AM268" s="50" t="str">
        <f t="shared" si="221"/>
        <v>1+0.017882258878433i</v>
      </c>
      <c r="AN268" s="50">
        <f t="shared" si="242"/>
        <v>1.0001598748113201</v>
      </c>
      <c r="AO268" s="50">
        <f t="shared" si="243"/>
        <v>1.7880353143197719E-2</v>
      </c>
      <c r="AP268" s="50" t="str">
        <f t="shared" si="222"/>
        <v>1-0.0892271308714193i</v>
      </c>
      <c r="AQ268" s="50">
        <f t="shared" si="244"/>
        <v>1.0039728486784616</v>
      </c>
      <c r="AR268" s="50">
        <f t="shared" si="245"/>
        <v>-8.8991462248420097E-2</v>
      </c>
      <c r="AS268" s="59" t="str">
        <f t="shared" si="246"/>
        <v>-0.0649351934300958-6.71141136056943i</v>
      </c>
      <c r="AT268" s="50">
        <f t="shared" si="247"/>
        <v>16.536683708021847</v>
      </c>
      <c r="AU268" s="61">
        <f t="shared" si="248"/>
        <v>-90.554338906811552</v>
      </c>
      <c r="AV268" s="32" t="str">
        <f t="shared" si="223"/>
        <v>-0.0000333333333333333</v>
      </c>
      <c r="AW268" s="32" t="str">
        <f t="shared" si="224"/>
        <v>0.000953720473516426i</v>
      </c>
      <c r="AX268" s="32">
        <f t="shared" si="249"/>
        <v>9.5372047351642596E-4</v>
      </c>
      <c r="AY268" s="32">
        <f t="shared" si="250"/>
        <v>1.5707963267948966</v>
      </c>
      <c r="AZ268" s="32" t="str">
        <f t="shared" si="225"/>
        <v>1+0.389104707077014i</v>
      </c>
      <c r="BA268" s="32">
        <f t="shared" si="251"/>
        <v>1.0730342366716399</v>
      </c>
      <c r="BB268" s="32">
        <f t="shared" si="252"/>
        <v>0.37107874188157663</v>
      </c>
      <c r="BC268" s="32" t="str">
        <f t="shared" si="226"/>
        <v>1+18.6770259396967i</v>
      </c>
      <c r="BD268" s="32">
        <f t="shared" si="253"/>
        <v>18.703777638544128</v>
      </c>
      <c r="BE268" s="32">
        <f t="shared" si="254"/>
        <v>1.5173056869183814</v>
      </c>
      <c r="BF268" s="59" t="str">
        <f t="shared" si="255"/>
        <v>-0.555130161425463+0.250954600590297i</v>
      </c>
      <c r="BG268" s="50">
        <f t="shared" si="256"/>
        <v>-4.3045321743452014</v>
      </c>
      <c r="BH268" s="61">
        <f t="shared" si="257"/>
        <v>155.67396631478272</v>
      </c>
      <c r="BI268" s="59" t="str">
        <f t="shared" si="258"/>
        <v>0.323516588924907+0.367532056759208i</v>
      </c>
      <c r="BJ268" s="64">
        <f t="shared" si="259"/>
        <v>-6.2025443391935609</v>
      </c>
      <c r="BK268" s="61">
        <f t="shared" si="260"/>
        <v>48.644459003253317</v>
      </c>
      <c r="BL268" s="59" t="str">
        <f t="shared" si="265"/>
        <v>1.72030704179993+3.70941108645409i</v>
      </c>
      <c r="BM268" s="64">
        <f t="shared" si="261"/>
        <v>12.232151533676648</v>
      </c>
      <c r="BN268" s="61">
        <f t="shared" si="266"/>
        <v>65.119627407971123</v>
      </c>
      <c r="BO268" s="50">
        <f t="shared" si="262"/>
        <v>-6.2025443391935609</v>
      </c>
      <c r="BP268" s="61">
        <f t="shared" si="263"/>
        <v>48.644459003253317</v>
      </c>
    </row>
    <row r="269" spans="14:68" x14ac:dyDescent="0.25">
      <c r="N269" s="11">
        <v>51</v>
      </c>
      <c r="O269" s="51">
        <f t="shared" si="264"/>
        <v>3235.9365692962833</v>
      </c>
      <c r="P269" s="49" t="str">
        <f t="shared" si="214"/>
        <v>25.6231073841137</v>
      </c>
      <c r="Q269" s="18" t="str">
        <f t="shared" si="215"/>
        <v>1+17.5826949826134i</v>
      </c>
      <c r="R269" s="18">
        <f t="shared" si="227"/>
        <v>17.611109075002016</v>
      </c>
      <c r="S269" s="18">
        <f t="shared" si="228"/>
        <v>1.513983428226783</v>
      </c>
      <c r="T269" s="18" t="str">
        <f t="shared" si="216"/>
        <v>1+0.0182987901964508i</v>
      </c>
      <c r="U269" s="18">
        <f t="shared" si="229"/>
        <v>1.0001674088484656</v>
      </c>
      <c r="V269" s="18">
        <f t="shared" si="230"/>
        <v>1.8296748182815147E-2</v>
      </c>
      <c r="W269" s="32" t="str">
        <f t="shared" si="217"/>
        <v>1-0.410028446994545i</v>
      </c>
      <c r="X269" s="18">
        <f t="shared" si="231"/>
        <v>1.0807975422551435</v>
      </c>
      <c r="Y269" s="18">
        <f t="shared" si="232"/>
        <v>-0.38912158403062652</v>
      </c>
      <c r="Z269" s="32" t="str">
        <f t="shared" si="218"/>
        <v>0.999738217862987+0.0324634092744441i</v>
      </c>
      <c r="AA269" s="18">
        <f t="shared" si="233"/>
        <v>1.000265153445616</v>
      </c>
      <c r="AB269" s="18">
        <f t="shared" si="234"/>
        <v>3.2460503991753382E-2</v>
      </c>
      <c r="AC269" s="32" t="str">
        <f>IMDIV(IMSUM(COMPLEX(0,2*PI()*O269*Constants!$B$71*Constants!$B$72),COMPLEX(1,0)),IMSUM(COMPLEX(0,2*PI()*O269*Constants!$B$71*Constants!$B$72),COMPLEX(2,0)))</f>
        <v>0.500825414690116+0.0202984244621909i</v>
      </c>
      <c r="AD269" s="18">
        <f t="shared" si="235"/>
        <v>0.50123659287323974</v>
      </c>
      <c r="AE269" s="18">
        <f t="shared" si="236"/>
        <v>4.0507770232708261E-2</v>
      </c>
      <c r="AF269" s="66" t="str">
        <f t="shared" si="237"/>
        <v>-0.237390723116869-0.751512736693103i</v>
      </c>
      <c r="AG269" s="64">
        <f t="shared" si="238"/>
        <v>-2.0682046665737852</v>
      </c>
      <c r="AH269" s="61">
        <f t="shared" si="239"/>
        <v>-107.53048433062862</v>
      </c>
      <c r="AI269" s="50" t="str">
        <f t="shared" si="219"/>
        <v>108.866083054159</v>
      </c>
      <c r="AJ269" s="50" t="str">
        <f t="shared" si="220"/>
        <v>1+16.6352638149553i</v>
      </c>
      <c r="AK269" s="50">
        <f t="shared" si="240"/>
        <v>16.665293342547596</v>
      </c>
      <c r="AL269" s="50">
        <f t="shared" si="241"/>
        <v>1.5107553150506627</v>
      </c>
      <c r="AM269" s="50" t="str">
        <f t="shared" si="221"/>
        <v>1+0.0182987901964508i</v>
      </c>
      <c r="AN269" s="50">
        <f t="shared" si="242"/>
        <v>1.0001674088484656</v>
      </c>
      <c r="AO269" s="50">
        <f t="shared" si="243"/>
        <v>1.8296748182815147E-2</v>
      </c>
      <c r="AP269" s="50" t="str">
        <f t="shared" si="222"/>
        <v>1-0.091305497742041i</v>
      </c>
      <c r="AQ269" s="50">
        <f t="shared" si="244"/>
        <v>1.0041596954259426</v>
      </c>
      <c r="AR269" s="50">
        <f t="shared" si="245"/>
        <v>-9.1053030725525341E-2</v>
      </c>
      <c r="AS269" s="59" t="str">
        <f t="shared" si="246"/>
        <v>-0.0834197781634921-6.56024427003418i</v>
      </c>
      <c r="AT269" s="50">
        <f t="shared" si="247"/>
        <v>16.33910238979783</v>
      </c>
      <c r="AU269" s="61">
        <f t="shared" si="248"/>
        <v>-90.728531352118623</v>
      </c>
      <c r="AV269" s="32" t="str">
        <f t="shared" si="223"/>
        <v>-0.0000333333333333333</v>
      </c>
      <c r="AW269" s="32" t="str">
        <f t="shared" si="224"/>
        <v>0.000975935477144041i</v>
      </c>
      <c r="AX269" s="32">
        <f t="shared" si="249"/>
        <v>9.7593547714404101E-4</v>
      </c>
      <c r="AY269" s="32">
        <f t="shared" si="250"/>
        <v>1.5707963267948966</v>
      </c>
      <c r="AZ269" s="32" t="str">
        <f t="shared" si="225"/>
        <v>1+0.398168120015364i</v>
      </c>
      <c r="BA269" s="32">
        <f t="shared" si="251"/>
        <v>1.0763539621316816</v>
      </c>
      <c r="BB269" s="32">
        <f t="shared" si="252"/>
        <v>0.37892617335604828</v>
      </c>
      <c r="BC269" s="32" t="str">
        <f t="shared" si="226"/>
        <v>1+19.1120697607375i</v>
      </c>
      <c r="BD269" s="32">
        <f t="shared" si="253"/>
        <v>19.138213358077518</v>
      </c>
      <c r="BE269" s="32">
        <f t="shared" si="254"/>
        <v>1.5185210397831557</v>
      </c>
      <c r="BF269" s="59" t="str">
        <f t="shared" si="255"/>
        <v>-0.551711141547559+0.25382905147283i</v>
      </c>
      <c r="BG269" s="50">
        <f t="shared" si="256"/>
        <v>-4.3319216473651334</v>
      </c>
      <c r="BH269" s="61">
        <f t="shared" si="257"/>
        <v>155.29397620104811</v>
      </c>
      <c r="BI269" s="59" t="str">
        <f t="shared" si="258"/>
        <v>0.321726871968169+0.354361287771278i</v>
      </c>
      <c r="BJ269" s="64">
        <f t="shared" si="259"/>
        <v>-6.4001263139389186</v>
      </c>
      <c r="BK269" s="61">
        <f t="shared" si="260"/>
        <v>47.763491870419507</v>
      </c>
      <c r="BL269" s="59" t="str">
        <f t="shared" si="265"/>
        <v>1.71120420153107+3.59818549188608i</v>
      </c>
      <c r="BM269" s="64">
        <f t="shared" si="261"/>
        <v>12.007180742432704</v>
      </c>
      <c r="BN269" s="61">
        <f t="shared" si="266"/>
        <v>64.565444848929474</v>
      </c>
      <c r="BO269" s="50">
        <f t="shared" si="262"/>
        <v>-6.4001263139389186</v>
      </c>
      <c r="BP269" s="61">
        <f t="shared" si="263"/>
        <v>47.763491870419507</v>
      </c>
    </row>
    <row r="270" spans="14:68" x14ac:dyDescent="0.25">
      <c r="N270" s="11">
        <v>52</v>
      </c>
      <c r="O270" s="51">
        <f t="shared" si="264"/>
        <v>3311.3112148259115</v>
      </c>
      <c r="P270" s="49" t="str">
        <f t="shared" si="214"/>
        <v>25.6231073841137</v>
      </c>
      <c r="Q270" s="18" t="str">
        <f t="shared" si="215"/>
        <v>1+17.9922485611183i</v>
      </c>
      <c r="R270" s="18">
        <f t="shared" si="227"/>
        <v>18.020016878046022</v>
      </c>
      <c r="S270" s="18">
        <f t="shared" si="228"/>
        <v>1.5152739607243082</v>
      </c>
      <c r="T270" s="18" t="str">
        <f t="shared" si="216"/>
        <v>1+0.0187250237752439i</v>
      </c>
      <c r="U270" s="18">
        <f t="shared" si="229"/>
        <v>1.0001752978930161</v>
      </c>
      <c r="V270" s="18">
        <f t="shared" si="230"/>
        <v>1.8722835738923325E-2</v>
      </c>
      <c r="W270" s="32" t="str">
        <f t="shared" si="217"/>
        <v>1-0.41957923644528i</v>
      </c>
      <c r="X270" s="18">
        <f t="shared" si="231"/>
        <v>1.0844568851070127</v>
      </c>
      <c r="Y270" s="18">
        <f t="shared" si="232"/>
        <v>-0.39727026731774184</v>
      </c>
      <c r="Z270" s="32" t="str">
        <f t="shared" si="218"/>
        <v>0.999725880450964+0.0332195792160808i</v>
      </c>
      <c r="AA270" s="18">
        <f t="shared" si="233"/>
        <v>1.0002776496986967</v>
      </c>
      <c r="AB270" s="18">
        <f t="shared" si="234"/>
        <v>3.3216466173801362E-2</v>
      </c>
      <c r="AC270" s="32" t="str">
        <f>IMDIV(IMSUM(COMPLEX(0,2*PI()*O270*Constants!$B$71*Constants!$B$72),COMPLEX(1,0)),IMSUM(COMPLEX(0,2*PI()*O270*Constants!$B$71*Constants!$B$72),COMPLEX(2,0)))</f>
        <v>0.500864248046473+0.0207696196053422i</v>
      </c>
      <c r="AD270" s="18">
        <f t="shared" si="235"/>
        <v>0.50129469583241104</v>
      </c>
      <c r="AE270" s="18">
        <f t="shared" si="236"/>
        <v>4.1443818546618785E-2</v>
      </c>
      <c r="AF270" s="66" t="str">
        <f t="shared" si="237"/>
        <v>-0.23931634609082-0.734943068147341i</v>
      </c>
      <c r="AG270" s="64">
        <f t="shared" si="238"/>
        <v>-2.237248754204729</v>
      </c>
      <c r="AH270" s="61">
        <f t="shared" si="239"/>
        <v>-108.03658036302922</v>
      </c>
      <c r="AI270" s="50" t="str">
        <f t="shared" si="219"/>
        <v>108.866083054159</v>
      </c>
      <c r="AJ270" s="50" t="str">
        <f t="shared" si="220"/>
        <v>1+17.0227488865854i</v>
      </c>
      <c r="AK270" s="50">
        <f t="shared" si="240"/>
        <v>17.05209604874851</v>
      </c>
      <c r="AL270" s="50">
        <f t="shared" si="241"/>
        <v>1.512118844044829</v>
      </c>
      <c r="AM270" s="50" t="str">
        <f t="shared" si="221"/>
        <v>1+0.0187250237752439i</v>
      </c>
      <c r="AN270" s="50">
        <f t="shared" si="242"/>
        <v>1.0001752978930161</v>
      </c>
      <c r="AO270" s="50">
        <f t="shared" si="243"/>
        <v>1.8722835738923325E-2</v>
      </c>
      <c r="AP270" s="50" t="str">
        <f t="shared" si="222"/>
        <v>1-0.0934322759961371i</v>
      </c>
      <c r="AQ270" s="50">
        <f t="shared" si="244"/>
        <v>1.0043553107331182</v>
      </c>
      <c r="AR270" s="50">
        <f t="shared" si="245"/>
        <v>-9.3161816031670536E-2</v>
      </c>
      <c r="AS270" s="59" t="str">
        <f t="shared" si="246"/>
        <v>-0.10107827664893-6.41245580374421i</v>
      </c>
      <c r="AT270" s="50">
        <f t="shared" si="247"/>
        <v>16.141566637163596</v>
      </c>
      <c r="AU270" s="61">
        <f t="shared" si="248"/>
        <v>-90.903067288001353</v>
      </c>
      <c r="AV270" s="32" t="str">
        <f t="shared" si="223"/>
        <v>-0.0000333333333333333</v>
      </c>
      <c r="AW270" s="32" t="str">
        <f t="shared" si="224"/>
        <v>0.000998667934679672i</v>
      </c>
      <c r="AX270" s="32">
        <f t="shared" si="249"/>
        <v>9.9866793467967194E-4</v>
      </c>
      <c r="AY270" s="32">
        <f t="shared" si="250"/>
        <v>1.5707963267948966</v>
      </c>
      <c r="AZ270" s="32" t="str">
        <f t="shared" si="225"/>
        <v>1+0.407442646961326i</v>
      </c>
      <c r="BA270" s="32">
        <f t="shared" si="251"/>
        <v>1.0798192027199978</v>
      </c>
      <c r="BB270" s="32">
        <f t="shared" si="252"/>
        <v>0.38690594045865551</v>
      </c>
      <c r="BC270" s="32" t="str">
        <f t="shared" si="226"/>
        <v>1+19.5572470541437i</v>
      </c>
      <c r="BD270" s="32">
        <f t="shared" si="253"/>
        <v>19.5827963359887</v>
      </c>
      <c r="BE270" s="32">
        <f t="shared" si="254"/>
        <v>1.5197088772172578</v>
      </c>
      <c r="BF270" s="59" t="str">
        <f t="shared" si="255"/>
        <v>-0.548175838147496+0.25672800923123i</v>
      </c>
      <c r="BG270" s="50">
        <f t="shared" si="256"/>
        <v>-4.3603739924824163</v>
      </c>
      <c r="BH270" s="61">
        <f t="shared" si="257"/>
        <v>154.90482729629298</v>
      </c>
      <c r="BI270" s="59" t="str">
        <f t="shared" si="258"/>
        <v>0.319867909384491+0.341438823263973i</v>
      </c>
      <c r="BJ270" s="64">
        <f t="shared" si="259"/>
        <v>-6.5976227466871364</v>
      </c>
      <c r="BK270" s="61">
        <f t="shared" si="260"/>
        <v>46.868246933263741</v>
      </c>
      <c r="BL270" s="59" t="str">
        <f t="shared" si="265"/>
        <v>1.70166568179903+3.48920371006065i</v>
      </c>
      <c r="BM270" s="64">
        <f t="shared" si="261"/>
        <v>11.781192644681171</v>
      </c>
      <c r="BN270" s="61">
        <f t="shared" si="266"/>
        <v>64.001760008291583</v>
      </c>
      <c r="BO270" s="50">
        <f t="shared" si="262"/>
        <v>-6.5976227466871364</v>
      </c>
      <c r="BP270" s="61">
        <f t="shared" si="263"/>
        <v>46.868246933263741</v>
      </c>
    </row>
    <row r="271" spans="14:68" x14ac:dyDescent="0.25">
      <c r="N271" s="11">
        <v>53</v>
      </c>
      <c r="O271" s="51">
        <f t="shared" si="264"/>
        <v>3388.4415613920314</v>
      </c>
      <c r="P271" s="49" t="str">
        <f t="shared" si="214"/>
        <v>25.6231073841137</v>
      </c>
      <c r="Q271" s="18" t="str">
        <f t="shared" si="215"/>
        <v>1+18.4113418679658i</v>
      </c>
      <c r="R271" s="18">
        <f t="shared" si="227"/>
        <v>18.438479041914228</v>
      </c>
      <c r="S271" s="18">
        <f t="shared" si="228"/>
        <v>1.5165352960317138</v>
      </c>
      <c r="T271" s="18" t="str">
        <f t="shared" si="216"/>
        <v>1+0.0191611856094976i</v>
      </c>
      <c r="U271" s="18">
        <f t="shared" si="229"/>
        <v>1.000183558670088</v>
      </c>
      <c r="V271" s="18">
        <f t="shared" si="230"/>
        <v>1.9158841109577787E-2</v>
      </c>
      <c r="W271" s="32" t="str">
        <f t="shared" si="217"/>
        <v>1-0.429352492360965i</v>
      </c>
      <c r="X271" s="18">
        <f t="shared" si="231"/>
        <v>1.0882754994469794</v>
      </c>
      <c r="Y271" s="18">
        <f t="shared" si="232"/>
        <v>-0.40555146386921881</v>
      </c>
      <c r="Z271" s="32" t="str">
        <f t="shared" si="218"/>
        <v>0.999712961594626+0.0339933626183309i</v>
      </c>
      <c r="AA271" s="18">
        <f t="shared" si="233"/>
        <v>1.0002907348778152</v>
      </c>
      <c r="AB271" s="18">
        <f t="shared" si="234"/>
        <v>3.3990026960594923E-2</v>
      </c>
      <c r="AC271" s="32" t="str">
        <f>IMDIV(IMSUM(COMPLEX(0,2*PI()*O271*Constants!$B$71*Constants!$B$72),COMPLEX(1,0)),IMSUM(COMPLEX(0,2*PI()*O271*Constants!$B$71*Constants!$B$72),COMPLEX(2,0)))</f>
        <v>0.500904905087123+0.0212516750009232i</v>
      </c>
      <c r="AD271" s="18">
        <f t="shared" si="235"/>
        <v>0.50135552019568375</v>
      </c>
      <c r="AE271" s="18">
        <f t="shared" si="236"/>
        <v>4.2401137298118355E-2</v>
      </c>
      <c r="AF271" s="66" t="str">
        <f t="shared" si="237"/>
        <v>-0.241158743689027-0.718753483528086i</v>
      </c>
      <c r="AG271" s="64">
        <f t="shared" si="238"/>
        <v>-2.4051035854040905</v>
      </c>
      <c r="AH271" s="61">
        <f t="shared" si="239"/>
        <v>-108.5478173409991</v>
      </c>
      <c r="AI271" s="50" t="str">
        <f t="shared" si="219"/>
        <v>108.866083054159</v>
      </c>
      <c r="AJ271" s="50" t="str">
        <f t="shared" si="220"/>
        <v>1+17.4192596449978i</v>
      </c>
      <c r="AK271" s="50">
        <f t="shared" si="240"/>
        <v>17.447939895009064</v>
      </c>
      <c r="AL271" s="50">
        <f t="shared" si="241"/>
        <v>1.5134515464368907</v>
      </c>
      <c r="AM271" s="50" t="str">
        <f t="shared" si="221"/>
        <v>1+0.0191611856094976i</v>
      </c>
      <c r="AN271" s="50">
        <f t="shared" si="242"/>
        <v>1.000183558670088</v>
      </c>
      <c r="AO271" s="50">
        <f t="shared" si="243"/>
        <v>1.9158841109577787E-2</v>
      </c>
      <c r="AP271" s="50" t="str">
        <f t="shared" si="222"/>
        <v>1-0.0956085932796885i</v>
      </c>
      <c r="AQ271" s="50">
        <f t="shared" si="244"/>
        <v>1.0045601042789432</v>
      </c>
      <c r="AR271" s="50">
        <f t="shared" si="245"/>
        <v>-9.5318861209574654E-2</v>
      </c>
      <c r="AS271" s="59" t="str">
        <f t="shared" si="246"/>
        <v>-0.117947356129616-6.26797421183536i</v>
      </c>
      <c r="AT271" s="50">
        <f t="shared" si="247"/>
        <v>15.944081570589914</v>
      </c>
      <c r="AU271" s="61">
        <f t="shared" si="248"/>
        <v>-91.0780338277429</v>
      </c>
      <c r="AV271" s="32" t="str">
        <f t="shared" si="223"/>
        <v>-0.0000333333333333333</v>
      </c>
      <c r="AW271" s="32" t="str">
        <f t="shared" si="224"/>
        <v>0.0010219298991732i</v>
      </c>
      <c r="AX271" s="32">
        <f t="shared" si="249"/>
        <v>1.0219298991732001E-3</v>
      </c>
      <c r="AY271" s="32">
        <f t="shared" si="250"/>
        <v>1.5707963267948966</v>
      </c>
      <c r="AZ271" s="32" t="str">
        <f t="shared" si="225"/>
        <v>1+0.416933205391846i</v>
      </c>
      <c r="BA271" s="32">
        <f t="shared" si="251"/>
        <v>1.0834358761635685</v>
      </c>
      <c r="BB271" s="32">
        <f t="shared" si="252"/>
        <v>0.39501820812635602</v>
      </c>
      <c r="BC271" s="32" t="str">
        <f t="shared" si="226"/>
        <v>1+20.0127938588086i</v>
      </c>
      <c r="BD271" s="32">
        <f t="shared" si="253"/>
        <v>20.037762301094581</v>
      </c>
      <c r="BE271" s="32">
        <f t="shared" si="254"/>
        <v>1.5208698156123015</v>
      </c>
      <c r="BF271" s="59" t="str">
        <f t="shared" si="255"/>
        <v>-0.544522158266756+0.259647392222653i</v>
      </c>
      <c r="BG271" s="50">
        <f t="shared" si="256"/>
        <v>-4.3899270483086568</v>
      </c>
      <c r="BH271" s="61">
        <f t="shared" si="257"/>
        <v>154.50654546696407</v>
      </c>
      <c r="BI271" s="59" t="str">
        <f t="shared" si="258"/>
        <v>0.317938747247464+0.328760959201916i</v>
      </c>
      <c r="BJ271" s="64">
        <f t="shared" si="259"/>
        <v>-6.7950306337127353</v>
      </c>
      <c r="BK271" s="61">
        <f t="shared" si="260"/>
        <v>45.958728125964953</v>
      </c>
      <c r="BL271" s="59" t="str">
        <f t="shared" si="265"/>
        <v>1.69168810754345+3.38242612235035i</v>
      </c>
      <c r="BM271" s="64">
        <f t="shared" si="261"/>
        <v>11.554154522281266</v>
      </c>
      <c r="BN271" s="61">
        <f t="shared" si="266"/>
        <v>63.428511639221128</v>
      </c>
      <c r="BO271" s="50">
        <f t="shared" si="262"/>
        <v>-6.7950306337127353</v>
      </c>
      <c r="BP271" s="61">
        <f t="shared" si="263"/>
        <v>45.958728125964953</v>
      </c>
    </row>
    <row r="272" spans="14:68" x14ac:dyDescent="0.25">
      <c r="N272" s="11">
        <v>54</v>
      </c>
      <c r="O272" s="51">
        <f t="shared" si="264"/>
        <v>3467.3685045253224</v>
      </c>
      <c r="P272" s="49" t="str">
        <f t="shared" si="214"/>
        <v>25.6231073841137</v>
      </c>
      <c r="Q272" s="18" t="str">
        <f t="shared" si="215"/>
        <v>1+18.8401971119747i</v>
      </c>
      <c r="R272" s="18">
        <f t="shared" si="227"/>
        <v>18.866717446817816</v>
      </c>
      <c r="S272" s="18">
        <f t="shared" si="228"/>
        <v>1.5177680868626406</v>
      </c>
      <c r="T272" s="18" t="str">
        <f t="shared" si="216"/>
        <v>1+0.0196075069579897i</v>
      </c>
      <c r="U272" s="18">
        <f t="shared" si="229"/>
        <v>1.0001922086924631</v>
      </c>
      <c r="V272" s="18">
        <f t="shared" si="230"/>
        <v>1.9604994807137604E-2</v>
      </c>
      <c r="W272" s="32" t="str">
        <f t="shared" si="217"/>
        <v>1-0.439353396651251i</v>
      </c>
      <c r="X272" s="18">
        <f t="shared" si="231"/>
        <v>1.0922597709102866</v>
      </c>
      <c r="Y272" s="18">
        <f t="shared" si="232"/>
        <v>-0.413965020156152</v>
      </c>
      <c r="Z272" s="32" t="str">
        <f t="shared" si="218"/>
        <v>0.999699433891346+0.0347851697513966i</v>
      </c>
      <c r="AA272" s="18">
        <f t="shared" si="233"/>
        <v>1.000304436737792</v>
      </c>
      <c r="AB272" s="18">
        <f t="shared" si="234"/>
        <v>3.4781595560215275E-2</v>
      </c>
      <c r="AC272" s="32" t="str">
        <f>IMDIV(IMSUM(COMPLEX(0,2*PI()*O272*Constants!$B$71*Constants!$B$72),COMPLEX(1,0)),IMSUM(COMPLEX(0,2*PI()*O272*Constants!$B$71*Constants!$B$72),COMPLEX(2,0)))</f>
        <v>0.50094747113666+0.0217448354046451i</v>
      </c>
      <c r="AD272" s="18">
        <f t="shared" si="235"/>
        <v>0.50141919259736156</v>
      </c>
      <c r="AE272" s="18">
        <f t="shared" si="236"/>
        <v>4.338018423500338E-2</v>
      </c>
      <c r="AF272" s="66" t="str">
        <f t="shared" si="237"/>
        <v>-0.242921753831968-0.702936015696789i</v>
      </c>
      <c r="AG272" s="64">
        <f t="shared" si="238"/>
        <v>-2.5717276993770106</v>
      </c>
      <c r="AH272" s="61">
        <f t="shared" si="239"/>
        <v>-109.06420787721099</v>
      </c>
      <c r="AI272" s="50" t="str">
        <f t="shared" si="219"/>
        <v>108.866083054159</v>
      </c>
      <c r="AJ272" s="50" t="str">
        <f t="shared" si="220"/>
        <v>1+17.8250063254452i</v>
      </c>
      <c r="AK272" s="50">
        <f t="shared" si="240"/>
        <v>17.853034770093334</v>
      </c>
      <c r="AL272" s="50">
        <f t="shared" si="241"/>
        <v>1.5147541098965316</v>
      </c>
      <c r="AM272" s="50" t="str">
        <f t="shared" si="221"/>
        <v>1+0.0196075069579897i</v>
      </c>
      <c r="AN272" s="50">
        <f t="shared" si="242"/>
        <v>1.0001922086924631</v>
      </c>
      <c r="AO272" s="50">
        <f t="shared" si="243"/>
        <v>1.9604994807137604E-2</v>
      </c>
      <c r="AP272" s="50" t="str">
        <f t="shared" si="222"/>
        <v>1-0.0978356035049261i</v>
      </c>
      <c r="AQ272" s="50">
        <f t="shared" si="244"/>
        <v>1.0047745047089784</v>
      </c>
      <c r="AR272" s="50">
        <f t="shared" si="245"/>
        <v>-9.7525229617729234E-2</v>
      </c>
      <c r="AS272" s="59" t="str">
        <f t="shared" si="246"/>
        <v>-0.134062078334512-6.12672906153254i</v>
      </c>
      <c r="AT272" s="50">
        <f t="shared" si="247"/>
        <v>15.746652410784364</v>
      </c>
      <c r="AU272" s="61">
        <f t="shared" si="248"/>
        <v>-91.253518090482203</v>
      </c>
      <c r="AV272" s="32" t="str">
        <f t="shared" si="223"/>
        <v>-0.0000333333333333333</v>
      </c>
      <c r="AW272" s="32" t="str">
        <f t="shared" si="224"/>
        <v>0.00104573370442612i</v>
      </c>
      <c r="AX272" s="32">
        <f t="shared" si="249"/>
        <v>1.0457337044261199E-3</v>
      </c>
      <c r="AY272" s="32">
        <f t="shared" si="250"/>
        <v>1.5707963267948966</v>
      </c>
      <c r="AZ272" s="32" t="str">
        <f t="shared" si="225"/>
        <v>1+0.426644827326629i</v>
      </c>
      <c r="BA272" s="32">
        <f t="shared" si="251"/>
        <v>1.0872101032848107</v>
      </c>
      <c r="BB272" s="32">
        <f t="shared" si="252"/>
        <v>0.40326300566888734</v>
      </c>
      <c r="BC272" s="32" t="str">
        <f t="shared" si="226"/>
        <v>1+20.4789517116782i</v>
      </c>
      <c r="BD272" s="32">
        <f t="shared" si="253"/>
        <v>20.50335248707507</v>
      </c>
      <c r="BE272" s="32">
        <f t="shared" si="254"/>
        <v>1.522004457988587</v>
      </c>
      <c r="BF272" s="59" t="str">
        <f t="shared" si="255"/>
        <v>-0.540748125840043+0.262582937287011i</v>
      </c>
      <c r="BG272" s="50">
        <f t="shared" si="256"/>
        <v>-4.4206192403998816</v>
      </c>
      <c r="BH272" s="61">
        <f t="shared" si="257"/>
        <v>154.09916358425502</v>
      </c>
      <c r="BI272" s="59" t="str">
        <f t="shared" si="258"/>
        <v>0.315938486836904+0.316324225421395i</v>
      </c>
      <c r="BJ272" s="64">
        <f t="shared" si="259"/>
        <v>-6.9923469397769002</v>
      </c>
      <c r="BK272" s="61">
        <f t="shared" si="260"/>
        <v>45.034955707044041</v>
      </c>
      <c r="BL272" s="59" t="str">
        <f t="shared" si="265"/>
        <v>1.68126833054452+3.27781484324557i</v>
      </c>
      <c r="BM272" s="64">
        <f t="shared" si="261"/>
        <v>11.326033170384488</v>
      </c>
      <c r="BN272" s="61">
        <f t="shared" si="266"/>
        <v>62.845645493772771</v>
      </c>
      <c r="BO272" s="50">
        <f t="shared" si="262"/>
        <v>-6.9923469397769002</v>
      </c>
      <c r="BP272" s="61">
        <f t="shared" si="263"/>
        <v>45.034955707044041</v>
      </c>
    </row>
    <row r="273" spans="14:68" x14ac:dyDescent="0.25">
      <c r="N273" s="11">
        <v>55</v>
      </c>
      <c r="O273" s="51">
        <f t="shared" si="264"/>
        <v>3548.1338923357539</v>
      </c>
      <c r="P273" s="49" t="str">
        <f t="shared" si="214"/>
        <v>25.6231073841137</v>
      </c>
      <c r="Q273" s="18" t="str">
        <f t="shared" si="215"/>
        <v>1+19.2790416778717i</v>
      </c>
      <c r="R273" s="18">
        <f t="shared" si="227"/>
        <v>19.304959156059205</v>
      </c>
      <c r="S273" s="18">
        <f t="shared" si="228"/>
        <v>1.5189729718621074</v>
      </c>
      <c r="T273" s="18" t="str">
        <f t="shared" si="216"/>
        <v>1+0.0200642244662069i</v>
      </c>
      <c r="U273" s="18">
        <f t="shared" si="229"/>
        <v>1.0002012662976538</v>
      </c>
      <c r="V273" s="18">
        <f t="shared" si="230"/>
        <v>2.0061532677324981E-2</v>
      </c>
      <c r="W273" s="32" t="str">
        <f t="shared" si="217"/>
        <v>1-0.44958725192797i</v>
      </c>
      <c r="X273" s="18">
        <f t="shared" si="231"/>
        <v>1.0964162973506659</v>
      </c>
      <c r="Y273" s="18">
        <f t="shared" si="232"/>
        <v>-0.42251063148162415</v>
      </c>
      <c r="Z273" s="32" t="str">
        <f t="shared" si="218"/>
        <v>0.999685268647051+0.0355954204419004i</v>
      </c>
      <c r="AA273" s="18">
        <f t="shared" si="233"/>
        <v>1.0003187843414529</v>
      </c>
      <c r="AB273" s="18">
        <f t="shared" si="234"/>
        <v>3.5591590661245662E-2</v>
      </c>
      <c r="AC273" s="32" t="str">
        <f>IMDIV(IMSUM(COMPLEX(0,2*PI()*O273*Constants!$B$71*Constants!$B$72),COMPLEX(1,0)),IMSUM(COMPLEX(0,2*PI()*O273*Constants!$B$71*Constants!$B$72),COMPLEX(2,0)))</f>
        <v>0.500992035481051+0.0222493506900738i</v>
      </c>
      <c r="AD273" s="18">
        <f t="shared" si="235"/>
        <v>0.50148584548477193</v>
      </c>
      <c r="AE273" s="18">
        <f t="shared" si="236"/>
        <v>4.4381425120397826E-2</v>
      </c>
      <c r="AF273" s="66" t="str">
        <f t="shared" si="237"/>
        <v>-0.244609052012351-0.68748285263653i</v>
      </c>
      <c r="AG273" s="64">
        <f t="shared" si="238"/>
        <v>-2.7370790549979924</v>
      </c>
      <c r="AH273" s="61">
        <f t="shared" si="239"/>
        <v>-109.58575489534439</v>
      </c>
      <c r="AI273" s="50" t="str">
        <f t="shared" si="219"/>
        <v>108.866083054159</v>
      </c>
      <c r="AJ273" s="50" t="str">
        <f t="shared" si="220"/>
        <v>1+18.2402040601881i</v>
      </c>
      <c r="AK273" s="50">
        <f t="shared" si="240"/>
        <v>18.267595467310478</v>
      </c>
      <c r="AL273" s="50">
        <f t="shared" si="241"/>
        <v>1.5160272073699519</v>
      </c>
      <c r="AM273" s="50" t="str">
        <f t="shared" si="221"/>
        <v>1+0.0200642244662069i</v>
      </c>
      <c r="AN273" s="50">
        <f t="shared" si="242"/>
        <v>1.0002012662976538</v>
      </c>
      <c r="AO273" s="50">
        <f t="shared" si="243"/>
        <v>2.0061532677324981E-2</v>
      </c>
      <c r="AP273" s="50" t="str">
        <f t="shared" si="222"/>
        <v>1-0.100114487462149i</v>
      </c>
      <c r="AQ273" s="50">
        <f t="shared" si="244"/>
        <v>1.0049989604968796</v>
      </c>
      <c r="AR273" s="50">
        <f t="shared" si="245"/>
        <v>-9.9782005128699724E-2</v>
      </c>
      <c r="AS273" s="59" t="str">
        <f t="shared" si="246"/>
        <v>-0.149455967840746-5.98865122839537i</v>
      </c>
      <c r="AT273" s="50">
        <f t="shared" si="247"/>
        <v>15.549284488825982</v>
      </c>
      <c r="AU273" s="61">
        <f t="shared" si="248"/>
        <v>-91.429607221555401</v>
      </c>
      <c r="AV273" s="32" t="str">
        <f t="shared" si="223"/>
        <v>-0.0000333333333333333</v>
      </c>
      <c r="AW273" s="32" t="str">
        <f t="shared" si="224"/>
        <v>0.00107009197153104i</v>
      </c>
      <c r="AX273" s="32">
        <f t="shared" si="249"/>
        <v>1.0700919715310401E-3</v>
      </c>
      <c r="AY273" s="32">
        <f t="shared" si="250"/>
        <v>1.5707963267948966</v>
      </c>
      <c r="AZ273" s="32" t="str">
        <f t="shared" si="225"/>
        <v>1+0.436582661996169i</v>
      </c>
      <c r="BA273" s="32">
        <f t="shared" si="251"/>
        <v>1.0911482120938756</v>
      </c>
      <c r="BB273" s="32">
        <f t="shared" si="252"/>
        <v>0.41164021990378485</v>
      </c>
      <c r="BC273" s="32" t="str">
        <f t="shared" si="226"/>
        <v>1+20.9559677758162i</v>
      </c>
      <c r="BD273" s="32">
        <f t="shared" si="253"/>
        <v>20.979813760399473</v>
      </c>
      <c r="BE273" s="32">
        <f t="shared" si="254"/>
        <v>1.5231133942558523</v>
      </c>
      <c r="BF273" s="59" t="str">
        <f t="shared" si="255"/>
        <v>-0.536851896060543+0.265530200368452i</v>
      </c>
      <c r="BG273" s="50">
        <f t="shared" si="256"/>
        <v>-4.4524895446518507</v>
      </c>
      <c r="BH273" s="61">
        <f t="shared" si="257"/>
        <v>153.68272193238181</v>
      </c>
      <c r="BI273" s="59" t="str">
        <f t="shared" si="258"/>
        <v>0.313866292976855+0.304125382354255i</v>
      </c>
      <c r="BJ273" s="64">
        <f t="shared" si="259"/>
        <v>-7.1895685996498511</v>
      </c>
      <c r="BK273" s="61">
        <f t="shared" si="260"/>
        <v>44.09696703703743</v>
      </c>
      <c r="BL273" s="59" t="str">
        <f t="shared" si="265"/>
        <v>1.67040348032547+3.17533369372234i</v>
      </c>
      <c r="BM273" s="64">
        <f t="shared" si="261"/>
        <v>11.096794944174137</v>
      </c>
      <c r="BN273" s="61">
        <f t="shared" si="266"/>
        <v>62.253114710826367</v>
      </c>
      <c r="BO273" s="50">
        <f t="shared" si="262"/>
        <v>-7.1895685996498511</v>
      </c>
      <c r="BP273" s="61">
        <f t="shared" si="263"/>
        <v>44.09696703703743</v>
      </c>
    </row>
    <row r="274" spans="14:68" x14ac:dyDescent="0.25">
      <c r="N274" s="11">
        <v>56</v>
      </c>
      <c r="O274" s="51">
        <f t="shared" si="264"/>
        <v>3630.7805477010188</v>
      </c>
      <c r="P274" s="49" t="str">
        <f t="shared" si="214"/>
        <v>25.6231073841137</v>
      </c>
      <c r="Q274" s="18" t="str">
        <f t="shared" si="215"/>
        <v>1+19.7281082468548i</v>
      </c>
      <c r="R274" s="18">
        <f t="shared" si="227"/>
        <v>19.753436536451584</v>
      </c>
      <c r="S274" s="18">
        <f t="shared" si="228"/>
        <v>1.5201505758746392</v>
      </c>
      <c r="T274" s="18" t="str">
        <f t="shared" si="216"/>
        <v>1+0.0205315802918177i</v>
      </c>
      <c r="U274" s="18">
        <f t="shared" si="229"/>
        <v>1.0002107506867137</v>
      </c>
      <c r="V274" s="18">
        <f t="shared" si="230"/>
        <v>2.0528696020887499E-2</v>
      </c>
      <c r="W274" s="32" t="str">
        <f t="shared" si="217"/>
        <v>1-0.460059484316655i</v>
      </c>
      <c r="X274" s="18">
        <f t="shared" si="231"/>
        <v>1.100751892621451</v>
      </c>
      <c r="Y274" s="18">
        <f t="shared" si="232"/>
        <v>-0.43118783528237015</v>
      </c>
      <c r="Z274" s="32" t="str">
        <f t="shared" si="218"/>
        <v>0.999670435815361+0.0364245442954839i</v>
      </c>
      <c r="AA274" s="18">
        <f t="shared" si="233"/>
        <v>1.0003338081212727</v>
      </c>
      <c r="AB274" s="18">
        <f t="shared" si="234"/>
        <v>3.6420440649945894E-2</v>
      </c>
      <c r="AC274" s="32" t="str">
        <f>IMDIV(IMSUM(COMPLEX(0,2*PI()*O274*Constants!$B$71*Constants!$B$72),COMPLEX(1,0)),IMSUM(COMPLEX(0,2*PI()*O274*Constants!$B$71*Constants!$B$72),COMPLEX(2,0)))</f>
        <v>0.501038691548598+0.022765475926623i</v>
      </c>
      <c r="AD274" s="18">
        <f t="shared" si="235"/>
        <v>0.50155561737747167</v>
      </c>
      <c r="AE274" s="18">
        <f t="shared" si="236"/>
        <v>4.5405333736113364E-2</v>
      </c>
      <c r="AF274" s="66" t="str">
        <f t="shared" si="237"/>
        <v>-0.246224158555051-0.672386335982415i</v>
      </c>
      <c r="AG274" s="64">
        <f t="shared" si="238"/>
        <v>-2.9011150736269697</v>
      </c>
      <c r="AH274" s="61">
        <f t="shared" si="239"/>
        <v>-110.11245126694293</v>
      </c>
      <c r="AI274" s="50" t="str">
        <f t="shared" si="219"/>
        <v>108.866083054159</v>
      </c>
      <c r="AJ274" s="50" t="str">
        <f t="shared" si="220"/>
        <v>1+18.6650729925615i</v>
      </c>
      <c r="AK274" s="50">
        <f t="shared" si="240"/>
        <v>18.691841798433046</v>
      </c>
      <c r="AL274" s="50">
        <f t="shared" si="241"/>
        <v>1.5172714973536765</v>
      </c>
      <c r="AM274" s="50" t="str">
        <f t="shared" si="221"/>
        <v>1+0.0205315802918177i</v>
      </c>
      <c r="AN274" s="50">
        <f t="shared" si="242"/>
        <v>1.0002107506867137</v>
      </c>
      <c r="AO274" s="50">
        <f t="shared" si="243"/>
        <v>2.0528696020887499E-2</v>
      </c>
      <c r="AP274" s="50" t="str">
        <f t="shared" si="222"/>
        <v>1-0.102446453445797i</v>
      </c>
      <c r="AQ274" s="50">
        <f t="shared" si="244"/>
        <v>1.0052339408434345</v>
      </c>
      <c r="AR274" s="50">
        <f t="shared" si="245"/>
        <v>-0.10209029231354672</v>
      </c>
      <c r="AS274" s="59" t="str">
        <f t="shared" si="246"/>
        <v>-0.164161077696726-5.85367288640507i</v>
      </c>
      <c r="AT274" s="50">
        <f t="shared" si="247"/>
        <v>15.351983256466067</v>
      </c>
      <c r="AU274" s="61">
        <f t="shared" si="248"/>
        <v>-91.606388411779761</v>
      </c>
      <c r="AV274" s="32" t="str">
        <f t="shared" si="223"/>
        <v>-0.0000333333333333333</v>
      </c>
      <c r="AW274" s="32" t="str">
        <f t="shared" si="224"/>
        <v>0.00109501761556361i</v>
      </c>
      <c r="AX274" s="32">
        <f t="shared" si="249"/>
        <v>1.0950176155636101E-3</v>
      </c>
      <c r="AY274" s="32">
        <f t="shared" si="250"/>
        <v>1.5707963267948966</v>
      </c>
      <c r="AZ274" s="32" t="str">
        <f t="shared" si="225"/>
        <v>1+0.446751978571959i</v>
      </c>
      <c r="BA274" s="32">
        <f t="shared" si="251"/>
        <v>1.0952567417541696</v>
      </c>
      <c r="BB274" s="32">
        <f t="shared" si="252"/>
        <v>0.42014958833987681</v>
      </c>
      <c r="BC274" s="32" t="str">
        <f t="shared" si="226"/>
        <v>1+21.444094971454i</v>
      </c>
      <c r="BD274" s="32">
        <f t="shared" si="253"/>
        <v>21.467398751239955</v>
      </c>
      <c r="BE274" s="32">
        <f t="shared" si="254"/>
        <v>1.5241972014709619</v>
      </c>
      <c r="BF274" s="59" t="str">
        <f t="shared" si="255"/>
        <v>-0.532831770197179+0.268484558174773i</v>
      </c>
      <c r="BG274" s="50">
        <f t="shared" si="256"/>
        <v>-4.4855774460330036</v>
      </c>
      <c r="BH274" s="61">
        <f t="shared" si="257"/>
        <v>153.25726861390345</v>
      </c>
      <c r="BI274" s="59" t="str">
        <f t="shared" si="258"/>
        <v>0.311721402607192+0.292161417236297i</v>
      </c>
      <c r="BJ274" s="64">
        <f t="shared" si="259"/>
        <v>-7.3866925196599738</v>
      </c>
      <c r="BK274" s="61">
        <f t="shared" si="260"/>
        <v>43.144817346960501</v>
      </c>
      <c r="BL274" s="59" t="str">
        <f t="shared" si="265"/>
        <v>1.65909101623274+3.07494817180354i</v>
      </c>
      <c r="BM274" s="64">
        <f t="shared" si="261"/>
        <v>10.86640581043306</v>
      </c>
      <c r="BN274" s="61">
        <f t="shared" si="266"/>
        <v>61.650880202123631</v>
      </c>
      <c r="BO274" s="50">
        <f t="shared" si="262"/>
        <v>-7.3866925196599738</v>
      </c>
      <c r="BP274" s="61">
        <f t="shared" si="263"/>
        <v>43.144817346960501</v>
      </c>
    </row>
    <row r="275" spans="14:68" x14ac:dyDescent="0.25">
      <c r="N275" s="11">
        <v>57</v>
      </c>
      <c r="O275" s="51">
        <f t="shared" si="264"/>
        <v>3715.352290971724</v>
      </c>
      <c r="P275" s="49" t="str">
        <f t="shared" ref="P275:P338" si="267">COMPLEX(Adc,0)</f>
        <v>25.6231073841137</v>
      </c>
      <c r="Q275" s="18" t="str">
        <f t="shared" ref="Q275:Q338" si="268">IMSUM(COMPLEX(1,0),IMDIV(COMPLEX(0,2*PI()*O275),COMPLEX(wp_lf,0)))</f>
        <v>1+20.1876349199626i</v>
      </c>
      <c r="R275" s="18">
        <f t="shared" si="227"/>
        <v>20.212387381546332</v>
      </c>
      <c r="S275" s="18">
        <f t="shared" si="228"/>
        <v>1.5213015102097043</v>
      </c>
      <c r="T275" s="18" t="str">
        <f t="shared" ref="T275:T338" si="269">IMSUM(COMPLEX(1,0),IMDIV(COMPLEX(0,2*PI()*O275),COMPLEX(wz_esr,0)))</f>
        <v>1+0.0210098222330667i</v>
      </c>
      <c r="U275" s="18">
        <f t="shared" si="229"/>
        <v>1.0002206819648676</v>
      </c>
      <c r="V275" s="18">
        <f t="shared" si="230"/>
        <v>2.1006731717909771E-2</v>
      </c>
      <c r="W275" s="32" t="str">
        <f t="shared" ref="W275:W338" si="270">IMSUB(COMPLEX(1,0),IMDIV(COMPLEX(0,2*PI()*O275),COMPLEX(wz_rhp,0)))</f>
        <v>1-0.470775646333531i</v>
      </c>
      <c r="X275" s="18">
        <f t="shared" si="231"/>
        <v>1.1052735901941897</v>
      </c>
      <c r="Y275" s="18">
        <f t="shared" si="232"/>
        <v>-0.43999600457088328</v>
      </c>
      <c r="Z275" s="32" t="str">
        <f t="shared" ref="Z275:Z338" si="271">IMSUM(COMPLEX(1,0),IMDIV(COMPLEX(0,2*PI()*O275),COMPLEX(Q*(wsl/2),0)),IMDIV(IMPOWER(COMPLEX(0,2*PI()*O275),2),IMPOWER(COMPLEX(wsl/2,0),2)))</f>
        <v>0.999654903933849+0.0372729809245886i</v>
      </c>
      <c r="AA275" s="18">
        <f t="shared" si="233"/>
        <v>1.0003495399439126</v>
      </c>
      <c r="AB275" s="18">
        <f t="shared" si="234"/>
        <v>3.7268583832221841E-2</v>
      </c>
      <c r="AC275" s="32" t="str">
        <f>IMDIV(IMSUM(COMPLEX(0,2*PI()*O275*Constants!$B$71*Constants!$B$72),COMPLEX(1,0)),IMSUM(COMPLEX(0,2*PI()*O275*Constants!$B$71*Constants!$B$72),COMPLEX(2,0)))</f>
        <v>0.50108753709887+0.0232934714564759i</v>
      </c>
      <c r="AD275" s="18">
        <f t="shared" si="235"/>
        <v>0.50162865313726357</v>
      </c>
      <c r="AE275" s="18">
        <f t="shared" si="236"/>
        <v>4.6452391873690164E-2</v>
      </c>
      <c r="AF275" s="66" t="str">
        <f t="shared" si="237"/>
        <v>-0.247770445593019-0.657638959452832i</v>
      </c>
      <c r="AG275" s="64">
        <f t="shared" si="238"/>
        <v>-3.0637926867037835</v>
      </c>
      <c r="AH275" s="61">
        <f t="shared" si="239"/>
        <v>-110.64427945699067</v>
      </c>
      <c r="AI275" s="50" t="str">
        <f t="shared" ref="AI275:AI338" si="272">COMPLEX($B$72,0)</f>
        <v>108.866083054159</v>
      </c>
      <c r="AJ275" s="50" t="str">
        <f t="shared" ref="AJ275:AJ338" si="273">IMSUM(COMPLEX(1,0),IMDIV(COMPLEX(0,2*PI()*O275),COMPLEX(wp_lf_DCM,0)))</f>
        <v>1+19.099838393697i</v>
      </c>
      <c r="AK275" s="50">
        <f t="shared" si="240"/>
        <v>19.125998710272409</v>
      </c>
      <c r="AL275" s="50">
        <f t="shared" si="241"/>
        <v>1.5184876241661385</v>
      </c>
      <c r="AM275" s="50" t="str">
        <f t="shared" ref="AM275:AM338" si="274">IMSUM(COMPLEX(1,0),IMDIV(COMPLEX(0,2*PI()*O275),COMPLEX(wz1_dcm,0)))</f>
        <v>1+0.0210098222330667i</v>
      </c>
      <c r="AN275" s="50">
        <f t="shared" si="242"/>
        <v>1.0002206819648676</v>
      </c>
      <c r="AO275" s="50">
        <f t="shared" si="243"/>
        <v>2.1006731717909771E-2</v>
      </c>
      <c r="AP275" s="50" t="str">
        <f t="shared" ref="AP275:AP338" si="275">IMSUB(COMPLEX(1,0),IMDIV(COMPLEX(0,2*PI()*O275),COMPLEX(wz2_dcm,0)))</f>
        <v>1-0.1048327378951i</v>
      </c>
      <c r="AQ275" s="50">
        <f t="shared" si="244"/>
        <v>1.0054799366146412</v>
      </c>
      <c r="AR275" s="50">
        <f t="shared" si="245"/>
        <v>-0.10445121661084825</v>
      </c>
      <c r="AS275" s="59" t="str">
        <f t="shared" si="246"/>
        <v>-0.178208052400107-5.72172749700716i</v>
      </c>
      <c r="AT275" s="50">
        <f t="shared" si="247"/>
        <v>15.154754296612307</v>
      </c>
      <c r="AU275" s="61">
        <f t="shared" si="248"/>
        <v>-91.783948915575806</v>
      </c>
      <c r="AV275" s="32" t="str">
        <f t="shared" ref="AV275:AV338" si="276">COMPLEX(Adc_ea,0)</f>
        <v>-0.0000333333333333333</v>
      </c>
      <c r="AW275" s="32" t="str">
        <f t="shared" ref="AW275:AW338" si="277">COMPLEX(0,2*PI()*O275*wp0_ea)</f>
        <v>0.00112052385243022i</v>
      </c>
      <c r="AX275" s="32">
        <f t="shared" si="249"/>
        <v>1.1205238524302199E-3</v>
      </c>
      <c r="AY275" s="32">
        <f t="shared" si="250"/>
        <v>1.5707963267948966</v>
      </c>
      <c r="AZ275" s="32" t="str">
        <f t="shared" ref="AZ275:AZ338" si="278">IMSUM(COMPLEX(1,0),IMDIV(COMPLEX(0,2*PI()*O275),COMPLEX(wp1_ea,0)))</f>
        <v>1+0.457158168960247i</v>
      </c>
      <c r="BA275" s="32">
        <f t="shared" si="251"/>
        <v>1.0995424464053607</v>
      </c>
      <c r="BB275" s="32">
        <f t="shared" si="252"/>
        <v>0.42879069244784224</v>
      </c>
      <c r="BC275" s="32" t="str">
        <f t="shared" ref="BC275:BC338" si="279">IMSUM(COMPLEX(1,0),IMDIV(COMPLEX(0,2*PI()*O275),COMPLEX(wz_ea,0)))</f>
        <v>1+21.9435921100919i</v>
      </c>
      <c r="BD275" s="32">
        <f t="shared" si="253"/>
        <v>21.966365987438326</v>
      </c>
      <c r="BE275" s="32">
        <f t="shared" si="254"/>
        <v>1.5252564440924059</v>
      </c>
      <c r="BF275" s="59" t="str">
        <f t="shared" si="255"/>
        <v>-0.528686210797603+0.27144121095421i</v>
      </c>
      <c r="BG275" s="50">
        <f t="shared" si="256"/>
        <v>-4.5199228925270702</v>
      </c>
      <c r="BH275" s="61">
        <f t="shared" si="257"/>
        <v>152.82285994987308</v>
      </c>
      <c r="BI275" s="59" t="str">
        <f t="shared" si="258"/>
        <v>0.30950313355275+0.280429539755563i</v>
      </c>
      <c r="BJ275" s="64">
        <f t="shared" si="259"/>
        <v>-7.5837155792308577</v>
      </c>
      <c r="BK275" s="61">
        <f t="shared" si="260"/>
        <v>42.178580492882418</v>
      </c>
      <c r="BL275" s="59" t="str">
        <f t="shared" si="265"/>
        <v>1.64732878049466+2.97662542006389i</v>
      </c>
      <c r="BM275" s="64">
        <f t="shared" si="261"/>
        <v>10.634831404085235</v>
      </c>
      <c r="BN275" s="61">
        <f t="shared" si="266"/>
        <v>61.038911034297222</v>
      </c>
      <c r="BO275" s="50">
        <f t="shared" si="262"/>
        <v>-7.5837155792308577</v>
      </c>
      <c r="BP275" s="61">
        <f t="shared" si="263"/>
        <v>42.178580492882418</v>
      </c>
    </row>
    <row r="276" spans="14:68" x14ac:dyDescent="0.25">
      <c r="N276" s="11">
        <v>58</v>
      </c>
      <c r="O276" s="51">
        <f t="shared" si="264"/>
        <v>3801.8939632056172</v>
      </c>
      <c r="P276" s="49" t="str">
        <f t="shared" si="267"/>
        <v>25.6231073841137</v>
      </c>
      <c r="Q276" s="18" t="str">
        <f t="shared" si="268"/>
        <v>1+20.65786534432i</v>
      </c>
      <c r="R276" s="18">
        <f t="shared" ref="R276:R339" si="280">IMABS(Q276)</f>
        <v>20.682055037738809</v>
      </c>
      <c r="S276" s="18">
        <f t="shared" ref="S276:S339" si="281">IMARGUMENT(Q276)</f>
        <v>1.5224263729043164</v>
      </c>
      <c r="T276" s="18" t="str">
        <f t="shared" si="269"/>
        <v>1+0.0214992038601615i</v>
      </c>
      <c r="U276" s="18">
        <f t="shared" ref="U276:U339" si="282">IMABS(T276)</f>
        <v>1.0002310811840536</v>
      </c>
      <c r="V276" s="18">
        <f t="shared" ref="V276:V339" si="283">IMARGUMENT(T276)</f>
        <v>2.1495892354826331E-2</v>
      </c>
      <c r="W276" s="32" t="str">
        <f t="shared" si="270"/>
        <v>1-0.481741419829544i</v>
      </c>
      <c r="X276" s="18">
        <f t="shared" ref="X276:X339" si="284">IMABS(W276)</f>
        <v>1.1099886465993176</v>
      </c>
      <c r="Y276" s="18">
        <f t="shared" ref="Y276:Y339" si="285">IMARGUMENT(W276)</f>
        <v>-0.44893434156289796</v>
      </c>
      <c r="Z276" s="32" t="str">
        <f t="shared" si="271"/>
        <v>0.999638640057314+0.0381411801815457i</v>
      </c>
      <c r="AA276" s="18">
        <f t="shared" ref="AA276:AA339" si="286">IMABS(Z276)</f>
        <v>1.0003660131778154</v>
      </c>
      <c r="AB276" s="18">
        <f t="shared" ref="AB276:AB339" si="287">IMARGUMENT(Z276)</f>
        <v>3.8136468660488435E-2</v>
      </c>
      <c r="AC276" s="32" t="str">
        <f>IMDIV(IMSUM(COMPLEX(0,2*PI()*O276*Constants!$B$71*Constants!$B$72),COMPLEX(1,0)),IMSUM(COMPLEX(0,2*PI()*O276*Constants!$B$71*Constants!$B$72),COMPLEX(2,0)))</f>
        <v>0.501138674419953+0.0238336029702129i</v>
      </c>
      <c r="AD276" s="18">
        <f t="shared" ref="AD276:AD339" si="288">IMABS(AC276)</f>
        <v>0.50170510424942794</v>
      </c>
      <c r="AE276" s="18">
        <f t="shared" ref="AE276:AE339" si="289">IMARGUMENT(AC276)</f>
        <v>4.7523089312030309E-2</v>
      </c>
      <c r="AF276" s="66" t="str">
        <f t="shared" ref="AF276:AF339" si="290">(IMDIV(IMPRODUCT(P276,T276,W276,AC276),IMPRODUCT(Q276,Z276)))</f>
        <v>-0.249251143769917-0.643233367191517i</v>
      </c>
      <c r="AG276" s="64">
        <f t="shared" ref="AG276:AG339" si="291">20*LOG(IMABS(AF276))</f>
        <v>-3.2250683881910773</v>
      </c>
      <c r="AH276" s="61">
        <f t="shared" ref="AH276:AH339" si="292">(180/PI())*IMARGUMENT(AF276)</f>
        <v>-111.18121118084322</v>
      </c>
      <c r="AI276" s="50" t="str">
        <f t="shared" si="272"/>
        <v>108.866083054159</v>
      </c>
      <c r="AJ276" s="50" t="str">
        <f t="shared" si="273"/>
        <v>1+19.544730781965i</v>
      </c>
      <c r="AK276" s="50">
        <f t="shared" ref="AK276:AK339" si="293">IMABS(AJ276)</f>
        <v>19.570296403976364</v>
      </c>
      <c r="AL276" s="50">
        <f t="shared" ref="AL276:AL339" si="294">IMARGUMENT(AJ276)</f>
        <v>1.5196762182168448</v>
      </c>
      <c r="AM276" s="50" t="str">
        <f t="shared" si="274"/>
        <v>1+0.0214992038601615i</v>
      </c>
      <c r="AN276" s="50">
        <f t="shared" ref="AN276:AN339" si="295">IMABS(AM276)</f>
        <v>1.0002310811840536</v>
      </c>
      <c r="AO276" s="50">
        <f t="shared" ref="AO276:AO339" si="296">IMARGUMENT(AM276)</f>
        <v>2.1495892354826331E-2</v>
      </c>
      <c r="AP276" s="50" t="str">
        <f t="shared" si="275"/>
        <v>1-0.107274606049661i</v>
      </c>
      <c r="AQ276" s="50">
        <f t="shared" ref="AQ276:AQ339" si="297">IMABS(AP276)</f>
        <v>1.0057374613203538</v>
      </c>
      <c r="AR276" s="50">
        <f t="shared" ref="AR276:AR339" si="298">IMARGUMENT(AP276)</f>
        <v>-0.10686592447872588</v>
      </c>
      <c r="AS276" s="59" t="str">
        <f t="shared" ref="AS276:AS339" si="299">(IMDIV(IMPRODUCT(AI276,AM276,AP276),IMPRODUCT(AJ276)))</f>
        <v>-0.191626188323331-5.59274979721233i</v>
      </c>
      <c r="AT276" s="50">
        <f t="shared" ref="AT276:AT339" si="300">20*LOG(IMABS(AS276))</f>
        <v>14.957603334006995</v>
      </c>
      <c r="AU276" s="61">
        <f t="shared" ref="AU276:AU339" si="301">(180/PI())*IMARGUMENT(AS276)</f>
        <v>-91.962376067822831</v>
      </c>
      <c r="AV276" s="32" t="str">
        <f t="shared" si="276"/>
        <v>-0.0000333333333333333</v>
      </c>
      <c r="AW276" s="32" t="str">
        <f t="shared" si="277"/>
        <v>0.00114662420587528i</v>
      </c>
      <c r="AX276" s="32">
        <f t="shared" ref="AX276:AX339" si="302">IMABS(AW276)</f>
        <v>1.1466242058752801E-3</v>
      </c>
      <c r="AY276" s="32">
        <f t="shared" ref="AY276:AY339" si="303">IMARGUMENT(AW276)</f>
        <v>1.5707963267948966</v>
      </c>
      <c r="AZ276" s="32" t="str">
        <f t="shared" si="278"/>
        <v>1+0.467806750660921i</v>
      </c>
      <c r="BA276" s="32">
        <f t="shared" ref="BA276:BA339" si="304">IMABS(AZ276)</f>
        <v>1.1040122988282011</v>
      </c>
      <c r="BB276" s="32">
        <f t="shared" ref="BB276:BB339" si="305">IMARGUMENT(AZ276)</f>
        <v>0.43756295105939408</v>
      </c>
      <c r="BC276" s="32" t="str">
        <f t="shared" si="279"/>
        <v>1+22.4547240317243i</v>
      </c>
      <c r="BD276" s="32">
        <f t="shared" ref="BD276:BD339" si="306">IMABS(BC276)</f>
        <v>22.476980031598924</v>
      </c>
      <c r="BE276" s="32">
        <f t="shared" ref="BE276:BE339" si="307">IMARGUMENT(BC276)</f>
        <v>1.5262916742315149</v>
      </c>
      <c r="BF276" s="59" t="str">
        <f t="shared" ref="BF276:BF339" si="308">IMPRODUCT(AV276,IMDIV(BC276,IMPRODUCT(AW276,AZ276)))</f>
        <v>-0.5244138571999+0.274395186466477i</v>
      </c>
      <c r="BG276" s="50">
        <f t="shared" ref="BG276:BG339" si="309">20*LOG(IMABS(BF276))</f>
        <v>-4.555566244181172</v>
      </c>
      <c r="BH276" s="61">
        <f t="shared" ref="BH276:BH339" si="310">(180/PI())*IMARGUMENT(BF276)</f>
        <v>152.37956087242952</v>
      </c>
      <c r="BI276" s="59" t="str">
        <f t="shared" ref="BI276:BI339" si="311">IMPRODUCT(AF276,BF276)</f>
        <v>0.307210893447845+0.268927177096854i</v>
      </c>
      <c r="BJ276" s="64">
        <f t="shared" ref="BJ276:BJ339" si="312">20*LOG(IMABS(BI276))</f>
        <v>-7.7806346323722515</v>
      </c>
      <c r="BK276" s="61">
        <f t="shared" ref="BK276:BK339" si="313">(180/PI())*IMARGUMENT(BI276)</f>
        <v>41.198349691586323</v>
      </c>
      <c r="BL276" s="59" t="str">
        <f t="shared" si="265"/>
        <v>1.63511505202558+2.88033418983324i</v>
      </c>
      <c r="BM276" s="64">
        <f t="shared" ref="BM276:BM339" si="314">20*LOG(IMABS(BL276))</f>
        <v>10.40203708982583</v>
      </c>
      <c r="BN276" s="61">
        <f t="shared" si="266"/>
        <v>60.417184804606755</v>
      </c>
      <c r="BO276" s="50">
        <f t="shared" ref="BO276:BO339" si="315">IF($B$31=0,BM276,BJ276)</f>
        <v>-7.7806346323722515</v>
      </c>
      <c r="BP276" s="61">
        <f t="shared" ref="BP276:BP339" si="316">IF($B$31=0,BN276,BK276)</f>
        <v>41.198349691586323</v>
      </c>
    </row>
    <row r="277" spans="14:68" x14ac:dyDescent="0.25">
      <c r="N277" s="11">
        <v>59</v>
      </c>
      <c r="O277" s="51">
        <f t="shared" si="264"/>
        <v>3890.451449942811</v>
      </c>
      <c r="P277" s="49" t="str">
        <f t="shared" si="267"/>
        <v>25.6231073841137</v>
      </c>
      <c r="Q277" s="18" t="str">
        <f t="shared" si="268"/>
        <v>1+21.1390488423221i</v>
      </c>
      <c r="R277" s="18">
        <f t="shared" si="280"/>
        <v>21.162688533314462</v>
      </c>
      <c r="S277" s="18">
        <f t="shared" si="281"/>
        <v>1.5235257489826408</v>
      </c>
      <c r="T277" s="18" t="str">
        <f t="shared" si="269"/>
        <v>1+0.0219999846497186i</v>
      </c>
      <c r="U277" s="18">
        <f t="shared" si="282"/>
        <v>1.0002419703874597</v>
      </c>
      <c r="V277" s="18">
        <f t="shared" si="283"/>
        <v>2.1996436354181401E-2</v>
      </c>
      <c r="W277" s="32" t="str">
        <f t="shared" si="270"/>
        <v>1-0.492962619002954i</v>
      </c>
      <c r="X277" s="18">
        <f t="shared" si="284"/>
        <v>1.1149045446737813</v>
      </c>
      <c r="Y277" s="18">
        <f t="shared" si="285"/>
        <v>-0.4580018715376028</v>
      </c>
      <c r="Z277" s="32" t="str">
        <f t="shared" si="271"/>
        <v>0.999621609687891+0.0390296023970933i</v>
      </c>
      <c r="AA277" s="18">
        <f t="shared" si="286"/>
        <v>1.0003832627639695</v>
      </c>
      <c r="AB277" s="18">
        <f t="shared" si="287"/>
        <v>3.9024553965516275E-2</v>
      </c>
      <c r="AC277" s="32" t="str">
        <f>IMDIV(IMSUM(COMPLEX(0,2*PI()*O277*Constants!$B$71*Constants!$B$72),COMPLEX(1,0)),IMSUM(COMPLEX(0,2*PI()*O277*Constants!$B$71*Constants!$B$72),COMPLEX(2,0)))</f>
        <v>0.501192210534324+0.0243861415808998i</v>
      </c>
      <c r="AD277" s="18">
        <f t="shared" si="288"/>
        <v>0.50178512911552675</v>
      </c>
      <c r="AE277" s="18">
        <f t="shared" si="289"/>
        <v>4.8617923780459489E-2</v>
      </c>
      <c r="AF277" s="66" t="str">
        <f t="shared" si="290"/>
        <v>-0.250669348679979-0.629162352030107i</v>
      </c>
      <c r="AG277" s="64">
        <f t="shared" si="291"/>
        <v>-3.3848982919003294</v>
      </c>
      <c r="AH277" s="61">
        <f t="shared" si="292"/>
        <v>-111.72320707528343</v>
      </c>
      <c r="AI277" s="50" t="str">
        <f t="shared" si="272"/>
        <v>108.866083054159</v>
      </c>
      <c r="AJ277" s="50" t="str">
        <f t="shared" si="273"/>
        <v>1+19.9999860451987i</v>
      </c>
      <c r="AK277" s="50">
        <f t="shared" si="293"/>
        <v>20.02497045711036</v>
      </c>
      <c r="AL277" s="50">
        <f t="shared" si="294"/>
        <v>1.5208378962729263</v>
      </c>
      <c r="AM277" s="50" t="str">
        <f t="shared" si="274"/>
        <v>1+0.0219999846497186i</v>
      </c>
      <c r="AN277" s="50">
        <f t="shared" si="295"/>
        <v>1.0002419703874597</v>
      </c>
      <c r="AO277" s="50">
        <f t="shared" si="296"/>
        <v>2.1996436354181401E-2</v>
      </c>
      <c r="AP277" s="50" t="str">
        <f t="shared" si="275"/>
        <v>1-0.109773352620297i</v>
      </c>
      <c r="AQ277" s="50">
        <f t="shared" si="297"/>
        <v>1.0060070521350732</v>
      </c>
      <c r="AR277" s="50">
        <f t="shared" si="298"/>
        <v>-0.10933558352812807</v>
      </c>
      <c r="AS277" s="59" t="str">
        <f t="shared" si="299"/>
        <v>-0.204443491677121-5.46667578685412i</v>
      </c>
      <c r="AT277" s="50">
        <f t="shared" si="300"/>
        <v>14.760536246114818</v>
      </c>
      <c r="AU277" s="61">
        <f t="shared" si="301"/>
        <v>-92.141757299332625</v>
      </c>
      <c r="AV277" s="32" t="str">
        <f t="shared" si="276"/>
        <v>-0.0000333333333333333</v>
      </c>
      <c r="AW277" s="32" t="str">
        <f t="shared" si="277"/>
        <v>0.00117333251465166i</v>
      </c>
      <c r="AX277" s="32">
        <f t="shared" si="302"/>
        <v>1.1733325146516601E-3</v>
      </c>
      <c r="AY277" s="32">
        <f t="shared" si="303"/>
        <v>1.5707963267948966</v>
      </c>
      <c r="AZ277" s="32" t="str">
        <f t="shared" si="278"/>
        <v>1+0.478703369692951i</v>
      </c>
      <c r="BA277" s="32">
        <f t="shared" si="304"/>
        <v>1.1086734939356069</v>
      </c>
      <c r="BB277" s="32">
        <f t="shared" si="305"/>
        <v>0.44646561393919898</v>
      </c>
      <c r="BC277" s="32" t="str">
        <f t="shared" si="279"/>
        <v>1+22.9777617452617i</v>
      </c>
      <c r="BD277" s="32">
        <f t="shared" si="306"/>
        <v>22.9995116213804</v>
      </c>
      <c r="BE277" s="32">
        <f t="shared" si="307"/>
        <v>1.5273034319002996</v>
      </c>
      <c r="BF277" s="59" t="str">
        <f t="shared" si="308"/>
        <v>-0.520013541265336+0.277341345220946i</v>
      </c>
      <c r="BG277" s="50">
        <f t="shared" si="309"/>
        <v>-4.5925482171784324</v>
      </c>
      <c r="BH277" s="61">
        <f t="shared" si="310"/>
        <v>151.92744530730025</v>
      </c>
      <c r="BI277" s="59" t="str">
        <f t="shared" si="311"/>
        <v>0.304844188768155+0.25765196834144i</v>
      </c>
      <c r="BJ277" s="64">
        <f t="shared" si="312"/>
        <v>-7.9774465090787716</v>
      </c>
      <c r="BK277" s="61">
        <f t="shared" si="313"/>
        <v>40.204238232016849</v>
      </c>
      <c r="BL277" s="59" t="str">
        <f t="shared" si="265"/>
        <v>1.62244860070857+2.78604480186808i</v>
      </c>
      <c r="BM277" s="64">
        <f t="shared" si="314"/>
        <v>10.167988028936396</v>
      </c>
      <c r="BN277" s="61">
        <f t="shared" si="266"/>
        <v>59.785688007967551</v>
      </c>
      <c r="BO277" s="50">
        <f t="shared" si="315"/>
        <v>-7.9774465090787716</v>
      </c>
      <c r="BP277" s="61">
        <f t="shared" si="316"/>
        <v>40.204238232016849</v>
      </c>
    </row>
    <row r="278" spans="14:68" x14ac:dyDescent="0.25">
      <c r="N278" s="11">
        <v>60</v>
      </c>
      <c r="O278" s="51">
        <f t="shared" si="264"/>
        <v>3981.0717055349769</v>
      </c>
      <c r="P278" s="49" t="str">
        <f t="shared" si="267"/>
        <v>25.6231073841137</v>
      </c>
      <c r="Q278" s="18" t="str">
        <f t="shared" si="268"/>
        <v>1+21.6314405438288i</v>
      </c>
      <c r="R278" s="18">
        <f t="shared" si="280"/>
        <v>21.654542710507659</v>
      </c>
      <c r="S278" s="18">
        <f t="shared" si="281"/>
        <v>1.5246002107124923</v>
      </c>
      <c r="T278" s="18" t="str">
        <f t="shared" si="269"/>
        <v>1+0.0225124301223412i</v>
      </c>
      <c r="U278" s="18">
        <f t="shared" si="282"/>
        <v>1.0002533726561553</v>
      </c>
      <c r="V278" s="18">
        <f t="shared" si="283"/>
        <v>2.2508628107186211E-2</v>
      </c>
      <c r="W278" s="32" t="str">
        <f t="shared" si="270"/>
        <v>1-0.504445193482089i</v>
      </c>
      <c r="X278" s="18">
        <f t="shared" si="284"/>
        <v>1.1200289966010621</v>
      </c>
      <c r="Y278" s="18">
        <f t="shared" si="285"/>
        <v>-0.46719743698022032</v>
      </c>
      <c r="Z278" s="32" t="str">
        <f t="shared" si="271"/>
        <v>0.999603776701885+0.0399387186244496i</v>
      </c>
      <c r="AA278" s="18">
        <f t="shared" si="286"/>
        <v>1.0004013252900235</v>
      </c>
      <c r="AB278" s="18">
        <f t="shared" si="287"/>
        <v>3.9933309193357379E-2</v>
      </c>
      <c r="AC278" s="32" t="str">
        <f>IMDIV(IMSUM(COMPLEX(0,2*PI()*O278*Constants!$B$71*Constants!$B$72),COMPLEX(1,0)),IMSUM(COMPLEX(0,2*PI()*O278*Constants!$B$71*Constants!$B$72),COMPLEX(2,0)))</f>
        <v>0.501248257413721+0.0249513638963767i</v>
      </c>
      <c r="AD278" s="18">
        <f t="shared" si="288"/>
        <v>0.50186889335819707</v>
      </c>
      <c r="AE278" s="18">
        <f t="shared" si="289"/>
        <v>4.9737400905981777E-2</v>
      </c>
      <c r="AF278" s="66" t="str">
        <f t="shared" si="290"/>
        <v>-0.252028027055344-0.615418853679856i</v>
      </c>
      <c r="AG278" s="64">
        <f t="shared" si="291"/>
        <v>-3.5432381937055144</v>
      </c>
      <c r="AH278" s="61">
        <f t="shared" si="292"/>
        <v>-112.2702163866138</v>
      </c>
      <c r="AI278" s="50" t="str">
        <f t="shared" si="272"/>
        <v>108.866083054159</v>
      </c>
      <c r="AJ278" s="50" t="str">
        <f t="shared" si="273"/>
        <v>1+20.4658455657647i</v>
      </c>
      <c r="AK278" s="50">
        <f t="shared" si="293"/>
        <v>20.490261948587445</v>
      </c>
      <c r="AL278" s="50">
        <f t="shared" si="294"/>
        <v>1.5219732617229065</v>
      </c>
      <c r="AM278" s="50" t="str">
        <f t="shared" si="274"/>
        <v>1+0.0225124301223412i</v>
      </c>
      <c r="AN278" s="50">
        <f t="shared" si="295"/>
        <v>1.0002533726561553</v>
      </c>
      <c r="AO278" s="50">
        <f t="shared" si="296"/>
        <v>2.2508628107186211E-2</v>
      </c>
      <c r="AP278" s="50" t="str">
        <f t="shared" si="275"/>
        <v>1-0.112330302475514i</v>
      </c>
      <c r="AQ278" s="50">
        <f t="shared" si="297"/>
        <v>1.0062892709625004</v>
      </c>
      <c r="AR278" s="50">
        <f t="shared" si="298"/>
        <v>-0.11186138263555211</v>
      </c>
      <c r="AS278" s="59" t="str">
        <f t="shared" si="299"/>
        <v>-0.21668673410073-5.3434427150929i</v>
      </c>
      <c r="AT278" s="50">
        <f t="shared" si="300"/>
        <v>14.563559074232304</v>
      </c>
      <c r="AU278" s="61">
        <f t="shared" si="301"/>
        <v>-92.322180150826213</v>
      </c>
      <c r="AV278" s="32" t="str">
        <f t="shared" si="276"/>
        <v>-0.0000333333333333333</v>
      </c>
      <c r="AW278" s="32" t="str">
        <f t="shared" si="277"/>
        <v>0.0012006629398582i</v>
      </c>
      <c r="AX278" s="32">
        <f t="shared" si="302"/>
        <v>1.2006629398582001E-3</v>
      </c>
      <c r="AY278" s="32">
        <f t="shared" si="303"/>
        <v>1.5707963267948966</v>
      </c>
      <c r="AZ278" s="32" t="str">
        <f t="shared" si="278"/>
        <v>1+0.489853803587979i</v>
      </c>
      <c r="BA278" s="32">
        <f t="shared" si="304"/>
        <v>1.1135334520747953</v>
      </c>
      <c r="BB278" s="32">
        <f t="shared" si="305"/>
        <v>0.45549775557628608</v>
      </c>
      <c r="BC278" s="32" t="str">
        <f t="shared" si="279"/>
        <v>1+23.512982572223i</v>
      </c>
      <c r="BD278" s="32">
        <f t="shared" si="306"/>
        <v>23.534237813059985</v>
      </c>
      <c r="BE278" s="32">
        <f t="shared" si="307"/>
        <v>1.528292245255835</v>
      </c>
      <c r="BF278" s="59" t="str">
        <f t="shared" si="308"/>
        <v>-0.515484303233259+0.280274387049559i</v>
      </c>
      <c r="BG278" s="50">
        <f t="shared" si="309"/>
        <v>-4.6309098228863927</v>
      </c>
      <c r="BH278" s="61">
        <f t="shared" si="310"/>
        <v>151.46659654352908</v>
      </c>
      <c r="BI278" s="59" t="str">
        <f t="shared" si="311"/>
        <v>0.302402633915741+0.246601758183525i</v>
      </c>
      <c r="BJ278" s="64">
        <f t="shared" si="312"/>
        <v>-8.1741480165919072</v>
      </c>
      <c r="BK278" s="61">
        <f t="shared" si="313"/>
        <v>39.196380156915247</v>
      </c>
      <c r="BL278" s="59" t="str">
        <f t="shared" si="265"/>
        <v>1.6093287418549+2.69372910327464i</v>
      </c>
      <c r="BM278" s="64">
        <f t="shared" si="314"/>
        <v>9.9326492513459037</v>
      </c>
      <c r="BN278" s="61">
        <f t="shared" si="266"/>
        <v>59.144416392702823</v>
      </c>
      <c r="BO278" s="50">
        <f t="shared" si="315"/>
        <v>-8.1741480165919072</v>
      </c>
      <c r="BP278" s="61">
        <f t="shared" si="316"/>
        <v>39.196380156915247</v>
      </c>
    </row>
    <row r="279" spans="14:68" x14ac:dyDescent="0.25">
      <c r="N279" s="11">
        <v>61</v>
      </c>
      <c r="O279" s="51">
        <f t="shared" si="264"/>
        <v>4073.8027780411317</v>
      </c>
      <c r="P279" s="49" t="str">
        <f t="shared" si="267"/>
        <v>25.6231073841137</v>
      </c>
      <c r="Q279" s="18" t="str">
        <f t="shared" si="268"/>
        <v>1+22.1353015214378i</v>
      </c>
      <c r="R279" s="18">
        <f t="shared" si="280"/>
        <v>22.157878360641089</v>
      </c>
      <c r="S279" s="18">
        <f t="shared" si="281"/>
        <v>1.5256503178586047</v>
      </c>
      <c r="T279" s="18" t="str">
        <f t="shared" si="269"/>
        <v>1+0.0230368119834019i</v>
      </c>
      <c r="U279" s="18">
        <f t="shared" si="282"/>
        <v>1.0002653121579088</v>
      </c>
      <c r="V279" s="18">
        <f t="shared" si="283"/>
        <v>2.3032738109123031E-2</v>
      </c>
      <c r="W279" s="32" t="str">
        <f t="shared" si="270"/>
        <v>1-0.516195231479931i</v>
      </c>
      <c r="X279" s="18">
        <f t="shared" si="284"/>
        <v>1.1253699467297942</v>
      </c>
      <c r="Y279" s="18">
        <f t="shared" si="285"/>
        <v>-0.47651969205858352</v>
      </c>
      <c r="Z279" s="32" t="str">
        <f t="shared" si="271"/>
        <v>0.999585103273141+0.0408690108890722i</v>
      </c>
      <c r="AA279" s="18">
        <f t="shared" si="286"/>
        <v>1.0004202390678765</v>
      </c>
      <c r="AB279" s="18">
        <f t="shared" si="287"/>
        <v>4.0863214647447549E-2</v>
      </c>
      <c r="AC279" s="32" t="str">
        <f>IMDIV(IMSUM(COMPLEX(0,2*PI()*O279*Constants!$B$71*Constants!$B$72),COMPLEX(1,0)),IMSUM(COMPLEX(0,2*PI()*O279*Constants!$B$71*Constants!$B$72),COMPLEX(2,0)))</f>
        <v>0.501306932203345+0.025529552089461i</v>
      </c>
      <c r="AD279" s="18">
        <f t="shared" si="288"/>
        <v>0.50195657013831152</v>
      </c>
      <c r="AE279" s="18">
        <f t="shared" si="289"/>
        <v>5.0882034143404906E-2</v>
      </c>
      <c r="AF279" s="66" t="str">
        <f t="shared" si="290"/>
        <v>-0.253330022710884-0.601995956860575i</v>
      </c>
      <c r="AG279" s="64">
        <f t="shared" si="291"/>
        <v>-3.7000436386114748</v>
      </c>
      <c r="AH279" s="61">
        <f t="shared" si="292"/>
        <v>-112.82217667881639</v>
      </c>
      <c r="AI279" s="50" t="str">
        <f t="shared" si="272"/>
        <v>108.866083054159</v>
      </c>
      <c r="AJ279" s="50" t="str">
        <f t="shared" si="273"/>
        <v>1+20.9425563485472i</v>
      </c>
      <c r="AK279" s="50">
        <f t="shared" si="293"/>
        <v>20.966417586513785</v>
      </c>
      <c r="AL279" s="50">
        <f t="shared" si="294"/>
        <v>1.5230829048375387</v>
      </c>
      <c r="AM279" s="50" t="str">
        <f t="shared" si="274"/>
        <v>1+0.0230368119834019i</v>
      </c>
      <c r="AN279" s="50">
        <f t="shared" si="295"/>
        <v>1.0002653121579088</v>
      </c>
      <c r="AO279" s="50">
        <f t="shared" si="296"/>
        <v>2.3032738109123031E-2</v>
      </c>
      <c r="AP279" s="50" t="str">
        <f t="shared" si="275"/>
        <v>1-0.114946811343971i</v>
      </c>
      <c r="AQ279" s="50">
        <f t="shared" si="297"/>
        <v>1.0065847055455126</v>
      </c>
      <c r="AR279" s="50">
        <f t="shared" si="298"/>
        <v>-0.11444453203323569</v>
      </c>
      <c r="AS279" s="59" t="str">
        <f t="shared" si="299"/>
        <v>-0.228381505965316-5.22298906625071i</v>
      </c>
      <c r="AT279" s="50">
        <f t="shared" si="300"/>
        <v>14.366678034832756</v>
      </c>
      <c r="AU279" s="61">
        <f t="shared" si="301"/>
        <v>-92.503732285287811</v>
      </c>
      <c r="AV279" s="32" t="str">
        <f t="shared" si="276"/>
        <v>-0.0000333333333333333</v>
      </c>
      <c r="AW279" s="32" t="str">
        <f t="shared" si="277"/>
        <v>0.0012286299724481i</v>
      </c>
      <c r="AX279" s="32">
        <f t="shared" si="302"/>
        <v>1.2286299724481001E-3</v>
      </c>
      <c r="AY279" s="32">
        <f t="shared" si="303"/>
        <v>1.5707963267948966</v>
      </c>
      <c r="AZ279" s="32" t="str">
        <f t="shared" si="278"/>
        <v>1+0.501263964453652i</v>
      </c>
      <c r="BA279" s="32">
        <f t="shared" si="304"/>
        <v>1.1185998221257645</v>
      </c>
      <c r="BB279" s="32">
        <f t="shared" si="305"/>
        <v>0.46465826924399711</v>
      </c>
      <c r="BC279" s="32" t="str">
        <f t="shared" si="279"/>
        <v>1+24.0606702937753i</v>
      </c>
      <c r="BD279" s="32">
        <f t="shared" si="306"/>
        <v>24.081442128447399</v>
      </c>
      <c r="BE279" s="32">
        <f t="shared" si="307"/>
        <v>1.5292586308411329</v>
      </c>
      <c r="BF279" s="59" t="str">
        <f t="shared" si="308"/>
        <v>-0.510825407588576+0.283188859075322i</v>
      </c>
      <c r="BG279" s="50">
        <f t="shared" si="309"/>
        <v>-4.6706923018617319</v>
      </c>
      <c r="BH279" s="61">
        <f t="shared" si="310"/>
        <v>150.99710758761728</v>
      </c>
      <c r="BI279" s="59" t="str">
        <f t="shared" si="311"/>
        <v>0.299885960297014+0.235774589928957i</v>
      </c>
      <c r="BJ279" s="64">
        <f t="shared" si="312"/>
        <v>-8.3707359404732031</v>
      </c>
      <c r="BK279" s="61">
        <f t="shared" si="313"/>
        <v>38.174930908800803</v>
      </c>
      <c r="BL279" s="59" t="str">
        <f t="shared" si="265"/>
        <v>1.59575539050485+2.60336042048997i</v>
      </c>
      <c r="BM279" s="64">
        <f t="shared" si="314"/>
        <v>9.6959857329710228</v>
      </c>
      <c r="BN279" s="61">
        <f t="shared" si="266"/>
        <v>58.493375302329369</v>
      </c>
      <c r="BO279" s="50">
        <f t="shared" si="315"/>
        <v>-8.3707359404732031</v>
      </c>
      <c r="BP279" s="61">
        <f t="shared" si="316"/>
        <v>38.174930908800803</v>
      </c>
    </row>
    <row r="280" spans="14:68" x14ac:dyDescent="0.25">
      <c r="N280" s="11">
        <v>62</v>
      </c>
      <c r="O280" s="51">
        <f t="shared" si="264"/>
        <v>4168.6938347033583</v>
      </c>
      <c r="P280" s="49" t="str">
        <f t="shared" si="267"/>
        <v>25.6231073841137</v>
      </c>
      <c r="Q280" s="18" t="str">
        <f t="shared" si="268"/>
        <v>1+22.6508989289088i</v>
      </c>
      <c r="R280" s="18">
        <f t="shared" si="280"/>
        <v>22.67296236241841</v>
      </c>
      <c r="S280" s="18">
        <f t="shared" si="281"/>
        <v>1.5266766179325806</v>
      </c>
      <c r="T280" s="18" t="str">
        <f t="shared" si="269"/>
        <v>1+0.0235734082671045i</v>
      </c>
      <c r="U280" s="18">
        <f t="shared" si="282"/>
        <v>1.0002778141982993</v>
      </c>
      <c r="V280" s="18">
        <f t="shared" si="283"/>
        <v>2.3569043097644616E-2</v>
      </c>
      <c r="W280" s="32" t="str">
        <f t="shared" si="270"/>
        <v>1-0.528218963022156i</v>
      </c>
      <c r="X280" s="18">
        <f t="shared" si="284"/>
        <v>1.1309355741580516</v>
      </c>
      <c r="Y280" s="18">
        <f t="shared" si="285"/>
        <v>-0.48596709748688943</v>
      </c>
      <c r="Z280" s="32" t="str">
        <f t="shared" si="271"/>
        <v>0.999565549792813+0.0418209724442335i</v>
      </c>
      <c r="AA280" s="18">
        <f t="shared" si="286"/>
        <v>1.0004400442149395</v>
      </c>
      <c r="AB280" s="18">
        <f t="shared" si="287"/>
        <v>4.1814761735977854E-2</v>
      </c>
      <c r="AC280" s="32" t="str">
        <f>IMDIV(IMSUM(COMPLEX(0,2*PI()*O280*Constants!$B$71*Constants!$B$72),COMPLEX(1,0)),IMSUM(COMPLEX(0,2*PI()*O280*Constants!$B$71*Constants!$B$72),COMPLEX(2,0)))</f>
        <v>0.501368357455772+0.0261209939657599i</v>
      </c>
      <c r="AD280" s="18">
        <f t="shared" si="288"/>
        <v>0.50204834048491587</v>
      </c>
      <c r="AE280" s="18">
        <f t="shared" si="289"/>
        <v>5.2052344686934322E-2</v>
      </c>
      <c r="AF280" s="66" t="str">
        <f t="shared" si="290"/>
        <v>-0.254578062256238-0.588886889374338i</v>
      </c>
      <c r="AG280" s="64">
        <f t="shared" si="291"/>
        <v>-3.8552699926029277</v>
      </c>
      <c r="AH280" s="61">
        <f t="shared" si="292"/>
        <v>-113.37901356490289</v>
      </c>
      <c r="AI280" s="50" t="str">
        <f t="shared" si="272"/>
        <v>108.866083054159</v>
      </c>
      <c r="AJ280" s="50" t="str">
        <f t="shared" si="273"/>
        <v>1+21.4303711519132i</v>
      </c>
      <c r="AK280" s="50">
        <f t="shared" si="293"/>
        <v>21.453689839017283</v>
      </c>
      <c r="AL280" s="50">
        <f t="shared" si="294"/>
        <v>1.5241674030275798</v>
      </c>
      <c r="AM280" s="50" t="str">
        <f t="shared" si="274"/>
        <v>1+0.0235734082671045i</v>
      </c>
      <c r="AN280" s="50">
        <f t="shared" si="295"/>
        <v>1.0002778141982993</v>
      </c>
      <c r="AO280" s="50">
        <f t="shared" si="296"/>
        <v>2.3569043097644616E-2</v>
      </c>
      <c r="AP280" s="50" t="str">
        <f t="shared" si="275"/>
        <v>1-0.117624266533303i</v>
      </c>
      <c r="AQ280" s="50">
        <f t="shared" si="297"/>
        <v>1.0068939706232716</v>
      </c>
      <c r="AR280" s="50">
        <f t="shared" si="298"/>
        <v>-0.11708626337472827</v>
      </c>
      <c r="AS280" s="59" t="str">
        <f t="shared" si="299"/>
        <v>-0.239552267474868-5.10525454505409i</v>
      </c>
      <c r="AT280" s="50">
        <f t="shared" si="300"/>
        <v>14.169899531158109</v>
      </c>
      <c r="AU280" s="61">
        <f t="shared" si="301"/>
        <v>-92.686501498567608</v>
      </c>
      <c r="AV280" s="32" t="str">
        <f t="shared" si="276"/>
        <v>-0.0000333333333333333</v>
      </c>
      <c r="AW280" s="32" t="str">
        <f t="shared" si="277"/>
        <v>0.00125724844091224i</v>
      </c>
      <c r="AX280" s="32">
        <f t="shared" si="302"/>
        <v>1.25724844091224E-3</v>
      </c>
      <c r="AY280" s="32">
        <f t="shared" si="303"/>
        <v>1.5707963267948966</v>
      </c>
      <c r="AZ280" s="32" t="str">
        <f t="shared" si="278"/>
        <v>1+0.512939902108292i</v>
      </c>
      <c r="BA280" s="32">
        <f t="shared" si="304"/>
        <v>1.1238804843820647</v>
      </c>
      <c r="BB280" s="32">
        <f t="shared" si="305"/>
        <v>0.47394586137954409</v>
      </c>
      <c r="BC280" s="32" t="str">
        <f t="shared" si="279"/>
        <v>1+24.6211153011981i</v>
      </c>
      <c r="BD280" s="32">
        <f t="shared" si="306"/>
        <v>24.641414705225248</v>
      </c>
      <c r="BE280" s="32">
        <f t="shared" si="307"/>
        <v>1.5302030938224396</v>
      </c>
      <c r="BF280" s="59" t="str">
        <f t="shared" si="308"/>
        <v>-0.50603635882137+0.286079165128841i</v>
      </c>
      <c r="BG280" s="50">
        <f t="shared" si="309"/>
        <v>-4.7119370528305202</v>
      </c>
      <c r="BH280" s="61">
        <f t="shared" si="310"/>
        <v>150.51908149914675</v>
      </c>
      <c r="BI280" s="59" t="str">
        <f t="shared" si="311"/>
        <v>0.297294025327478+0.22516869774625i</v>
      </c>
      <c r="BJ280" s="64">
        <f t="shared" si="312"/>
        <v>-8.5672070454334435</v>
      </c>
      <c r="BK280" s="61">
        <f t="shared" si="313"/>
        <v>37.140067934243767</v>
      </c>
      <c r="BL280" s="59" t="str">
        <f t="shared" si="265"/>
        <v>1.58172911519968+2.51491350815149i</v>
      </c>
      <c r="BM280" s="64">
        <f t="shared" si="314"/>
        <v>9.4579624783275857</v>
      </c>
      <c r="BN280" s="61">
        <f t="shared" si="266"/>
        <v>57.832580000579114</v>
      </c>
      <c r="BO280" s="50">
        <f t="shared" si="315"/>
        <v>-8.5672070454334435</v>
      </c>
      <c r="BP280" s="61">
        <f t="shared" si="316"/>
        <v>37.140067934243767</v>
      </c>
    </row>
    <row r="281" spans="14:68" x14ac:dyDescent="0.25">
      <c r="N281" s="11">
        <v>63</v>
      </c>
      <c r="O281" s="51">
        <f t="shared" si="264"/>
        <v>4265.7951880159299</v>
      </c>
      <c r="P281" s="49" t="str">
        <f t="shared" si="267"/>
        <v>25.6231073841137</v>
      </c>
      <c r="Q281" s="18" t="str">
        <f t="shared" si="268"/>
        <v>1+23.178506142812i</v>
      </c>
      <c r="R281" s="18">
        <f t="shared" si="280"/>
        <v>23.200067823443394</v>
      </c>
      <c r="S281" s="18">
        <f t="shared" si="281"/>
        <v>1.5276796464394329</v>
      </c>
      <c r="T281" s="18" t="str">
        <f t="shared" si="269"/>
        <v>1+0.0241225034839012i</v>
      </c>
      <c r="U281" s="18">
        <f t="shared" si="282"/>
        <v>1.0002909052742261</v>
      </c>
      <c r="V281" s="18">
        <f t="shared" si="283"/>
        <v>2.411782619401806E-2</v>
      </c>
      <c r="W281" s="32" t="str">
        <f t="shared" si="270"/>
        <v>1-0.540522763250379i</v>
      </c>
      <c r="X281" s="18">
        <f t="shared" si="284"/>
        <v>1.1367342950715551</v>
      </c>
      <c r="Y281" s="18">
        <f t="shared" si="285"/>
        <v>-0.4955379158311003</v>
      </c>
      <c r="Z281" s="32" t="str">
        <f t="shared" si="271"/>
        <v>0.999545074785347+0.0427951080325506i</v>
      </c>
      <c r="AA281" s="18">
        <f t="shared" si="286"/>
        <v>1.0004607827392149</v>
      </c>
      <c r="AB281" s="18">
        <f t="shared" si="287"/>
        <v>4.2788453224635523E-2</v>
      </c>
      <c r="AC281" s="32" t="str">
        <f>IMDIV(IMSUM(COMPLEX(0,2*PI()*O281*Constants!$B$71*Constants!$B$72),COMPLEX(1,0)),IMSUM(COMPLEX(0,2*PI()*O281*Constants!$B$71*Constants!$B$72),COMPLEX(2,0)))</f>
        <v>0.501432661374938+0.0267259830287608i</v>
      </c>
      <c r="AD281" s="18">
        <f t="shared" si="288"/>
        <v>0.50214439363833074</v>
      </c>
      <c r="AE281" s="18">
        <f t="shared" si="289"/>
        <v>5.3248861361742908E-2</v>
      </c>
      <c r="AF281" s="66" t="str">
        <f t="shared" si="290"/>
        <v>-0.255774760584508-0.576085020130652i</v>
      </c>
      <c r="AG281" s="64">
        <f t="shared" si="291"/>
        <v>-4.0088725191601782</v>
      </c>
      <c r="AH281" s="61">
        <f t="shared" si="292"/>
        <v>-113.9406404646605</v>
      </c>
      <c r="AI281" s="50" t="str">
        <f t="shared" si="272"/>
        <v>108.866083054159</v>
      </c>
      <c r="AJ281" s="50" t="str">
        <f t="shared" si="273"/>
        <v>1+21.9295486217284i</v>
      </c>
      <c r="AK281" s="50">
        <f t="shared" si="293"/>
        <v>21.952337068128987</v>
      </c>
      <c r="AL281" s="50">
        <f t="shared" si="294"/>
        <v>1.5252273210983811</v>
      </c>
      <c r="AM281" s="50" t="str">
        <f t="shared" si="274"/>
        <v>1+0.0241225034839012i</v>
      </c>
      <c r="AN281" s="50">
        <f t="shared" si="295"/>
        <v>1.0002909052742261</v>
      </c>
      <c r="AO281" s="50">
        <f t="shared" si="296"/>
        <v>2.411782619401806E-2</v>
      </c>
      <c r="AP281" s="50" t="str">
        <f t="shared" si="275"/>
        <v>1-0.120364087665693i</v>
      </c>
      <c r="AQ281" s="50">
        <f t="shared" si="297"/>
        <v>1.0072177091372025</v>
      </c>
      <c r="AR281" s="50">
        <f t="shared" si="298"/>
        <v>-0.11978782977363064</v>
      </c>
      <c r="AS281" s="59" t="str">
        <f t="shared" si="299"/>
        <v>-0.250222397646783-4.99018006135822i</v>
      </c>
      <c r="AT281" s="50">
        <f t="shared" si="300"/>
        <v>13.97323016507162</v>
      </c>
      <c r="AU281" s="61">
        <f t="shared" si="301"/>
        <v>-92.870575728095375</v>
      </c>
      <c r="AV281" s="32" t="str">
        <f t="shared" si="276"/>
        <v>-0.0000333333333333333</v>
      </c>
      <c r="AW281" s="32" t="str">
        <f t="shared" si="277"/>
        <v>0.0012865335191414i</v>
      </c>
      <c r="AX281" s="32">
        <f t="shared" si="302"/>
        <v>1.2865335191414001E-3</v>
      </c>
      <c r="AY281" s="32">
        <f t="shared" si="303"/>
        <v>1.5707963267948966</v>
      </c>
      <c r="AZ281" s="32" t="str">
        <f t="shared" si="278"/>
        <v>1+0.524887807288591i</v>
      </c>
      <c r="BA281" s="32">
        <f t="shared" si="304"/>
        <v>1.1293835532006942</v>
      </c>
      <c r="BB281" s="32">
        <f t="shared" si="305"/>
        <v>0.48335904633600951</v>
      </c>
      <c r="BC281" s="32" t="str">
        <f t="shared" si="279"/>
        <v>1+25.1946147498524i</v>
      </c>
      <c r="BD281" s="32">
        <f t="shared" si="306"/>
        <v>25.21445245079655</v>
      </c>
      <c r="BE281" s="32">
        <f t="shared" si="307"/>
        <v>1.5311261282229209</v>
      </c>
      <c r="BF281" s="59" t="str">
        <f t="shared" si="308"/>
        <v>-0.501116916948166+0.288939576655519i</v>
      </c>
      <c r="BG281" s="50">
        <f t="shared" si="309"/>
        <v>-4.754685556699572</v>
      </c>
      <c r="BH281" s="61">
        <f t="shared" si="310"/>
        <v>150.03263170485806</v>
      </c>
      <c r="BI281" s="59" t="str">
        <f t="shared" si="311"/>
        <v>0.294626821291401+0.21478249814544i</v>
      </c>
      <c r="BJ281" s="64">
        <f t="shared" si="312"/>
        <v>-8.7635580758597413</v>
      </c>
      <c r="BK281" s="61">
        <f t="shared" si="313"/>
        <v>36.091991240197537</v>
      </c>
      <c r="BL281" s="59" t="str">
        <f t="shared" si="265"/>
        <v>1.56725119082379+2.42836449371825i</v>
      </c>
      <c r="BM281" s="64">
        <f t="shared" si="314"/>
        <v>9.2185446083720475</v>
      </c>
      <c r="BN281" s="61">
        <f t="shared" si="266"/>
        <v>57.16205597676268</v>
      </c>
      <c r="BO281" s="50">
        <f t="shared" si="315"/>
        <v>-8.7635580758597413</v>
      </c>
      <c r="BP281" s="61">
        <f t="shared" si="316"/>
        <v>36.091991240197537</v>
      </c>
    </row>
    <row r="282" spans="14:68" x14ac:dyDescent="0.25">
      <c r="N282" s="11">
        <v>64</v>
      </c>
      <c r="O282" s="51">
        <f t="shared" si="264"/>
        <v>4365.1583224016631</v>
      </c>
      <c r="P282" s="49" t="str">
        <f t="shared" si="267"/>
        <v>25.6231073841137</v>
      </c>
      <c r="Q282" s="18" t="str">
        <f t="shared" si="268"/>
        <v>1+23.7184029074759i</v>
      </c>
      <c r="R282" s="18">
        <f t="shared" si="280"/>
        <v>23.739474225040482</v>
      </c>
      <c r="S282" s="18">
        <f t="shared" si="281"/>
        <v>1.5286599271206511</v>
      </c>
      <c r="T282" s="18" t="str">
        <f t="shared" si="269"/>
        <v>1+0.0246843887713441i</v>
      </c>
      <c r="U282" s="18">
        <f t="shared" si="282"/>
        <v>1.000304613129928</v>
      </c>
      <c r="V282" s="18">
        <f t="shared" si="283"/>
        <v>2.4679377047362661E-2</v>
      </c>
      <c r="W282" s="32" t="str">
        <f t="shared" si="270"/>
        <v>1-0.553113155802341i</v>
      </c>
      <c r="X282" s="18">
        <f t="shared" si="284"/>
        <v>1.1427747648253459</v>
      </c>
      <c r="Y282" s="18">
        <f t="shared" si="285"/>
        <v>-0.50523020731118007</v>
      </c>
      <c r="Z282" s="32" t="str">
        <f t="shared" si="271"/>
        <v>0.999523634820509+0.0437919341536068i</v>
      </c>
      <c r="AA282" s="18">
        <f t="shared" si="286"/>
        <v>1.0004824986283947</v>
      </c>
      <c r="AB282" s="18">
        <f t="shared" si="287"/>
        <v>4.3784803494808996E-2</v>
      </c>
      <c r="AC282" s="32" t="str">
        <f>IMDIV(IMSUM(COMPLEX(0,2*PI()*O282*Constants!$B$71*Constants!$B$72),COMPLEX(1,0)),IMSUM(COMPLEX(0,2*PI()*O282*Constants!$B$71*Constants!$B$72),COMPLEX(2,0)))</f>
        <v>0.501499978070597+0.0273448185418421i</v>
      </c>
      <c r="AD282" s="18">
        <f t="shared" si="288"/>
        <v>0.50224492740683357</v>
      </c>
      <c r="AE282" s="18">
        <f t="shared" si="289"/>
        <v>5.4472120493925545E-2</v>
      </c>
      <c r="AF282" s="66" t="str">
        <f t="shared" si="290"/>
        <v>-0.256922626146853-0.563583857129477i</v>
      </c>
      <c r="AG282" s="64">
        <f t="shared" si="291"/>
        <v>-4.1608064602786294</v>
      </c>
      <c r="AH282" s="61">
        <f t="shared" si="292"/>
        <v>-114.50695839204592</v>
      </c>
      <c r="AI282" s="50" t="str">
        <f t="shared" si="272"/>
        <v>108.866083054159</v>
      </c>
      <c r="AJ282" s="50" t="str">
        <f t="shared" si="273"/>
        <v>1+22.4403534284947i</v>
      </c>
      <c r="AK282" s="50">
        <f t="shared" si="293"/>
        <v>22.462623666788211</v>
      </c>
      <c r="AL282" s="50">
        <f t="shared" si="294"/>
        <v>1.5262632115011956</v>
      </c>
      <c r="AM282" s="50" t="str">
        <f t="shared" si="274"/>
        <v>1+0.0246843887713441i</v>
      </c>
      <c r="AN282" s="50">
        <f t="shared" si="295"/>
        <v>1.000304613129928</v>
      </c>
      <c r="AO282" s="50">
        <f t="shared" si="296"/>
        <v>2.4679377047362661E-2</v>
      </c>
      <c r="AP282" s="50" t="str">
        <f t="shared" si="275"/>
        <v>1-0.12316772743057i</v>
      </c>
      <c r="AQ282" s="50">
        <f t="shared" si="297"/>
        <v>1.0075565934876369</v>
      </c>
      <c r="AR282" s="50">
        <f t="shared" si="298"/>
        <v>-0.12255050581312998</v>
      </c>
      <c r="AS282" s="59" t="str">
        <f t="shared" si="299"/>
        <v>-0.260414241251986-4.87770771441836i</v>
      </c>
      <c r="AT282" s="50">
        <f t="shared" si="300"/>
        <v>13.776676749181625</v>
      </c>
      <c r="AU282" s="61">
        <f t="shared" si="301"/>
        <v>-93.056043059561347</v>
      </c>
      <c r="AV282" s="32" t="str">
        <f t="shared" si="276"/>
        <v>-0.0000333333333333333</v>
      </c>
      <c r="AW282" s="32" t="str">
        <f t="shared" si="277"/>
        <v>0.00131650073447169i</v>
      </c>
      <c r="AX282" s="32">
        <f t="shared" si="302"/>
        <v>1.31650073447169E-3</v>
      </c>
      <c r="AY282" s="32">
        <f t="shared" si="303"/>
        <v>1.5707963267948966</v>
      </c>
      <c r="AZ282" s="32" t="str">
        <f t="shared" si="278"/>
        <v>1+0.537114014932025i</v>
      </c>
      <c r="BA282" s="32">
        <f t="shared" si="304"/>
        <v>1.1351173794090195</v>
      </c>
      <c r="BB282" s="32">
        <f t="shared" si="305"/>
        <v>0.49289614156093287</v>
      </c>
      <c r="BC282" s="32" t="str">
        <f t="shared" si="279"/>
        <v>1+25.7814727167373i</v>
      </c>
      <c r="BD282" s="32">
        <f t="shared" si="306"/>
        <v>25.800859199721817</v>
      </c>
      <c r="BE282" s="32">
        <f t="shared" si="307"/>
        <v>1.5320282171526995</v>
      </c>
      <c r="BF282" s="59" t="str">
        <f t="shared" si="308"/>
        <v>-0.496067112654629+0.291764245144451i</v>
      </c>
      <c r="BG282" s="50">
        <f t="shared" si="309"/>
        <v>-4.7989792956991746</v>
      </c>
      <c r="BH282" s="61">
        <f t="shared" si="310"/>
        <v>149.53788228807741</v>
      </c>
      <c r="BI282" s="59" t="str">
        <f t="shared" si="311"/>
        <v>0.291884483979294+0.204614580666712i</v>
      </c>
      <c r="BJ282" s="64">
        <f t="shared" si="312"/>
        <v>-8.9597857559778049</v>
      </c>
      <c r="BK282" s="61">
        <f t="shared" si="313"/>
        <v>35.030923896031517</v>
      </c>
      <c r="BL282" s="59" t="str">
        <f t="shared" si="265"/>
        <v>1.55232365008456+2.34369081774097i</v>
      </c>
      <c r="BM282" s="64">
        <f t="shared" si="314"/>
        <v>8.9776974534824454</v>
      </c>
      <c r="BN282" s="61">
        <f t="shared" si="266"/>
        <v>56.48183922851598</v>
      </c>
      <c r="BO282" s="50">
        <f t="shared" si="315"/>
        <v>-8.9597857559778049</v>
      </c>
      <c r="BP282" s="61">
        <f t="shared" si="316"/>
        <v>35.030923896031517</v>
      </c>
    </row>
    <row r="283" spans="14:68" x14ac:dyDescent="0.25">
      <c r="N283" s="11">
        <v>65</v>
      </c>
      <c r="O283" s="51">
        <f t="shared" si="264"/>
        <v>4466.8359215096343</v>
      </c>
      <c r="P283" s="49" t="str">
        <f t="shared" si="267"/>
        <v>25.6231073841137</v>
      </c>
      <c r="Q283" s="18" t="str">
        <f t="shared" si="268"/>
        <v>1+24.2708754833116i</v>
      </c>
      <c r="R283" s="18">
        <f t="shared" si="280"/>
        <v>24.291467570453953</v>
      </c>
      <c r="S283" s="18">
        <f t="shared" si="281"/>
        <v>1.5296179721937273</v>
      </c>
      <c r="T283" s="18" t="str">
        <f t="shared" si="269"/>
        <v>1+0.0252593620484502i</v>
      </c>
      <c r="U283" s="18">
        <f t="shared" si="282"/>
        <v>1.0003189668156325</v>
      </c>
      <c r="V283" s="18">
        <f t="shared" si="283"/>
        <v>2.5253991981929711E-2</v>
      </c>
      <c r="W283" s="32" t="str">
        <f t="shared" si="270"/>
        <v>1-0.565996816270828i</v>
      </c>
      <c r="X283" s="18">
        <f t="shared" si="284"/>
        <v>1.1490658797600395</v>
      </c>
      <c r="Y283" s="18">
        <f t="shared" si="285"/>
        <v>-0.51504182615560068</v>
      </c>
      <c r="Z283" s="32" t="str">
        <f t="shared" si="271"/>
        <v>0.999501184421258+0.0448119793378061i</v>
      </c>
      <c r="AA283" s="18">
        <f t="shared" si="286"/>
        <v>1.0005052379431452</v>
      </c>
      <c r="AB283" s="18">
        <f t="shared" si="287"/>
        <v>4.4804338807354578E-2</v>
      </c>
      <c r="AC283" s="32" t="str">
        <f>IMDIV(IMSUM(COMPLEX(0,2*PI()*O283*Constants!$B$71*Constants!$B$72),COMPLEX(1,0)),IMSUM(COMPLEX(0,2*PI()*O283*Constants!$B$71*Constants!$B$72),COMPLEX(2,0)))</f>
        <v>0.501570447823641+0.0279778055868211i</v>
      </c>
      <c r="AD283" s="18">
        <f t="shared" si="288"/>
        <v>0.5023501485373143</v>
      </c>
      <c r="AE283" s="18">
        <f t="shared" si="289"/>
        <v>5.5722665757156328E-2</v>
      </c>
      <c r="AF283" s="66" t="str">
        <f t="shared" si="290"/>
        <v>-0.258024066021874-0.551377045407798i</v>
      </c>
      <c r="AG283" s="64">
        <f t="shared" si="291"/>
        <v>-4.3110271217835052</v>
      </c>
      <c r="AH283" s="61">
        <f t="shared" si="292"/>
        <v>-115.07785577549704</v>
      </c>
      <c r="AI283" s="50" t="str">
        <f t="shared" si="272"/>
        <v>108.866083054159</v>
      </c>
      <c r="AJ283" s="50" t="str">
        <f t="shared" si="273"/>
        <v>1+22.963056407682i</v>
      </c>
      <c r="AK283" s="50">
        <f t="shared" si="293"/>
        <v>22.984820199044098</v>
      </c>
      <c r="AL283" s="50">
        <f t="shared" si="294"/>
        <v>1.5272756145811111</v>
      </c>
      <c r="AM283" s="50" t="str">
        <f t="shared" si="274"/>
        <v>1+0.0252593620484502i</v>
      </c>
      <c r="AN283" s="50">
        <f t="shared" si="295"/>
        <v>1.0003189668156325</v>
      </c>
      <c r="AO283" s="50">
        <f t="shared" si="296"/>
        <v>2.5253991981929711E-2</v>
      </c>
      <c r="AP283" s="50" t="str">
        <f t="shared" si="275"/>
        <v>1-0.126036672354848i</v>
      </c>
      <c r="AQ283" s="50">
        <f t="shared" si="297"/>
        <v>1.0079113268429338</v>
      </c>
      <c r="AR283" s="50">
        <f t="shared" si="298"/>
        <v>-0.12537558752384081</v>
      </c>
      <c r="AS283" s="59" t="str">
        <f t="shared" si="299"/>
        <v>-0.270149153792302-4.76778077677091i</v>
      </c>
      <c r="AT283" s="50">
        <f t="shared" si="300"/>
        <v>13.580246319248044</v>
      </c>
      <c r="AU283" s="61">
        <f t="shared" si="301"/>
        <v>-93.242991731413994</v>
      </c>
      <c r="AV283" s="32" t="str">
        <f t="shared" si="276"/>
        <v>-0.0000333333333333333</v>
      </c>
      <c r="AW283" s="32" t="str">
        <f t="shared" si="277"/>
        <v>0.00134716597591734i</v>
      </c>
      <c r="AX283" s="32">
        <f t="shared" si="302"/>
        <v>1.34716597591734E-3</v>
      </c>
      <c r="AY283" s="32">
        <f t="shared" si="303"/>
        <v>1.5707963267948966</v>
      </c>
      <c r="AZ283" s="32" t="str">
        <f t="shared" si="278"/>
        <v>1+0.549625007535722i</v>
      </c>
      <c r="BA283" s="32">
        <f t="shared" si="304"/>
        <v>1.1410905524578856</v>
      </c>
      <c r="BB283" s="32">
        <f t="shared" si="305"/>
        <v>0.50255526325651512</v>
      </c>
      <c r="BC283" s="32" t="str">
        <f t="shared" si="279"/>
        <v>1+26.3820003617147i</v>
      </c>
      <c r="BD283" s="32">
        <f t="shared" si="306"/>
        <v>26.40094587482643</v>
      </c>
      <c r="BE283" s="32">
        <f t="shared" si="307"/>
        <v>1.5329098330352131</v>
      </c>
      <c r="BF283" s="59" t="str">
        <f t="shared" si="308"/>
        <v>-0.490887261910883+0.294547216096922i</v>
      </c>
      <c r="BG283" s="50">
        <f t="shared" si="309"/>
        <v>-4.8448596678019022</v>
      </c>
      <c r="BH283" s="61">
        <f t="shared" si="310"/>
        <v>149.03496825033707</v>
      </c>
      <c r="BI283" s="59" t="str">
        <f t="shared" si="311"/>
        <v>0.289067301021204+0.194663697767995i</v>
      </c>
      <c r="BJ283" s="64">
        <f t="shared" si="312"/>
        <v>-9.1558867895854057</v>
      </c>
      <c r="BK283" s="61">
        <f t="shared" si="313"/>
        <v>33.957112474839974</v>
      </c>
      <c r="BL283" s="59" t="str">
        <f t="shared" si="265"/>
        <v>1.53694933317094+2.26087116971995i</v>
      </c>
      <c r="BM283" s="64">
        <f t="shared" si="314"/>
        <v>8.7353866514461398</v>
      </c>
      <c r="BN283" s="61">
        <f t="shared" si="266"/>
        <v>55.791976518922993</v>
      </c>
      <c r="BO283" s="50">
        <f t="shared" si="315"/>
        <v>-9.1558867895854057</v>
      </c>
      <c r="BP283" s="61">
        <f t="shared" si="316"/>
        <v>33.957112474839974</v>
      </c>
    </row>
    <row r="284" spans="14:68" x14ac:dyDescent="0.25">
      <c r="N284" s="11">
        <v>66</v>
      </c>
      <c r="O284" s="51">
        <f t="shared" ref="O284:O318" si="317">10^(3+(N284/100))</f>
        <v>4570.8818961487532</v>
      </c>
      <c r="P284" s="49" t="str">
        <f t="shared" si="267"/>
        <v>25.6231073841137</v>
      </c>
      <c r="Q284" s="18" t="str">
        <f t="shared" si="268"/>
        <v>1+24.8362167985915i</v>
      </c>
      <c r="R284" s="18">
        <f t="shared" si="280"/>
        <v>24.856340536503733</v>
      </c>
      <c r="S284" s="18">
        <f t="shared" si="281"/>
        <v>1.5305542825880949</v>
      </c>
      <c r="T284" s="18" t="str">
        <f t="shared" si="269"/>
        <v>1+0.0258477281736615i</v>
      </c>
      <c r="U284" s="18">
        <f t="shared" si="282"/>
        <v>1.0003339967489555</v>
      </c>
      <c r="V284" s="18">
        <f t="shared" si="283"/>
        <v>2.5841974147472215E-2</v>
      </c>
      <c r="W284" s="32" t="str">
        <f t="shared" si="270"/>
        <v>1-0.579180575743156i</v>
      </c>
      <c r="X284" s="18">
        <f t="shared" si="284"/>
        <v>1.1556167787455207</v>
      </c>
      <c r="Y284" s="18">
        <f t="shared" si="285"/>
        <v>-0.52497041756322738</v>
      </c>
      <c r="Z284" s="32" t="str">
        <f t="shared" si="271"/>
        <v>0.999477675967287+0.0458557844266069i</v>
      </c>
      <c r="AA284" s="18">
        <f t="shared" si="286"/>
        <v>1.0005290489147971</v>
      </c>
      <c r="AB284" s="18">
        <f t="shared" si="287"/>
        <v>4.5847597572022315E-2</v>
      </c>
      <c r="AC284" s="32" t="str">
        <f>IMDIV(IMSUM(COMPLEX(0,2*PI()*O284*Constants!$B$71*Constants!$B$72),COMPLEX(1,0)),IMSUM(COMPLEX(0,2*PI()*O284*Constants!$B$71*Constants!$B$72),COMPLEX(2,0)))</f>
        <v>0.501644217362684+0.0286252551186259i</v>
      </c>
      <c r="AD284" s="18">
        <f t="shared" si="288"/>
        <v>0.50246027310029817</v>
      </c>
      <c r="AE284" s="18">
        <f t="shared" si="289"/>
        <v>5.7001047994261582E-2</v>
      </c>
      <c r="AF284" s="66" t="str">
        <f t="shared" si="290"/>
        <v>-0.259081390788487-0.539458364954973i</v>
      </c>
      <c r="AG284" s="64">
        <f t="shared" si="291"/>
        <v>-4.4594899626805757</v>
      </c>
      <c r="AH284" s="61">
        <f t="shared" si="292"/>
        <v>-115.65320831442584</v>
      </c>
      <c r="AI284" s="50" t="str">
        <f t="shared" si="272"/>
        <v>108.866083054159</v>
      </c>
      <c r="AJ284" s="50" t="str">
        <f t="shared" si="273"/>
        <v>1+23.4979347033287i</v>
      </c>
      <c r="AK284" s="50">
        <f t="shared" si="293"/>
        <v>23.519203543527983</v>
      </c>
      <c r="AL284" s="50">
        <f t="shared" si="294"/>
        <v>1.5282650588215334</v>
      </c>
      <c r="AM284" s="50" t="str">
        <f t="shared" si="274"/>
        <v>1+0.0258477281736615i</v>
      </c>
      <c r="AN284" s="50">
        <f t="shared" si="295"/>
        <v>1.0003339967489555</v>
      </c>
      <c r="AO284" s="50">
        <f t="shared" si="296"/>
        <v>2.5841974147472215E-2</v>
      </c>
      <c r="AP284" s="50" t="str">
        <f t="shared" si="275"/>
        <v>1-0.128972443591101i</v>
      </c>
      <c r="AQ284" s="50">
        <f t="shared" si="297"/>
        <v>1.0082826445029487</v>
      </c>
      <c r="AR284" s="50">
        <f t="shared" si="298"/>
        <v>-0.12826439232728185</v>
      </c>
      <c r="AS284" s="59" t="str">
        <f t="shared" si="299"/>
        <v>-0.279447544590341-4.66034367778214i</v>
      </c>
      <c r="AT284" s="50">
        <f t="shared" si="300"/>
        <v>13.3839461468836</v>
      </c>
      <c r="AU284" s="61">
        <f t="shared" si="301"/>
        <v>-93.431510137013461</v>
      </c>
      <c r="AV284" s="32" t="str">
        <f t="shared" si="276"/>
        <v>-0.0000333333333333333</v>
      </c>
      <c r="AW284" s="32" t="str">
        <f t="shared" si="277"/>
        <v>0.00137854550259528i</v>
      </c>
      <c r="AX284" s="32">
        <f t="shared" si="302"/>
        <v>1.37854550259528E-3</v>
      </c>
      <c r="AY284" s="32">
        <f t="shared" si="303"/>
        <v>1.5707963267948966</v>
      </c>
      <c r="AZ284" s="32" t="str">
        <f t="shared" si="278"/>
        <v>1+0.562427418593561i</v>
      </c>
      <c r="BA284" s="32">
        <f t="shared" si="304"/>
        <v>1.1473119023115801</v>
      </c>
      <c r="BB284" s="32">
        <f t="shared" si="305"/>
        <v>0.51233432257686873</v>
      </c>
      <c r="BC284" s="32" t="str">
        <f t="shared" si="279"/>
        <v>1+26.996516092491i</v>
      </c>
      <c r="BD284" s="32">
        <f t="shared" si="306"/>
        <v>27.015030652067111</v>
      </c>
      <c r="BE284" s="32">
        <f t="shared" si="307"/>
        <v>1.5337714378298815</v>
      </c>
      <c r="BF284" s="59" t="str">
        <f t="shared" si="308"/>
        <v>-0.485577979903236+0.297282444537737i</v>
      </c>
      <c r="BG284" s="50">
        <f t="shared" si="309"/>
        <v>-4.8923678966083717</v>
      </c>
      <c r="BH284" s="61">
        <f t="shared" si="310"/>
        <v>148.52403574201543</v>
      </c>
      <c r="BI284" s="59" t="str">
        <f t="shared" si="311"/>
        <v>0.286175719829739+0.1849287539089i</v>
      </c>
      <c r="BJ284" s="64">
        <f t="shared" si="312"/>
        <v>-9.3518578592889607</v>
      </c>
      <c r="BK284" s="61">
        <f t="shared" si="313"/>
        <v>32.870827427589589</v>
      </c>
      <c r="BL284" s="59" t="str">
        <f t="shared" si="265"/>
        <v>1.52113193510816+2.17988541953638i</v>
      </c>
      <c r="BM284" s="64">
        <f t="shared" si="314"/>
        <v>8.4915782502752197</v>
      </c>
      <c r="BN284" s="61">
        <f t="shared" si="266"/>
        <v>55.09252560500191</v>
      </c>
      <c r="BO284" s="50">
        <f t="shared" si="315"/>
        <v>-9.3518578592889607</v>
      </c>
      <c r="BP284" s="61">
        <f t="shared" si="316"/>
        <v>32.870827427589589</v>
      </c>
    </row>
    <row r="285" spans="14:68" x14ac:dyDescent="0.25">
      <c r="N285" s="11">
        <v>67</v>
      </c>
      <c r="O285" s="51">
        <f t="shared" si="317"/>
        <v>4677.3514128719844</v>
      </c>
      <c r="P285" s="49" t="str">
        <f t="shared" si="267"/>
        <v>25.6231073841137</v>
      </c>
      <c r="Q285" s="18" t="str">
        <f t="shared" si="268"/>
        <v>1+25.4147266047642i</v>
      </c>
      <c r="R285" s="18">
        <f t="shared" si="280"/>
        <v>25.434392628779424</v>
      </c>
      <c r="S285" s="18">
        <f t="shared" si="281"/>
        <v>1.5314693481774395</v>
      </c>
      <c r="T285" s="18" t="str">
        <f t="shared" si="269"/>
        <v>1+0.0264497991064856i</v>
      </c>
      <c r="U285" s="18">
        <f t="shared" si="282"/>
        <v>1.0003497347791788</v>
      </c>
      <c r="V285" s="18">
        <f t="shared" si="283"/>
        <v>2.6443633672754027E-2</v>
      </c>
      <c r="W285" s="32" t="str">
        <f t="shared" si="270"/>
        <v>1-0.592671424423104i</v>
      </c>
      <c r="X285" s="18">
        <f t="shared" si="284"/>
        <v>1.1624368444469193</v>
      </c>
      <c r="Y285" s="18">
        <f t="shared" si="285"/>
        <v>-0.53501341532674218</v>
      </c>
      <c r="Z285" s="32" t="str">
        <f t="shared" si="271"/>
        <v>0.999453059594013+0.0469239028592837i</v>
      </c>
      <c r="AA285" s="18">
        <f t="shared" si="286"/>
        <v>1.0005539820476359</v>
      </c>
      <c r="AB285" s="18">
        <f t="shared" si="287"/>
        <v>4.691513062263903E-2</v>
      </c>
      <c r="AC285" s="32" t="str">
        <f>IMDIV(IMSUM(COMPLEX(0,2*PI()*O285*Constants!$B$71*Constants!$B$72),COMPLEX(1,0)),IMSUM(COMPLEX(0,2*PI()*O285*Constants!$B$71*Constants!$B$72),COMPLEX(2,0)))</f>
        <v>0.501721440152329+0.0292874840156442i</v>
      </c>
      <c r="AD285" s="18">
        <f t="shared" si="288"/>
        <v>0.50257552688973395</v>
      </c>
      <c r="AE285" s="18">
        <f t="shared" si="289"/>
        <v>5.830782501180886E-2</v>
      </c>
      <c r="AF285" s="66" t="str">
        <f t="shared" si="290"/>
        <v>-0.260096819210652-0.527821728601651i</v>
      </c>
      <c r="AG285" s="64">
        <f t="shared" si="291"/>
        <v>-4.6061506882322227</v>
      </c>
      <c r="AH285" s="61">
        <f t="shared" si="292"/>
        <v>-116.23287887510008</v>
      </c>
      <c r="AI285" s="50" t="str">
        <f t="shared" si="272"/>
        <v>108.866083054159</v>
      </c>
      <c r="AJ285" s="50" t="str">
        <f t="shared" si="273"/>
        <v>1+24.045271914987i</v>
      </c>
      <c r="AK285" s="50">
        <f t="shared" si="293"/>
        <v>24.066057040272771</v>
      </c>
      <c r="AL285" s="50">
        <f t="shared" si="294"/>
        <v>1.5292320610851549</v>
      </c>
      <c r="AM285" s="50" t="str">
        <f t="shared" si="274"/>
        <v>1+0.0264497991064856i</v>
      </c>
      <c r="AN285" s="50">
        <f t="shared" si="295"/>
        <v>1.0003497347791788</v>
      </c>
      <c r="AO285" s="50">
        <f t="shared" si="296"/>
        <v>2.6443633672754027E-2</v>
      </c>
      <c r="AP285" s="50" t="str">
        <f t="shared" si="275"/>
        <v>1-0.131976597724099i</v>
      </c>
      <c r="AQ285" s="50">
        <f t="shared" si="297"/>
        <v>1.0086713153187359</v>
      </c>
      <c r="AR285" s="50">
        <f t="shared" si="298"/>
        <v>-0.13121825894218056</v>
      </c>
      <c r="AS285" s="59" t="str">
        <f t="shared" si="299"/>
        <v>-0.288328918065042-4.55534198691665i</v>
      </c>
      <c r="AT285" s="50">
        <f t="shared" si="300"/>
        <v>13.187783752558062</v>
      </c>
      <c r="AU285" s="61">
        <f t="shared" si="301"/>
        <v>-93.621686824274349</v>
      </c>
      <c r="AV285" s="32" t="str">
        <f t="shared" si="276"/>
        <v>-0.0000333333333333333</v>
      </c>
      <c r="AW285" s="32" t="str">
        <f t="shared" si="277"/>
        <v>0.0014106559523459i</v>
      </c>
      <c r="AX285" s="32">
        <f t="shared" si="302"/>
        <v>1.4106559523459001E-3</v>
      </c>
      <c r="AY285" s="32">
        <f t="shared" si="303"/>
        <v>1.5707963267948966</v>
      </c>
      <c r="AZ285" s="32" t="str">
        <f t="shared" si="278"/>
        <v>1+0.575528036113345i</v>
      </c>
      <c r="BA285" s="32">
        <f t="shared" si="304"/>
        <v>1.1537905010670195</v>
      </c>
      <c r="BB285" s="32">
        <f t="shared" si="305"/>
        <v>0.52223102241758346</v>
      </c>
      <c r="BC285" s="32" t="str">
        <f t="shared" si="279"/>
        <v>1+27.6253457334406i</v>
      </c>
      <c r="BD285" s="32">
        <f t="shared" si="306"/>
        <v>27.64343912924231</v>
      </c>
      <c r="BE285" s="32">
        <f t="shared" si="307"/>
        <v>1.5346134832510629</v>
      </c>
      <c r="BF285" s="59" t="str">
        <f t="shared" si="308"/>
        <v>-0.480140194119883+0.299963812056407i</v>
      </c>
      <c r="BG285" s="50">
        <f t="shared" si="309"/>
        <v>-4.9415449369424973</v>
      </c>
      <c r="BH285" s="61">
        <f t="shared" si="310"/>
        <v>148.0052422588268</v>
      </c>
      <c r="BI285" s="59" t="str">
        <f t="shared" si="311"/>
        <v>0.28321035506332+0.175408793837316i</v>
      </c>
      <c r="BJ285" s="64">
        <f t="shared" si="312"/>
        <v>-9.5476956251747165</v>
      </c>
      <c r="BK285" s="61">
        <f t="shared" si="313"/>
        <v>31.772363383726766</v>
      </c>
      <c r="BL285" s="59" t="str">
        <f t="shared" si="265"/>
        <v>1.50487605030625+2.10071454449172i</v>
      </c>
      <c r="BM285" s="64">
        <f t="shared" si="314"/>
        <v>8.2462388156155502</v>
      </c>
      <c r="BN285" s="61">
        <f t="shared" si="266"/>
        <v>54.383555434552392</v>
      </c>
      <c r="BO285" s="50">
        <f t="shared" si="315"/>
        <v>-9.5476956251747165</v>
      </c>
      <c r="BP285" s="61">
        <f t="shared" si="316"/>
        <v>31.772363383726766</v>
      </c>
    </row>
    <row r="286" spans="14:68" x14ac:dyDescent="0.25">
      <c r="N286" s="11">
        <v>68</v>
      </c>
      <c r="O286" s="51">
        <f t="shared" si="317"/>
        <v>4786.3009232263848</v>
      </c>
      <c r="P286" s="49" t="str">
        <f t="shared" si="267"/>
        <v>25.6231073841137</v>
      </c>
      <c r="Q286" s="18" t="str">
        <f t="shared" si="268"/>
        <v>1+26.0067116353865i</v>
      </c>
      <c r="R286" s="18">
        <f t="shared" si="280"/>
        <v>26.025930340453687</v>
      </c>
      <c r="S286" s="18">
        <f t="shared" si="281"/>
        <v>1.532363648008348</v>
      </c>
      <c r="T286" s="18" t="str">
        <f t="shared" si="269"/>
        <v>1+0.0270658940729005i</v>
      </c>
      <c r="U286" s="18">
        <f t="shared" si="282"/>
        <v>1.0003662142545426</v>
      </c>
      <c r="V286" s="18">
        <f t="shared" si="283"/>
        <v>2.7059287822243577E-2</v>
      </c>
      <c r="W286" s="32" t="str">
        <f t="shared" si="270"/>
        <v>1-0.606476515337215i</v>
      </c>
      <c r="X286" s="18">
        <f t="shared" si="284"/>
        <v>1.1695357043098646</v>
      </c>
      <c r="Y286" s="18">
        <f t="shared" si="285"/>
        <v>-0.54516804017014053</v>
      </c>
      <c r="Z286" s="32" t="str">
        <f t="shared" si="271"/>
        <v>0.999427283086808+0.0480169009663679i</v>
      </c>
      <c r="AA286" s="18">
        <f t="shared" si="286"/>
        <v>1.0005800902260111</v>
      </c>
      <c r="AB286" s="18">
        <f t="shared" si="287"/>
        <v>4.8007501498144728E-2</v>
      </c>
      <c r="AC286" s="32" t="str">
        <f>IMDIV(IMSUM(COMPLEX(0,2*PI()*O286*Constants!$B$71*Constants!$B$72),COMPLEX(1,0)),IMSUM(COMPLEX(0,2*PI()*O286*Constants!$B$71*Constants!$B$72),COMPLEX(2,0)))</f>
        <v>0.501802276693544+0.0299648151252726i</v>
      </c>
      <c r="AD286" s="18">
        <f t="shared" si="288"/>
        <v>0.50269614583793643</v>
      </c>
      <c r="AE286" s="18">
        <f t="shared" si="289"/>
        <v>5.964356134570821E-2</v>
      </c>
      <c r="AF286" s="66" t="str">
        <f t="shared" si="290"/>
        <v>-0.261072482742139-0.516461179886557i</v>
      </c>
      <c r="AG286" s="64">
        <f t="shared" si="291"/>
        <v>-4.7509653463960504</v>
      </c>
      <c r="AH286" s="61">
        <f t="shared" si="292"/>
        <v>-116.816717429045</v>
      </c>
      <c r="AI286" s="50" t="str">
        <f t="shared" si="272"/>
        <v>108.866083054159</v>
      </c>
      <c r="AJ286" s="50" t="str">
        <f t="shared" si="273"/>
        <v>1+24.6053582480914i</v>
      </c>
      <c r="AK286" s="50">
        <f t="shared" si="293"/>
        <v>24.625670640957562</v>
      </c>
      <c r="AL286" s="50">
        <f t="shared" si="294"/>
        <v>1.530177126851354</v>
      </c>
      <c r="AM286" s="50" t="str">
        <f t="shared" si="274"/>
        <v>1+0.0270658940729005i</v>
      </c>
      <c r="AN286" s="50">
        <f t="shared" si="295"/>
        <v>1.0003662142545426</v>
      </c>
      <c r="AO286" s="50">
        <f t="shared" si="296"/>
        <v>2.7059287822243577E-2</v>
      </c>
      <c r="AP286" s="50" t="str">
        <f t="shared" si="275"/>
        <v>1-0.135050727596126i</v>
      </c>
      <c r="AQ286" s="50">
        <f t="shared" si="297"/>
        <v>1.0090781431704103</v>
      </c>
      <c r="AR286" s="50">
        <f t="shared" si="298"/>
        <v>-0.13423854725062107</v>
      </c>
      <c r="AS286" s="59" t="str">
        <f t="shared" si="299"/>
        <v>-0.296811913263666-4.45272239677506i</v>
      </c>
      <c r="AT286" s="50">
        <f t="shared" si="300"/>
        <v>12.991766918915742</v>
      </c>
      <c r="AU286" s="61">
        <f t="shared" si="301"/>
        <v>-93.813610492620739</v>
      </c>
      <c r="AV286" s="32" t="str">
        <f t="shared" si="276"/>
        <v>-0.0000333333333333333</v>
      </c>
      <c r="AW286" s="32" t="str">
        <f t="shared" si="277"/>
        <v>0.00144351435055469i</v>
      </c>
      <c r="AX286" s="32">
        <f t="shared" si="302"/>
        <v>1.44351435055469E-3</v>
      </c>
      <c r="AY286" s="32">
        <f t="shared" si="303"/>
        <v>1.5707963267948966</v>
      </c>
      <c r="AZ286" s="32" t="str">
        <f t="shared" si="278"/>
        <v>1+0.588933806215891i</v>
      </c>
      <c r="BA286" s="32">
        <f t="shared" si="304"/>
        <v>1.1605356642964217</v>
      </c>
      <c r="BB286" s="32">
        <f t="shared" si="305"/>
        <v>0.53224285485207623</v>
      </c>
      <c r="BC286" s="32" t="str">
        <f t="shared" si="279"/>
        <v>1+28.2688226983628i</v>
      </c>
      <c r="BD286" s="32">
        <f t="shared" si="306"/>
        <v>28.28650449863807</v>
      </c>
      <c r="BE286" s="32">
        <f t="shared" si="307"/>
        <v>1.5354364109833047</v>
      </c>
      <c r="BF286" s="59" t="str">
        <f t="shared" si="308"/>
        <v>-0.47457515642381+0.302585145347634i</v>
      </c>
      <c r="BG286" s="50">
        <f t="shared" si="309"/>
        <v>-4.9924313764497903</v>
      </c>
      <c r="BH286" s="61">
        <f t="shared" si="310"/>
        <v>147.47875680103985</v>
      </c>
      <c r="BI286" s="59" t="str">
        <f t="shared" si="311"/>
        <v>0.280171995517687+0.16610299009469i</v>
      </c>
      <c r="BJ286" s="64">
        <f t="shared" si="312"/>
        <v>-9.7433967228458584</v>
      </c>
      <c r="BK286" s="61">
        <f t="shared" si="313"/>
        <v>30.662039371994812</v>
      </c>
      <c r="BL286" s="59" t="str">
        <f t="shared" si="265"/>
        <v>1.4881872137864+2.02334055204553i</v>
      </c>
      <c r="BM286" s="64">
        <f t="shared" si="314"/>
        <v>7.9993355424659454</v>
      </c>
      <c r="BN286" s="61">
        <f t="shared" si="266"/>
        <v>53.665146308419125</v>
      </c>
      <c r="BO286" s="50">
        <f t="shared" si="315"/>
        <v>-9.7433967228458584</v>
      </c>
      <c r="BP286" s="61">
        <f t="shared" si="316"/>
        <v>30.662039371994812</v>
      </c>
    </row>
    <row r="287" spans="14:68" x14ac:dyDescent="0.25">
      <c r="N287" s="11">
        <v>69</v>
      </c>
      <c r="O287" s="51">
        <f t="shared" si="317"/>
        <v>4897.7881936844633</v>
      </c>
      <c r="P287" s="49" t="str">
        <f t="shared" si="267"/>
        <v>25.6231073841137</v>
      </c>
      <c r="Q287" s="18" t="str">
        <f t="shared" si="268"/>
        <v>1+26.6124857687574i</v>
      </c>
      <c r="R287" s="18">
        <f t="shared" si="280"/>
        <v>26.631267314799626</v>
      </c>
      <c r="S287" s="18">
        <f t="shared" si="281"/>
        <v>1.5332376505252747</v>
      </c>
      <c r="T287" s="18" t="str">
        <f t="shared" si="269"/>
        <v>1+0.0276963397346123i</v>
      </c>
      <c r="U287" s="18">
        <f t="shared" si="282"/>
        <v>1.0003834700926915</v>
      </c>
      <c r="V287" s="18">
        <f t="shared" si="283"/>
        <v>2.7689261156039754E-2</v>
      </c>
      <c r="W287" s="32" t="str">
        <f t="shared" si="270"/>
        <v>1-0.620603168127424i</v>
      </c>
      <c r="X287" s="18">
        <f t="shared" si="284"/>
        <v>1.1769232312643827</v>
      </c>
      <c r="Y287" s="18">
        <f t="shared" si="285"/>
        <v>-0.55543129885051257</v>
      </c>
      <c r="Z287" s="32" t="str">
        <f t="shared" si="271"/>
        <v>0.999400291770245+0.0491353582699233i</v>
      </c>
      <c r="AA287" s="18">
        <f t="shared" si="286"/>
        <v>1.0006074288264928</v>
      </c>
      <c r="AB287" s="18">
        <f t="shared" si="287"/>
        <v>4.9125286729579172E-2</v>
      </c>
      <c r="AC287" s="32" t="str">
        <f>IMDIV(IMSUM(COMPLEX(0,2*PI()*O287*Constants!$B$71*Constants!$B$72),COMPLEX(1,0)),IMSUM(COMPLEX(0,2*PI()*O287*Constants!$B$71*Constants!$B$72),COMPLEX(2,0)))</f>
        <v>0.501886894836569+0.0306575773041533i</v>
      </c>
      <c r="AD287" s="18">
        <f t="shared" si="288"/>
        <v>0.50282237644605021</v>
      </c>
      <c r="AE287" s="18">
        <f t="shared" si="289"/>
        <v>6.1008827995704742E-2</v>
      </c>
      <c r="AF287" s="66" t="str">
        <f t="shared" si="290"/>
        <v>-0.262010429859184-0.50537089090508i</v>
      </c>
      <c r="AG287" s="64">
        <f t="shared" si="291"/>
        <v>-4.8938904272105974</v>
      </c>
      <c r="AH287" s="61">
        <f t="shared" si="292"/>
        <v>-117.4045610369612</v>
      </c>
      <c r="AI287" s="50" t="str">
        <f t="shared" si="272"/>
        <v>108.866083054159</v>
      </c>
      <c r="AJ287" s="50" t="str">
        <f t="shared" si="273"/>
        <v>1+25.1784906678294i</v>
      </c>
      <c r="AK287" s="50">
        <f t="shared" si="293"/>
        <v>25.198341062656731</v>
      </c>
      <c r="AL287" s="50">
        <f t="shared" si="294"/>
        <v>1.5311007504499821</v>
      </c>
      <c r="AM287" s="50" t="str">
        <f t="shared" si="274"/>
        <v>1+0.0276963397346123i</v>
      </c>
      <c r="AN287" s="50">
        <f t="shared" si="295"/>
        <v>1.0003834700926915</v>
      </c>
      <c r="AO287" s="50">
        <f t="shared" si="296"/>
        <v>2.7689261156039754E-2</v>
      </c>
      <c r="AP287" s="50" t="str">
        <f t="shared" si="275"/>
        <v>1-0.138196463151533i</v>
      </c>
      <c r="AQ287" s="50">
        <f t="shared" si="297"/>
        <v>1.0095039685051233</v>
      </c>
      <c r="AR287" s="50">
        <f t="shared" si="298"/>
        <v>-0.13732663812090179</v>
      </c>
      <c r="AS287" s="59" t="str">
        <f t="shared" si="299"/>
        <v>-0.304914341718841-4.35243270594612i</v>
      </c>
      <c r="AT287" s="50">
        <f t="shared" si="300"/>
        <v>12.795903704414751</v>
      </c>
      <c r="AU287" s="61">
        <f t="shared" si="301"/>
        <v>-94.007369987068444</v>
      </c>
      <c r="AV287" s="32" t="str">
        <f t="shared" si="276"/>
        <v>-0.0000333333333333333</v>
      </c>
      <c r="AW287" s="32" t="str">
        <f t="shared" si="277"/>
        <v>0.00147713811917932i</v>
      </c>
      <c r="AX287" s="32">
        <f t="shared" si="302"/>
        <v>1.4771381191793201E-3</v>
      </c>
      <c r="AY287" s="32">
        <f t="shared" si="303"/>
        <v>1.5707963267948966</v>
      </c>
      <c r="AZ287" s="32" t="str">
        <f t="shared" si="278"/>
        <v>1+0.602651836817954i</v>
      </c>
      <c r="BA287" s="32">
        <f t="shared" si="304"/>
        <v>1.1675569521098548</v>
      </c>
      <c r="BB287" s="32">
        <f t="shared" si="305"/>
        <v>0.54236709926777948</v>
      </c>
      <c r="BC287" s="32" t="str">
        <f t="shared" si="279"/>
        <v>1+28.9272881672618i</v>
      </c>
      <c r="BD287" s="32">
        <f t="shared" si="306"/>
        <v>28.944567723699112</v>
      </c>
      <c r="BE287" s="32">
        <f t="shared" si="307"/>
        <v>1.5362406528928776</v>
      </c>
      <c r="BF287" s="59" t="str">
        <f t="shared" si="308"/>
        <v>-0.468884453943696+0.305140236201805i</v>
      </c>
      <c r="BG287" s="50">
        <f t="shared" si="309"/>
        <v>-5.0450673335438907</v>
      </c>
      <c r="BH287" s="61">
        <f t="shared" si="310"/>
        <v>146.94475999238719</v>
      </c>
      <c r="BI287" s="59" t="str">
        <f t="shared" si="311"/>
        <v>0.277061610352369+0.1570106297665i</v>
      </c>
      <c r="BJ287" s="64">
        <f t="shared" si="312"/>
        <v>-9.9389577607544926</v>
      </c>
      <c r="BK287" s="61">
        <f t="shared" si="313"/>
        <v>29.540198955426053</v>
      </c>
      <c r="BL287" s="59" t="str">
        <f t="shared" si="265"/>
        <v>1.4710719385613+1.94774639840082i</v>
      </c>
      <c r="BM287" s="64">
        <f t="shared" si="314"/>
        <v>7.7508363708708448</v>
      </c>
      <c r="BN287" s="61">
        <f t="shared" si="266"/>
        <v>52.937390005318676</v>
      </c>
      <c r="BO287" s="50">
        <f t="shared" si="315"/>
        <v>-9.9389577607544926</v>
      </c>
      <c r="BP287" s="61">
        <f t="shared" si="316"/>
        <v>29.540198955426053</v>
      </c>
    </row>
    <row r="288" spans="14:68" x14ac:dyDescent="0.25">
      <c r="N288" s="11">
        <v>70</v>
      </c>
      <c r="O288" s="51">
        <f t="shared" si="317"/>
        <v>5011.8723362727324</v>
      </c>
      <c r="P288" s="49" t="str">
        <f t="shared" si="267"/>
        <v>25.6231073841137</v>
      </c>
      <c r="Q288" s="18" t="str">
        <f t="shared" si="268"/>
        <v>1+27.2323701943408i</v>
      </c>
      <c r="R288" s="18">
        <f t="shared" si="280"/>
        <v>27.250724511499161</v>
      </c>
      <c r="S288" s="18">
        <f t="shared" si="281"/>
        <v>1.5340918137918078</v>
      </c>
      <c r="T288" s="18" t="str">
        <f t="shared" si="269"/>
        <v>1+0.0283414703622559i</v>
      </c>
      <c r="U288" s="18">
        <f t="shared" si="282"/>
        <v>1.0004015388544216</v>
      </c>
      <c r="V288" s="18">
        <f t="shared" si="283"/>
        <v>2.833388569307585E-2</v>
      </c>
      <c r="W288" s="32" t="str">
        <f t="shared" si="270"/>
        <v>1-0.635058872932029i</v>
      </c>
      <c r="X288" s="18">
        <f t="shared" si="284"/>
        <v>1.1846095441493365</v>
      </c>
      <c r="Y288" s="18">
        <f t="shared" si="285"/>
        <v>-0.56579998407126819</v>
      </c>
      <c r="Z288" s="32" t="str">
        <f t="shared" si="271"/>
        <v>0.999372028392123+0.0502798677908168i</v>
      </c>
      <c r="AA288" s="18">
        <f t="shared" si="286"/>
        <v>1.0006360558353113</v>
      </c>
      <c r="AB288" s="18">
        <f t="shared" si="287"/>
        <v>5.0269076133116083E-2</v>
      </c>
      <c r="AC288" s="32" t="str">
        <f>IMDIV(IMSUM(COMPLEX(0,2*PI()*O288*Constants!$B$71*Constants!$B$72),COMPLEX(1,0)),IMSUM(COMPLEX(0,2*PI()*O288*Constants!$B$71*Constants!$B$72),COMPLEX(2,0)))</f>
        <v>0.501975470106806+0.0313661054525431i</v>
      </c>
      <c r="AD288" s="18">
        <f t="shared" si="288"/>
        <v>0.50295447623041278</v>
      </c>
      <c r="AE288" s="18">
        <f t="shared" si="289"/>
        <v>6.2404202126509371E-2</v>
      </c>
      <c r="AF288" s="66" t="str">
        <f t="shared" si="290"/>
        <v>-0.262912630228657-0.494545160143133i</v>
      </c>
      <c r="AG288" s="64">
        <f t="shared" si="291"/>
        <v>-5.0348829646615245</v>
      </c>
      <c r="AH288" s="61">
        <f t="shared" si="292"/>
        <v>-117.99623388099248</v>
      </c>
      <c r="AI288" s="50" t="str">
        <f t="shared" si="272"/>
        <v>108.866083054159</v>
      </c>
      <c r="AJ288" s="50" t="str">
        <f t="shared" si="273"/>
        <v>1+25.7649730565963i</v>
      </c>
      <c r="AK288" s="50">
        <f t="shared" si="293"/>
        <v>25.784371945175106</v>
      </c>
      <c r="AL288" s="50">
        <f t="shared" si="294"/>
        <v>1.5320034152914994</v>
      </c>
      <c r="AM288" s="50" t="str">
        <f t="shared" si="274"/>
        <v>1+0.0283414703622559i</v>
      </c>
      <c r="AN288" s="50">
        <f t="shared" si="295"/>
        <v>1.0004015388544216</v>
      </c>
      <c r="AO288" s="50">
        <f t="shared" si="296"/>
        <v>2.833388569307585E-2</v>
      </c>
      <c r="AP288" s="50" t="str">
        <f t="shared" si="275"/>
        <v>1-0.14141547230095i</v>
      </c>
      <c r="AQ288" s="50">
        <f t="shared" si="297"/>
        <v>1.0099496699371215</v>
      </c>
      <c r="AR288" s="50">
        <f t="shared" si="298"/>
        <v>-0.1404839331837561</v>
      </c>
      <c r="AS288" s="59" t="str">
        <f t="shared" si="299"/>
        <v>-0.312653223696923-4.25442180171481i</v>
      </c>
      <c r="AT288" s="50">
        <f t="shared" si="300"/>
        <v>12.600202457295413</v>
      </c>
      <c r="AU288" s="61">
        <f t="shared" si="301"/>
        <v>-94.203054289238537</v>
      </c>
      <c r="AV288" s="32" t="str">
        <f t="shared" si="276"/>
        <v>-0.0000333333333333333</v>
      </c>
      <c r="AW288" s="32" t="str">
        <f t="shared" si="277"/>
        <v>0.00151154508598698i</v>
      </c>
      <c r="AX288" s="32">
        <f t="shared" si="302"/>
        <v>1.5115450859869799E-3</v>
      </c>
      <c r="AY288" s="32">
        <f t="shared" si="303"/>
        <v>1.5707963267948966</v>
      </c>
      <c r="AZ288" s="32" t="str">
        <f t="shared" si="278"/>
        <v>1+0.616689401400938i</v>
      </c>
      <c r="BA288" s="32">
        <f t="shared" si="304"/>
        <v>1.1748641699363578</v>
      </c>
      <c r="BB288" s="32">
        <f t="shared" si="305"/>
        <v>0.55260082125309307</v>
      </c>
      <c r="BC288" s="32" t="str">
        <f t="shared" si="279"/>
        <v>1+29.601091267245i</v>
      </c>
      <c r="BD288" s="32">
        <f t="shared" si="306"/>
        <v>29.617977719820242</v>
      </c>
      <c r="BE288" s="32">
        <f t="shared" si="307"/>
        <v>1.5370266312356078</v>
      </c>
      <c r="BF288" s="59" t="str">
        <f t="shared" si="308"/>
        <v>-0.463070018613253+0.307622862876457i</v>
      </c>
      <c r="BG288" s="50">
        <f t="shared" si="309"/>
        <v>-5.0994923521001256</v>
      </c>
      <c r="BH288" s="61">
        <f t="shared" si="310"/>
        <v>146.40344415574575</v>
      </c>
      <c r="BI288" s="59" t="str">
        <f t="shared" si="311"/>
        <v>0.27388035455857+0.148131100515256i</v>
      </c>
      <c r="BJ288" s="64">
        <f t="shared" si="312"/>
        <v>-10.134375316761648</v>
      </c>
      <c r="BK288" s="61">
        <f t="shared" si="313"/>
        <v>28.407210274753265</v>
      </c>
      <c r="BL288" s="59" t="str">
        <f t="shared" si="265"/>
        <v>1.45353774864435+1.87391590314751i</v>
      </c>
      <c r="BM288" s="64">
        <f t="shared" si="314"/>
        <v>7.5007101051952958</v>
      </c>
      <c r="BN288" s="61">
        <f t="shared" si="266"/>
        <v>52.200389866507301</v>
      </c>
      <c r="BO288" s="50">
        <f t="shared" si="315"/>
        <v>-10.134375316761648</v>
      </c>
      <c r="BP288" s="61">
        <f t="shared" si="316"/>
        <v>28.407210274753265</v>
      </c>
    </row>
    <row r="289" spans="14:68" x14ac:dyDescent="0.25">
      <c r="N289" s="11">
        <v>71</v>
      </c>
      <c r="O289" s="51">
        <f t="shared" si="317"/>
        <v>5128.6138399136489</v>
      </c>
      <c r="P289" s="49" t="str">
        <f t="shared" si="267"/>
        <v>25.6231073841137</v>
      </c>
      <c r="Q289" s="18" t="str">
        <f t="shared" si="268"/>
        <v>1+27.8666935830641i</v>
      </c>
      <c r="R289" s="18">
        <f t="shared" si="280"/>
        <v>27.8846303768292</v>
      </c>
      <c r="S289" s="18">
        <f t="shared" si="281"/>
        <v>1.5349265857082257</v>
      </c>
      <c r="T289" s="18" t="str">
        <f t="shared" si="269"/>
        <v>1+0.029001628012629i</v>
      </c>
      <c r="U289" s="18">
        <f t="shared" si="282"/>
        <v>1.0004204588208814</v>
      </c>
      <c r="V289" s="18">
        <f t="shared" si="283"/>
        <v>2.8993501077644614E-2</v>
      </c>
      <c r="W289" s="32" t="str">
        <f t="shared" si="270"/>
        <v>1-0.649851294357057i</v>
      </c>
      <c r="X289" s="18">
        <f t="shared" si="284"/>
        <v>1.192605007862009</v>
      </c>
      <c r="Y289" s="18">
        <f t="shared" si="285"/>
        <v>-0.57627067525015407</v>
      </c>
      <c r="Z289" s="32" t="str">
        <f t="shared" si="271"/>
        <v>0.999342433002026+0.0514510363631455i</v>
      </c>
      <c r="AA289" s="18">
        <f t="shared" si="286"/>
        <v>1.0006660319713316</v>
      </c>
      <c r="AB289" s="18">
        <f t="shared" si="287"/>
        <v>5.1439473109239006E-2</v>
      </c>
      <c r="AC289" s="32" t="str">
        <f>IMDIV(IMSUM(COMPLEX(0,2*PI()*O289*Constants!$B$71*Constants!$B$72),COMPLEX(1,0)),IMSUM(COMPLEX(0,2*PI()*O289*Constants!$B$71*Constants!$B$72),COMPLEX(2,0)))</f>
        <v>0.502068186044123+0.0320907405422264i</v>
      </c>
      <c r="AD289" s="18">
        <f t="shared" si="288"/>
        <v>0.50309271418515344</v>
      </c>
      <c r="AE289" s="18">
        <f t="shared" si="289"/>
        <v>6.3830266733206562E-2</v>
      </c>
      <c r="AF289" s="66" t="str">
        <f t="shared" si="290"/>
        <v>-0.263780978719131-0.48397841029944i</v>
      </c>
      <c r="AG289" s="64">
        <f t="shared" si="291"/>
        <v>-5.1739006405103174</v>
      </c>
      <c r="AH289" s="61">
        <f t="shared" si="292"/>
        <v>-118.59154734796671</v>
      </c>
      <c r="AI289" s="50" t="str">
        <f t="shared" si="272"/>
        <v>108.866083054159</v>
      </c>
      <c r="AJ289" s="50" t="str">
        <f t="shared" si="273"/>
        <v>1+26.3651163751173i</v>
      </c>
      <c r="AK289" s="50">
        <f t="shared" si="293"/>
        <v>26.384074012052768</v>
      </c>
      <c r="AL289" s="50">
        <f t="shared" si="294"/>
        <v>1.5328855940934385</v>
      </c>
      <c r="AM289" s="50" t="str">
        <f t="shared" si="274"/>
        <v>1+0.029001628012629i</v>
      </c>
      <c r="AN289" s="50">
        <f t="shared" si="295"/>
        <v>1.0004204588208814</v>
      </c>
      <c r="AO289" s="50">
        <f t="shared" si="296"/>
        <v>2.8993501077644614E-2</v>
      </c>
      <c r="AP289" s="50" t="str">
        <f t="shared" si="275"/>
        <v>1-0.144709461805634i</v>
      </c>
      <c r="AQ289" s="50">
        <f t="shared" si="297"/>
        <v>1.010416165911886</v>
      </c>
      <c r="AR289" s="50">
        <f t="shared" si="298"/>
        <v>-0.1437118545584507</v>
      </c>
      <c r="AS289" s="59" t="str">
        <f t="shared" si="299"/>
        <v>-0.320044822901855-4.15863964266488i</v>
      </c>
      <c r="AT289" s="50">
        <f t="shared" si="300"/>
        <v>12.404671829884609</v>
      </c>
      <c r="AU289" s="61">
        <f t="shared" si="301"/>
        <v>-94.400752505097969</v>
      </c>
      <c r="AV289" s="32" t="str">
        <f t="shared" si="276"/>
        <v>-0.0000333333333333333</v>
      </c>
      <c r="AW289" s="32" t="str">
        <f t="shared" si="277"/>
        <v>0.00154675349400688i</v>
      </c>
      <c r="AX289" s="32">
        <f t="shared" si="302"/>
        <v>1.54675349400688E-3</v>
      </c>
      <c r="AY289" s="32">
        <f t="shared" si="303"/>
        <v>1.5707963267948966</v>
      </c>
      <c r="AZ289" s="32" t="str">
        <f t="shared" si="278"/>
        <v>1+0.63105394286739i</v>
      </c>
      <c r="BA289" s="32">
        <f t="shared" si="304"/>
        <v>1.1824673690248197</v>
      </c>
      <c r="BB289" s="32">
        <f t="shared" si="305"/>
        <v>0.56294087228316969</v>
      </c>
      <c r="BC289" s="32" t="str">
        <f t="shared" si="279"/>
        <v>1+30.2905892576348i</v>
      </c>
      <c r="BD289" s="32">
        <f t="shared" si="306"/>
        <v>30.307091539353308</v>
      </c>
      <c r="BE289" s="32">
        <f t="shared" si="307"/>
        <v>1.5377947588610166</v>
      </c>
      <c r="BF289" s="59" t="str">
        <f t="shared" si="308"/>
        <v>-0.457134135191513+0.310026812759139i</v>
      </c>
      <c r="BG289" s="50">
        <f t="shared" si="309"/>
        <v>-5.155745293348196</v>
      </c>
      <c r="BH289" s="61">
        <f t="shared" si="310"/>
        <v>145.85501334283558</v>
      </c>
      <c r="BI289" s="59" t="str">
        <f t="shared" si="311"/>
        <v>0.270629573576111+0.139463875944819i</v>
      </c>
      <c r="BJ289" s="64">
        <f t="shared" si="312"/>
        <v>-10.32964593385852</v>
      </c>
      <c r="BK289" s="61">
        <f t="shared" si="313"/>
        <v>27.263465994868803</v>
      </c>
      <c r="BL289" s="59" t="str">
        <f t="shared" si="265"/>
        <v>1.43559320716896+1.80183366023843i</v>
      </c>
      <c r="BM289" s="64">
        <f t="shared" si="314"/>
        <v>7.2489265365364286</v>
      </c>
      <c r="BN289" s="61">
        <f t="shared" si="266"/>
        <v>51.4542608377376</v>
      </c>
      <c r="BO289" s="50">
        <f t="shared" si="315"/>
        <v>-10.32964593385852</v>
      </c>
      <c r="BP289" s="61">
        <f t="shared" si="316"/>
        <v>27.263465994868803</v>
      </c>
    </row>
    <row r="290" spans="14:68" x14ac:dyDescent="0.25">
      <c r="N290" s="11">
        <v>72</v>
      </c>
      <c r="O290" s="51">
        <f t="shared" si="317"/>
        <v>5248.0746024977261</v>
      </c>
      <c r="P290" s="49" t="str">
        <f t="shared" si="267"/>
        <v>25.6231073841137</v>
      </c>
      <c r="Q290" s="18" t="str">
        <f t="shared" si="268"/>
        <v>1+28.5157922615846i</v>
      </c>
      <c r="R290" s="18">
        <f t="shared" si="280"/>
        <v>28.533321017817894</v>
      </c>
      <c r="S290" s="18">
        <f t="shared" si="281"/>
        <v>1.535742404225344</v>
      </c>
      <c r="T290" s="18" t="str">
        <f t="shared" si="269"/>
        <v>1+0.0296771627100565i</v>
      </c>
      <c r="U290" s="18">
        <f t="shared" si="282"/>
        <v>1.0004402700743904</v>
      </c>
      <c r="V290" s="18">
        <f t="shared" si="283"/>
        <v>2.9668454749290994E-2</v>
      </c>
      <c r="W290" s="32" t="str">
        <f t="shared" si="270"/>
        <v>1-0.664988275540155i</v>
      </c>
      <c r="X290" s="18">
        <f t="shared" si="284"/>
        <v>1.200920233240272</v>
      </c>
      <c r="Y290" s="18">
        <f t="shared" si="285"/>
        <v>-0.58683974018086593</v>
      </c>
      <c r="Z290" s="32" t="str">
        <f t="shared" si="271"/>
        <v>0.999311442824166+0.0526494849559891i</v>
      </c>
      <c r="AA290" s="18">
        <f t="shared" si="286"/>
        <v>1.0006974208148272</v>
      </c>
      <c r="AB290" s="18">
        <f t="shared" si="287"/>
        <v>5.2637094948154897E-2</v>
      </c>
      <c r="AC290" s="32" t="str">
        <f>IMDIV(IMSUM(COMPLEX(0,2*PI()*O290*Constants!$B$71*Constants!$B$72),COMPLEX(1,0)),IMSUM(COMPLEX(0,2*PI()*O290*Constants!$B$71*Constants!$B$72),COMPLEX(2,0)))</f>
        <v>0.502165234556036+0.0328318296373406i</v>
      </c>
      <c r="AD290" s="18">
        <f t="shared" si="288"/>
        <v>0.50323737126137003</v>
      </c>
      <c r="AE290" s="18">
        <f t="shared" si="289"/>
        <v>6.5287610268443361E-2</v>
      </c>
      <c r="AF290" s="66" t="str">
        <f t="shared" si="290"/>
        <v>-0.264617299261954-0.473665186099013i</v>
      </c>
      <c r="AG290" s="64">
        <f t="shared" si="291"/>
        <v>-5.3109018895199345</v>
      </c>
      <c r="AH290" s="61">
        <f t="shared" si="292"/>
        <v>-119.19030016597634</v>
      </c>
      <c r="AI290" s="50" t="str">
        <f t="shared" si="272"/>
        <v>108.866083054159</v>
      </c>
      <c r="AJ290" s="50" t="str">
        <f t="shared" si="273"/>
        <v>1+26.9792388273241i</v>
      </c>
      <c r="AK290" s="50">
        <f t="shared" si="293"/>
        <v>26.997765235326284</v>
      </c>
      <c r="AL290" s="50">
        <f t="shared" si="294"/>
        <v>1.5337477491031726</v>
      </c>
      <c r="AM290" s="50" t="str">
        <f t="shared" si="274"/>
        <v>1+0.0296771627100565i</v>
      </c>
      <c r="AN290" s="50">
        <f t="shared" si="295"/>
        <v>1.0004402700743904</v>
      </c>
      <c r="AO290" s="50">
        <f t="shared" si="296"/>
        <v>2.9668454749290994E-2</v>
      </c>
      <c r="AP290" s="50" t="str">
        <f t="shared" si="275"/>
        <v>1-0.148080178182425i</v>
      </c>
      <c r="AQ290" s="50">
        <f t="shared" si="297"/>
        <v>1.0109044164363605</v>
      </c>
      <c r="AR290" s="50">
        <f t="shared" si="298"/>
        <v>-0.14701184452507479</v>
      </c>
      <c r="AS290" s="59" t="str">
        <f t="shared" si="299"/>
        <v>-0.327104679696491-4.06503724121071i</v>
      </c>
      <c r="AT290" s="50">
        <f t="shared" si="300"/>
        <v>12.209320793240611</v>
      </c>
      <c r="AU290" s="61">
        <f t="shared" si="301"/>
        <v>-94.600553849212645</v>
      </c>
      <c r="AV290" s="32" t="str">
        <f t="shared" si="276"/>
        <v>-0.0000333333333333333</v>
      </c>
      <c r="AW290" s="32" t="str">
        <f t="shared" si="277"/>
        <v>0.00158278201120301i</v>
      </c>
      <c r="AX290" s="32">
        <f t="shared" si="302"/>
        <v>1.5827820112030099E-3</v>
      </c>
      <c r="AY290" s="32">
        <f t="shared" si="303"/>
        <v>1.5707963267948966</v>
      </c>
      <c r="AZ290" s="32" t="str">
        <f t="shared" si="278"/>
        <v>1+0.645753077487341i</v>
      </c>
      <c r="BA290" s="32">
        <f t="shared" si="304"/>
        <v>1.1903768466684708</v>
      </c>
      <c r="BB290" s="32">
        <f t="shared" si="305"/>
        <v>0.57338389024901948</v>
      </c>
      <c r="BC290" s="32" t="str">
        <f t="shared" si="279"/>
        <v>1+30.9961477193924i</v>
      </c>
      <c r="BD290" s="32">
        <f t="shared" si="306"/>
        <v>31.012274560928205</v>
      </c>
      <c r="BE290" s="32">
        <f t="shared" si="307"/>
        <v>1.5385454394127809</v>
      </c>
      <c r="BF290" s="59" t="str">
        <f t="shared" si="308"/>
        <v>-0.45107944760133+0.312345906211189i</v>
      </c>
      <c r="BG290" s="50">
        <f t="shared" si="309"/>
        <v>-5.2138642254662422</v>
      </c>
      <c r="BH290" s="61">
        <f t="shared" si="310"/>
        <v>145.29968331539169</v>
      </c>
      <c r="BI290" s="59" t="str">
        <f t="shared" si="311"/>
        <v>0.267310806969626+0.131008500356392i</v>
      </c>
      <c r="BJ290" s="64">
        <f t="shared" si="312"/>
        <v>-10.524766114986164</v>
      </c>
      <c r="BK290" s="61">
        <f t="shared" si="313"/>
        <v>26.109383149415418</v>
      </c>
      <c r="BL290" s="59" t="str">
        <f t="shared" si="265"/>
        <v>1.41724793911349+1.73148494563844i</v>
      </c>
      <c r="BM290" s="64">
        <f t="shared" si="314"/>
        <v>6.9954565677743554</v>
      </c>
      <c r="BN290" s="61">
        <f t="shared" si="266"/>
        <v>50.699129466179137</v>
      </c>
      <c r="BO290" s="50">
        <f t="shared" si="315"/>
        <v>-10.524766114986164</v>
      </c>
      <c r="BP290" s="61">
        <f t="shared" si="316"/>
        <v>26.109383149415418</v>
      </c>
    </row>
    <row r="291" spans="14:68" x14ac:dyDescent="0.25">
      <c r="N291" s="11">
        <v>73</v>
      </c>
      <c r="O291" s="51">
        <f t="shared" si="317"/>
        <v>5370.3179637025269</v>
      </c>
      <c r="P291" s="49" t="str">
        <f t="shared" si="267"/>
        <v>25.6231073841137</v>
      </c>
      <c r="Q291" s="18" t="str">
        <f t="shared" si="268"/>
        <v>1+29.1800103906132i</v>
      </c>
      <c r="R291" s="18">
        <f t="shared" si="280"/>
        <v>29.197140380460109</v>
      </c>
      <c r="S291" s="18">
        <f t="shared" si="281"/>
        <v>1.5365396975546493</v>
      </c>
      <c r="T291" s="18" t="str">
        <f t="shared" si="269"/>
        <v>1+0.0303684326319765i</v>
      </c>
      <c r="U291" s="18">
        <f t="shared" si="282"/>
        <v>1.0004610145830386</v>
      </c>
      <c r="V291" s="18">
        <f t="shared" si="283"/>
        <v>3.0359102116109496E-2</v>
      </c>
      <c r="W291" s="32" t="str">
        <f t="shared" si="270"/>
        <v>1-0.680477842309103i</v>
      </c>
      <c r="X291" s="18">
        <f t="shared" si="284"/>
        <v>1.2095660766876906</v>
      </c>
      <c r="Y291" s="18">
        <f t="shared" si="285"/>
        <v>-0.59750333762168484</v>
      </c>
      <c r="Z291" s="32" t="str">
        <f t="shared" si="271"/>
        <v>0.999278992124218+0.0538758490026546i</v>
      </c>
      <c r="AA291" s="18">
        <f t="shared" si="286"/>
        <v>1.0007302889423051</v>
      </c>
      <c r="AB291" s="18">
        <f t="shared" si="287"/>
        <v>5.3862573141536391E-2</v>
      </c>
      <c r="AC291" s="32" t="str">
        <f>IMDIV(IMSUM(COMPLEX(0,2*PI()*O291*Constants!$B$71*Constants!$B$72),COMPLEX(1,0)),IMSUM(COMPLEX(0,2*PI()*O291*Constants!$B$71*Constants!$B$72),COMPLEX(2,0)))</f>
        <v>0.502266816285214+0.0335897259074258i</v>
      </c>
      <c r="AD291" s="18">
        <f t="shared" si="288"/>
        <v>0.50338874086318308</v>
      </c>
      <c r="AE291" s="18">
        <f t="shared" si="289"/>
        <v>6.6776826228751571E-2</v>
      </c>
      <c r="AF291" s="66" t="str">
        <f t="shared" si="290"/>
        <v>-0.265423348569223-0.463600152100282i</v>
      </c>
      <c r="AG291" s="64">
        <f t="shared" si="291"/>
        <v>-5.4458460054658531</v>
      </c>
      <c r="AH291" s="61">
        <f t="shared" si="292"/>
        <v>-119.79227859637133</v>
      </c>
      <c r="AI291" s="50" t="str">
        <f t="shared" si="272"/>
        <v>108.866083054159</v>
      </c>
      <c r="AJ291" s="50" t="str">
        <f t="shared" si="273"/>
        <v>1+27.6076660290696i</v>
      </c>
      <c r="AK291" s="50">
        <f t="shared" si="293"/>
        <v>27.625771004130247</v>
      </c>
      <c r="AL291" s="50">
        <f t="shared" si="294"/>
        <v>1.5345903323169776</v>
      </c>
      <c r="AM291" s="50" t="str">
        <f t="shared" si="274"/>
        <v>1+0.0303684326319765i</v>
      </c>
      <c r="AN291" s="50">
        <f t="shared" si="295"/>
        <v>1.0004610145830386</v>
      </c>
      <c r="AO291" s="50">
        <f t="shared" si="296"/>
        <v>3.0359102116109496E-2</v>
      </c>
      <c r="AP291" s="50" t="str">
        <f t="shared" si="275"/>
        <v>1-0.151529408629761i</v>
      </c>
      <c r="AQ291" s="50">
        <f t="shared" si="297"/>
        <v>1.0114154248772782</v>
      </c>
      <c r="AR291" s="50">
        <f t="shared" si="298"/>
        <v>-0.1503853651391118</v>
      </c>
      <c r="AS291" s="59" t="str">
        <f t="shared" si="299"/>
        <v>-0.33384764290113-3.97356664609131i</v>
      </c>
      <c r="AT291" s="50">
        <f t="shared" si="300"/>
        <v>12.014158652143321</v>
      </c>
      <c r="AU291" s="61">
        <f t="shared" si="301"/>
        <v>-94.802547625286451</v>
      </c>
      <c r="AV291" s="32" t="str">
        <f t="shared" si="276"/>
        <v>-0.0000333333333333333</v>
      </c>
      <c r="AW291" s="32" t="str">
        <f t="shared" si="277"/>
        <v>0.00161964974037208i</v>
      </c>
      <c r="AX291" s="32">
        <f t="shared" si="302"/>
        <v>1.61964974037208E-3</v>
      </c>
      <c r="AY291" s="32">
        <f t="shared" si="303"/>
        <v>1.5707963267948966</v>
      </c>
      <c r="AZ291" s="32" t="str">
        <f t="shared" si="278"/>
        <v>1+0.660794598936526i</v>
      </c>
      <c r="BA291" s="32">
        <f t="shared" si="304"/>
        <v>1.198603146159597</v>
      </c>
      <c r="BB291" s="32">
        <f t="shared" si="305"/>
        <v>0.58392630087000708</v>
      </c>
      <c r="BC291" s="32" t="str">
        <f t="shared" si="279"/>
        <v>1+31.7181407489533i</v>
      </c>
      <c r="BD291" s="32">
        <f t="shared" si="306"/>
        <v>31.733900683187557</v>
      </c>
      <c r="BE291" s="32">
        <f t="shared" si="307"/>
        <v>1.5392790675255348</v>
      </c>
      <c r="BF291" s="59" t="str">
        <f t="shared" si="308"/>
        <v>-0.444908963430663+0.314574021460913i</v>
      </c>
      <c r="BG291" s="50">
        <f t="shared" si="309"/>
        <v>-5.2738863114295569</v>
      </c>
      <c r="BH291" s="61">
        <f t="shared" si="310"/>
        <v>144.73768147550817</v>
      </c>
      <c r="BI291" s="59" t="str">
        <f t="shared" si="311"/>
        <v>0.263925791078305+0.122764572968192i</v>
      </c>
      <c r="BJ291" s="64">
        <f t="shared" si="312"/>
        <v>-10.719732316895414</v>
      </c>
      <c r="BK291" s="61">
        <f t="shared" si="313"/>
        <v>24.945402879136871</v>
      </c>
      <c r="BL291" s="59" t="str">
        <f t="shared" si="265"/>
        <v>1.39851264815081+1.66285562205249i</v>
      </c>
      <c r="BM291" s="64">
        <f t="shared" si="314"/>
        <v>6.7402723407137817</v>
      </c>
      <c r="BN291" s="61">
        <f t="shared" si="266"/>
        <v>49.935133850221753</v>
      </c>
      <c r="BO291" s="50">
        <f t="shared" si="315"/>
        <v>-10.719732316895414</v>
      </c>
      <c r="BP291" s="61">
        <f t="shared" si="316"/>
        <v>24.945402879136871</v>
      </c>
    </row>
    <row r="292" spans="14:68" x14ac:dyDescent="0.25">
      <c r="N292" s="11">
        <v>74</v>
      </c>
      <c r="O292" s="51">
        <f t="shared" si="317"/>
        <v>5495.4087385762541</v>
      </c>
      <c r="P292" s="49" t="str">
        <f t="shared" si="267"/>
        <v>25.6231073841137</v>
      </c>
      <c r="Q292" s="18" t="str">
        <f t="shared" si="268"/>
        <v>1+29.8597001473941i</v>
      </c>
      <c r="R292" s="18">
        <f t="shared" si="280"/>
        <v>29.876440432091091</v>
      </c>
      <c r="S292" s="18">
        <f t="shared" si="281"/>
        <v>1.5373188843747356</v>
      </c>
      <c r="T292" s="18" t="str">
        <f t="shared" si="269"/>
        <v>1+0.0310758042988518i</v>
      </c>
      <c r="U292" s="18">
        <f t="shared" si="282"/>
        <v>1.0004827362892477</v>
      </c>
      <c r="V292" s="18">
        <f t="shared" si="283"/>
        <v>3.106580673149216E-2</v>
      </c>
      <c r="W292" s="32" t="str">
        <f t="shared" si="270"/>
        <v>1-0.696328207437234i</v>
      </c>
      <c r="X292" s="18">
        <f t="shared" si="284"/>
        <v>1.2185536395550061</v>
      </c>
      <c r="Y292" s="18">
        <f t="shared" si="285"/>
        <v>-0.608257420838617</v>
      </c>
      <c r="Z292" s="32" t="str">
        <f t="shared" si="271"/>
        <v>0.999245012069899+0.0551307787375925i</v>
      </c>
      <c r="AA292" s="18">
        <f t="shared" si="286"/>
        <v>1.0007647060677081</v>
      </c>
      <c r="AB292" s="18">
        <f t="shared" si="287"/>
        <v>5.5116553700687437E-2</v>
      </c>
      <c r="AC292" s="32" t="str">
        <f>IMDIV(IMSUM(COMPLEX(0,2*PI()*O292*Constants!$B$71*Constants!$B$72),COMPLEX(1,0)),IMSUM(COMPLEX(0,2*PI()*O292*Constants!$B$71*Constants!$B$72),COMPLEX(2,0)))</f>
        <v>0.502373140991775+0.0343647886319819i</v>
      </c>
      <c r="AD292" s="18">
        <f t="shared" si="288"/>
        <v>0.50354712936095924</v>
      </c>
      <c r="AE292" s="18">
        <f t="shared" si="289"/>
        <v>6.8298512697252303E-2</v>
      </c>
      <c r="AF292" s="66" t="str">
        <f t="shared" si="290"/>
        <v>-0.266200819715265-0.453778090497971i</v>
      </c>
      <c r="AG292" s="64">
        <f t="shared" si="291"/>
        <v>-5.5786932472809649</v>
      </c>
      <c r="AH292" s="61">
        <f t="shared" si="292"/>
        <v>-120.39725668289672</v>
      </c>
      <c r="AI292" s="50" t="str">
        <f t="shared" si="272"/>
        <v>108.866083054159</v>
      </c>
      <c r="AJ292" s="50" t="str">
        <f t="shared" si="273"/>
        <v>1+28.2507311807744i</v>
      </c>
      <c r="AK292" s="50">
        <f t="shared" si="293"/>
        <v>28.268424297232755</v>
      </c>
      <c r="AL292" s="50">
        <f t="shared" si="294"/>
        <v>1.535413785695382</v>
      </c>
      <c r="AM292" s="50" t="str">
        <f t="shared" si="274"/>
        <v>1+0.0310758042988518i</v>
      </c>
      <c r="AN292" s="50">
        <f t="shared" si="295"/>
        <v>1.0004827362892477</v>
      </c>
      <c r="AO292" s="50">
        <f t="shared" si="296"/>
        <v>3.106580673149216E-2</v>
      </c>
      <c r="AP292" s="50" t="str">
        <f t="shared" si="275"/>
        <v>1-0.155058981975282i</v>
      </c>
      <c r="AQ292" s="50">
        <f t="shared" si="297"/>
        <v>1.0119502398296127</v>
      </c>
      <c r="AR292" s="50">
        <f t="shared" si="298"/>
        <v>-0.15383389778425946</v>
      </c>
      <c r="AS292" s="59" t="str">
        <f t="shared" si="299"/>
        <v>-0.340287900227061-3.88418092485591i</v>
      </c>
      <c r="AT292" s="50">
        <f t="shared" si="300"/>
        <v>11.819195060432117</v>
      </c>
      <c r="AU292" s="61">
        <f t="shared" si="301"/>
        <v>-95.006823202750994</v>
      </c>
      <c r="AV292" s="32" t="str">
        <f t="shared" si="276"/>
        <v>-0.0000333333333333333</v>
      </c>
      <c r="AW292" s="32" t="str">
        <f t="shared" si="277"/>
        <v>0.00165737622927209i</v>
      </c>
      <c r="AX292" s="32">
        <f t="shared" si="302"/>
        <v>1.6573762292720899E-3</v>
      </c>
      <c r="AY292" s="32">
        <f t="shared" si="303"/>
        <v>1.5707963267948966</v>
      </c>
      <c r="AZ292" s="32" t="str">
        <f t="shared" si="278"/>
        <v>1+0.676186482428719i</v>
      </c>
      <c r="BA292" s="32">
        <f t="shared" si="304"/>
        <v>1.2071570564840866</v>
      </c>
      <c r="BB292" s="32">
        <f t="shared" si="305"/>
        <v>0.59456432002481263</v>
      </c>
      <c r="BC292" s="32" t="str">
        <f t="shared" si="279"/>
        <v>1+32.4569511565786i</v>
      </c>
      <c r="BD292" s="32">
        <f t="shared" si="306"/>
        <v>32.47235252303917</v>
      </c>
      <c r="BE292" s="32">
        <f t="shared" si="307"/>
        <v>1.5399960290180394</v>
      </c>
      <c r="BF292" s="59" t="str">
        <f t="shared" si="308"/>
        <v>-0.438626056451513+0.316705120393831i</v>
      </c>
      <c r="BG292" s="50">
        <f t="shared" si="309"/>
        <v>-5.3358476957137748</v>
      </c>
      <c r="BH292" s="61">
        <f t="shared" si="310"/>
        <v>144.16924674315254</v>
      </c>
      <c r="BI292" s="59" t="str">
        <f t="shared" si="311"/>
        <v>0.26047646055911+0.114731731682363i</v>
      </c>
      <c r="BJ292" s="64">
        <f t="shared" si="312"/>
        <v>-10.91454094299473</v>
      </c>
      <c r="BK292" s="61">
        <f t="shared" si="313"/>
        <v>23.771990060255721</v>
      </c>
      <c r="BL292" s="59" t="str">
        <f t="shared" si="265"/>
        <v>1.37939912717267+1.59593204120376i</v>
      </c>
      <c r="BM292" s="64">
        <f t="shared" si="314"/>
        <v>6.4833473647183251</v>
      </c>
      <c r="BN292" s="61">
        <f t="shared" si="266"/>
        <v>49.162423540401583</v>
      </c>
      <c r="BO292" s="50">
        <f t="shared" si="315"/>
        <v>-10.91454094299473</v>
      </c>
      <c r="BP292" s="61">
        <f t="shared" si="316"/>
        <v>23.771990060255721</v>
      </c>
    </row>
    <row r="293" spans="14:68" x14ac:dyDescent="0.25">
      <c r="N293" s="11">
        <v>75</v>
      </c>
      <c r="O293" s="51">
        <f t="shared" si="317"/>
        <v>5623.4132519034993</v>
      </c>
      <c r="P293" s="49" t="str">
        <f t="shared" si="267"/>
        <v>25.6231073841137</v>
      </c>
      <c r="Q293" s="18" t="str">
        <f t="shared" si="268"/>
        <v>1+30.555221912433i</v>
      </c>
      <c r="R293" s="18">
        <f t="shared" si="280"/>
        <v>30.57158134801054</v>
      </c>
      <c r="S293" s="18">
        <f t="shared" si="281"/>
        <v>1.5380803740340514</v>
      </c>
      <c r="T293" s="18" t="str">
        <f t="shared" si="269"/>
        <v>1+0.0317996527685031i</v>
      </c>
      <c r="U293" s="18">
        <f t="shared" si="282"/>
        <v>1.0005054812024756</v>
      </c>
      <c r="V293" s="18">
        <f t="shared" si="283"/>
        <v>3.1788940474361156E-2</v>
      </c>
      <c r="W293" s="32" t="str">
        <f t="shared" si="270"/>
        <v>1-0.71254777499794i</v>
      </c>
      <c r="X293" s="18">
        <f t="shared" si="284"/>
        <v>1.227894267294426</v>
      </c>
      <c r="Y293" s="18">
        <f t="shared" si="285"/>
        <v>-0.6190977421236642</v>
      </c>
      <c r="Z293" s="32" t="str">
        <f t="shared" si="271"/>
        <v>0.999209430584958+0.0564149395411592i</v>
      </c>
      <c r="AA293" s="18">
        <f t="shared" si="286"/>
        <v>1.0008007451902445</v>
      </c>
      <c r="AB293" s="18">
        <f t="shared" si="287"/>
        <v>5.6399697481220167E-2</v>
      </c>
      <c r="AC293" s="32" t="str">
        <f>IMDIV(IMSUM(COMPLEX(0,2*PI()*O293*Constants!$B$71*Constants!$B$72),COMPLEX(1,0)),IMSUM(COMPLEX(0,2*PI()*O293*Constants!$B$71*Constants!$B$72),COMPLEX(2,0)))</f>
        <v>0.502484427950831+0.0351573831957483i</v>
      </c>
      <c r="AD293" s="18">
        <f t="shared" si="288"/>
        <v>0.50371285662195142</v>
      </c>
      <c r="AE293" s="18">
        <f t="shared" si="289"/>
        <v>6.9853271839820111E-2</v>
      </c>
      <c r="AF293" s="66" t="str">
        <f t="shared" si="290"/>
        <v>-0.266951345588062-0.444193898923583i</v>
      </c>
      <c r="AG293" s="64">
        <f t="shared" si="291"/>
        <v>-5.7094049446448523</v>
      </c>
      <c r="AH293" s="61">
        <f t="shared" si="292"/>
        <v>-121.00499655933196</v>
      </c>
      <c r="AI293" s="50" t="str">
        <f t="shared" si="272"/>
        <v>108.866083054159</v>
      </c>
      <c r="AJ293" s="50" t="str">
        <f t="shared" si="273"/>
        <v>1+28.9087752440938i</v>
      </c>
      <c r="AK293" s="50">
        <f t="shared" si="293"/>
        <v>28.926065859593322</v>
      </c>
      <c r="AL293" s="50">
        <f t="shared" si="294"/>
        <v>1.5362185413748073</v>
      </c>
      <c r="AM293" s="50" t="str">
        <f t="shared" si="274"/>
        <v>1+0.0317996527685031i</v>
      </c>
      <c r="AN293" s="50">
        <f t="shared" si="295"/>
        <v>1.0005054812024756</v>
      </c>
      <c r="AO293" s="50">
        <f t="shared" si="296"/>
        <v>3.1788940474361156E-2</v>
      </c>
      <c r="AP293" s="50" t="str">
        <f t="shared" si="275"/>
        <v>1-0.158670769645493i</v>
      </c>
      <c r="AQ293" s="50">
        <f t="shared" si="297"/>
        <v>1.0125099570571605</v>
      </c>
      <c r="AR293" s="50">
        <f t="shared" si="298"/>
        <v>-0.15735894265919451</v>
      </c>
      <c r="AS293" s="59" t="str">
        <f t="shared" si="299"/>
        <v>-0.346439007400779-3.79683414636823i</v>
      </c>
      <c r="AT293" s="50">
        <f t="shared" si="300"/>
        <v>11.624440036692006</v>
      </c>
      <c r="AU293" s="61">
        <f t="shared" si="301"/>
        <v>-95.213469989159378</v>
      </c>
      <c r="AV293" s="32" t="str">
        <f t="shared" si="276"/>
        <v>-0.0000333333333333333</v>
      </c>
      <c r="AW293" s="32" t="str">
        <f t="shared" si="277"/>
        <v>0.00169598148098683i</v>
      </c>
      <c r="AX293" s="32">
        <f t="shared" si="302"/>
        <v>1.6959814809868301E-3</v>
      </c>
      <c r="AY293" s="32">
        <f t="shared" si="303"/>
        <v>1.5707963267948966</v>
      </c>
      <c r="AZ293" s="32" t="str">
        <f t="shared" si="278"/>
        <v>1+0.691936888944281i</v>
      </c>
      <c r="BA293" s="32">
        <f t="shared" si="304"/>
        <v>1.2160496117683235</v>
      </c>
      <c r="BB293" s="32">
        <f t="shared" si="305"/>
        <v>0.60529395702994593</v>
      </c>
      <c r="BC293" s="32" t="str">
        <f t="shared" si="279"/>
        <v>1+33.2129706693255i</v>
      </c>
      <c r="BD293" s="32">
        <f t="shared" si="306"/>
        <v>33.228021618529681</v>
      </c>
      <c r="BE293" s="32">
        <f t="shared" si="307"/>
        <v>1.5406967010827421</v>
      </c>
      <c r="BF293" s="59" t="str">
        <f t="shared" si="308"/>
        <v>-0.4322344670245+0.318733275067576i</v>
      </c>
      <c r="BG293" s="50">
        <f t="shared" si="309"/>
        <v>-5.3997833904959727</v>
      </c>
      <c r="BH293" s="61">
        <f t="shared" si="310"/>
        <v>143.59462937918127</v>
      </c>
      <c r="BI293" s="59" t="str">
        <f t="shared" si="311"/>
        <v>0.256964948750678+0.10690963649379i</v>
      </c>
      <c r="BJ293" s="64">
        <f t="shared" si="312"/>
        <v>-11.109188335140843</v>
      </c>
      <c r="BK293" s="61">
        <f t="shared" si="313"/>
        <v>22.589632819849324</v>
      </c>
      <c r="BL293" s="59" t="str">
        <f t="shared" si="265"/>
        <v>1.35992026208072+1.53070094419588i</v>
      </c>
      <c r="BM293" s="64">
        <f t="shared" si="314"/>
        <v>6.2246566461960118</v>
      </c>
      <c r="BN293" s="61">
        <f t="shared" si="266"/>
        <v>48.381159390021878</v>
      </c>
      <c r="BO293" s="50">
        <f t="shared" si="315"/>
        <v>-11.109188335140843</v>
      </c>
      <c r="BP293" s="61">
        <f t="shared" si="316"/>
        <v>22.589632819849324</v>
      </c>
    </row>
    <row r="294" spans="14:68" x14ac:dyDescent="0.25">
      <c r="N294" s="11">
        <v>76</v>
      </c>
      <c r="O294" s="51">
        <f t="shared" si="317"/>
        <v>5754.399373371567</v>
      </c>
      <c r="P294" s="49" t="str">
        <f t="shared" si="267"/>
        <v>25.6231073841137</v>
      </c>
      <c r="Q294" s="18" t="str">
        <f t="shared" si="268"/>
        <v>1+31.266944460576i</v>
      </c>
      <c r="R294" s="18">
        <f t="shared" si="280"/>
        <v>31.282931702459475</v>
      </c>
      <c r="S294" s="18">
        <f t="shared" si="281"/>
        <v>1.5388245667499756</v>
      </c>
      <c r="T294" s="18" t="str">
        <f t="shared" si="269"/>
        <v>1+0.0325403618349705i</v>
      </c>
      <c r="U294" s="18">
        <f t="shared" si="282"/>
        <v>1.0005292974962556</v>
      </c>
      <c r="V294" s="18">
        <f t="shared" si="283"/>
        <v>3.2528883732926242E-2</v>
      </c>
      <c r="W294" s="32" t="str">
        <f t="shared" si="270"/>
        <v>1-0.729145144820634i</v>
      </c>
      <c r="X294" s="18">
        <f t="shared" si="284"/>
        <v>1.2375995484063103</v>
      </c>
      <c r="Y294" s="18">
        <f t="shared" si="285"/>
        <v>-0.63001985830156759</v>
      </c>
      <c r="Z294" s="32" t="str">
        <f t="shared" si="271"/>
        <v>0.999172172196294+0.0577290122924105i</v>
      </c>
      <c r="AA294" s="18">
        <f t="shared" si="286"/>
        <v>1.0008384827491985</v>
      </c>
      <c r="AB294" s="18">
        <f t="shared" si="287"/>
        <v>5.7712680514331774E-2</v>
      </c>
      <c r="AC294" s="32" t="str">
        <f>IMDIV(IMSUM(COMPLEX(0,2*PI()*O294*Constants!$B$71*Constants!$B$72),COMPLEX(1,0)),IMSUM(COMPLEX(0,2*PI()*O294*Constants!$B$71*Constants!$B$72),COMPLEX(2,0)))</f>
        <v>0.502600906365736+0.0359678810738786i</v>
      </c>
      <c r="AD294" s="18">
        <f t="shared" si="288"/>
        <v>0.503886256558565</v>
      </c>
      <c r="AE294" s="18">
        <f t="shared" si="289"/>
        <v>7.1441709351661983E-2</v>
      </c>
      <c r="AF294" s="66" t="str">
        <f t="shared" si="290"/>
        <v>-0.267676502216742-0.434842588244994i</v>
      </c>
      <c r="AG294" s="64">
        <f t="shared" si="291"/>
        <v>-5.8379436022993678</v>
      </c>
      <c r="AH294" s="61">
        <f t="shared" si="292"/>
        <v>-121.61524881657009</v>
      </c>
      <c r="AI294" s="50" t="str">
        <f t="shared" si="272"/>
        <v>108.866083054159</v>
      </c>
      <c r="AJ294" s="50" t="str">
        <f t="shared" si="273"/>
        <v>1+29.5821471227005i</v>
      </c>
      <c r="AK294" s="50">
        <f t="shared" si="293"/>
        <v>29.599044383038745</v>
      </c>
      <c r="AL294" s="50">
        <f t="shared" si="294"/>
        <v>1.5370050218755029</v>
      </c>
      <c r="AM294" s="50" t="str">
        <f t="shared" si="274"/>
        <v>1+0.0325403618349705i</v>
      </c>
      <c r="AN294" s="50">
        <f t="shared" si="295"/>
        <v>1.0005292974962556</v>
      </c>
      <c r="AO294" s="50">
        <f t="shared" si="296"/>
        <v>3.2528883732926242E-2</v>
      </c>
      <c r="AP294" s="50" t="str">
        <f t="shared" si="275"/>
        <v>1-0.162366686658027i</v>
      </c>
      <c r="AQ294" s="50">
        <f t="shared" si="297"/>
        <v>1.0130957215072551</v>
      </c>
      <c r="AR294" s="50">
        <f t="shared" si="298"/>
        <v>-0.16096201819383943</v>
      </c>
      <c r="AS294" s="59" t="str">
        <f t="shared" si="299"/>
        <v>-0.352313916032517-3.71148136335442i</v>
      </c>
      <c r="AT294" s="50">
        <f t="shared" si="300"/>
        <v>11.429903980287563</v>
      </c>
      <c r="AU294" s="61">
        <f t="shared" si="301"/>
        <v>-95.422577398125611</v>
      </c>
      <c r="AV294" s="32" t="str">
        <f t="shared" si="276"/>
        <v>-0.0000333333333333333</v>
      </c>
      <c r="AW294" s="32" t="str">
        <f t="shared" si="277"/>
        <v>0.00173548596453176i</v>
      </c>
      <c r="AX294" s="32">
        <f t="shared" si="302"/>
        <v>1.73548596453176E-3</v>
      </c>
      <c r="AY294" s="32">
        <f t="shared" si="303"/>
        <v>1.5707963267948966</v>
      </c>
      <c r="AZ294" s="32" t="str">
        <f t="shared" si="278"/>
        <v>1+0.708054169557228i</v>
      </c>
      <c r="BA294" s="32">
        <f t="shared" si="304"/>
        <v>1.2252920904940894</v>
      </c>
      <c r="BB294" s="32">
        <f t="shared" si="305"/>
        <v>0.6161110188884612</v>
      </c>
      <c r="BC294" s="32" t="str">
        <f t="shared" si="279"/>
        <v>1+33.986600138747i</v>
      </c>
      <c r="BD294" s="32">
        <f t="shared" si="306"/>
        <v>34.001308636449238</v>
      </c>
      <c r="BE294" s="32">
        <f t="shared" si="307"/>
        <v>1.5413814524717613</v>
      </c>
      <c r="BF294" s="59" t="str">
        <f t="shared" si="308"/>
        <v>-0.42573830027316+0.320652694760053i</v>
      </c>
      <c r="BG294" s="50">
        <f t="shared" si="309"/>
        <v>-5.4657271620348089</v>
      </c>
      <c r="BH294" s="61">
        <f t="shared" si="310"/>
        <v>143.01409075256279</v>
      </c>
      <c r="BI294" s="59" t="str">
        <f t="shared" si="311"/>
        <v>0.253393586794014+0.0992979526460617i</v>
      </c>
      <c r="BJ294" s="64">
        <f t="shared" si="312"/>
        <v>-11.303670764334175</v>
      </c>
      <c r="BK294" s="61">
        <f t="shared" si="313"/>
        <v>21.398841935992696</v>
      </c>
      <c r="BL294" s="59" t="str">
        <f t="shared" si="265"/>
        <v>1.34009002848557+1.46714936055273i</v>
      </c>
      <c r="BM294" s="64">
        <f t="shared" si="314"/>
        <v>5.9641768182527475</v>
      </c>
      <c r="BN294" s="61">
        <f t="shared" si="266"/>
        <v>47.591513354437339</v>
      </c>
      <c r="BO294" s="50">
        <f t="shared" si="315"/>
        <v>-11.303670764334175</v>
      </c>
      <c r="BP294" s="61">
        <f t="shared" si="316"/>
        <v>21.398841935992696</v>
      </c>
    </row>
    <row r="295" spans="14:68" x14ac:dyDescent="0.25">
      <c r="N295" s="11">
        <v>77</v>
      </c>
      <c r="O295" s="51">
        <f t="shared" si="317"/>
        <v>5888.4365535558973</v>
      </c>
      <c r="P295" s="49" t="str">
        <f t="shared" si="267"/>
        <v>25.6231073841137</v>
      </c>
      <c r="Q295" s="18" t="str">
        <f t="shared" si="268"/>
        <v>1+31.995245156539i</v>
      </c>
      <c r="R295" s="18">
        <f t="shared" si="280"/>
        <v>32.010868664049596</v>
      </c>
      <c r="S295" s="18">
        <f t="shared" si="281"/>
        <v>1.5395518538042448</v>
      </c>
      <c r="T295" s="18" t="str">
        <f t="shared" si="269"/>
        <v>1+0.0332983242320055i</v>
      </c>
      <c r="U295" s="18">
        <f t="shared" si="282"/>
        <v>1.0005542356097743</v>
      </c>
      <c r="V295" s="18">
        <f t="shared" si="283"/>
        <v>3.3286025591997968E-2</v>
      </c>
      <c r="W295" s="32" t="str">
        <f t="shared" si="270"/>
        <v>1-0.746129117050493i</v>
      </c>
      <c r="X295" s="18">
        <f t="shared" si="284"/>
        <v>1.2476813132008302</v>
      </c>
      <c r="Y295" s="18">
        <f t="shared" si="285"/>
        <v>-0.64101913723033532</v>
      </c>
      <c r="Z295" s="32" t="str">
        <f t="shared" si="271"/>
        <v>0.999133157873869+0.0590736937301134i</v>
      </c>
      <c r="AA295" s="18">
        <f t="shared" si="286"/>
        <v>1.0008779987860303</v>
      </c>
      <c r="AB295" s="18">
        <f t="shared" si="287"/>
        <v>5.9056194344767159E-2</v>
      </c>
      <c r="AC295" s="32" t="str">
        <f>IMDIV(IMSUM(COMPLEX(0,2*PI()*O295*Constants!$B$71*Constants!$B$72),COMPLEX(1,0)),IMSUM(COMPLEX(0,2*PI()*O295*Constants!$B$71*Constants!$B$72),COMPLEX(2,0)))</f>
        <v>0.502722815797509+0.0367966598061182i</v>
      </c>
      <c r="AD295" s="18">
        <f t="shared" si="288"/>
        <v>0.5040676776944375</v>
      </c>
      <c r="AE295" s="18">
        <f t="shared" si="289"/>
        <v>7.3064433851102964E-2</v>
      </c>
      <c r="AF295" s="66" t="str">
        <f t="shared" si="290"/>
        <v>-0.268377811981106-0.425719280366437i</v>
      </c>
      <c r="AG295" s="64">
        <f t="shared" si="291"/>
        <v>-5.9642730023472215</v>
      </c>
      <c r="AH295" s="61">
        <f t="shared" si="292"/>
        <v>-122.22775292963325</v>
      </c>
      <c r="AI295" s="50" t="str">
        <f t="shared" si="272"/>
        <v>108.866083054159</v>
      </c>
      <c r="AJ295" s="50" t="str">
        <f t="shared" si="273"/>
        <v>1+30.2712038472777i</v>
      </c>
      <c r="AK295" s="50">
        <f t="shared" si="293"/>
        <v>30.287716691151221</v>
      </c>
      <c r="AL295" s="50">
        <f t="shared" si="294"/>
        <v>1.5377736403057867</v>
      </c>
      <c r="AM295" s="50" t="str">
        <f t="shared" si="274"/>
        <v>1+0.0332983242320055i</v>
      </c>
      <c r="AN295" s="50">
        <f t="shared" si="295"/>
        <v>1.0005542356097743</v>
      </c>
      <c r="AO295" s="50">
        <f t="shared" si="296"/>
        <v>3.3286025591997968E-2</v>
      </c>
      <c r="AP295" s="50" t="str">
        <f t="shared" si="275"/>
        <v>1-0.166148692637004i</v>
      </c>
      <c r="AQ295" s="50">
        <f t="shared" si="297"/>
        <v>1.0137087294015898</v>
      </c>
      <c r="AR295" s="50">
        <f t="shared" si="298"/>
        <v>-0.16464466039043119</v>
      </c>
      <c r="AS295" s="59" t="str">
        <f t="shared" si="299"/>
        <v>-0.357925000280804-3.62807859501704i</v>
      </c>
      <c r="AT295" s="50">
        <f t="shared" si="300"/>
        <v>11.235597687741343</v>
      </c>
      <c r="AU295" s="61">
        <f t="shared" si="301"/>
        <v>-95.634234812540868</v>
      </c>
      <c r="AV295" s="32" t="str">
        <f t="shared" si="276"/>
        <v>-0.0000333333333333333</v>
      </c>
      <c r="AW295" s="32" t="str">
        <f t="shared" si="277"/>
        <v>0.00177591062570696i</v>
      </c>
      <c r="AX295" s="32">
        <f t="shared" si="302"/>
        <v>1.7759106257069601E-3</v>
      </c>
      <c r="AY295" s="32">
        <f t="shared" si="303"/>
        <v>1.5707963267948966</v>
      </c>
      <c r="AZ295" s="32" t="str">
        <f t="shared" si="278"/>
        <v>1+0.724546869863082i</v>
      </c>
      <c r="BA295" s="32">
        <f t="shared" si="304"/>
        <v>1.2348960145001644</v>
      </c>
      <c r="BB295" s="32">
        <f t="shared" si="305"/>
        <v>0.62701111552423527</v>
      </c>
      <c r="BC295" s="32" t="str">
        <f t="shared" si="279"/>
        <v>1+34.778249753428i</v>
      </c>
      <c r="BD295" s="32">
        <f t="shared" si="306"/>
        <v>34.79262358477461</v>
      </c>
      <c r="BE295" s="32">
        <f t="shared" si="307"/>
        <v>1.5420506436793231</v>
      </c>
      <c r="BF295" s="59" t="str">
        <f t="shared" si="308"/>
        <v>-0.419142021930806+0.32245775334192i</v>
      </c>
      <c r="BG295" s="50">
        <f t="shared" si="309"/>
        <v>-5.5337114179461722</v>
      </c>
      <c r="BH295" s="61">
        <f t="shared" si="310"/>
        <v>142.42790305092865</v>
      </c>
      <c r="BI295" s="59" t="str">
        <f t="shared" si="311"/>
        <v>0.249764901456427+0.0918963336494684i</v>
      </c>
      <c r="BJ295" s="64">
        <f t="shared" si="312"/>
        <v>-11.497984420293381</v>
      </c>
      <c r="BK295" s="61">
        <f t="shared" si="313"/>
        <v>20.200150121295344</v>
      </c>
      <c r="BL295" s="59" t="str">
        <f t="shared" si="265"/>
        <v>1.31992348101438+1.40526450658387i</v>
      </c>
      <c r="BM295" s="64">
        <f t="shared" si="314"/>
        <v>5.7018862697951711</v>
      </c>
      <c r="BN295" s="61">
        <f t="shared" si="266"/>
        <v>46.793668238387959</v>
      </c>
      <c r="BO295" s="50">
        <f t="shared" si="315"/>
        <v>-11.497984420293381</v>
      </c>
      <c r="BP295" s="61">
        <f t="shared" si="316"/>
        <v>20.200150121295344</v>
      </c>
    </row>
    <row r="296" spans="14:68" x14ac:dyDescent="0.25">
      <c r="N296" s="11">
        <v>78</v>
      </c>
      <c r="O296" s="51">
        <f t="shared" si="317"/>
        <v>6025.595860743585</v>
      </c>
      <c r="P296" s="49" t="str">
        <f t="shared" si="267"/>
        <v>25.6231073841137</v>
      </c>
      <c r="Q296" s="18" t="str">
        <f t="shared" si="268"/>
        <v>1+32.7405101549911i</v>
      </c>
      <c r="R296" s="18">
        <f t="shared" si="280"/>
        <v>32.755778195748533</v>
      </c>
      <c r="S296" s="18">
        <f t="shared" si="281"/>
        <v>1.5402626177347543</v>
      </c>
      <c r="T296" s="18" t="str">
        <f t="shared" si="269"/>
        <v>1+0.0340739418413036i</v>
      </c>
      <c r="U296" s="18">
        <f t="shared" si="282"/>
        <v>1.0005803483541962</v>
      </c>
      <c r="V296" s="18">
        <f t="shared" si="283"/>
        <v>3.406076402389073E-2</v>
      </c>
      <c r="W296" s="32" t="str">
        <f t="shared" si="270"/>
        <v>1-0.763508696814395i</v>
      </c>
      <c r="X296" s="18">
        <f t="shared" si="284"/>
        <v>1.2581516324001714</v>
      </c>
      <c r="Y296" s="18">
        <f t="shared" si="285"/>
        <v>-0.65209076529244347</v>
      </c>
      <c r="Z296" s="32" t="str">
        <f t="shared" si="271"/>
        <v>0.999092304863075+0.0604496968221645i</v>
      </c>
      <c r="AA296" s="18">
        <f t="shared" si="286"/>
        <v>1.0009193771141125</v>
      </c>
      <c r="AB296" s="18">
        <f t="shared" si="287"/>
        <v>6.0430946375547356E-2</v>
      </c>
      <c r="AC296" s="32" t="str">
        <f>IMDIV(IMSUM(COMPLEX(0,2*PI()*O296*Constants!$B$71*Constants!$B$72),COMPLEX(1,0)),IMSUM(COMPLEX(0,2*PI()*O296*Constants!$B$71*Constants!$B$72),COMPLEX(2,0)))</f>
        <v>0.502850406610877+0.0376441029590416i</v>
      </c>
      <c r="AD296" s="18">
        <f t="shared" si="288"/>
        <v>0.50425748374844692</v>
      </c>
      <c r="AE296" s="18">
        <f t="shared" si="289"/>
        <v>7.4722056217243954E-2</v>
      </c>
      <c r="AF296" s="66" t="str">
        <f t="shared" si="290"/>
        <v>-0.269056746708878-0.416819206029885i</v>
      </c>
      <c r="AG296" s="64">
        <f t="shared" si="291"/>
        <v>-6.0883583037746387</v>
      </c>
      <c r="AH296" s="61">
        <f t="shared" si="292"/>
        <v>-122.84223774463941</v>
      </c>
      <c r="AI296" s="50" t="str">
        <f t="shared" si="272"/>
        <v>108.866083054159</v>
      </c>
      <c r="AJ296" s="50" t="str">
        <f t="shared" si="273"/>
        <v>1+30.9763107648215i</v>
      </c>
      <c r="AK296" s="50">
        <f t="shared" si="293"/>
        <v>30.992447928467936</v>
      </c>
      <c r="AL296" s="50">
        <f t="shared" si="294"/>
        <v>1.5385248005626078</v>
      </c>
      <c r="AM296" s="50" t="str">
        <f t="shared" si="274"/>
        <v>1+0.0340739418413036i</v>
      </c>
      <c r="AN296" s="50">
        <f t="shared" si="295"/>
        <v>1.0005803483541962</v>
      </c>
      <c r="AO296" s="50">
        <f t="shared" si="296"/>
        <v>3.406076402389073E-2</v>
      </c>
      <c r="AP296" s="50" t="str">
        <f t="shared" si="275"/>
        <v>1-0.170018792852055i</v>
      </c>
      <c r="AQ296" s="50">
        <f t="shared" si="297"/>
        <v>1.0143502304050953</v>
      </c>
      <c r="AR296" s="50">
        <f t="shared" si="298"/>
        <v>-0.1684084220845504</v>
      </c>
      <c r="AS296" s="59" t="str">
        <f t="shared" si="299"/>
        <v>-0.363284082362876-3.54658280973625i</v>
      </c>
      <c r="AT296" s="50">
        <f t="shared" si="300"/>
        <v>11.041532369452817</v>
      </c>
      <c r="AU296" s="61">
        <f t="shared" si="301"/>
        <v>-95.848531542786631</v>
      </c>
      <c r="AV296" s="32" t="str">
        <f t="shared" si="276"/>
        <v>-0.0000333333333333333</v>
      </c>
      <c r="AW296" s="32" t="str">
        <f t="shared" si="277"/>
        <v>0.00181727689820286i</v>
      </c>
      <c r="AX296" s="32">
        <f t="shared" si="302"/>
        <v>1.81727689820286E-3</v>
      </c>
      <c r="AY296" s="32">
        <f t="shared" si="303"/>
        <v>1.5707963267948966</v>
      </c>
      <c r="AZ296" s="32" t="str">
        <f t="shared" si="278"/>
        <v>1+0.741423734509847i</v>
      </c>
      <c r="BA296" s="32">
        <f t="shared" si="304"/>
        <v>1.2448731477923878</v>
      </c>
      <c r="BB296" s="32">
        <f t="shared" si="305"/>
        <v>0.63798966600938856</v>
      </c>
      <c r="BC296" s="32" t="str">
        <f t="shared" si="279"/>
        <v>1+35.5883392564727i</v>
      </c>
      <c r="BD296" s="32">
        <f t="shared" si="306"/>
        <v>35.602386030065396</v>
      </c>
      <c r="BE296" s="32">
        <f t="shared" si="307"/>
        <v>1.5427046271206903</v>
      </c>
      <c r="BF296" s="59" t="str">
        <f t="shared" si="308"/>
        <v>-0.41245045178442+0.324143016749035i</v>
      </c>
      <c r="BG296" s="50">
        <f t="shared" si="309"/>
        <v>-5.6037670961160284</v>
      </c>
      <c r="BH296" s="61">
        <f t="shared" si="310"/>
        <v>141.83634893401987</v>
      </c>
      <c r="BI296" s="59" t="str">
        <f t="shared" si="311"/>
        <v>0.246081611617188+0.0847044042845526i</v>
      </c>
      <c r="BJ296" s="64">
        <f t="shared" si="312"/>
        <v>-11.692125399890649</v>
      </c>
      <c r="BK296" s="61">
        <f t="shared" si="313"/>
        <v>18.99411118938043</v>
      </c>
      <c r="BL296" s="59" t="str">
        <f t="shared" si="265"/>
        <v>1.29943673499483+1.34503368377257i</v>
      </c>
      <c r="BM296" s="64">
        <f t="shared" si="314"/>
        <v>5.4377652733367903</v>
      </c>
      <c r="BN296" s="61">
        <f t="shared" si="266"/>
        <v>45.987817391233413</v>
      </c>
      <c r="BO296" s="50">
        <f t="shared" si="315"/>
        <v>-11.692125399890649</v>
      </c>
      <c r="BP296" s="61">
        <f t="shared" si="316"/>
        <v>18.99411118938043</v>
      </c>
    </row>
    <row r="297" spans="14:68" x14ac:dyDescent="0.25">
      <c r="N297" s="11">
        <v>79</v>
      </c>
      <c r="O297" s="51">
        <f t="shared" si="317"/>
        <v>6165.9500186148289</v>
      </c>
      <c r="P297" s="49" t="str">
        <f t="shared" si="267"/>
        <v>25.6231073841137</v>
      </c>
      <c r="Q297" s="18" t="str">
        <f t="shared" si="268"/>
        <v>1+33.5031346052993i</v>
      </c>
      <c r="R297" s="18">
        <f t="shared" si="280"/>
        <v>33.51805525952846</v>
      </c>
      <c r="S297" s="18">
        <f t="shared" si="281"/>
        <v>1.5409572325237648</v>
      </c>
      <c r="T297" s="18" t="str">
        <f t="shared" si="269"/>
        <v>1+0.034867625905588i</v>
      </c>
      <c r="U297" s="18">
        <f t="shared" si="282"/>
        <v>1.0006076910239556</v>
      </c>
      <c r="V297" s="18">
        <f t="shared" si="283"/>
        <v>3.4853506082944415E-2</v>
      </c>
      <c r="W297" s="32" t="str">
        <f t="shared" si="270"/>
        <v>1-0.781293098995583i</v>
      </c>
      <c r="X297" s="18">
        <f t="shared" si="284"/>
        <v>1.2690228156097596</v>
      </c>
      <c r="Y297" s="18">
        <f t="shared" si="285"/>
        <v>-0.66322975586479194</v>
      </c>
      <c r="Z297" s="32" t="str">
        <f t="shared" si="271"/>
        <v>0.999049526509199+0.0618577511436172i</v>
      </c>
      <c r="AA297" s="18">
        <f t="shared" si="286"/>
        <v>1.0009627054964638</v>
      </c>
      <c r="AB297" s="18">
        <f t="shared" si="287"/>
        <v>6.1837660219548986E-2</v>
      </c>
      <c r="AC297" s="32" t="str">
        <f>IMDIV(IMSUM(COMPLEX(0,2*PI()*O297*Constants!$B$71*Constants!$B$72),COMPLEX(1,0)),IMSUM(COMPLEX(0,2*PI()*O297*Constants!$B$71*Constants!$B$72),COMPLEX(2,0)))</f>
        <v>0.502983940437392+0.03851060007533i</v>
      </c>
      <c r="AD297" s="18">
        <f t="shared" si="288"/>
        <v>0.50445605423672724</v>
      </c>
      <c r="AE297" s="18">
        <f t="shared" si="289"/>
        <v>7.6415188867980405E-2</v>
      </c>
      <c r="AF297" s="66" t="str">
        <f t="shared" si="290"/>
        <v>-0.26971473066619-0.408137702618573i</v>
      </c>
      <c r="AG297" s="64">
        <f t="shared" si="291"/>
        <v>-6.210166138430969</v>
      </c>
      <c r="AH297" s="61">
        <f t="shared" si="292"/>
        <v>-123.45842202524329</v>
      </c>
      <c r="AI297" s="50" t="str">
        <f t="shared" si="272"/>
        <v>108.866083054159</v>
      </c>
      <c r="AJ297" s="50" t="str">
        <f t="shared" si="273"/>
        <v>1+31.6978417323528i</v>
      </c>
      <c r="AK297" s="50">
        <f t="shared" si="293"/>
        <v>31.713611754092067</v>
      </c>
      <c r="AL297" s="50">
        <f t="shared" si="294"/>
        <v>1.5392588975284514</v>
      </c>
      <c r="AM297" s="50" t="str">
        <f t="shared" si="274"/>
        <v>1+0.034867625905588i</v>
      </c>
      <c r="AN297" s="50">
        <f t="shared" si="295"/>
        <v>1.0006076910239556</v>
      </c>
      <c r="AO297" s="50">
        <f t="shared" si="296"/>
        <v>3.4853506082944415E-2</v>
      </c>
      <c r="AP297" s="50" t="str">
        <f t="shared" si="275"/>
        <v>1-0.173979039281542i</v>
      </c>
      <c r="AQ297" s="50">
        <f t="shared" si="297"/>
        <v>1.0150215298747747</v>
      </c>
      <c r="AR297" s="50">
        <f t="shared" si="298"/>
        <v>-0.1722548721210215</v>
      </c>
      <c r="AS297" s="59" t="str">
        <f t="shared" si="299"/>
        <v>-0.368402456958866-3.46695190787606i</v>
      </c>
      <c r="AT297" s="50">
        <f t="shared" si="300"/>
        <v>10.847719666748588</v>
      </c>
      <c r="AU297" s="61">
        <f t="shared" si="301"/>
        <v>-96.065556779654358</v>
      </c>
      <c r="AV297" s="32" t="str">
        <f t="shared" si="276"/>
        <v>-0.0000333333333333333</v>
      </c>
      <c r="AW297" s="32" t="str">
        <f t="shared" si="277"/>
        <v>0.00185960671496469i</v>
      </c>
      <c r="AX297" s="32">
        <f t="shared" si="302"/>
        <v>1.8596067149646901E-3</v>
      </c>
      <c r="AY297" s="32">
        <f t="shared" si="303"/>
        <v>1.5707963267948966</v>
      </c>
      <c r="AZ297" s="32" t="str">
        <f t="shared" si="278"/>
        <v>1+0.758693711834554i</v>
      </c>
      <c r="BA297" s="32">
        <f t="shared" si="304"/>
        <v>1.2552354951869762</v>
      </c>
      <c r="BB297" s="32">
        <f t="shared" si="305"/>
        <v>0.64904190578412724</v>
      </c>
      <c r="BC297" s="32" t="str">
        <f t="shared" si="279"/>
        <v>1+36.4172981680586i</v>
      </c>
      <c r="BD297" s="32">
        <f t="shared" si="306"/>
        <v>36.431025319928679</v>
      </c>
      <c r="BE297" s="32">
        <f t="shared" si="307"/>
        <v>1.5433437473076197</v>
      </c>
      <c r="BF297" s="59" t="str">
        <f t="shared" si="308"/>
        <v>-0.405668754664023+0.325703270317392i</v>
      </c>
      <c r="BG297" s="50">
        <f t="shared" si="309"/>
        <v>-5.6759235560127772</v>
      </c>
      <c r="BH297" s="61">
        <f t="shared" si="310"/>
        <v>141.23972113007349</v>
      </c>
      <c r="BI297" s="59" t="str">
        <f t="shared" si="311"/>
        <v>0.242346623386592+0.0777217437219592i</v>
      </c>
      <c r="BJ297" s="64">
        <f t="shared" si="312"/>
        <v>-11.886089694443749</v>
      </c>
      <c r="BK297" s="61">
        <f t="shared" si="313"/>
        <v>17.781299104830211</v>
      </c>
      <c r="BL297" s="59" t="str">
        <f t="shared" si="265"/>
        <v>1.27864694035802+1.28644417792368i</v>
      </c>
      <c r="BM297" s="64">
        <f t="shared" si="314"/>
        <v>5.1717961107358157</v>
      </c>
      <c r="BN297" s="61">
        <f t="shared" si="266"/>
        <v>45.174164350419325</v>
      </c>
      <c r="BO297" s="50">
        <f t="shared" si="315"/>
        <v>-11.886089694443749</v>
      </c>
      <c r="BP297" s="61">
        <f t="shared" si="316"/>
        <v>17.781299104830211</v>
      </c>
    </row>
    <row r="298" spans="14:68" x14ac:dyDescent="0.25">
      <c r="N298" s="11">
        <v>80</v>
      </c>
      <c r="O298" s="51">
        <f t="shared" si="317"/>
        <v>6309.5734448019384</v>
      </c>
      <c r="P298" s="49" t="str">
        <f t="shared" si="267"/>
        <v>25.6231073841137</v>
      </c>
      <c r="Q298" s="18" t="str">
        <f t="shared" si="268"/>
        <v>1+34.2835228610416i</v>
      </c>
      <c r="R298" s="18">
        <f t="shared" si="280"/>
        <v>34.298104025784895</v>
      </c>
      <c r="S298" s="18">
        <f t="shared" si="281"/>
        <v>1.5416360637825424</v>
      </c>
      <c r="T298" s="18" t="str">
        <f t="shared" si="269"/>
        <v>1+0.035679797246655i</v>
      </c>
      <c r="U298" s="18">
        <f t="shared" si="282"/>
        <v>1.000636321513247</v>
      </c>
      <c r="V298" s="18">
        <f t="shared" si="283"/>
        <v>3.5664668103688145E-2</v>
      </c>
      <c r="W298" s="32" t="str">
        <f t="shared" si="270"/>
        <v>1-0.799491753119492i</v>
      </c>
      <c r="X298" s="18">
        <f t="shared" si="284"/>
        <v>1.2803074096895943</v>
      </c>
      <c r="Y298" s="18">
        <f t="shared" si="285"/>
        <v>-0.6744309587462739</v>
      </c>
      <c r="Z298" s="32" t="str">
        <f t="shared" si="271"/>
        <v>0.999004732073616+0.0632986032635102i</v>
      </c>
      <c r="AA298" s="18">
        <f t="shared" si="286"/>
        <v>1.0010080758318529</v>
      </c>
      <c r="AB298" s="18">
        <f t="shared" si="287"/>
        <v>6.3277076058002799E-2</v>
      </c>
      <c r="AC298" s="32" t="str">
        <f>IMDIV(IMSUM(COMPLEX(0,2*PI()*O298*Constants!$B$71*Constants!$B$72),COMPLEX(1,0)),IMSUM(COMPLEX(0,2*PI()*O298*Constants!$B$71*Constants!$B$72),COMPLEX(2,0)))</f>
        <v>0.503123690656063+0.0393965466090176i</v>
      </c>
      <c r="AD298" s="18">
        <f t="shared" si="288"/>
        <v>0.50466378509270338</v>
      </c>
      <c r="AE298" s="18">
        <f t="shared" si="289"/>
        <v>7.8144444974752439E-2</v>
      </c>
      <c r="AF298" s="66" t="str">
        <f t="shared" si="290"/>
        <v>-0.270353143446532-0.39967021196317i</v>
      </c>
      <c r="AG298" s="64">
        <f t="shared" si="291"/>
        <v>-6.3296647026992048</v>
      </c>
      <c r="AH298" s="61">
        <f t="shared" si="292"/>
        <v>-124.07601505755397</v>
      </c>
      <c r="AI298" s="50" t="str">
        <f t="shared" si="272"/>
        <v>108.866083054159</v>
      </c>
      <c r="AJ298" s="50" t="str">
        <f t="shared" si="273"/>
        <v>1+32.436179315141i</v>
      </c>
      <c r="AK298" s="50">
        <f t="shared" si="293"/>
        <v>32.451590539817623</v>
      </c>
      <c r="AL298" s="50">
        <f t="shared" si="294"/>
        <v>1.5399763172646066</v>
      </c>
      <c r="AM298" s="50" t="str">
        <f t="shared" si="274"/>
        <v>1+0.035679797246655i</v>
      </c>
      <c r="AN298" s="50">
        <f t="shared" si="295"/>
        <v>1.000636321513247</v>
      </c>
      <c r="AO298" s="50">
        <f t="shared" si="296"/>
        <v>3.5664668103688145E-2</v>
      </c>
      <c r="AP298" s="50" t="str">
        <f t="shared" si="275"/>
        <v>1-0.178031531700539i</v>
      </c>
      <c r="AQ298" s="50">
        <f t="shared" si="297"/>
        <v>1.0157239911903431</v>
      </c>
      <c r="AR298" s="50">
        <f t="shared" si="298"/>
        <v>-0.17618559443941839</v>
      </c>
      <c r="AS298" s="59" t="str">
        <f t="shared" si="299"/>
        <v>-0.373290914555845-3.38914470471375i</v>
      </c>
      <c r="AT298" s="50">
        <f t="shared" si="300"/>
        <v>10.654171669256398</v>
      </c>
      <c r="AU298" s="61">
        <f t="shared" si="301"/>
        <v>-96.285399541667473</v>
      </c>
      <c r="AV298" s="32" t="str">
        <f t="shared" si="276"/>
        <v>-0.0000333333333333333</v>
      </c>
      <c r="AW298" s="32" t="str">
        <f t="shared" si="277"/>
        <v>0.0019029225198216i</v>
      </c>
      <c r="AX298" s="32">
        <f t="shared" si="302"/>
        <v>1.9029225198216001E-3</v>
      </c>
      <c r="AY298" s="32">
        <f t="shared" si="303"/>
        <v>1.5707963267948966</v>
      </c>
      <c r="AZ298" s="32" t="str">
        <f t="shared" si="278"/>
        <v>1+0.776365958607772i</v>
      </c>
      <c r="BA298" s="32">
        <f t="shared" si="304"/>
        <v>1.2659953008147244</v>
      </c>
      <c r="BB298" s="32">
        <f t="shared" si="305"/>
        <v>0.66016289485947566</v>
      </c>
      <c r="BC298" s="32" t="str">
        <f t="shared" si="279"/>
        <v>1+37.2655660131731i</v>
      </c>
      <c r="BD298" s="32">
        <f t="shared" si="306"/>
        <v>37.278980810668124</v>
      </c>
      <c r="BE298" s="32">
        <f t="shared" si="307"/>
        <v>1.5439683410203833</v>
      </c>
      <c r="BF298" s="59" t="str">
        <f t="shared" si="308"/>
        <v>-0.39880242895218+0.327133545732794i</v>
      </c>
      <c r="BG298" s="50">
        <f t="shared" si="309"/>
        <v>-5.7502084731731582</v>
      </c>
      <c r="BH298" s="61">
        <f t="shared" si="310"/>
        <v>140.63832197569678</v>
      </c>
      <c r="BI298" s="59" t="str">
        <f t="shared" si="311"/>
        <v>0.238563023844623+0.0709478688950741i</v>
      </c>
      <c r="BJ298" s="64">
        <f t="shared" si="312"/>
        <v>-12.079873175872372</v>
      </c>
      <c r="BK298" s="61">
        <f t="shared" si="313"/>
        <v>16.56230691814282</v>
      </c>
      <c r="BL298" s="59" t="str">
        <f t="shared" si="265"/>
        <v>1.25757224768518+1.22948315984177i</v>
      </c>
      <c r="BM298" s="64">
        <f t="shared" si="314"/>
        <v>4.9039631960832217</v>
      </c>
      <c r="BN298" s="61">
        <f t="shared" si="266"/>
        <v>44.352922434029381</v>
      </c>
      <c r="BO298" s="50">
        <f t="shared" si="315"/>
        <v>-12.079873175872372</v>
      </c>
      <c r="BP298" s="61">
        <f t="shared" si="316"/>
        <v>16.56230691814282</v>
      </c>
    </row>
    <row r="299" spans="14:68" x14ac:dyDescent="0.25">
      <c r="N299" s="11">
        <v>81</v>
      </c>
      <c r="O299" s="51">
        <f t="shared" si="317"/>
        <v>6456.5422903465615</v>
      </c>
      <c r="P299" s="49" t="str">
        <f t="shared" si="267"/>
        <v>25.6231073841137</v>
      </c>
      <c r="Q299" s="18" t="str">
        <f t="shared" si="268"/>
        <v>1+35.0820886944009i</v>
      </c>
      <c r="R299" s="18">
        <f t="shared" si="280"/>
        <v>35.096338087638316</v>
      </c>
      <c r="S299" s="18">
        <f t="shared" si="281"/>
        <v>1.5422994689324656</v>
      </c>
      <c r="T299" s="18" t="str">
        <f t="shared" si="269"/>
        <v>1+0.0365108864885003i</v>
      </c>
      <c r="U299" s="18">
        <f t="shared" si="282"/>
        <v>1.0006663004379512</v>
      </c>
      <c r="V299" s="18">
        <f t="shared" si="283"/>
        <v>3.6494675902671733E-2</v>
      </c>
      <c r="W299" s="32" t="str">
        <f t="shared" si="270"/>
        <v>1-0.818114308353433i</v>
      </c>
      <c r="X299" s="18">
        <f t="shared" si="284"/>
        <v>1.2920181970593976</v>
      </c>
      <c r="Y299" s="18">
        <f t="shared" si="285"/>
        <v>-0.68568907051266037</v>
      </c>
      <c r="Z299" s="32" t="str">
        <f t="shared" si="271"/>
        <v>0.998957826541324+0.0647730171407098i</v>
      </c>
      <c r="AA299" s="18">
        <f t="shared" si="286"/>
        <v>1.0010555843496787</v>
      </c>
      <c r="AB299" s="18">
        <f t="shared" si="287"/>
        <v>6.4749951005989764E-2</v>
      </c>
      <c r="AC299" s="32" t="str">
        <f>IMDIV(IMSUM(COMPLEX(0,2*PI()*O299*Constants!$B$71*Constants!$B$72),COMPLEX(1,0)),IMSUM(COMPLEX(0,2*PI()*O299*Constants!$B$71*Constants!$B$72),COMPLEX(2,0)))</f>
        <v>0.503269942891923+0.0403023438455539i</v>
      </c>
      <c r="AD299" s="18">
        <f t="shared" si="288"/>
        <v>0.50488108930508047</v>
      </c>
      <c r="AE299" s="18">
        <f t="shared" si="289"/>
        <v>7.9910437610228716E-2</v>
      </c>
      <c r="AF299" s="66" t="str">
        <f t="shared" si="290"/>
        <v>-0.270973322763264-0.391412278150918i</v>
      </c>
      <c r="AG299" s="64">
        <f t="shared" si="291"/>
        <v>-6.4468238441001731</v>
      </c>
      <c r="AH299" s="61">
        <f t="shared" si="292"/>
        <v>-124.69471731201376</v>
      </c>
      <c r="AI299" s="50" t="str">
        <f t="shared" si="272"/>
        <v>108.866083054159</v>
      </c>
      <c r="AJ299" s="50" t="str">
        <f t="shared" si="273"/>
        <v>1+33.1917149895458i</v>
      </c>
      <c r="AK299" s="50">
        <f t="shared" si="293"/>
        <v>33.206775572874271</v>
      </c>
      <c r="AL299" s="50">
        <f t="shared" si="294"/>
        <v>1.5406774372008278</v>
      </c>
      <c r="AM299" s="50" t="str">
        <f t="shared" si="274"/>
        <v>1+0.0365108864885003i</v>
      </c>
      <c r="AN299" s="50">
        <f t="shared" si="295"/>
        <v>1.0006663004379512</v>
      </c>
      <c r="AO299" s="50">
        <f t="shared" si="296"/>
        <v>3.6494675902671733E-2</v>
      </c>
      <c r="AP299" s="50" t="str">
        <f t="shared" si="275"/>
        <v>1-0.182178418794171i</v>
      </c>
      <c r="AQ299" s="50">
        <f t="shared" si="297"/>
        <v>1.0164590381684568</v>
      </c>
      <c r="AR299" s="50">
        <f t="shared" si="298"/>
        <v>-0.18020218706373495</v>
      </c>
      <c r="AS299" s="59" t="str">
        <f t="shared" si="299"/>
        <v>-0.37795976377624-3.3131209135065i</v>
      </c>
      <c r="AT299" s="50">
        <f t="shared" si="300"/>
        <v>10.460900932587068</v>
      </c>
      <c r="AU299" s="61">
        <f t="shared" si="301"/>
        <v>-96.508148616497451</v>
      </c>
      <c r="AV299" s="32" t="str">
        <f t="shared" si="276"/>
        <v>-0.0000333333333333333</v>
      </c>
      <c r="AW299" s="32" t="str">
        <f t="shared" si="277"/>
        <v>0.00194724727938668i</v>
      </c>
      <c r="AX299" s="32">
        <f t="shared" si="302"/>
        <v>1.9472472793866801E-3</v>
      </c>
      <c r="AY299" s="32">
        <f t="shared" si="303"/>
        <v>1.5707963267948966</v>
      </c>
      <c r="AZ299" s="32" t="str">
        <f t="shared" si="278"/>
        <v>1+0.794449844888664i</v>
      </c>
      <c r="BA299" s="32">
        <f t="shared" si="304"/>
        <v>1.2771650465165503</v>
      </c>
      <c r="BB299" s="32">
        <f t="shared" si="305"/>
        <v>0.67134752698438926</v>
      </c>
      <c r="BC299" s="32" t="str">
        <f t="shared" si="279"/>
        <v>1+38.1335925546559i</v>
      </c>
      <c r="BD299" s="32">
        <f t="shared" si="306"/>
        <v>38.146702100240695</v>
      </c>
      <c r="BE299" s="32">
        <f t="shared" si="307"/>
        <v>1.5445787374764004</v>
      </c>
      <c r="BF299" s="59" t="str">
        <f t="shared" si="308"/>
        <v>-0.39185729261625+0.328429147340442i</v>
      </c>
      <c r="BG299" s="50">
        <f t="shared" si="309"/>
        <v>-5.8266477376400205</v>
      </c>
      <c r="BH299" s="61">
        <f t="shared" si="310"/>
        <v>140.03246290029239</v>
      </c>
      <c r="BI299" s="59" t="str">
        <f t="shared" si="311"/>
        <v>0.234734073400928+0.0643822182658321i</v>
      </c>
      <c r="BJ299" s="64">
        <f t="shared" si="312"/>
        <v>-12.273471581740189</v>
      </c>
      <c r="BK299" s="61">
        <f t="shared" si="313"/>
        <v>15.337745588278608</v>
      </c>
      <c r="BL299" s="59" t="str">
        <f t="shared" si="265"/>
        <v>1.23623176640996+1.17413758833091i</v>
      </c>
      <c r="BM299" s="64">
        <f t="shared" si="314"/>
        <v>4.6342531949470471</v>
      </c>
      <c r="BN299" s="61">
        <f t="shared" si="266"/>
        <v>43.524314283794993</v>
      </c>
      <c r="BO299" s="50">
        <f t="shared" si="315"/>
        <v>-12.273471581740189</v>
      </c>
      <c r="BP299" s="61">
        <f t="shared" si="316"/>
        <v>15.337745588278608</v>
      </c>
    </row>
    <row r="300" spans="14:68" x14ac:dyDescent="0.25">
      <c r="N300" s="11">
        <v>82</v>
      </c>
      <c r="O300" s="51">
        <f t="shared" si="317"/>
        <v>6606.9344800759654</v>
      </c>
      <c r="P300" s="49" t="str">
        <f t="shared" si="267"/>
        <v>25.6231073841137</v>
      </c>
      <c r="Q300" s="18" t="str">
        <f t="shared" si="268"/>
        <v>1+35.8992555155523i</v>
      </c>
      <c r="R300" s="18">
        <f t="shared" si="280"/>
        <v>35.91318068023093</v>
      </c>
      <c r="S300" s="18">
        <f t="shared" si="281"/>
        <v>1.5429477973826387</v>
      </c>
      <c r="T300" s="18" t="str">
        <f t="shared" si="269"/>
        <v>1+0.0373613342856404i</v>
      </c>
      <c r="U300" s="18">
        <f t="shared" si="282"/>
        <v>1.0006976912632524</v>
      </c>
      <c r="V300" s="18">
        <f t="shared" si="283"/>
        <v>3.7343964983979162E-2</v>
      </c>
      <c r="W300" s="32" t="str">
        <f t="shared" si="270"/>
        <v>1-0.837170638622682i</v>
      </c>
      <c r="X300" s="18">
        <f t="shared" si="284"/>
        <v>1.3041681939734266</v>
      </c>
      <c r="Y300" s="18">
        <f t="shared" si="285"/>
        <v>-0.69699864575906678</v>
      </c>
      <c r="Z300" s="32" t="str">
        <f t="shared" si="271"/>
        <v>0.9989087104194+0.0662817745289694i</v>
      </c>
      <c r="AA300" s="18">
        <f t="shared" si="286"/>
        <v>1.0011053318140193</v>
      </c>
      <c r="AB300" s="18">
        <f t="shared" si="287"/>
        <v>6.6257059484996342E-2</v>
      </c>
      <c r="AC300" s="32" t="str">
        <f>IMDIV(IMSUM(COMPLEX(0,2*PI()*O300*Constants!$B$71*Constants!$B$72),COMPLEX(1,0)),IMSUM(COMPLEX(0,2*PI()*O300*Constants!$B$71*Constants!$B$72),COMPLEX(2,0)))</f>
        <v>0.503422995532961+0.0412283988054555i</v>
      </c>
      <c r="AD300" s="18">
        <f t="shared" si="288"/>
        <v>0.50510839757367065</v>
      </c>
      <c r="AE300" s="18">
        <f t="shared" si="289"/>
        <v>8.1713778824978003E-2</v>
      </c>
      <c r="AF300" s="66" t="str">
        <f t="shared" si="290"/>
        <v>-0.271576567150483-0.38335954533775i</v>
      </c>
      <c r="AG300" s="64">
        <f t="shared" si="291"/>
        <v>-6.5616151420947801</v>
      </c>
      <c r="AH300" s="61">
        <f t="shared" si="292"/>
        <v>-125.31422116019466</v>
      </c>
      <c r="AI300" s="50" t="str">
        <f t="shared" si="272"/>
        <v>108.866083054159</v>
      </c>
      <c r="AJ300" s="50" t="str">
        <f t="shared" si="273"/>
        <v>1+33.9648493505822i</v>
      </c>
      <c r="AK300" s="50">
        <f t="shared" si="293"/>
        <v>33.979567263397335</v>
      </c>
      <c r="AL300" s="50">
        <f t="shared" si="294"/>
        <v>1.5413626263214173</v>
      </c>
      <c r="AM300" s="50" t="str">
        <f t="shared" si="274"/>
        <v>1+0.0373613342856404i</v>
      </c>
      <c r="AN300" s="50">
        <f t="shared" si="295"/>
        <v>1.0006976912632524</v>
      </c>
      <c r="AO300" s="50">
        <f t="shared" si="296"/>
        <v>3.7343964983979162E-2</v>
      </c>
      <c r="AP300" s="50" t="str">
        <f t="shared" si="275"/>
        <v>1-0.186421899296864i</v>
      </c>
      <c r="AQ300" s="50">
        <f t="shared" si="297"/>
        <v>1.0172281575622306</v>
      </c>
      <c r="AR300" s="50">
        <f t="shared" si="298"/>
        <v>-0.18430626099054181</v>
      </c>
      <c r="AS300" s="59" t="str">
        <f t="shared" si="299"/>
        <v>-0.38241885273307-3.23884112871048i</v>
      </c>
      <c r="AT300" s="50">
        <f t="shared" si="300"/>
        <v>10.267920496311756</v>
      </c>
      <c r="AU300" s="61">
        <f t="shared" si="301"/>
        <v>-96.733892496145756</v>
      </c>
      <c r="AV300" s="32" t="str">
        <f t="shared" si="276"/>
        <v>-0.0000333333333333333</v>
      </c>
      <c r="AW300" s="32" t="str">
        <f t="shared" si="277"/>
        <v>0.00199260449523415i</v>
      </c>
      <c r="AX300" s="32">
        <f t="shared" si="302"/>
        <v>1.9926044952341499E-3</v>
      </c>
      <c r="AY300" s="32">
        <f t="shared" si="303"/>
        <v>1.5707963267948966</v>
      </c>
      <c r="AZ300" s="32" t="str">
        <f t="shared" si="278"/>
        <v>1+0.812954958993101i</v>
      </c>
      <c r="BA300" s="32">
        <f t="shared" si="304"/>
        <v>1.2887574501633248</v>
      </c>
      <c r="BB300" s="32">
        <f t="shared" si="305"/>
        <v>0.68259053974940198</v>
      </c>
      <c r="BC300" s="32" t="str">
        <f t="shared" si="279"/>
        <v>1+39.0218380316689i</v>
      </c>
      <c r="BD300" s="32">
        <f t="shared" si="306"/>
        <v>39.034649266642596</v>
      </c>
      <c r="BE300" s="32">
        <f t="shared" si="307"/>
        <v>1.545175258495519</v>
      </c>
      <c r="BF300" s="59" t="str">
        <f t="shared" si="308"/>
        <v>-0.384839466795486+0.329585677556052i</v>
      </c>
      <c r="BG300" s="50">
        <f t="shared" si="309"/>
        <v>-5.9052653571235503</v>
      </c>
      <c r="BH300" s="61">
        <f t="shared" si="310"/>
        <v>139.42246385663159</v>
      </c>
      <c r="BI300" s="59" t="str">
        <f t="shared" si="311"/>
        <v>0.230863196794063+0.0580241361261011i</v>
      </c>
      <c r="BJ300" s="64">
        <f t="shared" si="312"/>
        <v>-12.466880499218323</v>
      </c>
      <c r="BK300" s="61">
        <f t="shared" si="313"/>
        <v>14.108242696436939</v>
      </c>
      <c r="BL300" s="59" t="str">
        <f t="shared" si="265"/>
        <v>1.21464551528079+1.12039411631999i</v>
      </c>
      <c r="BM300" s="64">
        <f t="shared" si="314"/>
        <v>4.3626551391881971</v>
      </c>
      <c r="BN300" s="61">
        <f t="shared" si="266"/>
        <v>42.688571360485696</v>
      </c>
      <c r="BO300" s="50">
        <f t="shared" si="315"/>
        <v>-12.466880499218323</v>
      </c>
      <c r="BP300" s="61">
        <f t="shared" si="316"/>
        <v>14.108242696436939</v>
      </c>
    </row>
    <row r="301" spans="14:68" x14ac:dyDescent="0.25">
      <c r="N301" s="11">
        <v>83</v>
      </c>
      <c r="O301" s="51">
        <f t="shared" si="317"/>
        <v>6760.8297539198229</v>
      </c>
      <c r="P301" s="49" t="str">
        <f t="shared" si="267"/>
        <v>25.6231073841137</v>
      </c>
      <c r="Q301" s="18" t="str">
        <f t="shared" si="268"/>
        <v>1+36.7354565971609i</v>
      </c>
      <c r="R301" s="18">
        <f t="shared" si="280"/>
        <v>36.74906490513591</v>
      </c>
      <c r="S301" s="18">
        <f t="shared" si="281"/>
        <v>1.5435813907040457</v>
      </c>
      <c r="T301" s="18" t="str">
        <f t="shared" si="269"/>
        <v>1+0.0382315915567545i</v>
      </c>
      <c r="U301" s="18">
        <f t="shared" si="282"/>
        <v>1.000730560437205</v>
      </c>
      <c r="V301" s="18">
        <f t="shared" si="283"/>
        <v>3.821298074844242E-2</v>
      </c>
      <c r="W301" s="32" t="str">
        <f t="shared" si="270"/>
        <v>1-0.856670847845795i</v>
      </c>
      <c r="X301" s="18">
        <f t="shared" si="284"/>
        <v>1.3167706488029087</v>
      </c>
      <c r="Y301" s="18">
        <f t="shared" si="285"/>
        <v>-0.70835410918120545</v>
      </c>
      <c r="Z301" s="32" t="str">
        <f t="shared" si="271"/>
        <v>0.998857279525963+0.0678256753914273i</v>
      </c>
      <c r="AA301" s="18">
        <f t="shared" si="286"/>
        <v>1.0011574237373018</v>
      </c>
      <c r="AB301" s="18">
        <f t="shared" si="287"/>
        <v>6.7799193602595648E-2</v>
      </c>
      <c r="AC301" s="32" t="str">
        <f>IMDIV(IMSUM(COMPLEX(0,2*PI()*O301*Constants!$B$71*Constants!$B$72),COMPLEX(1,0)),IMSUM(COMPLEX(0,2*PI()*O301*Constants!$B$71*Constants!$B$72),COMPLEX(2,0)))</f>
        <v>0.503583160265785+0.0421751241302518i</v>
      </c>
      <c r="AD301" s="18">
        <f t="shared" si="288"/>
        <v>0.50534615898280788</v>
      </c>
      <c r="AE301" s="18">
        <f t="shared" si="289"/>
        <v>8.3555078649064612E-2</v>
      </c>
      <c r="AF301" s="66" t="str">
        <f t="shared" si="290"/>
        <v>-0.272164138576909-0.375507755563298i</v>
      </c>
      <c r="AG301" s="64">
        <f t="shared" si="291"/>
        <v>-6.6740119823756103</v>
      </c>
      <c r="AH301" s="61">
        <f t="shared" si="292"/>
        <v>-125.93421164395183</v>
      </c>
      <c r="AI301" s="50" t="str">
        <f t="shared" si="272"/>
        <v>108.866083054159</v>
      </c>
      <c r="AJ301" s="50" t="str">
        <f t="shared" si="273"/>
        <v>1+34.7559923243223i</v>
      </c>
      <c r="AK301" s="50">
        <f t="shared" si="293"/>
        <v>34.77037535673653</v>
      </c>
      <c r="AL301" s="50">
        <f t="shared" si="294"/>
        <v>1.5420322453477602</v>
      </c>
      <c r="AM301" s="50" t="str">
        <f t="shared" si="274"/>
        <v>1+0.0382315915567545i</v>
      </c>
      <c r="AN301" s="50">
        <f t="shared" si="295"/>
        <v>1.000730560437205</v>
      </c>
      <c r="AO301" s="50">
        <f t="shared" si="296"/>
        <v>3.821298074844242E-2</v>
      </c>
      <c r="AP301" s="50" t="str">
        <f t="shared" si="275"/>
        <v>1-0.190764223158149i</v>
      </c>
      <c r="AQ301" s="50">
        <f t="shared" si="297"/>
        <v>1.0180329016476493</v>
      </c>
      <c r="AR301" s="50">
        <f t="shared" si="298"/>
        <v>-0.18849943896984467</v>
      </c>
      <c r="AS301" s="59" t="str">
        <f t="shared" si="299"/>
        <v>-0.386677589453214-3.16626680936356i</v>
      </c>
      <c r="AT301" s="50">
        <f t="shared" si="300"/>
        <v>10.075243902212215</v>
      </c>
      <c r="AU301" s="61">
        <f t="shared" si="301"/>
        <v>-96.962719305564036</v>
      </c>
      <c r="AV301" s="32" t="str">
        <f t="shared" si="276"/>
        <v>-0.0000333333333333333</v>
      </c>
      <c r="AW301" s="32" t="str">
        <f t="shared" si="277"/>
        <v>0.00203901821636024i</v>
      </c>
      <c r="AX301" s="32">
        <f t="shared" si="302"/>
        <v>2.0390182163602401E-3</v>
      </c>
      <c r="AY301" s="32">
        <f t="shared" si="303"/>
        <v>1.5707963267948966</v>
      </c>
      <c r="AZ301" s="32" t="str">
        <f t="shared" si="278"/>
        <v>1+0.831891112577528i</v>
      </c>
      <c r="BA301" s="32">
        <f t="shared" si="304"/>
        <v>1.3007854639353398</v>
      </c>
      <c r="BB301" s="32">
        <f t="shared" si="305"/>
        <v>0.69388652558972774</v>
      </c>
      <c r="BC301" s="32" t="str">
        <f t="shared" si="279"/>
        <v>1+39.9307734037214i</v>
      </c>
      <c r="BD301" s="32">
        <f t="shared" si="306"/>
        <v>39.943293111852263</v>
      </c>
      <c r="BE301" s="32">
        <f t="shared" si="307"/>
        <v>1.5457582186619914</v>
      </c>
      <c r="BF301" s="59" t="str">
        <f t="shared" si="308"/>
        <v>-0.377755357005333+0.330599061120291i</v>
      </c>
      <c r="BG301" s="50">
        <f t="shared" si="309"/>
        <v>-5.9860833656440615</v>
      </c>
      <c r="BH301" s="61">
        <f t="shared" si="310"/>
        <v>138.8086526997046</v>
      </c>
      <c r="BI301" s="59" t="str">
        <f t="shared" si="311"/>
        <v>0.226953972764783+0.0518728575769461i</v>
      </c>
      <c r="BJ301" s="64">
        <f t="shared" si="312"/>
        <v>-12.660095348019681</v>
      </c>
      <c r="BK301" s="61">
        <f t="shared" si="313"/>
        <v>12.874441055752797</v>
      </c>
      <c r="BL301" s="59" t="str">
        <f t="shared" si="265"/>
        <v>1.19283436528179+1.06823900091578i</v>
      </c>
      <c r="BM301" s="64">
        <f t="shared" si="314"/>
        <v>4.0891605365681469</v>
      </c>
      <c r="BN301" s="61">
        <f t="shared" si="266"/>
        <v>41.845933394140665</v>
      </c>
      <c r="BO301" s="50">
        <f t="shared" si="315"/>
        <v>-12.660095348019681</v>
      </c>
      <c r="BP301" s="61">
        <f t="shared" si="316"/>
        <v>12.874441055752797</v>
      </c>
    </row>
    <row r="302" spans="14:68" x14ac:dyDescent="0.25">
      <c r="N302" s="11">
        <v>84</v>
      </c>
      <c r="O302" s="51">
        <f t="shared" si="317"/>
        <v>6918.3097091893687</v>
      </c>
      <c r="P302" s="49" t="str">
        <f t="shared" si="267"/>
        <v>25.6231073841137</v>
      </c>
      <c r="Q302" s="18" t="str">
        <f t="shared" si="268"/>
        <v>1+37.5911353041085i</v>
      </c>
      <c r="R302" s="18">
        <f t="shared" si="280"/>
        <v>37.604433959997223</v>
      </c>
      <c r="S302" s="18">
        <f t="shared" si="281"/>
        <v>1.5442005828002869</v>
      </c>
      <c r="T302" s="18" t="str">
        <f t="shared" si="269"/>
        <v>1+0.0391221197237669i</v>
      </c>
      <c r="U302" s="18">
        <f t="shared" si="282"/>
        <v>1.0007649775305292</v>
      </c>
      <c r="V302" s="18">
        <f t="shared" si="283"/>
        <v>3.9102178706561158E-2</v>
      </c>
      <c r="W302" s="32" t="str">
        <f t="shared" si="270"/>
        <v>1-0.876625275291813i</v>
      </c>
      <c r="X302" s="18">
        <f t="shared" si="284"/>
        <v>1.3298390403655802</v>
      </c>
      <c r="Y302" s="18">
        <f t="shared" si="285"/>
        <v>-0.71974976843757332</v>
      </c>
      <c r="Z302" s="32" t="str">
        <f t="shared" si="271"/>
        <v>0.998803424769193+0.0694055383247568i</v>
      </c>
      <c r="AA302" s="18">
        <f t="shared" si="286"/>
        <v>1.0012119706040368</v>
      </c>
      <c r="AB302" s="18">
        <f t="shared" si="287"/>
        <v>6.9377163539305592E-2</v>
      </c>
      <c r="AC302" s="32" t="str">
        <f>IMDIV(IMSUM(COMPLEX(0,2*PI()*O302*Constants!$B$71*Constants!$B$72),COMPLEX(1,0)),IMSUM(COMPLEX(0,2*PI()*O302*Constants!$B$71*Constants!$B$72),COMPLEX(2,0)))</f>
        <v>0.50375076263042+0.0431429379493349i</v>
      </c>
      <c r="AD302" s="18">
        <f t="shared" si="288"/>
        <v>0.50559484169207058</v>
      </c>
      <c r="AE302" s="18">
        <f t="shared" si="289"/>
        <v>8.5434944014332284E-2</v>
      </c>
      <c r="AF302" s="66" t="str">
        <f t="shared" si="290"/>
        <v>-0.272737264977179-0.367852746568379i</v>
      </c>
      <c r="AG302" s="64">
        <f t="shared" si="291"/>
        <v>-6.783989623980835</v>
      </c>
      <c r="AH302" s="61">
        <f t="shared" si="292"/>
        <v>-126.5543672938709</v>
      </c>
      <c r="AI302" s="50" t="str">
        <f t="shared" si="272"/>
        <v>108.866083054159</v>
      </c>
      <c r="AJ302" s="50" t="str">
        <f t="shared" si="273"/>
        <v>1+35.5655633852427i</v>
      </c>
      <c r="AK302" s="50">
        <f t="shared" si="293"/>
        <v>35.579619150712048</v>
      </c>
      <c r="AL302" s="50">
        <f t="shared" si="294"/>
        <v>1.5426866469173515</v>
      </c>
      <c r="AM302" s="50" t="str">
        <f t="shared" si="274"/>
        <v>1+0.0391221197237669i</v>
      </c>
      <c r="AN302" s="50">
        <f t="shared" si="295"/>
        <v>1.0007649775305292</v>
      </c>
      <c r="AO302" s="50">
        <f t="shared" si="296"/>
        <v>3.9102178706561158E-2</v>
      </c>
      <c r="AP302" s="50" t="str">
        <f t="shared" si="275"/>
        <v>1-0.195207692735616i</v>
      </c>
      <c r="AQ302" s="50">
        <f t="shared" si="297"/>
        <v>1.0188748908983687</v>
      </c>
      <c r="AR302" s="50">
        <f t="shared" si="298"/>
        <v>-0.19278335417263845</v>
      </c>
      <c r="AS302" s="59" t="str">
        <f t="shared" si="299"/>
        <v>-0.390744961407999-3.09536026264362i</v>
      </c>
      <c r="AT302" s="50">
        <f t="shared" si="300"/>
        <v>9.8828852127831439</v>
      </c>
      <c r="AU302" s="61">
        <f t="shared" si="301"/>
        <v>-97.194716724368561</v>
      </c>
      <c r="AV302" s="32" t="str">
        <f t="shared" si="276"/>
        <v>-0.0000333333333333333</v>
      </c>
      <c r="AW302" s="32" t="str">
        <f t="shared" si="277"/>
        <v>0.00208651305193423i</v>
      </c>
      <c r="AX302" s="32">
        <f t="shared" si="302"/>
        <v>2.0865130519342298E-3</v>
      </c>
      <c r="AY302" s="32">
        <f t="shared" si="303"/>
        <v>1.5707963267948966</v>
      </c>
      <c r="AZ302" s="32" t="str">
        <f t="shared" si="278"/>
        <v>1+0.851268345841224i</v>
      </c>
      <c r="BA302" s="32">
        <f t="shared" si="304"/>
        <v>1.3132622725987577</v>
      </c>
      <c r="BB302" s="32">
        <f t="shared" si="305"/>
        <v>0.70522994364142844</v>
      </c>
      <c r="BC302" s="32" t="str">
        <f t="shared" si="279"/>
        <v>1+40.8608806003788i</v>
      </c>
      <c r="BD302" s="32">
        <f t="shared" si="306"/>
        <v>40.873115411458578</v>
      </c>
      <c r="BE302" s="32">
        <f t="shared" si="307"/>
        <v>1.5463279254831885</v>
      </c>
      <c r="BF302" s="59" t="str">
        <f t="shared" si="308"/>
        <v>-0.370611632052016+0.331465567942535i</v>
      </c>
      <c r="BG302" s="50">
        <f t="shared" si="309"/>
        <v>-6.069121738388934</v>
      </c>
      <c r="BH302" s="61">
        <f t="shared" si="310"/>
        <v>138.19136451650405</v>
      </c>
      <c r="BI302" s="59" t="str">
        <f t="shared" si="311"/>
        <v>0.223010122455105+0.0459274943257693i</v>
      </c>
      <c r="BJ302" s="64">
        <f t="shared" si="312"/>
        <v>-12.853111362369756</v>
      </c>
      <c r="BK302" s="61">
        <f t="shared" si="313"/>
        <v>11.636997222633129</v>
      </c>
      <c r="BL302" s="59" t="str">
        <f t="shared" si="265"/>
        <v>1.17081997530744+1.01765801817352i</v>
      </c>
      <c r="BM302" s="64">
        <f t="shared" si="314"/>
        <v>3.8137634743941899</v>
      </c>
      <c r="BN302" s="61">
        <f t="shared" si="266"/>
        <v>40.996647792135455</v>
      </c>
      <c r="BO302" s="50">
        <f t="shared" si="315"/>
        <v>-12.853111362369756</v>
      </c>
      <c r="BP302" s="61">
        <f t="shared" si="316"/>
        <v>11.636997222633129</v>
      </c>
    </row>
    <row r="303" spans="14:68" x14ac:dyDescent="0.25">
      <c r="N303" s="11">
        <v>85</v>
      </c>
      <c r="O303" s="51">
        <f t="shared" si="317"/>
        <v>7079.4578438413828</v>
      </c>
      <c r="P303" s="49" t="str">
        <f t="shared" si="267"/>
        <v>25.6231073841137</v>
      </c>
      <c r="Q303" s="18" t="str">
        <f t="shared" si="268"/>
        <v>1+38.4667453285718i</v>
      </c>
      <c r="R303" s="18">
        <f t="shared" si="280"/>
        <v>38.479741373522771</v>
      </c>
      <c r="S303" s="18">
        <f t="shared" si="281"/>
        <v>1.5448057000749404</v>
      </c>
      <c r="T303" s="18" t="str">
        <f t="shared" si="269"/>
        <v>1+0.0400333909564993i</v>
      </c>
      <c r="U303" s="18">
        <f t="shared" si="282"/>
        <v>1.0008010153829161</v>
      </c>
      <c r="V303" s="18">
        <f t="shared" si="283"/>
        <v>4.0012024695135082E-2</v>
      </c>
      <c r="W303" s="32" t="str">
        <f t="shared" si="270"/>
        <v>1-0.897044501062299i</v>
      </c>
      <c r="X303" s="18">
        <f t="shared" si="284"/>
        <v>1.3433870763432663</v>
      </c>
      <c r="Y303" s="18">
        <f t="shared" si="285"/>
        <v>-0.73117982772633017</v>
      </c>
      <c r="Z303" s="32" t="str">
        <f t="shared" si="271"/>
        <v>0.998747031915932+0.0710222009931969i</v>
      </c>
      <c r="AA303" s="18">
        <f t="shared" si="286"/>
        <v>1.0012690881050916</v>
      </c>
      <c r="AB303" s="18">
        <f t="shared" si="287"/>
        <v>7.0991797942676849E-2</v>
      </c>
      <c r="AC303" s="32" t="str">
        <f>IMDIV(IMSUM(COMPLEX(0,2*PI()*O303*Constants!$B$71*Constants!$B$72),COMPLEX(1,0)),IMSUM(COMPLEX(0,2*PI()*O303*Constants!$B$71*Constants!$B$72),COMPLEX(2,0)))</f>
        <v>0.503926142594551+0.0441322637262467i</v>
      </c>
      <c r="AD303" s="18">
        <f t="shared" si="288"/>
        <v>0.50585493364385281</v>
      </c>
      <c r="AE303" s="18">
        <f t="shared" si="289"/>
        <v>8.7353977593038465E-2</v>
      </c>
      <c r="AF303" s="66" t="str">
        <f t="shared" si="290"/>
        <v>-0.273297142704766-0.36039044961444i</v>
      </c>
      <c r="AG303" s="64">
        <f t="shared" si="291"/>
        <v>-6.8915252586101943</v>
      </c>
      <c r="AH303" s="61">
        <f t="shared" si="292"/>
        <v>-127.17436099346294</v>
      </c>
      <c r="AI303" s="50" t="str">
        <f t="shared" si="272"/>
        <v>108.866083054159</v>
      </c>
      <c r="AJ303" s="50" t="str">
        <f t="shared" si="273"/>
        <v>1+36.3939917786358i</v>
      </c>
      <c r="AK303" s="50">
        <f t="shared" si="293"/>
        <v>36.407727717936616</v>
      </c>
      <c r="AL303" s="50">
        <f t="shared" si="294"/>
        <v>1.5433261757593471</v>
      </c>
      <c r="AM303" s="50" t="str">
        <f t="shared" si="274"/>
        <v>1+0.0400333909564993i</v>
      </c>
      <c r="AN303" s="50">
        <f t="shared" si="295"/>
        <v>1.0008010153829161</v>
      </c>
      <c r="AO303" s="50">
        <f t="shared" si="296"/>
        <v>4.0012024695135082E-2</v>
      </c>
      <c r="AP303" s="50" t="str">
        <f t="shared" si="275"/>
        <v>1-0.19975466401565i</v>
      </c>
      <c r="AQ303" s="50">
        <f t="shared" si="297"/>
        <v>1.0197558167502676</v>
      </c>
      <c r="AR303" s="50">
        <f t="shared" si="298"/>
        <v>-0.19715964873901962</v>
      </c>
      <c r="AS303" s="59" t="str">
        <f t="shared" si="299"/>
        <v>-0.394629554189005-3.02608462761216i</v>
      </c>
      <c r="AT303" s="50">
        <f t="shared" si="300"/>
        <v>9.6908590299593342</v>
      </c>
      <c r="AU303" s="61">
        <f t="shared" si="301"/>
        <v>-97.429971901299226</v>
      </c>
      <c r="AV303" s="32" t="str">
        <f t="shared" si="276"/>
        <v>-0.0000333333333333333</v>
      </c>
      <c r="AW303" s="32" t="str">
        <f t="shared" si="277"/>
        <v>0.00213511418434663i</v>
      </c>
      <c r="AX303" s="32">
        <f t="shared" si="302"/>
        <v>2.13511418434663E-3</v>
      </c>
      <c r="AY303" s="32">
        <f t="shared" si="303"/>
        <v>1.5707963267948966</v>
      </c>
      <c r="AZ303" s="32" t="str">
        <f t="shared" si="278"/>
        <v>1+0.871096932849753i</v>
      </c>
      <c r="BA303" s="32">
        <f t="shared" si="304"/>
        <v>1.3262012918181942</v>
      </c>
      <c r="BB303" s="32">
        <f t="shared" si="305"/>
        <v>0.71661513239530195</v>
      </c>
      <c r="BC303" s="32" t="str">
        <f t="shared" si="279"/>
        <v>1+41.8126527767882i</v>
      </c>
      <c r="BD303" s="32">
        <f t="shared" si="306"/>
        <v>41.824609170107664</v>
      </c>
      <c r="BE303" s="32">
        <f t="shared" si="307"/>
        <v>1.5468846795451019</v>
      </c>
      <c r="BF303" s="59" t="str">
        <f t="shared" si="308"/>
        <v>-0.363415200781013+0.332181834288095i</v>
      </c>
      <c r="BG303" s="50">
        <f t="shared" si="309"/>
        <v>-6.1543983134834335</v>
      </c>
      <c r="BH303" s="61">
        <f t="shared" si="310"/>
        <v>137.57094090992169</v>
      </c>
      <c r="BI303" s="59" t="str">
        <f t="shared" si="311"/>
        <v>0.219035496601766+0.0401870214368268i</v>
      </c>
      <c r="BJ303" s="64">
        <f t="shared" si="312"/>
        <v>-13.045923572093617</v>
      </c>
      <c r="BK303" s="61">
        <f t="shared" si="313"/>
        <v>10.396579916458714</v>
      </c>
      <c r="BL303" s="59" t="str">
        <f t="shared" si="265"/>
        <v>1.14862472098093+0.968636383349213i</v>
      </c>
      <c r="BM303" s="64">
        <f t="shared" si="314"/>
        <v>3.5364607164758839</v>
      </c>
      <c r="BN303" s="61">
        <f t="shared" si="266"/>
        <v>40.14096900862252</v>
      </c>
      <c r="BO303" s="50">
        <f t="shared" si="315"/>
        <v>-13.045923572093617</v>
      </c>
      <c r="BP303" s="61">
        <f t="shared" si="316"/>
        <v>10.396579916458714</v>
      </c>
    </row>
    <row r="304" spans="14:68" x14ac:dyDescent="0.25">
      <c r="N304" s="11">
        <v>86</v>
      </c>
      <c r="O304" s="51">
        <f t="shared" si="317"/>
        <v>7244.3596007499036</v>
      </c>
      <c r="P304" s="49" t="str">
        <f t="shared" si="267"/>
        <v>25.6231073841137</v>
      </c>
      <c r="Q304" s="18" t="str">
        <f t="shared" si="268"/>
        <v>1+39.3627509305761i</v>
      </c>
      <c r="R304" s="18">
        <f t="shared" si="280"/>
        <v>39.375451245954878</v>
      </c>
      <c r="S304" s="18">
        <f t="shared" si="281"/>
        <v>1.5453970615955881</v>
      </c>
      <c r="T304" s="18" t="str">
        <f t="shared" si="269"/>
        <v>1+0.0409658884230215i</v>
      </c>
      <c r="U304" s="18">
        <f t="shared" si="282"/>
        <v>1.0008387502561478</v>
      </c>
      <c r="V304" s="18">
        <f t="shared" si="283"/>
        <v>4.0942995097606315E-2</v>
      </c>
      <c r="W304" s="32" t="str">
        <f t="shared" si="270"/>
        <v>1-0.917939351701037i</v>
      </c>
      <c r="X304" s="18">
        <f t="shared" si="284"/>
        <v>1.3574286918292688</v>
      </c>
      <c r="Y304" s="18">
        <f t="shared" si="285"/>
        <v>-0.74263840200256348</v>
      </c>
      <c r="Z304" s="32" t="str">
        <f t="shared" si="271"/>
        <v>0.998687981349376+0.0726765205726937i</v>
      </c>
      <c r="AA304" s="18">
        <f t="shared" si="286"/>
        <v>1.001328897382995</v>
      </c>
      <c r="AB304" s="18">
        <f t="shared" si="287"/>
        <v>7.2643944328653551E-2</v>
      </c>
      <c r="AC304" s="32" t="str">
        <f>IMDIV(IMSUM(COMPLEX(0,2*PI()*O304*Constants!$B$71*Constants!$B$72),COMPLEX(1,0)),IMSUM(COMPLEX(0,2*PI()*O304*Constants!$B$71*Constants!$B$72),COMPLEX(2,0)))</f>
        <v>0.504109655147545+0.045143530082843i</v>
      </c>
      <c r="AD304" s="18">
        <f t="shared" si="288"/>
        <v>0.50612694328727192</v>
      </c>
      <c r="AE304" s="18">
        <f t="shared" si="289"/>
        <v>8.931277654836299E-2</v>
      </c>
      <c r="AF304" s="66" t="str">
        <f t="shared" si="290"/>
        <v>-0.273844938910517-0.353116887304199i</v>
      </c>
      <c r="AG304" s="64">
        <f t="shared" si="291"/>
        <v>-6.9965980615817989</v>
      </c>
      <c r="AH304" s="61">
        <f t="shared" si="292"/>
        <v>-127.79386088511423</v>
      </c>
      <c r="AI304" s="50" t="str">
        <f t="shared" si="272"/>
        <v>108.866083054159</v>
      </c>
      <c r="AJ304" s="50" t="str">
        <f t="shared" si="273"/>
        <v>1+37.2417167482014i</v>
      </c>
      <c r="AK304" s="50">
        <f t="shared" si="293"/>
        <v>37.255140133319379</v>
      </c>
      <c r="AL304" s="50">
        <f t="shared" si="294"/>
        <v>1.5439511688666829</v>
      </c>
      <c r="AM304" s="50" t="str">
        <f t="shared" si="274"/>
        <v>1+0.0409658884230215i</v>
      </c>
      <c r="AN304" s="50">
        <f t="shared" si="295"/>
        <v>1.0008387502561478</v>
      </c>
      <c r="AO304" s="50">
        <f t="shared" si="296"/>
        <v>4.0942995097606315E-2</v>
      </c>
      <c r="AP304" s="50" t="str">
        <f t="shared" si="275"/>
        <v>1-0.204407547862612i</v>
      </c>
      <c r="AQ304" s="50">
        <f t="shared" si="297"/>
        <v>1.0206774444569675</v>
      </c>
      <c r="AR304" s="50">
        <f t="shared" si="298"/>
        <v>-0.20162997220060255</v>
      </c>
      <c r="AS304" s="59" t="str">
        <f t="shared" si="299"/>
        <v>-0.398339569365444-2.95840385915162i</v>
      </c>
      <c r="AT304" s="50">
        <f t="shared" si="300"/>
        <v>9.4991805140353609</v>
      </c>
      <c r="AU304" s="61">
        <f t="shared" si="301"/>
        <v>-97.668571361068146</v>
      </c>
      <c r="AV304" s="32" t="str">
        <f t="shared" si="276"/>
        <v>-0.0000333333333333333</v>
      </c>
      <c r="AW304" s="32" t="str">
        <f t="shared" si="277"/>
        <v>0.00218484738256114i</v>
      </c>
      <c r="AX304" s="32">
        <f t="shared" si="302"/>
        <v>2.1848473825611401E-3</v>
      </c>
      <c r="AY304" s="32">
        <f t="shared" si="303"/>
        <v>1.5707963267948966</v>
      </c>
      <c r="AZ304" s="32" t="str">
        <f t="shared" si="278"/>
        <v>1+0.891387386982413i</v>
      </c>
      <c r="BA304" s="32">
        <f t="shared" si="304"/>
        <v>1.3396161665459752</v>
      </c>
      <c r="BB304" s="32">
        <f t="shared" si="305"/>
        <v>0.72803632308447097</v>
      </c>
      <c r="BC304" s="32" t="str">
        <f t="shared" si="279"/>
        <v>1+42.7865945751559i</v>
      </c>
      <c r="BD304" s="32">
        <f t="shared" si="306"/>
        <v>42.798278882903226</v>
      </c>
      <c r="BE304" s="32">
        <f t="shared" si="307"/>
        <v>1.5474287746646744</v>
      </c>
      <c r="BF304" s="59" t="str">
        <f t="shared" si="308"/>
        <v>-0.356173186812733+0.332744882075495i</v>
      </c>
      <c r="BG304" s="50">
        <f t="shared" si="309"/>
        <v>-6.2419287213301944</v>
      </c>
      <c r="BH304" s="61">
        <f t="shared" si="310"/>
        <v>136.94772924042323</v>
      </c>
      <c r="BI304" s="59" t="str">
        <f t="shared" si="311"/>
        <v>0.215034061609199+0.0346502651637782i</v>
      </c>
      <c r="BJ304" s="64">
        <f t="shared" si="312"/>
        <v>-13.238526782911977</v>
      </c>
      <c r="BK304" s="61">
        <f t="shared" si="313"/>
        <v>9.1538683553089939</v>
      </c>
      <c r="BL304" s="59" t="str">
        <f t="shared" si="265"/>
        <v>1.1262716170996+0.921158677358612i</v>
      </c>
      <c r="BM304" s="64">
        <f t="shared" si="314"/>
        <v>3.2572517927051807</v>
      </c>
      <c r="BN304" s="61">
        <f t="shared" si="266"/>
        <v>39.27915787935499</v>
      </c>
      <c r="BO304" s="50">
        <f t="shared" si="315"/>
        <v>-13.238526782911977</v>
      </c>
      <c r="BP304" s="61">
        <f t="shared" si="316"/>
        <v>9.1538683553089939</v>
      </c>
    </row>
    <row r="305" spans="14:68" x14ac:dyDescent="0.25">
      <c r="N305" s="11">
        <v>87</v>
      </c>
      <c r="O305" s="51">
        <f t="shared" si="317"/>
        <v>7413.1024130091773</v>
      </c>
      <c r="P305" s="49" t="str">
        <f t="shared" si="267"/>
        <v>25.6231073841137</v>
      </c>
      <c r="Q305" s="18" t="str">
        <f t="shared" si="268"/>
        <v>1+40.2796271841512i</v>
      </c>
      <c r="R305" s="18">
        <f t="shared" si="280"/>
        <v>40.292038495144581</v>
      </c>
      <c r="S305" s="18">
        <f t="shared" si="281"/>
        <v>1.5459749792545554</v>
      </c>
      <c r="T305" s="18" t="str">
        <f t="shared" si="269"/>
        <v>1+0.0419201065458332i</v>
      </c>
      <c r="U305" s="18">
        <f t="shared" si="282"/>
        <v>1.0008782619943417</v>
      </c>
      <c r="V305" s="18">
        <f t="shared" si="283"/>
        <v>4.189557706810431E-2</v>
      </c>
      <c r="W305" s="32" t="str">
        <f t="shared" si="270"/>
        <v>1-0.939320905934409i</v>
      </c>
      <c r="X305" s="18">
        <f t="shared" si="284"/>
        <v>1.3719780480479413</v>
      </c>
      <c r="Y305" s="18">
        <f t="shared" si="285"/>
        <v>-0.75411953175443447</v>
      </c>
      <c r="Z305" s="32" t="str">
        <f t="shared" si="271"/>
        <v>0.998626147815356+0.0743693742053854i</v>
      </c>
      <c r="AA305" s="18">
        <f t="shared" si="286"/>
        <v>1.0013915252888042</v>
      </c>
      <c r="AB305" s="18">
        <f t="shared" si="287"/>
        <v>7.4334469490237587E-2</v>
      </c>
      <c r="AC305" s="32" t="str">
        <f>IMDIV(IMSUM(COMPLEX(0,2*PI()*O305*Constants!$B$71*Constants!$B$72),COMPLEX(1,0)),IMSUM(COMPLEX(0,2*PI()*O305*Constants!$B$71*Constants!$B$72),COMPLEX(2,0)))</f>
        <v>0.504301670914497+0.0461771705996794i</v>
      </c>
      <c r="AD305" s="18">
        <f t="shared" si="288"/>
        <v>0.50641140031771159</v>
      </c>
      <c r="AE305" s="18">
        <f t="shared" si="289"/>
        <v>9.1311931192209983E-2</v>
      </c>
      <c r="AF305" s="66" t="str">
        <f t="shared" si="290"/>
        <v>-0.274381793850589-0.346028171402538i</v>
      </c>
      <c r="AG305" s="64">
        <f t="shared" si="291"/>
        <v>-7.0991892339349416</v>
      </c>
      <c r="AH305" s="61">
        <f t="shared" si="292"/>
        <v>-128.41253131338658</v>
      </c>
      <c r="AI305" s="50" t="str">
        <f t="shared" si="272"/>
        <v>108.866083054159</v>
      </c>
      <c r="AJ305" s="50" t="str">
        <f t="shared" si="273"/>
        <v>1+38.1091877689393i</v>
      </c>
      <c r="AK305" s="50">
        <f t="shared" si="293"/>
        <v>38.122305706872886</v>
      </c>
      <c r="AL305" s="50">
        <f t="shared" si="294"/>
        <v>1.5445619556647985</v>
      </c>
      <c r="AM305" s="50" t="str">
        <f t="shared" si="274"/>
        <v>1+0.0419201065458332i</v>
      </c>
      <c r="AN305" s="50">
        <f t="shared" si="295"/>
        <v>1.0008782619943417</v>
      </c>
      <c r="AO305" s="50">
        <f t="shared" si="296"/>
        <v>4.189557706810431E-2</v>
      </c>
      <c r="AP305" s="50" t="str">
        <f t="shared" si="275"/>
        <v>1-0.209168811297103i</v>
      </c>
      <c r="AQ305" s="50">
        <f t="shared" si="297"/>
        <v>1.0216416160373671</v>
      </c>
      <c r="AR305" s="50">
        <f t="shared" si="298"/>
        <v>-0.20619597977083484</v>
      </c>
      <c r="AS305" s="59" t="str">
        <f t="shared" si="299"/>
        <v>-0.401882841557964-2.89228271210496i</v>
      </c>
      <c r="AT305" s="50">
        <f t="shared" si="300"/>
        <v>9.307865402744433</v>
      </c>
      <c r="AU305" s="61">
        <f t="shared" si="301"/>
        <v>-97.910600903231867</v>
      </c>
      <c r="AV305" s="32" t="str">
        <f t="shared" si="276"/>
        <v>-0.0000333333333333333</v>
      </c>
      <c r="AW305" s="32" t="str">
        <f t="shared" si="277"/>
        <v>0.00223573901577777i</v>
      </c>
      <c r="AX305" s="32">
        <f t="shared" si="302"/>
        <v>2.2357390157777702E-3</v>
      </c>
      <c r="AY305" s="32">
        <f t="shared" si="303"/>
        <v>1.5707963267948966</v>
      </c>
      <c r="AZ305" s="32" t="str">
        <f t="shared" si="278"/>
        <v>1+0.912150466506555i</v>
      </c>
      <c r="BA305" s="32">
        <f t="shared" si="304"/>
        <v>1.3535207695296463</v>
      </c>
      <c r="BB305" s="32">
        <f t="shared" si="305"/>
        <v>0.7394876537335231</v>
      </c>
      <c r="BC305" s="32" t="str">
        <f t="shared" si="279"/>
        <v>1+43.7832223923147i</v>
      </c>
      <c r="BD305" s="32">
        <f t="shared" si="306"/>
        <v>43.794640802898336</v>
      </c>
      <c r="BE305" s="32">
        <f t="shared" si="307"/>
        <v>1.5479604980390127</v>
      </c>
      <c r="BF305" s="59" t="str">
        <f t="shared" si="308"/>
        <v>-0.348892901447016+0.333152136066552i</v>
      </c>
      <c r="BG305" s="50">
        <f t="shared" si="309"/>
        <v>-6.3317263221219102</v>
      </c>
      <c r="BH305" s="61">
        <f t="shared" si="310"/>
        <v>136.3220818296418</v>
      </c>
      <c r="BI305" s="59" t="str">
        <f t="shared" si="311"/>
        <v>0.211009884602728+0.0293158919839408i</v>
      </c>
      <c r="BJ305" s="64">
        <f t="shared" si="312"/>
        <v>-13.430915556056833</v>
      </c>
      <c r="BK305" s="61">
        <f t="shared" si="313"/>
        <v>7.9095505162552042</v>
      </c>
      <c r="BL305" s="59" t="str">
        <f t="shared" si="265"/>
        <v>1.10378423427906+0.875208780117813i</v>
      </c>
      <c r="BM305" s="64">
        <f t="shared" si="314"/>
        <v>2.9761390806225387</v>
      </c>
      <c r="BN305" s="61">
        <f t="shared" si="266"/>
        <v>38.411480926409865</v>
      </c>
      <c r="BO305" s="50">
        <f t="shared" si="315"/>
        <v>-13.430915556056833</v>
      </c>
      <c r="BP305" s="61">
        <f t="shared" si="316"/>
        <v>7.9095505162552042</v>
      </c>
    </row>
    <row r="306" spans="14:68" x14ac:dyDescent="0.25">
      <c r="N306" s="11">
        <v>88</v>
      </c>
      <c r="O306" s="51">
        <f t="shared" si="317"/>
        <v>7585.7757502918394</v>
      </c>
      <c r="P306" s="49" t="str">
        <f t="shared" si="267"/>
        <v>25.6231073841137</v>
      </c>
      <c r="Q306" s="18" t="str">
        <f t="shared" si="268"/>
        <v>1+41.2178602292233i</v>
      </c>
      <c r="R306" s="18">
        <f t="shared" si="280"/>
        <v>41.229989108363682</v>
      </c>
      <c r="S306" s="18">
        <f t="shared" si="281"/>
        <v>1.5465397579264057</v>
      </c>
      <c r="T306" s="18" t="str">
        <f t="shared" si="269"/>
        <v>1+0.0428965512640136i</v>
      </c>
      <c r="U306" s="18">
        <f t="shared" si="282"/>
        <v>1.0009196341916498</v>
      </c>
      <c r="V306" s="18">
        <f t="shared" si="283"/>
        <v>4.2870268759179715E-2</v>
      </c>
      <c r="W306" s="32" t="str">
        <f t="shared" si="270"/>
        <v>1-0.961200500545491i</v>
      </c>
      <c r="X306" s="18">
        <f t="shared" si="284"/>
        <v>1.3870495312889524</v>
      </c>
      <c r="Y306" s="18">
        <f t="shared" si="285"/>
        <v>-0.76561719825023644</v>
      </c>
      <c r="Z306" s="32" t="str">
        <f t="shared" si="271"/>
        <v>0.998561400156657+0.076101659464676i</v>
      </c>
      <c r="AA306" s="18">
        <f t="shared" si="286"/>
        <v>1.0014571046510683</v>
      </c>
      <c r="AB306" s="18">
        <f t="shared" si="287"/>
        <v>7.6064259913488266E-2</v>
      </c>
      <c r="AC306" s="32" t="str">
        <f>IMDIV(IMSUM(COMPLEX(0,2*PI()*O306*Constants!$B$71*Constants!$B$72),COMPLEX(1,0)),IMSUM(COMPLEX(0,2*PI()*O306*Constants!$B$71*Constants!$B$72),COMPLEX(2,0)))</f>
        <v>0.504502576790557+0.0472336235908679i</v>
      </c>
      <c r="AD306" s="18">
        <f t="shared" si="288"/>
        <v>0.50670885643122088</v>
      </c>
      <c r="AE306" s="18">
        <f t="shared" si="289"/>
        <v>9.3352023545619431E-2</v>
      </c>
      <c r="AF306" s="66" t="str">
        <f t="shared" si="290"/>
        <v>-0.274908823127378-0.339120500656519i</v>
      </c>
      <c r="AG306" s="64">
        <f t="shared" si="291"/>
        <v>-7.1992820352582676</v>
      </c>
      <c r="AH306" s="61">
        <f t="shared" si="292"/>
        <v>-129.03003380090311</v>
      </c>
      <c r="AI306" s="50" t="str">
        <f t="shared" si="272"/>
        <v>108.866083054159</v>
      </c>
      <c r="AJ306" s="50" t="str">
        <f t="shared" si="273"/>
        <v>1+38.996864785467i</v>
      </c>
      <c r="AK306" s="50">
        <f t="shared" si="293"/>
        <v>39.009684221946685</v>
      </c>
      <c r="AL306" s="50">
        <f t="shared" si="294"/>
        <v>1.5451588581770115</v>
      </c>
      <c r="AM306" s="50" t="str">
        <f t="shared" si="274"/>
        <v>1+0.0428965512640136i</v>
      </c>
      <c r="AN306" s="50">
        <f t="shared" si="295"/>
        <v>1.0009196341916498</v>
      </c>
      <c r="AO306" s="50">
        <f t="shared" si="296"/>
        <v>4.2870268759179715E-2</v>
      </c>
      <c r="AP306" s="50" t="str">
        <f t="shared" si="275"/>
        <v>1-0.214040978804021i</v>
      </c>
      <c r="AQ306" s="50">
        <f t="shared" si="297"/>
        <v>1.0226502533160511</v>
      </c>
      <c r="AR306" s="50">
        <f t="shared" si="298"/>
        <v>-0.2108593304967725</v>
      </c>
      <c r="AS306" s="59" t="str">
        <f t="shared" si="299"/>
        <v>-0.405266854762465-2.82768672562357i</v>
      </c>
      <c r="AT306" s="50">
        <f t="shared" si="300"/>
        <v>9.1169300304538385</v>
      </c>
      <c r="AU306" s="61">
        <f t="shared" si="301"/>
        <v>-98.1561454927228</v>
      </c>
      <c r="AV306" s="32" t="str">
        <f t="shared" si="276"/>
        <v>-0.0000333333333333333</v>
      </c>
      <c r="AW306" s="32" t="str">
        <f t="shared" si="277"/>
        <v>0.00228781606741406i</v>
      </c>
      <c r="AX306" s="32">
        <f t="shared" si="302"/>
        <v>2.2878160674140598E-3</v>
      </c>
      <c r="AY306" s="32">
        <f t="shared" si="303"/>
        <v>1.5707963267948966</v>
      </c>
      <c r="AZ306" s="32" t="str">
        <f t="shared" si="278"/>
        <v>1+0.933397180281779i</v>
      </c>
      <c r="BA306" s="32">
        <f t="shared" si="304"/>
        <v>1.3679291999800194</v>
      </c>
      <c r="BB306" s="32">
        <f t="shared" si="305"/>
        <v>0.75096318378962645</v>
      </c>
      <c r="BC306" s="32" t="str">
        <f t="shared" si="279"/>
        <v>1+44.8030646535254i</v>
      </c>
      <c r="BD306" s="32">
        <f t="shared" si="306"/>
        <v>44.81422321482296</v>
      </c>
      <c r="BE306" s="32">
        <f t="shared" si="307"/>
        <v>1.5484801303915268</v>
      </c>
      <c r="BF306" s="59" t="str">
        <f t="shared" si="308"/>
        <v>-0.341581814944483+0.333401438752313i</v>
      </c>
      <c r="BG306" s="50">
        <f t="shared" si="309"/>
        <v>-6.4238021520678599</v>
      </c>
      <c r="BH306" s="61">
        <f t="shared" si="310"/>
        <v>135.69435513044917</v>
      </c>
      <c r="BI306" s="59" t="str">
        <f t="shared" si="311"/>
        <v>0.20696711757739+0.0241823989427625i</v>
      </c>
      <c r="BJ306" s="64">
        <f t="shared" si="312"/>
        <v>-13.623084187326118</v>
      </c>
      <c r="BK306" s="61">
        <f t="shared" si="313"/>
        <v>6.6643213295460759</v>
      </c>
      <c r="BL306" s="59" t="str">
        <f t="shared" ref="BL306:BL369" si="318">IMPRODUCT(AS306,BF306)</f>
        <v>1.08118661045032+0.830769811376491i</v>
      </c>
      <c r="BM306" s="64">
        <f t="shared" si="314"/>
        <v>2.6931278783859809</v>
      </c>
      <c r="BN306" s="61">
        <f t="shared" ref="BN306:BN369" si="319">(180/PI())*IMARGUMENT(BL306)</f>
        <v>37.538209637726396</v>
      </c>
      <c r="BO306" s="50">
        <f t="shared" si="315"/>
        <v>-13.623084187326118</v>
      </c>
      <c r="BP306" s="61">
        <f t="shared" si="316"/>
        <v>6.6643213295460759</v>
      </c>
    </row>
    <row r="307" spans="14:68" x14ac:dyDescent="0.25">
      <c r="N307" s="11">
        <v>89</v>
      </c>
      <c r="O307" s="51">
        <f t="shared" si="317"/>
        <v>7762.4711662869322</v>
      </c>
      <c r="P307" s="49" t="str">
        <f t="shared" si="267"/>
        <v>25.6231073841137</v>
      </c>
      <c r="Q307" s="18" t="str">
        <f t="shared" si="268"/>
        <v>1+42.1779475293718i</v>
      </c>
      <c r="R307" s="18">
        <f t="shared" si="280"/>
        <v>42.189800399983419</v>
      </c>
      <c r="S307" s="18">
        <f t="shared" si="281"/>
        <v>1.5470916956222394</v>
      </c>
      <c r="T307" s="18" t="str">
        <f t="shared" si="269"/>
        <v>1+0.0438957403014773i</v>
      </c>
      <c r="U307" s="18">
        <f t="shared" si="282"/>
        <v>1.0009629543677501</v>
      </c>
      <c r="V307" s="18">
        <f t="shared" si="283"/>
        <v>4.386757955320518E-2</v>
      </c>
      <c r="W307" s="32" t="str">
        <f t="shared" si="270"/>
        <v>1-0.983589736384955i</v>
      </c>
      <c r="X307" s="18">
        <f t="shared" si="284"/>
        <v>1.4026577520984316</v>
      </c>
      <c r="Y307" s="18">
        <f t="shared" si="285"/>
        <v>-0.77712533916288462</v>
      </c>
      <c r="Z307" s="32" t="str">
        <f t="shared" si="271"/>
        <v>0.998493601034814+0.0778742948311393i</v>
      </c>
      <c r="AA307" s="18">
        <f t="shared" si="286"/>
        <v>1.0015257745574588</v>
      </c>
      <c r="AB307" s="18">
        <f t="shared" si="287"/>
        <v>7.7834222200868095E-2</v>
      </c>
      <c r="AC307" s="32" t="str">
        <f>IMDIV(IMSUM(COMPLEX(0,2*PI()*O307*Constants!$B$71*Constants!$B$72),COMPLEX(1,0)),IMSUM(COMPLEX(0,2*PI()*O307*Constants!$B$71*Constants!$B$72),COMPLEX(2,0)))</f>
        <v>0.504712776595677+0.0483133318515466i</v>
      </c>
      <c r="AD307" s="18">
        <f t="shared" si="288"/>
        <v>0.50701988609276016</v>
      </c>
      <c r="AE307" s="18">
        <f t="shared" si="289"/>
        <v>9.5433625797025523E-2</v>
      </c>
      <c r="AF307" s="66" t="str">
        <f t="shared" si="290"/>
        <v>-0.275427119866775-0.332390158613229i</v>
      </c>
      <c r="AG307" s="64">
        <f t="shared" si="291"/>
        <v>-7.2968618069044364</v>
      </c>
      <c r="AH307" s="61">
        <f t="shared" si="292"/>
        <v>-129.64602805173828</v>
      </c>
      <c r="AI307" s="50" t="str">
        <f t="shared" si="272"/>
        <v>108.866083054159</v>
      </c>
      <c r="AJ307" s="50" t="str">
        <f t="shared" si="273"/>
        <v>1+39.9052184558885i</v>
      </c>
      <c r="AK307" s="50">
        <f t="shared" si="293"/>
        <v>39.917746179013967</v>
      </c>
      <c r="AL307" s="50">
        <f t="shared" si="294"/>
        <v>1.545742191186585</v>
      </c>
      <c r="AM307" s="50" t="str">
        <f t="shared" si="274"/>
        <v>1+0.0438957403014773i</v>
      </c>
      <c r="AN307" s="50">
        <f t="shared" si="295"/>
        <v>1.0009629543677501</v>
      </c>
      <c r="AO307" s="50">
        <f t="shared" si="296"/>
        <v>4.386757955320518E-2</v>
      </c>
      <c r="AP307" s="50" t="str">
        <f t="shared" si="275"/>
        <v>1-0.219026633671068i</v>
      </c>
      <c r="AQ307" s="50">
        <f t="shared" si="297"/>
        <v>1.0237053610572135</v>
      </c>
      <c r="AR307" s="50">
        <f t="shared" si="298"/>
        <v>-0.21562168526575193</v>
      </c>
      <c r="AS307" s="59" t="str">
        <f t="shared" si="299"/>
        <v>-0.408498757955995-2.7645822077298i</v>
      </c>
      <c r="AT307" s="50">
        <f t="shared" si="300"/>
        <v>8.9263913474323644</v>
      </c>
      <c r="AU307" s="61">
        <f t="shared" si="301"/>
        <v>-98.405289141668035</v>
      </c>
      <c r="AV307" s="32" t="str">
        <f t="shared" si="276"/>
        <v>-0.0000333333333333333</v>
      </c>
      <c r="AW307" s="32" t="str">
        <f t="shared" si="277"/>
        <v>0.00234110614941212i</v>
      </c>
      <c r="AX307" s="32">
        <f t="shared" si="302"/>
        <v>2.3411061494121202E-3</v>
      </c>
      <c r="AY307" s="32">
        <f t="shared" si="303"/>
        <v>1.5707963267948966</v>
      </c>
      <c r="AZ307" s="32" t="str">
        <f t="shared" si="278"/>
        <v>1+0.95513879359696i</v>
      </c>
      <c r="BA307" s="32">
        <f t="shared" si="304"/>
        <v>1.3828557824422096</v>
      </c>
      <c r="BB307" s="32">
        <f t="shared" si="305"/>
        <v>0.762456909249288</v>
      </c>
      <c r="BC307" s="32" t="str">
        <f t="shared" si="279"/>
        <v>1+45.8466620926542i</v>
      </c>
      <c r="BD307" s="32">
        <f t="shared" si="306"/>
        <v>45.857566715189058</v>
      </c>
      <c r="BE307" s="32">
        <f t="shared" si="307"/>
        <v>1.5489879461150449</v>
      </c>
      <c r="BF307" s="59" t="str">
        <f t="shared" si="308"/>
        <v>-0.334247526416473+0.333491062761413i</v>
      </c>
      <c r="BG307" s="50">
        <f t="shared" si="309"/>
        <v>-6.518164878809289</v>
      </c>
      <c r="BH307" s="61">
        <f t="shared" si="310"/>
        <v>135.06490886845631</v>
      </c>
      <c r="BI307" s="59" t="str">
        <f t="shared" si="311"/>
        <v>0.202909980770843+0.019248105403965i</v>
      </c>
      <c r="BJ307" s="64">
        <f t="shared" si="312"/>
        <v>-13.815026685713738</v>
      </c>
      <c r="BK307" s="61">
        <f t="shared" si="313"/>
        <v>5.4188808167180413</v>
      </c>
      <c r="BL307" s="59" t="str">
        <f t="shared" si="318"/>
        <v>1.0585031579381+0.787824079581215i</v>
      </c>
      <c r="BM307" s="64">
        <f t="shared" si="314"/>
        <v>2.4082264686230896</v>
      </c>
      <c r="BN307" s="61">
        <f t="shared" si="319"/>
        <v>36.6596197267882</v>
      </c>
      <c r="BO307" s="50">
        <f t="shared" si="315"/>
        <v>-13.815026685713738</v>
      </c>
      <c r="BP307" s="61">
        <f t="shared" si="316"/>
        <v>5.4188808167180413</v>
      </c>
    </row>
    <row r="308" spans="14:68" x14ac:dyDescent="0.25">
      <c r="N308" s="11">
        <v>90</v>
      </c>
      <c r="O308" s="51">
        <f t="shared" si="317"/>
        <v>7943.2823472428154</v>
      </c>
      <c r="P308" s="49" t="str">
        <f t="shared" si="267"/>
        <v>25.6231073841137</v>
      </c>
      <c r="Q308" s="18" t="str">
        <f t="shared" si="268"/>
        <v>1+43.1603981355915i</v>
      </c>
      <c r="R308" s="18">
        <f t="shared" si="280"/>
        <v>43.171981275160057</v>
      </c>
      <c r="S308" s="18">
        <f t="shared" si="281"/>
        <v>1.5476310836408398</v>
      </c>
      <c r="T308" s="18" t="str">
        <f t="shared" si="269"/>
        <v>1+0.0449182034414775i</v>
      </c>
      <c r="U308" s="18">
        <f t="shared" si="282"/>
        <v>1.0010083141514909</v>
      </c>
      <c r="V308" s="18">
        <f t="shared" si="283"/>
        <v>4.4888030297412368E-2</v>
      </c>
      <c r="W308" s="32" t="str">
        <f t="shared" si="270"/>
        <v>1-1.006500484522i</v>
      </c>
      <c r="X308" s="18">
        <f t="shared" si="284"/>
        <v>1.4188175447685376</v>
      </c>
      <c r="Y308" s="18">
        <f t="shared" si="285"/>
        <v>-0.78863786447393935</v>
      </c>
      <c r="Z308" s="32" t="str">
        <f t="shared" si="271"/>
        <v>0.9984226066388+0.0796882201795101i</v>
      </c>
      <c r="AA308" s="18">
        <f t="shared" si="286"/>
        <v>1.0015976806496678</v>
      </c>
      <c r="AB308" s="18">
        <f t="shared" si="287"/>
        <v>7.9645283501945663E-2</v>
      </c>
      <c r="AC308" s="32" t="str">
        <f>IMDIV(IMSUM(COMPLEX(0,2*PI()*O308*Constants!$B$71*Constants!$B$72),COMPLEX(1,0)),IMSUM(COMPLEX(0,2*PI()*O308*Constants!$B$71*Constants!$B$72),COMPLEX(2,0)))</f>
        <v>0.504932691749912+0.0494167423760047i</v>
      </c>
      <c r="AD308" s="18">
        <f t="shared" si="288"/>
        <v>0.50734508731717121</v>
      </c>
      <c r="AE308" s="18">
        <f t="shared" si="289"/>
        <v>9.7557298653538543E-2</v>
      </c>
      <c r="AF308" s="66" t="str">
        <f t="shared" si="290"/>
        <v>-0.275937756834925-0.325833511433946i</v>
      </c>
      <c r="AG308" s="64">
        <f t="shared" si="291"/>
        <v>-7.3919159853396401</v>
      </c>
      <c r="AH308" s="61">
        <f t="shared" si="292"/>
        <v>-130.26017297698741</v>
      </c>
      <c r="AI308" s="50" t="str">
        <f t="shared" si="272"/>
        <v>108.866083054159</v>
      </c>
      <c r="AJ308" s="50" t="str">
        <f t="shared" si="273"/>
        <v>1+40.8347304013433i</v>
      </c>
      <c r="AK308" s="50">
        <f t="shared" si="293"/>
        <v>40.846973045139968</v>
      </c>
      <c r="AL308" s="50">
        <f t="shared" si="294"/>
        <v>1.5463122623955319</v>
      </c>
      <c r="AM308" s="50" t="str">
        <f t="shared" si="274"/>
        <v>1+0.0449182034414775i</v>
      </c>
      <c r="AN308" s="50">
        <f t="shared" si="295"/>
        <v>1.0010083141514909</v>
      </c>
      <c r="AO308" s="50">
        <f t="shared" si="296"/>
        <v>4.4888030297412368E-2</v>
      </c>
      <c r="AP308" s="50" t="str">
        <f t="shared" si="275"/>
        <v>1-0.224128419358448i</v>
      </c>
      <c r="AQ308" s="50">
        <f t="shared" si="297"/>
        <v>1.0248090301925117</v>
      </c>
      <c r="AR308" s="50">
        <f t="shared" si="298"/>
        <v>-0.22048470466043535</v>
      </c>
      <c r="AS308" s="59" t="str">
        <f t="shared" si="299"/>
        <v>-0.4115853800156-2.70293622009922i</v>
      </c>
      <c r="AT308" s="50">
        <f t="shared" si="300"/>
        <v>8.736266939138531</v>
      </c>
      <c r="AU308" s="61">
        <f t="shared" si="301"/>
        <v>-98.658114782124201</v>
      </c>
      <c r="AV308" s="32" t="str">
        <f t="shared" si="276"/>
        <v>-0.0000333333333333333</v>
      </c>
      <c r="AW308" s="32" t="str">
        <f t="shared" si="277"/>
        <v>0.0023956375168788i</v>
      </c>
      <c r="AX308" s="32">
        <f t="shared" si="302"/>
        <v>2.3956375168788001E-3</v>
      </c>
      <c r="AY308" s="32">
        <f t="shared" si="303"/>
        <v>1.5707963267948966</v>
      </c>
      <c r="AZ308" s="32" t="str">
        <f t="shared" si="278"/>
        <v>1+0.977386834143261i</v>
      </c>
      <c r="BA308" s="32">
        <f t="shared" si="304"/>
        <v>1.3983150659120378</v>
      </c>
      <c r="BB308" s="32">
        <f t="shared" si="305"/>
        <v>0.77396277818873882</v>
      </c>
      <c r="BC308" s="32" t="str">
        <f t="shared" si="279"/>
        <v>1+46.9145680388766i</v>
      </c>
      <c r="BD308" s="32">
        <f t="shared" si="306"/>
        <v>46.925224498923626</v>
      </c>
      <c r="BE308" s="32">
        <f t="shared" si="307"/>
        <v>1.5494842134119535</v>
      </c>
      <c r="BF308" s="59" t="str">
        <f t="shared" si="308"/>
        <v>-0.326897732576145+0.333419720644476i</v>
      </c>
      <c r="BG308" s="50">
        <f t="shared" si="309"/>
        <v>-6.6148207664188474</v>
      </c>
      <c r="BH308" s="61">
        <f t="shared" si="310"/>
        <v>134.43410516021842</v>
      </c>
      <c r="BI308" s="59" t="str">
        <f t="shared" si="311"/>
        <v>0.1988427454004+0.0145111462859163i</v>
      </c>
      <c r="BJ308" s="64">
        <f t="shared" si="312"/>
        <v>-14.006736751758469</v>
      </c>
      <c r="BK308" s="61">
        <f t="shared" si="313"/>
        <v>4.1739321832309955</v>
      </c>
      <c r="BL308" s="59" t="str">
        <f t="shared" si="318"/>
        <v>1.03575856691391+0.746353039222219i</v>
      </c>
      <c r="BM308" s="64">
        <f t="shared" si="314"/>
        <v>2.1214461727196907</v>
      </c>
      <c r="BN308" s="61">
        <f t="shared" si="319"/>
        <v>35.775990378094157</v>
      </c>
      <c r="BO308" s="50">
        <f t="shared" si="315"/>
        <v>-14.006736751758469</v>
      </c>
      <c r="BP308" s="61">
        <f t="shared" si="316"/>
        <v>4.1739321832309955</v>
      </c>
    </row>
    <row r="309" spans="14:68" x14ac:dyDescent="0.25">
      <c r="N309" s="11">
        <v>91</v>
      </c>
      <c r="O309" s="51">
        <f t="shared" si="317"/>
        <v>8128.3051616410066</v>
      </c>
      <c r="P309" s="49" t="str">
        <f t="shared" si="267"/>
        <v>25.6231073841137</v>
      </c>
      <c r="Q309" s="18" t="str">
        <f t="shared" si="268"/>
        <v>1+44.1657329561982i</v>
      </c>
      <c r="R309" s="18">
        <f t="shared" si="280"/>
        <v>44.177052499665614</v>
      </c>
      <c r="S309" s="18">
        <f t="shared" si="281"/>
        <v>1.5481582067167214</v>
      </c>
      <c r="T309" s="18" t="str">
        <f t="shared" si="269"/>
        <v>1+0.0459644828075054i</v>
      </c>
      <c r="U309" s="18">
        <f t="shared" si="282"/>
        <v>1.0010558094730591</v>
      </c>
      <c r="V309" s="18">
        <f t="shared" si="283"/>
        <v>4.5932153542530205E-2</v>
      </c>
      <c r="W309" s="32" t="str">
        <f t="shared" si="270"/>
        <v>1-1.02994489253855i</v>
      </c>
      <c r="X309" s="18">
        <f t="shared" si="284"/>
        <v>1.4355439671658425</v>
      </c>
      <c r="Y309" s="18">
        <f t="shared" si="285"/>
        <v>-0.80014867255590771</v>
      </c>
      <c r="Z309" s="32" t="str">
        <f t="shared" si="271"/>
        <v>0.998348266379981+0.0815443972770187i</v>
      </c>
      <c r="AA309" s="18">
        <f t="shared" si="286"/>
        <v>1.0016729754321945</v>
      </c>
      <c r="AB309" s="18">
        <f t="shared" si="287"/>
        <v>8.1498391951448909E-2</v>
      </c>
      <c r="AC309" s="32" t="str">
        <f>IMDIV(IMSUM(COMPLEX(0,2*PI()*O309*Constants!$B$71*Constants!$B$72),COMPLEX(1,0)),IMSUM(COMPLEX(0,2*PI()*O309*Constants!$B$71*Constants!$B$72),COMPLEX(2,0)))</f>
        <v>0.505162761969321+0.0505443060443878i</v>
      </c>
      <c r="AD309" s="18">
        <f t="shared" si="288"/>
        <v>0.50768508246154087</v>
      </c>
      <c r="AE309" s="18">
        <f t="shared" si="289"/>
        <v>9.9723589580377137E-2</v>
      </c>
      <c r="AF309" s="66" t="str">
        <f t="shared" si="290"/>
        <v>-0.276441788497409-0.319447005702982i</v>
      </c>
      <c r="AG309" s="64">
        <f t="shared" si="291"/>
        <v>-7.4844341054681864</v>
      </c>
      <c r="AH309" s="61">
        <f t="shared" si="292"/>
        <v>-130.87212773699579</v>
      </c>
      <c r="AI309" s="50" t="str">
        <f t="shared" si="272"/>
        <v>108.866083054159</v>
      </c>
      <c r="AJ309" s="50" t="str">
        <f t="shared" si="273"/>
        <v>1+41.7858934613686i</v>
      </c>
      <c r="AK309" s="50">
        <f t="shared" si="293"/>
        <v>41.79785750926532</v>
      </c>
      <c r="AL309" s="50">
        <f t="shared" si="294"/>
        <v>1.5468693725802047</v>
      </c>
      <c r="AM309" s="50" t="str">
        <f t="shared" si="274"/>
        <v>1+0.0459644828075054i</v>
      </c>
      <c r="AN309" s="50">
        <f t="shared" si="295"/>
        <v>1.0010558094730591</v>
      </c>
      <c r="AO309" s="50">
        <f t="shared" si="296"/>
        <v>4.5932153542530205E-2</v>
      </c>
      <c r="AP309" s="50" t="str">
        <f t="shared" si="275"/>
        <v>1-0.229349040900462i</v>
      </c>
      <c r="AQ309" s="50">
        <f t="shared" si="297"/>
        <v>1.0259634411429881</v>
      </c>
      <c r="AR309" s="50">
        <f t="shared" si="298"/>
        <v>-0.22545004665566953</v>
      </c>
      <c r="AS309" s="59" t="str">
        <f t="shared" si="299"/>
        <v>-0.414533243979699-2.64271656306688i</v>
      </c>
      <c r="AT309" s="50">
        <f t="shared" si="300"/>
        <v>8.5465750454724034</v>
      </c>
      <c r="AU309" s="61">
        <f t="shared" si="301"/>
        <v>-98.914704129358952</v>
      </c>
      <c r="AV309" s="32" t="str">
        <f t="shared" si="276"/>
        <v>-0.0000333333333333333</v>
      </c>
      <c r="AW309" s="32" t="str">
        <f t="shared" si="277"/>
        <v>0.00245143908306695i</v>
      </c>
      <c r="AX309" s="32">
        <f t="shared" si="302"/>
        <v>2.4514390830669502E-3</v>
      </c>
      <c r="AY309" s="32">
        <f t="shared" si="303"/>
        <v>1.5707963267948966</v>
      </c>
      <c r="AZ309" s="32" t="str">
        <f t="shared" si="278"/>
        <v>1+1.00015309812627i</v>
      </c>
      <c r="BA309" s="32">
        <f t="shared" si="304"/>
        <v>1.4143218232395258</v>
      </c>
      <c r="BB309" s="32">
        <f t="shared" si="305"/>
        <v>0.78547470660112328</v>
      </c>
      <c r="BC309" s="32" t="str">
        <f t="shared" si="279"/>
        <v>1+48.0073487100612i</v>
      </c>
      <c r="BD309" s="32">
        <f t="shared" si="306"/>
        <v>48.017762652683167</v>
      </c>
      <c r="BE309" s="32">
        <f t="shared" si="307"/>
        <v>1.5499691944314118</v>
      </c>
      <c r="BF309" s="59" t="str">
        <f t="shared" si="308"/>
        <v>-0.319540195620297+0.333186571917623i</v>
      </c>
      <c r="BG309" s="50">
        <f t="shared" si="309"/>
        <v>-6.7137736503020484</v>
      </c>
      <c r="BH309" s="61">
        <f t="shared" si="310"/>
        <v>133.80230761369108</v>
      </c>
      <c r="BI309" s="59" t="str">
        <f t="shared" si="311"/>
        <v>0.194769715913613+0.0099694668484207i</v>
      </c>
      <c r="BJ309" s="64">
        <f t="shared" si="312"/>
        <v>-14.198207755770225</v>
      </c>
      <c r="BK309" s="61">
        <f t="shared" si="313"/>
        <v>2.9301798766952887</v>
      </c>
      <c r="BL309" s="59" t="str">
        <f t="shared" si="318"/>
        <v>1.01297770607057+0.706337257023902i</v>
      </c>
      <c r="BM309" s="64">
        <f t="shared" si="314"/>
        <v>1.8328013951703748</v>
      </c>
      <c r="BN309" s="61">
        <f t="shared" si="319"/>
        <v>34.887603484332033</v>
      </c>
      <c r="BO309" s="50">
        <f t="shared" si="315"/>
        <v>-14.198207755770225</v>
      </c>
      <c r="BP309" s="61">
        <f t="shared" si="316"/>
        <v>2.9301798766952887</v>
      </c>
    </row>
    <row r="310" spans="14:68" x14ac:dyDescent="0.25">
      <c r="N310" s="11">
        <v>92</v>
      </c>
      <c r="O310" s="51">
        <f t="shared" si="317"/>
        <v>8317.6377110267094</v>
      </c>
      <c r="P310" s="49" t="str">
        <f t="shared" si="267"/>
        <v>25.6231073841137</v>
      </c>
      <c r="Q310" s="18" t="str">
        <f t="shared" si="268"/>
        <v>1+45.1944850330207i</v>
      </c>
      <c r="R310" s="18">
        <f t="shared" si="280"/>
        <v>45.205546976006517</v>
      </c>
      <c r="S310" s="18">
        <f t="shared" si="281"/>
        <v>1.5486733431651181</v>
      </c>
      <c r="T310" s="18" t="str">
        <f t="shared" si="269"/>
        <v>1+0.0470351331507294i</v>
      </c>
      <c r="U310" s="18">
        <f t="shared" si="282"/>
        <v>1.0011055407650618</v>
      </c>
      <c r="V310" s="18">
        <f t="shared" si="283"/>
        <v>4.7000493784971557E-2</v>
      </c>
      <c r="W310" s="32" t="str">
        <f t="shared" si="270"/>
        <v>1-1.05393539097005i</v>
      </c>
      <c r="X310" s="18">
        <f t="shared" si="284"/>
        <v>1.4528523009374323</v>
      </c>
      <c r="Y310" s="18">
        <f t="shared" si="285"/>
        <v>-0.81165166632945174</v>
      </c>
      <c r="Z310" s="32" t="str">
        <f t="shared" si="271"/>
        <v>0.998270422572703+0.0834438102933309i</v>
      </c>
      <c r="AA310" s="18">
        <f t="shared" si="286"/>
        <v>1.00175181859568</v>
      </c>
      <c r="AB310" s="18">
        <f t="shared" si="287"/>
        <v>8.3394517114648306E-2</v>
      </c>
      <c r="AC310" s="32" t="str">
        <f>IMDIV(IMSUM(COMPLEX(0,2*PI()*O310*Constants!$B$71*Constants!$B$72),COMPLEX(1,0)),IMSUM(COMPLEX(0,2*PI()*O310*Constants!$B$71*Constants!$B$72),COMPLEX(2,0)))</f>
        <v>0.505403445982424+0.0516964772757967i</v>
      </c>
      <c r="AD310" s="18">
        <f t="shared" si="288"/>
        <v>0.50804051902740588</v>
      </c>
      <c r="AE310" s="18">
        <f t="shared" si="289"/>
        <v>0.10193303092357048</v>
      </c>
      <c r="AF310" s="66" t="str">
        <f t="shared" si="290"/>
        <v>-0.276940253023536-0.31322716622935i</v>
      </c>
      <c r="AG310" s="64">
        <f t="shared" si="291"/>
        <v>-7.5744077938685717</v>
      </c>
      <c r="AH310" s="61">
        <f t="shared" si="292"/>
        <v>-131.48155279460883</v>
      </c>
      <c r="AI310" s="50" t="str">
        <f t="shared" si="272"/>
        <v>108.866083054159</v>
      </c>
      <c r="AJ310" s="50" t="str">
        <f t="shared" si="273"/>
        <v>1+42.7592119552085i</v>
      </c>
      <c r="AK310" s="50">
        <f t="shared" si="293"/>
        <v>42.770903743438076</v>
      </c>
      <c r="AL310" s="50">
        <f t="shared" si="294"/>
        <v>1.5474138157437147</v>
      </c>
      <c r="AM310" s="50" t="str">
        <f t="shared" si="274"/>
        <v>1+0.0470351331507294i</v>
      </c>
      <c r="AN310" s="50">
        <f t="shared" si="295"/>
        <v>1.0011055407650618</v>
      </c>
      <c r="AO310" s="50">
        <f t="shared" si="296"/>
        <v>4.7000493784971557E-2</v>
      </c>
      <c r="AP310" s="50" t="str">
        <f t="shared" si="275"/>
        <v>1-0.234691266339755i</v>
      </c>
      <c r="AQ310" s="50">
        <f t="shared" si="297"/>
        <v>1.0271708672349298</v>
      </c>
      <c r="AR310" s="50">
        <f t="shared" si="298"/>
        <v>-0.2305193641506855</v>
      </c>
      <c r="AS310" s="59" t="str">
        <f t="shared" si="299"/>
        <v>-0.417348580680375-2.58389176086123i</v>
      </c>
      <c r="AT310" s="50">
        <f t="shared" si="300"/>
        <v>8.3573345799278052</v>
      </c>
      <c r="AU310" s="61">
        <f t="shared" si="301"/>
        <v>-99.175137535313169</v>
      </c>
      <c r="AV310" s="32" t="str">
        <f t="shared" si="276"/>
        <v>-0.0000333333333333333</v>
      </c>
      <c r="AW310" s="32" t="str">
        <f t="shared" si="277"/>
        <v>0.00250854043470556i</v>
      </c>
      <c r="AX310" s="32">
        <f t="shared" si="302"/>
        <v>2.5085404347055598E-3</v>
      </c>
      <c r="AY310" s="32">
        <f t="shared" si="303"/>
        <v>1.5707963267948966</v>
      </c>
      <c r="AZ310" s="32" t="str">
        <f t="shared" si="278"/>
        <v>1+1.0234496565205i</v>
      </c>
      <c r="BA310" s="32">
        <f t="shared" si="304"/>
        <v>1.4308910508602426</v>
      </c>
      <c r="BB310" s="32">
        <f t="shared" si="305"/>
        <v>0.79698659444004638</v>
      </c>
      <c r="BC310" s="32" t="str">
        <f t="shared" si="279"/>
        <v>1+49.1255835129841i</v>
      </c>
      <c r="BD310" s="32">
        <f t="shared" si="306"/>
        <v>49.135760455000337</v>
      </c>
      <c r="BE310" s="32">
        <f t="shared" si="307"/>
        <v>1.550443145403686</v>
      </c>
      <c r="BF310" s="59" t="str">
        <f t="shared" si="308"/>
        <v>-0.312182710524923+0.332791227280103i</v>
      </c>
      <c r="BG310" s="50">
        <f t="shared" si="309"/>
        <v>-6.8150249222272175</v>
      </c>
      <c r="BH310" s="61">
        <f t="shared" si="310"/>
        <v>133.16988041670018</v>
      </c>
      <c r="BI310" s="59" t="str">
        <f t="shared" si="311"/>
        <v>0.19069521190928+0.0056208190765543i</v>
      </c>
      <c r="BJ310" s="64">
        <f t="shared" si="312"/>
        <v>-14.389432716095776</v>
      </c>
      <c r="BK310" s="61">
        <f t="shared" si="313"/>
        <v>1.688327622091363</v>
      </c>
      <c r="BL310" s="59" t="str">
        <f t="shared" si="318"/>
        <v>0.990185521406484+0.667756387240444i</v>
      </c>
      <c r="BM310" s="64">
        <f t="shared" si="314"/>
        <v>1.5423096577005866</v>
      </c>
      <c r="BN310" s="61">
        <f t="shared" si="319"/>
        <v>33.99474288138704</v>
      </c>
      <c r="BO310" s="50">
        <f t="shared" si="315"/>
        <v>-14.389432716095776</v>
      </c>
      <c r="BP310" s="61">
        <f t="shared" si="316"/>
        <v>1.688327622091363</v>
      </c>
    </row>
    <row r="311" spans="14:68" x14ac:dyDescent="0.25">
      <c r="N311" s="11">
        <v>93</v>
      </c>
      <c r="O311" s="51">
        <f t="shared" si="317"/>
        <v>8511.3803820237772</v>
      </c>
      <c r="P311" s="49" t="str">
        <f t="shared" si="267"/>
        <v>25.6231073841137</v>
      </c>
      <c r="Q311" s="18" t="str">
        <f t="shared" si="268"/>
        <v>1+46.2471998240276i</v>
      </c>
      <c r="R311" s="18">
        <f t="shared" si="280"/>
        <v>46.258010025978621</v>
      </c>
      <c r="S311" s="18">
        <f t="shared" si="281"/>
        <v>1.5491767650239714</v>
      </c>
      <c r="T311" s="18" t="str">
        <f t="shared" si="269"/>
        <v>1+0.0481307221441336i</v>
      </c>
      <c r="U311" s="18">
        <f t="shared" si="282"/>
        <v>1.0011576131729287</v>
      </c>
      <c r="V311" s="18">
        <f t="shared" si="283"/>
        <v>4.8093607712517493E-2</v>
      </c>
      <c r="W311" s="32" t="str">
        <f t="shared" si="270"/>
        <v>1-1.07848469989633i</v>
      </c>
      <c r="X311" s="18">
        <f t="shared" si="284"/>
        <v>1.4707580521317829</v>
      </c>
      <c r="Y311" s="18">
        <f t="shared" si="285"/>
        <v>-0.82314076939125391</v>
      </c>
      <c r="Z311" s="32" t="str">
        <f t="shared" si="271"/>
        <v>0.998188910099812+0.0853874663223703i</v>
      </c>
      <c r="AA311" s="18">
        <f t="shared" si="286"/>
        <v>1.0018343773554612</v>
      </c>
      <c r="AB311" s="18">
        <f t="shared" si="287"/>
        <v>8.5334650440047177E-2</v>
      </c>
      <c r="AC311" s="32" t="str">
        <f>IMDIV(IMSUM(COMPLEX(0,2*PI()*O311*Constants!$B$71*Constants!$B$72),COMPLEX(1,0)),IMSUM(COMPLEX(0,2*PI()*O311*Constants!$B$71*Constants!$B$72),COMPLEX(2,0)))</f>
        <v>0.505655222267109+0.0528737136454782i</v>
      </c>
      <c r="AD311" s="18">
        <f t="shared" si="288"/>
        <v>0.50841207047105352</v>
      </c>
      <c r="AE311" s="18">
        <f t="shared" si="289"/>
        <v>0.10418613791106718</v>
      </c>
      <c r="AF311" s="66" t="str">
        <f t="shared" si="290"/>
        <v>-0.277434174238271-0.307170593839258i</v>
      </c>
      <c r="AG311" s="64">
        <f t="shared" si="291"/>
        <v>-7.6618307519737003</v>
      </c>
      <c r="AH311" s="61">
        <f t="shared" si="292"/>
        <v>-132.08811097375545</v>
      </c>
      <c r="AI311" s="50" t="str">
        <f t="shared" si="272"/>
        <v>108.866083054159</v>
      </c>
      <c r="AJ311" s="50" t="str">
        <f t="shared" si="273"/>
        <v>1+43.7552019492124i</v>
      </c>
      <c r="AK311" s="50">
        <f t="shared" si="293"/>
        <v>43.766627670136522</v>
      </c>
      <c r="AL311" s="50">
        <f t="shared" si="294"/>
        <v>1.5479458792652308</v>
      </c>
      <c r="AM311" s="50" t="str">
        <f t="shared" si="274"/>
        <v>1+0.0481307221441336i</v>
      </c>
      <c r="AN311" s="50">
        <f t="shared" si="295"/>
        <v>1.0011576131729287</v>
      </c>
      <c r="AO311" s="50">
        <f t="shared" si="296"/>
        <v>4.8093607712517493E-2</v>
      </c>
      <c r="AP311" s="50" t="str">
        <f t="shared" si="275"/>
        <v>1-0.240157928194967i</v>
      </c>
      <c r="AQ311" s="50">
        <f t="shared" si="297"/>
        <v>1.0284336782091974</v>
      </c>
      <c r="AR311" s="50">
        <f t="shared" si="298"/>
        <v>-0.23569430233025357</v>
      </c>
      <c r="AS311" s="59" t="str">
        <f t="shared" si="299"/>
        <v>-0.42003734177372-2.52643104706865i</v>
      </c>
      <c r="AT311" s="50">
        <f t="shared" si="300"/>
        <v>8.1685651485749595</v>
      </c>
      <c r="AU311" s="61">
        <f t="shared" si="301"/>
        <v>-99.439493831883908</v>
      </c>
      <c r="AV311" s="32" t="str">
        <f t="shared" si="276"/>
        <v>-0.0000333333333333333</v>
      </c>
      <c r="AW311" s="32" t="str">
        <f t="shared" si="277"/>
        <v>0.00256697184768712i</v>
      </c>
      <c r="AX311" s="32">
        <f t="shared" si="302"/>
        <v>2.5669718476871201E-3</v>
      </c>
      <c r="AY311" s="32">
        <f t="shared" si="303"/>
        <v>1.5707963267948966</v>
      </c>
      <c r="AZ311" s="32" t="str">
        <f t="shared" si="278"/>
        <v>1+1.04728886146957i</v>
      </c>
      <c r="BA311" s="32">
        <f t="shared" si="304"/>
        <v>1.4480379688938505</v>
      </c>
      <c r="BB311" s="32">
        <f t="shared" si="305"/>
        <v>0.80849234176657458</v>
      </c>
      <c r="BC311" s="32" t="str">
        <f t="shared" si="279"/>
        <v>1+50.2698653505396i</v>
      </c>
      <c r="BD311" s="32">
        <f t="shared" si="306"/>
        <v>50.279810683428217</v>
      </c>
      <c r="BE311" s="32">
        <f t="shared" si="307"/>
        <v>1.5509063167716601</v>
      </c>
      <c r="BF311" s="59" t="str">
        <f t="shared" si="308"/>
        <v>-0.304833072046304+0.332233749954368i</v>
      </c>
      <c r="BG311" s="50">
        <f t="shared" si="309"/>
        <v>-6.9185735256247227</v>
      </c>
      <c r="BH311" s="61">
        <f t="shared" si="310"/>
        <v>132.53718741932238</v>
      </c>
      <c r="BI311" s="59" t="str">
        <f t="shared" si="311"/>
        <v>0.186623549890608+0.00146275968963422i</v>
      </c>
      <c r="BJ311" s="64">
        <f t="shared" si="312"/>
        <v>-14.580404277598447</v>
      </c>
      <c r="BK311" s="61">
        <f t="shared" si="313"/>
        <v>0.4490764455669195</v>
      </c>
      <c r="BL311" s="59" t="str">
        <f t="shared" si="318"/>
        <v>0.967406934035804+0.630589156212749i</v>
      </c>
      <c r="BM311" s="64">
        <f t="shared" si="314"/>
        <v>1.2499916229502326</v>
      </c>
      <c r="BN311" s="61">
        <f t="shared" si="319"/>
        <v>33.097693587438457</v>
      </c>
      <c r="BO311" s="50">
        <f t="shared" si="315"/>
        <v>-14.580404277598447</v>
      </c>
      <c r="BP311" s="61">
        <f t="shared" si="316"/>
        <v>0.4490764455669195</v>
      </c>
    </row>
    <row r="312" spans="14:68" x14ac:dyDescent="0.25">
      <c r="N312" s="11">
        <v>94</v>
      </c>
      <c r="O312" s="51">
        <f t="shared" si="317"/>
        <v>8709.6358995608189</v>
      </c>
      <c r="P312" s="49" t="str">
        <f t="shared" si="267"/>
        <v>25.6231073841137</v>
      </c>
      <c r="Q312" s="18" t="str">
        <f t="shared" si="268"/>
        <v>1+47.3244354925351i</v>
      </c>
      <c r="R312" s="18">
        <f t="shared" si="280"/>
        <v>47.334999679804753</v>
      </c>
      <c r="S312" s="18">
        <f t="shared" si="281"/>
        <v>1.549668738192957</v>
      </c>
      <c r="T312" s="18" t="str">
        <f t="shared" si="269"/>
        <v>1+0.049251830683504i</v>
      </c>
      <c r="U312" s="18">
        <f t="shared" si="282"/>
        <v>1.0012121367750575</v>
      </c>
      <c r="V312" s="18">
        <f t="shared" si="283"/>
        <v>4.9212064453423E-2</v>
      </c>
      <c r="W312" s="32" t="str">
        <f t="shared" si="270"/>
        <v>1-1.10360583568592i</v>
      </c>
      <c r="X312" s="18">
        <f t="shared" si="284"/>
        <v>1.4892769522691263</v>
      </c>
      <c r="Y312" s="18">
        <f t="shared" si="285"/>
        <v>-0.83460994200857419</v>
      </c>
      <c r="Z312" s="32" t="str">
        <f t="shared" si="271"/>
        <v>0.998103556062427+0.0873763959162904i</v>
      </c>
      <c r="AA312" s="18">
        <f t="shared" si="286"/>
        <v>1.0019208268060817</v>
      </c>
      <c r="AB312" s="18">
        <f t="shared" si="287"/>
        <v>8.7319805719321797E-2</v>
      </c>
      <c r="AC312" s="32" t="str">
        <f>IMDIV(IMSUM(COMPLEX(0,2*PI()*O312*Constants!$B$71*Constants!$B$72),COMPLEX(1,0)),IMSUM(COMPLEX(0,2*PI()*O312*Constants!$B$71*Constants!$B$72),COMPLEX(2,0)))</f>
        <v>0.505918589807773+0.0540764754636767i</v>
      </c>
      <c r="AD312" s="18">
        <f t="shared" si="288"/>
        <v>0.50880043701991784</v>
      </c>
      <c r="AE312" s="18">
        <f t="shared" si="289"/>
        <v>0.10648340652742384</v>
      </c>
      <c r="AF312" s="66" t="str">
        <f t="shared" si="290"/>
        <v>-0.277924563523989-0.301273963157265i</v>
      </c>
      <c r="AG312" s="64">
        <f t="shared" si="291"/>
        <v>-7.746698729327294</v>
      </c>
      <c r="AH312" s="61">
        <f t="shared" si="292"/>
        <v>-132.69146851768531</v>
      </c>
      <c r="AI312" s="50" t="str">
        <f t="shared" si="272"/>
        <v>108.866083054159</v>
      </c>
      <c r="AJ312" s="50" t="str">
        <f t="shared" si="273"/>
        <v>1+44.7743915304582i</v>
      </c>
      <c r="AK312" s="50">
        <f t="shared" si="293"/>
        <v>44.785557235818416</v>
      </c>
      <c r="AL312" s="50">
        <f t="shared" si="294"/>
        <v>1.5484658440462018</v>
      </c>
      <c r="AM312" s="50" t="str">
        <f t="shared" si="274"/>
        <v>1+0.049251830683504i</v>
      </c>
      <c r="AN312" s="50">
        <f t="shared" si="295"/>
        <v>1.0012121367750575</v>
      </c>
      <c r="AO312" s="50">
        <f t="shared" si="296"/>
        <v>4.9212064453423E-2</v>
      </c>
      <c r="AP312" s="50" t="str">
        <f t="shared" si="275"/>
        <v>1-0.245751924962574i</v>
      </c>
      <c r="AQ312" s="50">
        <f t="shared" si="297"/>
        <v>1.0297543438232297</v>
      </c>
      <c r="AR312" s="50">
        <f t="shared" si="298"/>
        <v>-0.24097649584858541</v>
      </c>
      <c r="AS312" s="59" t="str">
        <f t="shared" si="299"/>
        <v>-0.422605212194389-2.47030435033136i</v>
      </c>
      <c r="AT312" s="50">
        <f t="shared" si="300"/>
        <v>7.9802870687981944</v>
      </c>
      <c r="AU312" s="61">
        <f t="shared" si="301"/>
        <v>-99.707850163678856</v>
      </c>
      <c r="AV312" s="32" t="str">
        <f t="shared" si="276"/>
        <v>-0.0000333333333333333</v>
      </c>
      <c r="AW312" s="32" t="str">
        <f t="shared" si="277"/>
        <v>0.00262676430312021i</v>
      </c>
      <c r="AX312" s="32">
        <f t="shared" si="302"/>
        <v>2.6267643031202101E-3</v>
      </c>
      <c r="AY312" s="32">
        <f t="shared" si="303"/>
        <v>1.5707963267948966</v>
      </c>
      <c r="AZ312" s="32" t="str">
        <f t="shared" si="278"/>
        <v>1+1.0716833528355i</v>
      </c>
      <c r="BA312" s="32">
        <f t="shared" si="304"/>
        <v>1.465778021647459</v>
      </c>
      <c r="BB312" s="32">
        <f t="shared" si="305"/>
        <v>0.81998586489555836</v>
      </c>
      <c r="BC312" s="32" t="str">
        <f t="shared" si="279"/>
        <v>1+51.4408009361043i</v>
      </c>
      <c r="BD312" s="32">
        <f t="shared" si="306"/>
        <v>51.450519928839483</v>
      </c>
      <c r="BE312" s="32">
        <f t="shared" si="307"/>
        <v>1.5513589533195637</v>
      </c>
      <c r="BF312" s="59" t="str">
        <f t="shared" si="308"/>
        <v>-0.297499041724075+0.331514654131461i</v>
      </c>
      <c r="BG312" s="50">
        <f t="shared" si="309"/>
        <v>-7.0244159612009636</v>
      </c>
      <c r="BH312" s="61">
        <f t="shared" si="310"/>
        <v>131.90459121614387</v>
      </c>
      <c r="BI312" s="59" t="str">
        <f t="shared" si="311"/>
        <v>0.182559025014864-0.00250735021559184i</v>
      </c>
      <c r="BJ312" s="64">
        <f t="shared" si="312"/>
        <v>-14.771114690528243</v>
      </c>
      <c r="BK312" s="61">
        <f t="shared" si="313"/>
        <v>-0.78687730154141822</v>
      </c>
      <c r="BL312" s="59" t="str">
        <f t="shared" si="318"/>
        <v>0.944666737954974+0.594813356235618i</v>
      </c>
      <c r="BM312" s="64">
        <f t="shared" si="314"/>
        <v>0.95587110759723193</v>
      </c>
      <c r="BN312" s="61">
        <f t="shared" si="319"/>
        <v>32.196741052465057</v>
      </c>
      <c r="BO312" s="50">
        <f t="shared" si="315"/>
        <v>-14.771114690528243</v>
      </c>
      <c r="BP312" s="61">
        <f t="shared" si="316"/>
        <v>-0.78687730154141822</v>
      </c>
    </row>
    <row r="313" spans="14:68" x14ac:dyDescent="0.25">
      <c r="N313" s="11">
        <v>95</v>
      </c>
      <c r="O313" s="51">
        <f t="shared" si="317"/>
        <v>8912.5093813374679</v>
      </c>
      <c r="P313" s="49" t="str">
        <f t="shared" si="267"/>
        <v>25.6231073841137</v>
      </c>
      <c r="Q313" s="18" t="str">
        <f t="shared" si="268"/>
        <v>1+48.4267632031538i</v>
      </c>
      <c r="R313" s="18">
        <f t="shared" si="280"/>
        <v>48.437086972012786</v>
      </c>
      <c r="S313" s="18">
        <f t="shared" si="281"/>
        <v>1.5501495225696074</v>
      </c>
      <c r="T313" s="18" t="str">
        <f t="shared" si="269"/>
        <v>1+0.0503990531954279i</v>
      </c>
      <c r="U313" s="18">
        <f t="shared" si="282"/>
        <v>1.0012692268131462</v>
      </c>
      <c r="V313" s="18">
        <f t="shared" si="283"/>
        <v>5.0356445828869147E-2</v>
      </c>
      <c r="W313" s="32" t="str">
        <f t="shared" si="270"/>
        <v>1-1.12931211789755i</v>
      </c>
      <c r="X313" s="18">
        <f t="shared" si="284"/>
        <v>1.5084249598936799</v>
      </c>
      <c r="Y313" s="18">
        <f t="shared" si="285"/>
        <v>-0.84605319687824498</v>
      </c>
      <c r="Z313" s="32" t="str">
        <f t="shared" si="271"/>
        <v>0.998014179413189+0.0894116536318886i</v>
      </c>
      <c r="AA313" s="18">
        <f t="shared" si="286"/>
        <v>1.0020113502924854</v>
      </c>
      <c r="AB313" s="18">
        <f t="shared" si="287"/>
        <v>8.9351019554461855E-2</v>
      </c>
      <c r="AC313" s="32" t="str">
        <f>IMDIV(IMSUM(COMPLEX(0,2*PI()*O313*Constants!$B$71*Constants!$B$72),COMPLEX(1,0)),IMSUM(COMPLEX(0,2*PI()*O313*Constants!$B$71*Constants!$B$72),COMPLEX(2,0)))</f>
        <v>0.506194068872367+0.0553052253135985i</v>
      </c>
      <c r="AD313" s="18">
        <f t="shared" si="288"/>
        <v>0.50920634649280494</v>
      </c>
      <c r="AE313" s="18">
        <f t="shared" si="289"/>
        <v>0.10882531125735216</v>
      </c>
      <c r="AF313" s="66" t="str">
        <f t="shared" si="290"/>
        <v>-0.278412421674106-0.295534020373754i</v>
      </c>
      <c r="AG313" s="64">
        <f t="shared" si="291"/>
        <v>-7.8290094871447398</v>
      </c>
      <c r="AH313" s="61">
        <f t="shared" si="292"/>
        <v>-133.29129614127672</v>
      </c>
      <c r="AI313" s="50" t="str">
        <f t="shared" si="272"/>
        <v>108.866083054159</v>
      </c>
      <c r="AJ313" s="50" t="str">
        <f t="shared" si="273"/>
        <v>1+45.8173210867526i</v>
      </c>
      <c r="AK313" s="50">
        <f t="shared" si="293"/>
        <v>45.828232690848814</v>
      </c>
      <c r="AL313" s="50">
        <f t="shared" si="294"/>
        <v>1.5489739846535577</v>
      </c>
      <c r="AM313" s="50" t="str">
        <f t="shared" si="274"/>
        <v>1+0.0503990531954279i</v>
      </c>
      <c r="AN313" s="50">
        <f t="shared" si="295"/>
        <v>1.0012692268131462</v>
      </c>
      <c r="AO313" s="50">
        <f t="shared" si="296"/>
        <v>5.0356445828869147E-2</v>
      </c>
      <c r="AP313" s="50" t="str">
        <f t="shared" si="275"/>
        <v>1-0.251476222653708i</v>
      </c>
      <c r="AQ313" s="50">
        <f t="shared" si="297"/>
        <v>1.0311354375445436</v>
      </c>
      <c r="AR313" s="50">
        <f t="shared" si="298"/>
        <v>-0.24636756582998248</v>
      </c>
      <c r="AS313" s="59" t="str">
        <f t="shared" si="299"/>
        <v>-0.425057622059255-2.41548228027989i</v>
      </c>
      <c r="AT313" s="50">
        <f t="shared" si="300"/>
        <v>7.7925213877026778</v>
      </c>
      <c r="AU313" s="61">
        <f t="shared" si="301"/>
        <v>-99.980281809906927</v>
      </c>
      <c r="AV313" s="32" t="str">
        <f t="shared" si="276"/>
        <v>-0.0000333333333333333</v>
      </c>
      <c r="AW313" s="32" t="str">
        <f t="shared" si="277"/>
        <v>0.00268794950375615i</v>
      </c>
      <c r="AX313" s="32">
        <f t="shared" si="302"/>
        <v>2.6879495037561499E-3</v>
      </c>
      <c r="AY313" s="32">
        <f t="shared" si="303"/>
        <v>1.5707963267948966</v>
      </c>
      <c r="AZ313" s="32" t="str">
        <f t="shared" si="278"/>
        <v>1+1.09664606490051i</v>
      </c>
      <c r="BA313" s="32">
        <f t="shared" si="304"/>
        <v>1.4841268785591661</v>
      </c>
      <c r="BB313" s="32">
        <f t="shared" si="305"/>
        <v>0.83146111243709842</v>
      </c>
      <c r="BC313" s="32" t="str">
        <f t="shared" si="279"/>
        <v>1+52.6390111152247i</v>
      </c>
      <c r="BD313" s="32">
        <f t="shared" si="306"/>
        <v>52.648508917050528</v>
      </c>
      <c r="BE313" s="32">
        <f t="shared" si="307"/>
        <v>1.5518012942989714</v>
      </c>
      <c r="BF313" s="59" t="str">
        <f t="shared" si="308"/>
        <v>-0.290188315182658+0.330634900539232i</v>
      </c>
      <c r="BG313" s="50">
        <f t="shared" si="309"/>
        <v>-7.1325463028213338</v>
      </c>
      <c r="BH313" s="61">
        <f t="shared" si="310"/>
        <v>131.27245223437151</v>
      </c>
      <c r="BI313" s="59" t="str">
        <f t="shared" si="311"/>
        <v>0.178505893003768-0.00629234389768778i</v>
      </c>
      <c r="BJ313" s="64">
        <f t="shared" si="312"/>
        <v>-14.961555789966079</v>
      </c>
      <c r="BK313" s="61">
        <f t="shared" si="313"/>
        <v>-2.0188439069052033</v>
      </c>
      <c r="BL313" s="59" t="str">
        <f t="shared" si="318"/>
        <v>0.921989498695541+0.560405848674982i</v>
      </c>
      <c r="BM313" s="64">
        <f t="shared" si="314"/>
        <v>0.65997508488134371</v>
      </c>
      <c r="BN313" s="61">
        <f t="shared" si="319"/>
        <v>31.292170424464587</v>
      </c>
      <c r="BO313" s="50">
        <f t="shared" si="315"/>
        <v>-14.961555789966079</v>
      </c>
      <c r="BP313" s="61">
        <f t="shared" si="316"/>
        <v>-2.0188439069052033</v>
      </c>
    </row>
    <row r="314" spans="14:68" x14ac:dyDescent="0.25">
      <c r="N314" s="11">
        <v>96</v>
      </c>
      <c r="O314" s="51">
        <f t="shared" si="317"/>
        <v>9120.1083935591087</v>
      </c>
      <c r="P314" s="49" t="str">
        <f t="shared" si="267"/>
        <v>25.6231073841137</v>
      </c>
      <c r="Q314" s="18" t="str">
        <f t="shared" si="268"/>
        <v>1+49.5547674246267i</v>
      </c>
      <c r="R314" s="18">
        <f t="shared" si="280"/>
        <v>49.564856244206368</v>
      </c>
      <c r="S314" s="18">
        <f t="shared" si="281"/>
        <v>1.5506193721825723</v>
      </c>
      <c r="T314" s="18" t="str">
        <f t="shared" si="269"/>
        <v>1+0.0515729979524663i</v>
      </c>
      <c r="U314" s="18">
        <f t="shared" si="282"/>
        <v>1.0013290039331755</v>
      </c>
      <c r="V314" s="18">
        <f t="shared" si="283"/>
        <v>5.1527346608664565E-2</v>
      </c>
      <c r="W314" s="32" t="str">
        <f t="shared" si="270"/>
        <v>1-1.1556171763423i</v>
      </c>
      <c r="X314" s="18">
        <f t="shared" si="284"/>
        <v>1.5282182626370326</v>
      </c>
      <c r="Y314" s="18">
        <f t="shared" si="285"/>
        <v>-0.85746461455050482</v>
      </c>
      <c r="Z314" s="32" t="str">
        <f t="shared" si="271"/>
        <v>0.997920590572243+0.0914943185897457i</v>
      </c>
      <c r="AA314" s="18">
        <f t="shared" si="286"/>
        <v>1.0021061397987023</v>
      </c>
      <c r="AB314" s="18">
        <f t="shared" si="287"/>
        <v>9.1429351832022415E-2</v>
      </c>
      <c r="AC314" s="32" t="str">
        <f>IMDIV(IMSUM(COMPLEX(0,2*PI()*O314*Constants!$B$71*Constants!$B$72),COMPLEX(1,0)),IMSUM(COMPLEX(0,2*PI()*O314*Constants!$B$71*Constants!$B$72),COMPLEX(2,0)))</f>
        <v>0.506482201808913+0.0565604275458101i</v>
      </c>
      <c r="AD314" s="18">
        <f t="shared" si="288"/>
        <v>0.50963055512142252</v>
      </c>
      <c r="AE314" s="18">
        <f t="shared" si="289"/>
        <v>0.11121230269352561</v>
      </c>
      <c r="AF314" s="66" t="str">
        <f t="shared" si="290"/>
        <v>-0.278898740700303-0.289947580996199i</v>
      </c>
      <c r="AG314" s="64">
        <f t="shared" si="291"/>
        <v>-7.9087627525031028</v>
      </c>
      <c r="AH314" s="61">
        <f t="shared" si="292"/>
        <v>-133.88727007197949</v>
      </c>
      <c r="AI314" s="50" t="str">
        <f t="shared" si="272"/>
        <v>108.866083054159</v>
      </c>
      <c r="AJ314" s="50" t="str">
        <f t="shared" si="273"/>
        <v>1+46.8845435931512i</v>
      </c>
      <c r="AK314" s="50">
        <f t="shared" si="293"/>
        <v>46.895206875949441</v>
      </c>
      <c r="AL314" s="50">
        <f t="shared" si="294"/>
        <v>1.5494705694599296</v>
      </c>
      <c r="AM314" s="50" t="str">
        <f t="shared" si="274"/>
        <v>1+0.0515729979524663i</v>
      </c>
      <c r="AN314" s="50">
        <f t="shared" si="295"/>
        <v>1.0013290039331755</v>
      </c>
      <c r="AO314" s="50">
        <f t="shared" si="296"/>
        <v>5.1527346608664565E-2</v>
      </c>
      <c r="AP314" s="50" t="str">
        <f t="shared" si="275"/>
        <v>1-0.257333856366774i</v>
      </c>
      <c r="AQ314" s="50">
        <f t="shared" si="297"/>
        <v>1.0325796403341465</v>
      </c>
      <c r="AR314" s="50">
        <f t="shared" si="298"/>
        <v>-0.25186911668053341</v>
      </c>
      <c r="AS314" s="59" t="str">
        <f t="shared" si="299"/>
        <v>-0.427399758044181-2.36193611370244i</v>
      </c>
      <c r="AT314" s="50">
        <f t="shared" si="300"/>
        <v>7.6052899001022833</v>
      </c>
      <c r="AU314" s="61">
        <f t="shared" si="301"/>
        <v>-100.25686199508473</v>
      </c>
      <c r="AV314" s="32" t="str">
        <f t="shared" si="276"/>
        <v>-0.0000333333333333333</v>
      </c>
      <c r="AW314" s="32" t="str">
        <f t="shared" si="277"/>
        <v>0.0027505598907982i</v>
      </c>
      <c r="AX314" s="32">
        <f t="shared" si="302"/>
        <v>2.7505598907982E-3</v>
      </c>
      <c r="AY314" s="32">
        <f t="shared" si="303"/>
        <v>1.5707963267948966</v>
      </c>
      <c r="AZ314" s="32" t="str">
        <f t="shared" si="278"/>
        <v>1+1.12219023322496i</v>
      </c>
      <c r="BA314" s="32">
        <f t="shared" si="304"/>
        <v>1.5031004356148296</v>
      </c>
      <c r="BB314" s="32">
        <f t="shared" si="305"/>
        <v>0.84291208113031157</v>
      </c>
      <c r="BC314" s="32" t="str">
        <f t="shared" si="279"/>
        <v>1+53.8651311947982i</v>
      </c>
      <c r="BD314" s="32">
        <f t="shared" si="306"/>
        <v>53.874412837940262</v>
      </c>
      <c r="BE314" s="32">
        <f t="shared" si="307"/>
        <v>1.5522335735521211</v>
      </c>
      <c r="BF314" s="59" t="str">
        <f t="shared" si="308"/>
        <v>-0.282908490022846+0.329595889185383i</v>
      </c>
      <c r="BG314" s="50">
        <f t="shared" si="309"/>
        <v>-7.2429562235234801</v>
      </c>
      <c r="BH314" s="61">
        <f t="shared" si="310"/>
        <v>130.64112783369052</v>
      </c>
      <c r="BI314" s="59" t="str">
        <f t="shared" si="311"/>
        <v>0.174468352376389-0.00989524610838845i</v>
      </c>
      <c r="BJ314" s="64">
        <f t="shared" si="312"/>
        <v>-15.151718976026585</v>
      </c>
      <c r="BK314" s="61">
        <f t="shared" si="313"/>
        <v>-3.2461422382889649</v>
      </c>
      <c r="BL314" s="59" t="str">
        <f t="shared" si="318"/>
        <v>0.899399453779233+0.527342576167797i</v>
      </c>
      <c r="BM314" s="64">
        <f t="shared" si="314"/>
        <v>0.36233367657880722</v>
      </c>
      <c r="BN314" s="61">
        <f t="shared" si="319"/>
        <v>30.384265838605785</v>
      </c>
      <c r="BO314" s="50">
        <f t="shared" si="315"/>
        <v>-15.151718976026585</v>
      </c>
      <c r="BP314" s="61">
        <f t="shared" si="316"/>
        <v>-3.2461422382889649</v>
      </c>
    </row>
    <row r="315" spans="14:68" x14ac:dyDescent="0.25">
      <c r="N315" s="11">
        <v>97</v>
      </c>
      <c r="O315" s="51">
        <f t="shared" si="317"/>
        <v>9332.5430079699217</v>
      </c>
      <c r="P315" s="49" t="str">
        <f t="shared" si="267"/>
        <v>25.6231073841137</v>
      </c>
      <c r="Q315" s="18" t="str">
        <f t="shared" si="268"/>
        <v>1+50.709046239723i</v>
      </c>
      <c r="R315" s="18">
        <f t="shared" si="280"/>
        <v>50.718905454892905</v>
      </c>
      <c r="S315" s="18">
        <f t="shared" si="281"/>
        <v>1.5510785353220735</v>
      </c>
      <c r="T315" s="18" t="str">
        <f t="shared" si="269"/>
        <v>1+0.0527742873956683i</v>
      </c>
      <c r="U315" s="18">
        <f t="shared" si="282"/>
        <v>1.0013915944375209</v>
      </c>
      <c r="V315" s="18">
        <f t="shared" si="283"/>
        <v>5.2725374770090747E-2</v>
      </c>
      <c r="W315" s="32" t="str">
        <f t="shared" si="270"/>
        <v>1-1.18253495831035i</v>
      </c>
      <c r="X315" s="18">
        <f t="shared" si="284"/>
        <v>1.5486732798192333</v>
      </c>
      <c r="Y315" s="18">
        <f t="shared" si="285"/>
        <v>-0.86883835842221513</v>
      </c>
      <c r="Z315" s="32" t="str">
        <f t="shared" si="271"/>
        <v>0.99782259102511+0.0936254950463893i</v>
      </c>
      <c r="AA315" s="18">
        <f t="shared" si="286"/>
        <v>1.0022053963548316</v>
      </c>
      <c r="AB315" s="18">
        <f t="shared" si="287"/>
        <v>9.3555886204394603E-2</v>
      </c>
      <c r="AC315" s="32" t="str">
        <f>IMDIV(IMSUM(COMPLEX(0,2*PI()*O315*Constants!$B$71*Constants!$B$72),COMPLEX(1,0)),IMSUM(COMPLEX(0,2*PI()*O315*Constants!$B$71*Constants!$B$72),COMPLEX(2,0)))</f>
        <v>0.506783553860896+0.0578425477262562i</v>
      </c>
      <c r="AD315" s="18">
        <f t="shared" si="288"/>
        <v>0.51007384837035497</v>
      </c>
      <c r="AE315" s="18">
        <f t="shared" si="289"/>
        <v>0.11364480500422566</v>
      </c>
      <c r="AF315" s="66" t="str">
        <f t="shared" si="290"/>
        <v>-0.279384505594868-0.284511527581619i</v>
      </c>
      <c r="AG315" s="64">
        <f t="shared" si="291"/>
        <v>-7.9859601635743314</v>
      </c>
      <c r="AH315" s="61">
        <f t="shared" si="292"/>
        <v>-134.47907307417265</v>
      </c>
      <c r="AI315" s="50" t="str">
        <f t="shared" si="272"/>
        <v>108.866083054159</v>
      </c>
      <c r="AJ315" s="50" t="str">
        <f t="shared" si="273"/>
        <v>1+47.9766249051531i</v>
      </c>
      <c r="AK315" s="50">
        <f t="shared" si="293"/>
        <v>47.987045515323786</v>
      </c>
      <c r="AL315" s="50">
        <f t="shared" si="294"/>
        <v>1.5499558607809445</v>
      </c>
      <c r="AM315" s="50" t="str">
        <f t="shared" si="274"/>
        <v>1+0.0527742873956683i</v>
      </c>
      <c r="AN315" s="50">
        <f t="shared" si="295"/>
        <v>1.0013915944375209</v>
      </c>
      <c r="AO315" s="50">
        <f t="shared" si="296"/>
        <v>5.2725374770090747E-2</v>
      </c>
      <c r="AP315" s="50" t="str">
        <f t="shared" si="275"/>
        <v>1-0.263327931896702i</v>
      </c>
      <c r="AQ315" s="50">
        <f t="shared" si="297"/>
        <v>1.034089744517851</v>
      </c>
      <c r="AR315" s="50">
        <f t="shared" si="298"/>
        <v>-0.25748273270552974</v>
      </c>
      <c r="AS315" s="59" t="str">
        <f t="shared" si="299"/>
        <v>-0.429636574256817-2.30963778095112i</v>
      </c>
      <c r="AT315" s="50">
        <f t="shared" si="300"/>
        <v>7.4186151659866084</v>
      </c>
      <c r="AU315" s="61">
        <f t="shared" si="301"/>
        <v>-100.53766168826488</v>
      </c>
      <c r="AV315" s="32" t="str">
        <f t="shared" si="276"/>
        <v>-0.0000333333333333333</v>
      </c>
      <c r="AW315" s="32" t="str">
        <f t="shared" si="277"/>
        <v>0.00281462866110231i</v>
      </c>
      <c r="AX315" s="32">
        <f t="shared" si="302"/>
        <v>2.8146286611023101E-3</v>
      </c>
      <c r="AY315" s="32">
        <f t="shared" si="303"/>
        <v>1.5707963267948966</v>
      </c>
      <c r="AZ315" s="32" t="str">
        <f t="shared" si="278"/>
        <v>1+1.14832940166501i</v>
      </c>
      <c r="BA315" s="32">
        <f t="shared" si="304"/>
        <v>1.5227148172682632</v>
      </c>
      <c r="BB315" s="32">
        <f t="shared" si="305"/>
        <v>0.85433283136896632</v>
      </c>
      <c r="BC315" s="32" t="str">
        <f t="shared" si="279"/>
        <v>1+55.1198112799203i</v>
      </c>
      <c r="BD315" s="32">
        <f t="shared" si="306"/>
        <v>55.128881682236482</v>
      </c>
      <c r="BE315" s="32">
        <f t="shared" si="307"/>
        <v>1.5526560196326005</v>
      </c>
      <c r="BF315" s="59" t="str">
        <f t="shared" si="308"/>
        <v>-0.275667034586276+0.328399449360709i</v>
      </c>
      <c r="BG315" s="50">
        <f t="shared" si="309"/>
        <v>-7.355635031432799</v>
      </c>
      <c r="BH315" s="61">
        <f t="shared" si="310"/>
        <v>130.01097142362588</v>
      </c>
      <c r="BI315" s="59" t="str">
        <f t="shared" si="311"/>
        <v>0.170450527161268-0.0133192686832322i</v>
      </c>
      <c r="BJ315" s="64">
        <f t="shared" si="312"/>
        <v>-15.341595195007125</v>
      </c>
      <c r="BK315" s="61">
        <f t="shared" si="313"/>
        <v>-4.4681016505467905</v>
      </c>
      <c r="BL315" s="59" t="str">
        <f t="shared" si="318"/>
        <v>0.876920415862221+0.495598583632062i</v>
      </c>
      <c r="BM315" s="64">
        <f t="shared" si="314"/>
        <v>6.2980134553811157E-2</v>
      </c>
      <c r="BN315" s="61">
        <f t="shared" si="319"/>
        <v>29.473309735360981</v>
      </c>
      <c r="BO315" s="50">
        <f t="shared" si="315"/>
        <v>-15.341595195007125</v>
      </c>
      <c r="BP315" s="61">
        <f t="shared" si="316"/>
        <v>-4.4681016505467905</v>
      </c>
    </row>
    <row r="316" spans="14:68" x14ac:dyDescent="0.25">
      <c r="N316" s="11">
        <v>98</v>
      </c>
      <c r="O316" s="51">
        <f t="shared" si="317"/>
        <v>9549.9258602143691</v>
      </c>
      <c r="P316" s="49" t="str">
        <f t="shared" si="267"/>
        <v>25.6231073841137</v>
      </c>
      <c r="Q316" s="18" t="str">
        <f t="shared" si="268"/>
        <v>1+51.8902116623494i</v>
      </c>
      <c r="R316" s="18">
        <f t="shared" si="280"/>
        <v>51.899846496530429</v>
      </c>
      <c r="S316" s="18">
        <f t="shared" si="281"/>
        <v>1.5515272546675951</v>
      </c>
      <c r="T316" s="18" t="str">
        <f t="shared" si="269"/>
        <v>1+0.054003558464598i</v>
      </c>
      <c r="U316" s="18">
        <f t="shared" si="282"/>
        <v>1.0014571305487017</v>
      </c>
      <c r="V316" s="18">
        <f t="shared" si="283"/>
        <v>5.39511517597678E-2</v>
      </c>
      <c r="W316" s="32" t="str">
        <f t="shared" si="270"/>
        <v>1-1.21007973596599i</v>
      </c>
      <c r="X316" s="18">
        <f t="shared" si="284"/>
        <v>1.569806665610616</v>
      </c>
      <c r="Y316" s="18">
        <f t="shared" si="285"/>
        <v>-0.88016868920889058</v>
      </c>
      <c r="Z316" s="32" t="str">
        <f t="shared" si="271"/>
        <v>0.99771997290161+0.0958063129797868i</v>
      </c>
      <c r="AA316" s="18">
        <f t="shared" si="286"/>
        <v>1.0023093304631909</v>
      </c>
      <c r="AB316" s="18">
        <f t="shared" si="287"/>
        <v>9.5731730577977042E-2</v>
      </c>
      <c r="AC316" s="32" t="str">
        <f>IMDIV(IMSUM(COMPLEX(0,2*PI()*O316*Constants!$B$71*Constants!$B$72),COMPLEX(1,0)),IMSUM(COMPLEX(0,2*PI()*O316*Constants!$B$71*Constants!$B$72),COMPLEX(2,0)))</f>
        <v>0.507098714000824+0.05915205203496i</v>
      </c>
      <c r="AD316" s="18">
        <f t="shared" si="288"/>
        <v>0.51053704175234538</v>
      </c>
      <c r="AE316" s="18">
        <f t="shared" si="289"/>
        <v>0.11612321325665304</v>
      </c>
      <c r="AF316" s="66" t="str">
        <f t="shared" si="290"/>
        <v>-0.279870696049353-0.279222807447349i</v>
      </c>
      <c r="AG316" s="64">
        <f t="shared" si="291"/>
        <v>-8.0606052064048974</v>
      </c>
      <c r="AH316" s="61">
        <f t="shared" si="292"/>
        <v>-135.0663954519969</v>
      </c>
      <c r="AI316" s="50" t="str">
        <f t="shared" si="272"/>
        <v>108.866083054159</v>
      </c>
      <c r="AJ316" s="50" t="str">
        <f t="shared" si="273"/>
        <v>1+49.0941440587255i</v>
      </c>
      <c r="AK316" s="50">
        <f t="shared" si="293"/>
        <v>49.104327516613971</v>
      </c>
      <c r="AL316" s="50">
        <f t="shared" si="294"/>
        <v>1.5504301150096418</v>
      </c>
      <c r="AM316" s="50" t="str">
        <f t="shared" si="274"/>
        <v>1+0.054003558464598i</v>
      </c>
      <c r="AN316" s="50">
        <f t="shared" si="295"/>
        <v>1.0014571305487017</v>
      </c>
      <c r="AO316" s="50">
        <f t="shared" si="296"/>
        <v>5.39511517597678E-2</v>
      </c>
      <c r="AP316" s="50" t="str">
        <f t="shared" si="275"/>
        <v>1-0.269461627381679i</v>
      </c>
      <c r="AQ316" s="50">
        <f t="shared" si="297"/>
        <v>1.0356686577429979</v>
      </c>
      <c r="AR316" s="50">
        <f t="shared" si="298"/>
        <v>-0.26320997452770845</v>
      </c>
      <c r="AS316" s="59" t="str">
        <f t="shared" si="299"/>
        <v>-0.431772802627407-2.25855985258615i</v>
      </c>
      <c r="AT316" s="50">
        <f t="shared" si="300"/>
        <v>7.2325205273623991</v>
      </c>
      <c r="AU316" s="61">
        <f t="shared" si="301"/>
        <v>-100.82274939051446</v>
      </c>
      <c r="AV316" s="32" t="str">
        <f t="shared" si="276"/>
        <v>-0.0000333333333333333</v>
      </c>
      <c r="AW316" s="32" t="str">
        <f t="shared" si="277"/>
        <v>0.00288018978477856i</v>
      </c>
      <c r="AX316" s="32">
        <f t="shared" si="302"/>
        <v>2.8801897847785599E-3</v>
      </c>
      <c r="AY316" s="32">
        <f t="shared" si="303"/>
        <v>1.5707963267948966</v>
      </c>
      <c r="AZ316" s="32" t="str">
        <f t="shared" si="278"/>
        <v>1+1.17507742955375i</v>
      </c>
      <c r="BA316" s="32">
        <f t="shared" si="304"/>
        <v>1.5429863788921301</v>
      </c>
      <c r="BB316" s="32">
        <f t="shared" si="305"/>
        <v>0.86571750232225242</v>
      </c>
      <c r="BC316" s="32" t="str">
        <f t="shared" si="279"/>
        <v>1+56.4037166185802i</v>
      </c>
      <c r="BD316" s="32">
        <f t="shared" si="306"/>
        <v>56.412580586152053</v>
      </c>
      <c r="BE316" s="32">
        <f t="shared" si="307"/>
        <v>1.5530688559234465</v>
      </c>
      <c r="BF316" s="59" t="str">
        <f t="shared" si="308"/>
        <v>-0.26847125786228+0.327047827019741i</v>
      </c>
      <c r="BG316" s="50">
        <f t="shared" si="309"/>
        <v>-7.4705697152645021</v>
      </c>
      <c r="BH316" s="61">
        <f t="shared" si="310"/>
        <v>129.38233160395268</v>
      </c>
      <c r="BI316" s="59" t="str">
        <f t="shared" si="311"/>
        <v>0.166456450237169-0.0165678046502163i</v>
      </c>
      <c r="BJ316" s="64">
        <f t="shared" si="312"/>
        <v>-15.531174921669384</v>
      </c>
      <c r="BK316" s="61">
        <f t="shared" si="313"/>
        <v>-5.6840638480442216</v>
      </c>
      <c r="BL316" s="59" t="str">
        <f t="shared" si="318"/>
        <v>0.854575679414429+0.465148047715532i</v>
      </c>
      <c r="BM316" s="64">
        <f t="shared" si="314"/>
        <v>-0.23804918790210378</v>
      </c>
      <c r="BN316" s="61">
        <f t="shared" si="319"/>
        <v>28.559582213438187</v>
      </c>
      <c r="BO316" s="50">
        <f t="shared" si="315"/>
        <v>-15.531174921669384</v>
      </c>
      <c r="BP316" s="61">
        <f t="shared" si="316"/>
        <v>-5.6840638480442216</v>
      </c>
    </row>
    <row r="317" spans="14:68" x14ac:dyDescent="0.25">
      <c r="N317" s="11">
        <v>99</v>
      </c>
      <c r="O317" s="51">
        <f t="shared" si="317"/>
        <v>9772.3722095581161</v>
      </c>
      <c r="P317" s="49" t="str">
        <f t="shared" si="267"/>
        <v>25.6231073841137</v>
      </c>
      <c r="Q317" s="18" t="str">
        <f t="shared" si="268"/>
        <v>1+53.0988899620472i</v>
      </c>
      <c r="R317" s="18">
        <f t="shared" si="280"/>
        <v>53.108305519961725</v>
      </c>
      <c r="S317" s="18">
        <f t="shared" si="281"/>
        <v>1.5519657674128655</v>
      </c>
      <c r="T317" s="18" t="str">
        <f t="shared" si="269"/>
        <v>1+0.0552614629350472i</v>
      </c>
      <c r="U317" s="18">
        <f t="shared" si="282"/>
        <v>1.0015257506852839</v>
      </c>
      <c r="V317" s="18">
        <f t="shared" si="283"/>
        <v>5.5205312758400425E-2</v>
      </c>
      <c r="W317" s="32" t="str">
        <f t="shared" si="270"/>
        <v>1-1.23826611391495i</v>
      </c>
      <c r="X317" s="18">
        <f t="shared" si="284"/>
        <v>1.5916353127742648</v>
      </c>
      <c r="Y317" s="18">
        <f t="shared" si="285"/>
        <v>-0.89144997881115073</v>
      </c>
      <c r="Z317" s="32" t="str">
        <f t="shared" si="271"/>
        <v>0.997612518534946+0.0980379286884725i</v>
      </c>
      <c r="AA317" s="18">
        <f t="shared" si="286"/>
        <v>1.0024181625445361</v>
      </c>
      <c r="AB317" s="18">
        <f t="shared" si="287"/>
        <v>9.7958017608101813E-2</v>
      </c>
      <c r="AC317" s="32" t="str">
        <f>IMDIV(IMSUM(COMPLEX(0,2*PI()*O317*Constants!$B$71*Constants!$B$72),COMPLEX(1,0)),IMSUM(COMPLEX(0,2*PI()*O317*Constants!$B$71*Constants!$B$72),COMPLEX(2,0)))</f>
        <v>0.507428295781045+0.0604894066123307i</v>
      </c>
      <c r="AD317" s="18">
        <f t="shared" si="288"/>
        <v>0.51102098163536058</v>
      </c>
      <c r="AE317" s="18">
        <f t="shared" si="289"/>
        <v>0.1186478905920285</v>
      </c>
      <c r="AF317" s="66" t="str">
        <f t="shared" si="290"/>
        <v>-0.280358288130526-0.274078430357203i</v>
      </c>
      <c r="AG317" s="64">
        <f t="shared" si="291"/>
        <v>-8.1327031438232886</v>
      </c>
      <c r="AH317" s="61">
        <f t="shared" si="292"/>
        <v>-135.64893602604781</v>
      </c>
      <c r="AI317" s="50" t="str">
        <f t="shared" si="272"/>
        <v>108.866083054159</v>
      </c>
      <c r="AJ317" s="50" t="str">
        <f t="shared" si="273"/>
        <v>1+50.2376935773157i</v>
      </c>
      <c r="AK317" s="50">
        <f t="shared" si="293"/>
        <v>50.247645277846274</v>
      </c>
      <c r="AL317" s="50">
        <f t="shared" si="294"/>
        <v>1.550893582748059</v>
      </c>
      <c r="AM317" s="50" t="str">
        <f t="shared" si="274"/>
        <v>1+0.0552614629350472i</v>
      </c>
      <c r="AN317" s="50">
        <f t="shared" si="295"/>
        <v>1.0015257506852839</v>
      </c>
      <c r="AO317" s="50">
        <f t="shared" si="296"/>
        <v>5.5205312758400425E-2</v>
      </c>
      <c r="AP317" s="50" t="str">
        <f t="shared" si="275"/>
        <v>1-0.27573819498824i</v>
      </c>
      <c r="AQ317" s="50">
        <f t="shared" si="297"/>
        <v>1.0373194070176133</v>
      </c>
      <c r="AR317" s="50">
        <f t="shared" si="298"/>
        <v>-0.26905237530198328</v>
      </c>
      <c r="AS317" s="59" t="str">
        <f t="shared" si="299"/>
        <v>-0.433812962838625-2.20867552625813i</v>
      </c>
      <c r="AT317" s="50">
        <f t="shared" si="300"/>
        <v>7.0470301243545732</v>
      </c>
      <c r="AU317" s="61">
        <f t="shared" si="301"/>
        <v>-101.11219091040456</v>
      </c>
      <c r="AV317" s="32" t="str">
        <f t="shared" si="276"/>
        <v>-0.0000333333333333333</v>
      </c>
      <c r="AW317" s="32" t="str">
        <f t="shared" si="277"/>
        <v>0.00294727802320251i</v>
      </c>
      <c r="AX317" s="32">
        <f t="shared" si="302"/>
        <v>2.94727802320251E-3</v>
      </c>
      <c r="AY317" s="32">
        <f t="shared" si="303"/>
        <v>1.5707963267948966</v>
      </c>
      <c r="AZ317" s="32" t="str">
        <f t="shared" si="278"/>
        <v>1+1.20244849904964i</v>
      </c>
      <c r="BA317" s="32">
        <f t="shared" si="304"/>
        <v>1.5639317097836249</v>
      </c>
      <c r="BB317" s="32">
        <f t="shared" si="305"/>
        <v>0.87706032655871391</v>
      </c>
      <c r="BC317" s="32" t="str">
        <f t="shared" si="279"/>
        <v>1+57.7175279543827i</v>
      </c>
      <c r="BD317" s="32">
        <f t="shared" si="306"/>
        <v>57.726190184048598</v>
      </c>
      <c r="BE317" s="32">
        <f t="shared" si="307"/>
        <v>1.5534723007527125</v>
      </c>
      <c r="BF317" s="59" t="str">
        <f t="shared" si="308"/>
        <v>-0.261328280789324+0.325543669685511i</v>
      </c>
      <c r="BG317" s="50">
        <f t="shared" si="309"/>
        <v>-7.5877449990163601</v>
      </c>
      <c r="BH317" s="61">
        <f t="shared" si="310"/>
        <v>128.75555133342806</v>
      </c>
      <c r="BI317" s="59" t="str">
        <f t="shared" si="311"/>
        <v>0.162490047442317-0.0196444209380749i</v>
      </c>
      <c r="BJ317" s="64">
        <f t="shared" si="312"/>
        <v>-15.720448142839645</v>
      </c>
      <c r="BK317" s="61">
        <f t="shared" si="313"/>
        <v>-6.8933846926197413</v>
      </c>
      <c r="BL317" s="59" t="str">
        <f t="shared" si="318"/>
        <v>0.83238793172539+0.435964314218862i</v>
      </c>
      <c r="BM317" s="64">
        <f t="shared" si="314"/>
        <v>-0.54071487466178736</v>
      </c>
      <c r="BN317" s="61">
        <f t="shared" si="319"/>
        <v>27.643360423023431</v>
      </c>
      <c r="BO317" s="50">
        <f t="shared" si="315"/>
        <v>-15.720448142839645</v>
      </c>
      <c r="BP317" s="61">
        <f t="shared" si="316"/>
        <v>-6.8933846926197413</v>
      </c>
    </row>
    <row r="318" spans="14:68" x14ac:dyDescent="0.25">
      <c r="N318" s="11">
        <v>100</v>
      </c>
      <c r="O318" s="51">
        <f t="shared" si="317"/>
        <v>10000</v>
      </c>
      <c r="P318" s="49" t="str">
        <f t="shared" si="267"/>
        <v>25.6231073841137</v>
      </c>
      <c r="Q318" s="18" t="str">
        <f t="shared" si="268"/>
        <v>1+54.3357219960497i</v>
      </c>
      <c r="R318" s="18">
        <f t="shared" si="280"/>
        <v>54.344923266410078</v>
      </c>
      <c r="S318" s="18">
        <f t="shared" si="281"/>
        <v>1.5523943053881746</v>
      </c>
      <c r="T318" s="18" t="str">
        <f t="shared" si="269"/>
        <v>1+0.0565486677646164i</v>
      </c>
      <c r="U318" s="18">
        <f t="shared" si="282"/>
        <v>1.0015975997504951</v>
      </c>
      <c r="V318" s="18">
        <f t="shared" si="283"/>
        <v>5.6488506948251062E-2</v>
      </c>
      <c r="W318" s="32" t="str">
        <f t="shared" si="270"/>
        <v>1-1.26710903694788i</v>
      </c>
      <c r="X318" s="18">
        <f t="shared" si="284"/>
        <v>1.6141763570053251</v>
      </c>
      <c r="Y318" s="18">
        <f t="shared" si="285"/>
        <v>-0.90267672349798633</v>
      </c>
      <c r="Z318" s="32" t="str">
        <f t="shared" si="271"/>
        <v>0.9975+0.100321525404634i</v>
      </c>
      <c r="AA318" s="18">
        <f t="shared" si="286"/>
        <v>1.0025321234052866</v>
      </c>
      <c r="AB318" s="18">
        <f t="shared" si="287"/>
        <v>0.10023590520055886</v>
      </c>
      <c r="AC318" s="32" t="str">
        <f>IMDIV(IMSUM(COMPLEX(0,2*PI()*O318*Constants!$B$71*Constants!$B$72),COMPLEX(1,0)),IMSUM(COMPLEX(0,2*PI()*O318*Constants!$B$71*Constants!$B$72),COMPLEX(2,0)))</f>
        <v>0.507772938200751+0.0618550768498643i</v>
      </c>
      <c r="AD318" s="18">
        <f t="shared" si="288"/>
        <v>0.51152654603757008</v>
      </c>
      <c r="AE318" s="18">
        <f t="shared" si="289"/>
        <v>0.12121916524895973</v>
      </c>
      <c r="AF318" s="66" t="str">
        <f t="shared" si="290"/>
        <v>-0.28084825591419-0.269075466179861i</v>
      </c>
      <c r="AG318" s="64">
        <f t="shared" si="291"/>
        <v>-8.2022609371335058</v>
      </c>
      <c r="AH318" s="61">
        <f t="shared" si="292"/>
        <v>-136.22640307968851</v>
      </c>
      <c r="AI318" s="50" t="str">
        <f t="shared" si="272"/>
        <v>108.866083054159</v>
      </c>
      <c r="AJ318" s="50" t="str">
        <f t="shared" si="273"/>
        <v>1+51.4078797860149i</v>
      </c>
      <c r="AK318" s="50">
        <f t="shared" si="293"/>
        <v>51.417605001529971</v>
      </c>
      <c r="AL318" s="50">
        <f t="shared" si="294"/>
        <v>1.551346508936037</v>
      </c>
      <c r="AM318" s="50" t="str">
        <f t="shared" si="274"/>
        <v>1+0.0565486677646164i</v>
      </c>
      <c r="AN318" s="50">
        <f t="shared" si="295"/>
        <v>1.0015975997504951</v>
      </c>
      <c r="AO318" s="50">
        <f t="shared" si="296"/>
        <v>5.6488506948251062E-2</v>
      </c>
      <c r="AP318" s="50" t="str">
        <f t="shared" si="275"/>
        <v>1-0.28216096263561i</v>
      </c>
      <c r="AQ318" s="50">
        <f t="shared" si="297"/>
        <v>1.0390451428284788</v>
      </c>
      <c r="AR318" s="50">
        <f t="shared" si="298"/>
        <v>-0.27501143672295691</v>
      </c>
      <c r="AS318" s="59" t="str">
        <f t="shared" si="299"/>
        <v>-0.435761371814664-2.15995861382783i</v>
      </c>
      <c r="AT318" s="50">
        <f t="shared" si="300"/>
        <v>6.8621689104426924</v>
      </c>
      <c r="AU318" s="61">
        <f t="shared" si="301"/>
        <v>-101.40604912731351</v>
      </c>
      <c r="AV318" s="32" t="str">
        <f t="shared" si="276"/>
        <v>-0.0000333333333333333</v>
      </c>
      <c r="AW318" s="32" t="str">
        <f t="shared" si="277"/>
        <v>0.0030159289474462i</v>
      </c>
      <c r="AX318" s="32">
        <f t="shared" si="302"/>
        <v>3.0159289474461998E-3</v>
      </c>
      <c r="AY318" s="32">
        <f t="shared" si="303"/>
        <v>1.5707963267948966</v>
      </c>
      <c r="AZ318" s="32" t="str">
        <f t="shared" si="278"/>
        <v>1+1.230457122656i</v>
      </c>
      <c r="BA318" s="32">
        <f t="shared" si="304"/>
        <v>1.5855676367455545</v>
      </c>
      <c r="BB318" s="32">
        <f t="shared" si="305"/>
        <v>0.8883556440870749</v>
      </c>
      <c r="BC318" s="32" t="str">
        <f t="shared" si="279"/>
        <v>1+59.0619418874883i</v>
      </c>
      <c r="BD318" s="32">
        <f t="shared" si="306"/>
        <v>59.070406969319635</v>
      </c>
      <c r="BE318" s="32">
        <f t="shared" si="307"/>
        <v>1.5538665675065433</v>
      </c>
      <c r="BF318" s="59" t="str">
        <f t="shared" si="308"/>
        <v>-0.254245009182575+0.323890009052044i</v>
      </c>
      <c r="BG318" s="50">
        <f t="shared" si="309"/>
        <v>-7.7071434053786181</v>
      </c>
      <c r="BH318" s="61">
        <f t="shared" si="310"/>
        <v>128.13096713178962</v>
      </c>
      <c r="BI318" s="59" t="str">
        <f t="shared" si="311"/>
        <v>0.158555122580492-0.0225528497805934i</v>
      </c>
      <c r="BJ318" s="64">
        <f t="shared" si="312"/>
        <v>-15.909404342512097</v>
      </c>
      <c r="BK318" s="61">
        <f t="shared" si="313"/>
        <v>-8.095435947898908</v>
      </c>
      <c r="BL318" s="59" t="str">
        <f t="shared" si="318"/>
        <v>0.810379168963167+0.408019942945056i</v>
      </c>
      <c r="BM318" s="64">
        <f t="shared" si="314"/>
        <v>-0.84497449493592491</v>
      </c>
      <c r="BN318" s="61">
        <f t="shared" si="319"/>
        <v>26.724918004476102</v>
      </c>
      <c r="BO318" s="50">
        <f t="shared" si="315"/>
        <v>-15.909404342512097</v>
      </c>
      <c r="BP318" s="61">
        <f t="shared" si="316"/>
        <v>-8.095435947898908</v>
      </c>
    </row>
    <row r="319" spans="14:68" x14ac:dyDescent="0.25">
      <c r="N319" s="11">
        <v>1</v>
      </c>
      <c r="O319" s="51">
        <f>10^(4+(N319/100))</f>
        <v>10232.929922807549</v>
      </c>
      <c r="P319" s="49" t="str">
        <f t="shared" si="267"/>
        <v>25.6231073841137</v>
      </c>
      <c r="Q319" s="18" t="str">
        <f t="shared" si="268"/>
        <v>1+55.6013635490729i</v>
      </c>
      <c r="R319" s="18">
        <f t="shared" si="280"/>
        <v>55.61035540720966</v>
      </c>
      <c r="S319" s="18">
        <f t="shared" si="281"/>
        <v>1.552813095180078</v>
      </c>
      <c r="T319" s="18" t="str">
        <f t="shared" si="269"/>
        <v>1+0.0578658554463445i</v>
      </c>
      <c r="U319" s="18">
        <f t="shared" si="282"/>
        <v>1.0016728294341108</v>
      </c>
      <c r="V319" s="18">
        <f t="shared" si="283"/>
        <v>5.7801397783162366E-2</v>
      </c>
      <c r="W319" s="32" t="str">
        <f t="shared" si="270"/>
        <v>1-1.29662379796439i</v>
      </c>
      <c r="X319" s="18">
        <f t="shared" si="284"/>
        <v>1.6374471818802583</v>
      </c>
      <c r="Y319" s="18">
        <f t="shared" si="285"/>
        <v>-0.91384355633710235</v>
      </c>
      <c r="Z319" s="32" t="str">
        <f t="shared" si="271"/>
        <v>0.997382178629873+0.102658313921478i</v>
      </c>
      <c r="AA319" s="18">
        <f t="shared" si="286"/>
        <v>1.0026514547267524</v>
      </c>
      <c r="AB319" s="18">
        <f t="shared" si="287"/>
        <v>0.1025665770195225</v>
      </c>
      <c r="AC319" s="32" t="str">
        <f>IMDIV(IMSUM(COMPLEX(0,2*PI()*O319*Constants!$B$71*Constants!$B$72),COMPLEX(1,0)),IMSUM(COMPLEX(0,2*PI()*O319*Constants!$B$71*Constants!$B$72),COMPLEX(2,0)))</f>
        <v>0.508133306587895+0.0632495266219029i</v>
      </c>
      <c r="AD319" s="18">
        <f t="shared" si="288"/>
        <v>0.51205464540597856</v>
      </c>
      <c r="AE319" s="18">
        <f t="shared" si="289"/>
        <v>0.12383732743201645</v>
      </c>
      <c r="AF319" s="66" t="str">
        <f t="shared" si="290"/>
        <v>-0.281341573077312-0.264211042516285i</v>
      </c>
      <c r="AG319" s="64">
        <f t="shared" si="291"/>
        <v>-8.2692871613141659</v>
      </c>
      <c r="AH319" s="61">
        <f t="shared" si="292"/>
        <v>-136.79851527116227</v>
      </c>
      <c r="AI319" s="50" t="str">
        <f t="shared" si="272"/>
        <v>108.866083054159</v>
      </c>
      <c r="AJ319" s="50" t="str">
        <f t="shared" si="273"/>
        <v>1+52.6053231330405i</v>
      </c>
      <c r="AK319" s="50">
        <f t="shared" si="293"/>
        <v>52.614827016076049</v>
      </c>
      <c r="AL319" s="50">
        <f t="shared" si="294"/>
        <v>1.5517891329772959</v>
      </c>
      <c r="AM319" s="50" t="str">
        <f t="shared" si="274"/>
        <v>1+0.0578658554463445i</v>
      </c>
      <c r="AN319" s="50">
        <f t="shared" si="295"/>
        <v>1.0016728294341108</v>
      </c>
      <c r="AO319" s="50">
        <f t="shared" si="296"/>
        <v>5.7801397783162366E-2</v>
      </c>
      <c r="AP319" s="50" t="str">
        <f t="shared" si="275"/>
        <v>1-0.288733335760211i</v>
      </c>
      <c r="AQ319" s="50">
        <f t="shared" si="297"/>
        <v>1.0408491433340465</v>
      </c>
      <c r="AR319" s="50">
        <f t="shared" si="298"/>
        <v>-0.28108862482225144</v>
      </c>
      <c r="AS319" s="59" t="str">
        <f t="shared" si="299"/>
        <v>-0.437622152788781-2.11238352872315i</v>
      </c>
      <c r="AT319" s="50">
        <f t="shared" si="300"/>
        <v>6.677962666702145</v>
      </c>
      <c r="AU319" s="61">
        <f t="shared" si="301"/>
        <v>-101.70438374238357</v>
      </c>
      <c r="AV319" s="32" t="str">
        <f t="shared" si="276"/>
        <v>-0.0000333333333333333</v>
      </c>
      <c r="AW319" s="32" t="str">
        <f t="shared" si="277"/>
        <v>0.00308617895713837i</v>
      </c>
      <c r="AX319" s="32">
        <f t="shared" si="302"/>
        <v>3.08617895713837E-3</v>
      </c>
      <c r="AY319" s="32">
        <f t="shared" si="303"/>
        <v>1.5707963267948966</v>
      </c>
      <c r="AZ319" s="32" t="str">
        <f t="shared" si="278"/>
        <v>1+1.25911815091583i</v>
      </c>
      <c r="BA319" s="32">
        <f t="shared" si="304"/>
        <v>1.6079112282603474</v>
      </c>
      <c r="BB319" s="32">
        <f t="shared" si="305"/>
        <v>0.8995979157345666</v>
      </c>
      <c r="BC319" s="32" t="str">
        <f t="shared" si="279"/>
        <v>1+60.4376712439599i</v>
      </c>
      <c r="BD319" s="32">
        <f t="shared" si="306"/>
        <v>60.44594366368166</v>
      </c>
      <c r="BE319" s="32">
        <f t="shared" si="307"/>
        <v>1.5542518647398107</v>
      </c>
      <c r="BF319" s="59" t="str">
        <f t="shared" si="308"/>
        <v>-0.247228108495184+0.322090241481798i</v>
      </c>
      <c r="BG319" s="50">
        <f t="shared" si="309"/>
        <v>-7.8287453273207035</v>
      </c>
      <c r="BH319" s="61">
        <f t="shared" si="310"/>
        <v>127.50890831957312</v>
      </c>
      <c r="BI319" s="59" t="str">
        <f t="shared" si="311"/>
        <v>0.154655343439191-0.0252969789264985i</v>
      </c>
      <c r="BJ319" s="64">
        <f t="shared" si="312"/>
        <v>-16.098032488634885</v>
      </c>
      <c r="BK319" s="61">
        <f t="shared" si="313"/>
        <v>-9.2896069515891497</v>
      </c>
      <c r="BL319" s="59" t="str">
        <f t="shared" si="318"/>
        <v>0.788570617938173+0.381286759353084i</v>
      </c>
      <c r="BM319" s="64">
        <f t="shared" si="314"/>
        <v>-1.1507826606185527</v>
      </c>
      <c r="BN319" s="61">
        <f t="shared" si="319"/>
        <v>25.804524577189543</v>
      </c>
      <c r="BO319" s="50">
        <f t="shared" si="315"/>
        <v>-16.098032488634885</v>
      </c>
      <c r="BP319" s="61">
        <f t="shared" si="316"/>
        <v>-9.2896069515891497</v>
      </c>
    </row>
    <row r="320" spans="14:68" x14ac:dyDescent="0.25">
      <c r="N320" s="11">
        <v>2</v>
      </c>
      <c r="O320" s="51">
        <f t="shared" ref="O320:O383" si="320">10^(4+(N320/100))</f>
        <v>10471.285480509003</v>
      </c>
      <c r="P320" s="49" t="str">
        <f t="shared" si="267"/>
        <v>25.6231073841137</v>
      </c>
      <c r="Q320" s="18" t="str">
        <f t="shared" si="268"/>
        <v>1+56.8964856810209i</v>
      </c>
      <c r="R320" s="18">
        <f t="shared" si="280"/>
        <v>56.905272891451951</v>
      </c>
      <c r="S320" s="18">
        <f t="shared" si="281"/>
        <v>1.5532223582485349</v>
      </c>
      <c r="T320" s="18" t="str">
        <f t="shared" si="269"/>
        <v>1+0.0592137243705754i</v>
      </c>
      <c r="U320" s="18">
        <f t="shared" si="282"/>
        <v>1.0017515985282153</v>
      </c>
      <c r="V320" s="18">
        <f t="shared" si="283"/>
        <v>5.9144663260934524E-2</v>
      </c>
      <c r="W320" s="32" t="str">
        <f t="shared" si="270"/>
        <v>1-1.32682604608141i</v>
      </c>
      <c r="X320" s="18">
        <f t="shared" si="284"/>
        <v>1.661465424425085</v>
      </c>
      <c r="Y320" s="18">
        <f t="shared" si="285"/>
        <v>-0.92494525881059753</v>
      </c>
      <c r="Z320" s="32" t="str">
        <f t="shared" si="271"/>
        <v>0.997258804509642+0.105049533235206i</v>
      </c>
      <c r="AA320" s="18">
        <f t="shared" si="286"/>
        <v>1.0027764095773968</v>
      </c>
      <c r="AB320" s="18">
        <f t="shared" si="287"/>
        <v>0.10495124300165967</v>
      </c>
      <c r="AC320" s="32" t="str">
        <f>IMDIV(IMSUM(COMPLEX(0,2*PI()*O320*Constants!$B$71*Constants!$B$72),COMPLEX(1,0)),IMSUM(COMPLEX(0,2*PI()*O320*Constants!$B$71*Constants!$B$72),COMPLEX(2,0)))</f>
        <v>0.508510093494526+0.0646732174549666i</v>
      </c>
      <c r="AD320" s="18">
        <f t="shared" si="288"/>
        <v>0.51260622337403305</v>
      </c>
      <c r="AE320" s="18">
        <f t="shared" si="289"/>
        <v>0.12650262602294182</v>
      </c>
      <c r="AF320" s="66" t="str">
        <f t="shared" si="290"/>
        <v>-0.281839214448353-0.25948234229271i</v>
      </c>
      <c r="AG320" s="64">
        <f t="shared" si="291"/>
        <v>-8.3337919145051327</v>
      </c>
      <c r="AH320" s="61">
        <f t="shared" si="292"/>
        <v>-137.3650025081173</v>
      </c>
      <c r="AI320" s="50" t="str">
        <f t="shared" si="272"/>
        <v>108.866083054159</v>
      </c>
      <c r="AJ320" s="50" t="str">
        <f t="shared" si="273"/>
        <v>1+53.830658518705i</v>
      </c>
      <c r="AK320" s="50">
        <f t="shared" si="293"/>
        <v>53.839946104703955</v>
      </c>
      <c r="AL320" s="50">
        <f t="shared" si="294"/>
        <v>1.552221688862826</v>
      </c>
      <c r="AM320" s="50" t="str">
        <f t="shared" si="274"/>
        <v>1+0.0592137243705754i</v>
      </c>
      <c r="AN320" s="50">
        <f t="shared" si="295"/>
        <v>1.0017515985282153</v>
      </c>
      <c r="AO320" s="50">
        <f t="shared" si="296"/>
        <v>5.9144663260934524E-2</v>
      </c>
      <c r="AP320" s="50" t="str">
        <f t="shared" si="275"/>
        <v>1-0.29545879912127i</v>
      </c>
      <c r="AQ320" s="50">
        <f t="shared" si="297"/>
        <v>1.0427348186275276</v>
      </c>
      <c r="AR320" s="50">
        <f t="shared" si="298"/>
        <v>-0.28728536555355222</v>
      </c>
      <c r="AS320" s="59" t="str">
        <f t="shared" si="299"/>
        <v>-0.439399243967887-2.06592527353262i</v>
      </c>
      <c r="AT320" s="50">
        <f t="shared" si="300"/>
        <v>6.494438014911327</v>
      </c>
      <c r="AU320" s="61">
        <f t="shared" si="301"/>
        <v>-102.00725101702629</v>
      </c>
      <c r="AV320" s="32" t="str">
        <f t="shared" si="276"/>
        <v>-0.0000333333333333333</v>
      </c>
      <c r="AW320" s="32" t="str">
        <f t="shared" si="277"/>
        <v>0.00315806529976402i</v>
      </c>
      <c r="AX320" s="32">
        <f t="shared" si="302"/>
        <v>3.1580652997640199E-3</v>
      </c>
      <c r="AY320" s="32">
        <f t="shared" si="303"/>
        <v>1.5707963267948966</v>
      </c>
      <c r="AZ320" s="32" t="str">
        <f t="shared" si="278"/>
        <v>1+1.28844678028567i</v>
      </c>
      <c r="BA320" s="32">
        <f t="shared" si="304"/>
        <v>1.6309797992705213</v>
      </c>
      <c r="BB320" s="32">
        <f t="shared" si="305"/>
        <v>0.91078173579056898</v>
      </c>
      <c r="BC320" s="32" t="str">
        <f t="shared" si="279"/>
        <v>1+61.8454454537122i</v>
      </c>
      <c r="BD320" s="32">
        <f t="shared" si="306"/>
        <v>61.853529595069119</v>
      </c>
      <c r="BE320" s="32">
        <f t="shared" si="307"/>
        <v>1.5546283962843541</v>
      </c>
      <c r="BF320" s="59" t="str">
        <f t="shared" si="308"/>
        <v>-0.240283980594641+0.320148106615378i</v>
      </c>
      <c r="BG320" s="50">
        <f t="shared" si="309"/>
        <v>-7.9525291072514115</v>
      </c>
      <c r="BH320" s="61">
        <f t="shared" si="310"/>
        <v>126.88969629988623</v>
      </c>
      <c r="BI320" s="59" t="str">
        <f t="shared" si="311"/>
        <v>0.150794228920451-0.0278808407754922i</v>
      </c>
      <c r="BJ320" s="64">
        <f t="shared" si="312"/>
        <v>-16.286321021756571</v>
      </c>
      <c r="BK320" s="61">
        <f t="shared" si="313"/>
        <v>-10.475306208231116</v>
      </c>
      <c r="BL320" s="59" t="str">
        <f t="shared" si="318"/>
        <v>0.766982664141205+0.355735912330943i</v>
      </c>
      <c r="BM320" s="64">
        <f t="shared" si="314"/>
        <v>-1.458091092340084</v>
      </c>
      <c r="BN320" s="61">
        <f t="shared" si="319"/>
        <v>24.88244528285993</v>
      </c>
      <c r="BO320" s="50">
        <f t="shared" si="315"/>
        <v>-16.286321021756571</v>
      </c>
      <c r="BP320" s="61">
        <f t="shared" si="316"/>
        <v>-10.475306208231116</v>
      </c>
    </row>
    <row r="321" spans="14:68" x14ac:dyDescent="0.25">
      <c r="N321" s="11">
        <v>3</v>
      </c>
      <c r="O321" s="51">
        <f t="shared" si="320"/>
        <v>10715.193052376071</v>
      </c>
      <c r="P321" s="49" t="str">
        <f t="shared" si="267"/>
        <v>25.6231073841137</v>
      </c>
      <c r="Q321" s="18" t="str">
        <f t="shared" si="268"/>
        <v>1+58.2217750827909i</v>
      </c>
      <c r="R321" s="18">
        <f t="shared" si="280"/>
        <v>58.230362301733024</v>
      </c>
      <c r="S321" s="18">
        <f t="shared" si="281"/>
        <v>1.5536223110415259</v>
      </c>
      <c r="T321" s="18" t="str">
        <f t="shared" si="269"/>
        <v>1+0.060592989195254i</v>
      </c>
      <c r="U321" s="18">
        <f t="shared" si="282"/>
        <v>1.0018340732574511</v>
      </c>
      <c r="V321" s="18">
        <f t="shared" si="283"/>
        <v>6.0518996197840708E-2</v>
      </c>
      <c r="W321" s="32" t="str">
        <f t="shared" si="270"/>
        <v>1-1.35773179493069i</v>
      </c>
      <c r="X321" s="18">
        <f t="shared" si="284"/>
        <v>1.6862489813090218</v>
      </c>
      <c r="Y321" s="18">
        <f t="shared" si="285"/>
        <v>-0.93597677156337633</v>
      </c>
      <c r="Z321" s="32" t="str">
        <f t="shared" si="271"/>
        <v>0.997129615946258+0.10749645120195i</v>
      </c>
      <c r="AA321" s="18">
        <f t="shared" si="286"/>
        <v>1.0029072529492173</v>
      </c>
      <c r="AB321" s="18">
        <f t="shared" si="287"/>
        <v>0.1073911398761815</v>
      </c>
      <c r="AC321" s="32" t="str">
        <f>IMDIV(IMSUM(COMPLEX(0,2*PI()*O321*Constants!$B$71*Constants!$B$72),COMPLEX(1,0)),IMSUM(COMPLEX(0,2*PI()*O321*Constants!$B$71*Constants!$B$72),COMPLEX(2,0)))</f>
        <v>0.508904019603795+0.0661266076310662i</v>
      </c>
      <c r="AD321" s="18">
        <f t="shared" si="288"/>
        <v>0.51318225749307889</v>
      </c>
      <c r="AE321" s="18">
        <f t="shared" si="289"/>
        <v>0.12921526513258833</v>
      </c>
      <c r="AF321" s="66" t="str">
        <f t="shared" si="290"/>
        <v>-0.282342157515572-0.254886601315702i</v>
      </c>
      <c r="AG321" s="64">
        <f t="shared" si="291"/>
        <v>-8.3957867226072977</v>
      </c>
      <c r="AH321" s="61">
        <f t="shared" si="292"/>
        <v>-137.92560678164082</v>
      </c>
      <c r="AI321" s="50" t="str">
        <f t="shared" si="272"/>
        <v>108.866083054159</v>
      </c>
      <c r="AJ321" s="50" t="str">
        <f t="shared" si="273"/>
        <v>1+55.0845356320491i</v>
      </c>
      <c r="AK321" s="50">
        <f t="shared" si="293"/>
        <v>55.093611842013843</v>
      </c>
      <c r="AL321" s="50">
        <f t="shared" si="294"/>
        <v>1.5526444052916464</v>
      </c>
      <c r="AM321" s="50" t="str">
        <f t="shared" si="274"/>
        <v>1+0.060592989195254i</v>
      </c>
      <c r="AN321" s="50">
        <f t="shared" si="295"/>
        <v>1.0018340732574511</v>
      </c>
      <c r="AO321" s="50">
        <f t="shared" si="296"/>
        <v>6.0518996197840708E-2</v>
      </c>
      <c r="AP321" s="50" t="str">
        <f t="shared" si="275"/>
        <v>1-0.302340918648483i</v>
      </c>
      <c r="AQ321" s="50">
        <f t="shared" si="297"/>
        <v>1.0447057150648735</v>
      </c>
      <c r="AR321" s="50">
        <f t="shared" si="298"/>
        <v>-0.29360304016423122</v>
      </c>
      <c r="AS321" s="59" t="str">
        <f t="shared" si="299"/>
        <v>-0.44109640681178-2.02055942783386i</v>
      </c>
      <c r="AT321" s="50">
        <f t="shared" si="300"/>
        <v>6.311622429374947</v>
      </c>
      <c r="AU321" s="61">
        <f t="shared" si="301"/>
        <v>-102.31470349892685</v>
      </c>
      <c r="AV321" s="32" t="str">
        <f t="shared" si="276"/>
        <v>-0.0000333333333333333</v>
      </c>
      <c r="AW321" s="32" t="str">
        <f t="shared" si="277"/>
        <v>0.00323162609041354i</v>
      </c>
      <c r="AX321" s="32">
        <f t="shared" si="302"/>
        <v>3.23162609041354E-3</v>
      </c>
      <c r="AY321" s="32">
        <f t="shared" si="303"/>
        <v>1.5707963267948966</v>
      </c>
      <c r="AZ321" s="32" t="str">
        <f t="shared" si="278"/>
        <v>1+1.31845856119303i</v>
      </c>
      <c r="BA321" s="32">
        <f t="shared" si="304"/>
        <v>1.6547909165762287</v>
      </c>
      <c r="BB321" s="32">
        <f t="shared" si="305"/>
        <v>0.92190184385181162</v>
      </c>
      <c r="BC321" s="32" t="str">
        <f t="shared" si="279"/>
        <v>1+63.2860109372653i</v>
      </c>
      <c r="BD321" s="32">
        <f t="shared" si="306"/>
        <v>63.293911084334674</v>
      </c>
      <c r="BE321" s="32">
        <f t="shared" si="307"/>
        <v>1.5549963613548725</v>
      </c>
      <c r="BF321" s="59" t="str">
        <f t="shared" si="308"/>
        <v>-0.233418742707057+0.318067664327089i</v>
      </c>
      <c r="BG321" s="50">
        <f t="shared" si="309"/>
        <v>-8.07847112309903</v>
      </c>
      <c r="BH321" s="61">
        <f t="shared" si="310"/>
        <v>126.2736438857966</v>
      </c>
      <c r="BI321" s="59" t="str">
        <f t="shared" si="311"/>
        <v>0.146975137369238-0.030308600570063i</v>
      </c>
      <c r="BJ321" s="64">
        <f t="shared" si="312"/>
        <v>-16.474257845706322</v>
      </c>
      <c r="BK321" s="61">
        <f t="shared" si="313"/>
        <v>-11.651962895844244</v>
      </c>
      <c r="BL321" s="59" t="str">
        <f t="shared" si="318"/>
        <v>0.745634786535801+0.331337937352176i</v>
      </c>
      <c r="BM321" s="64">
        <f t="shared" si="314"/>
        <v>-1.7668486937240859</v>
      </c>
      <c r="BN321" s="61">
        <f t="shared" si="319"/>
        <v>23.958940386869763</v>
      </c>
      <c r="BO321" s="50">
        <f t="shared" si="315"/>
        <v>-16.474257845706322</v>
      </c>
      <c r="BP321" s="61">
        <f t="shared" si="316"/>
        <v>-11.651962895844244</v>
      </c>
    </row>
    <row r="322" spans="14:68" x14ac:dyDescent="0.25">
      <c r="N322" s="11">
        <v>4</v>
      </c>
      <c r="O322" s="51">
        <f t="shared" si="320"/>
        <v>10964.781961431856</v>
      </c>
      <c r="P322" s="49" t="str">
        <f t="shared" si="267"/>
        <v>25.6231073841137</v>
      </c>
      <c r="Q322" s="18" t="str">
        <f t="shared" si="268"/>
        <v>1+59.5779344403662i</v>
      </c>
      <c r="R322" s="18">
        <f t="shared" si="280"/>
        <v>59.586326218190138</v>
      </c>
      <c r="S322" s="18">
        <f t="shared" si="281"/>
        <v>1.554013165107204</v>
      </c>
      <c r="T322" s="18" t="str">
        <f t="shared" si="269"/>
        <v>1+0.0620043812248468i</v>
      </c>
      <c r="U322" s="18">
        <f t="shared" si="282"/>
        <v>1.0019204276244078</v>
      </c>
      <c r="V322" s="18">
        <f t="shared" si="283"/>
        <v>6.1925104505039345E-2</v>
      </c>
      <c r="W322" s="32" t="str">
        <f t="shared" si="270"/>
        <v>1-1.38935743114934i</v>
      </c>
      <c r="X322" s="18">
        <f t="shared" si="284"/>
        <v>1.711816015665788</v>
      </c>
      <c r="Y322" s="18">
        <f t="shared" si="285"/>
        <v>-0.94693320424039384</v>
      </c>
      <c r="Z322" s="32" t="str">
        <f t="shared" si="271"/>
        <v>0.996994338913456+0.110000365210006i</v>
      </c>
      <c r="AA322" s="18">
        <f t="shared" si="286"/>
        <v>1.0030442623193725</v>
      </c>
      <c r="AB322" s="18">
        <f t="shared" si="287"/>
        <v>0.10988753169054634</v>
      </c>
      <c r="AC322" s="32" t="str">
        <f>IMDIV(IMSUM(COMPLEX(0,2*PI()*O322*Constants!$B$71*Constants!$B$72),COMPLEX(1,0)),IMSUM(COMPLEX(0,2*PI()*O322*Constants!$B$71*Constants!$B$72),COMPLEX(2,0)))</f>
        <v>0.509315834646649+0.0676101512212554i</v>
      </c>
      <c r="AD322" s="18">
        <f t="shared" si="288"/>
        <v>0.51378375993210779</v>
      </c>
      <c r="AE322" s="18">
        <f t="shared" si="289"/>
        <v>0.13197540049231909</v>
      </c>
      <c r="AF322" s="66" t="str">
        <f t="shared" si="290"/>
        <v>-0.282851383892509-0.250421105785631i</v>
      </c>
      <c r="AG322" s="64">
        <f t="shared" si="291"/>
        <v>-8.4552844398633287</v>
      </c>
      <c r="AH322" s="61">
        <f t="shared" si="292"/>
        <v>-138.48008295735812</v>
      </c>
      <c r="AI322" s="50" t="str">
        <f t="shared" si="272"/>
        <v>108.866083054159</v>
      </c>
      <c r="AJ322" s="50" t="str">
        <f t="shared" si="273"/>
        <v>1+56.3676192953153i</v>
      </c>
      <c r="AK322" s="50">
        <f t="shared" si="293"/>
        <v>56.37648893840057</v>
      </c>
      <c r="AL322" s="50">
        <f t="shared" si="294"/>
        <v>1.5530575057889777</v>
      </c>
      <c r="AM322" s="50" t="str">
        <f t="shared" si="274"/>
        <v>1+0.0620043812248468i</v>
      </c>
      <c r="AN322" s="50">
        <f t="shared" si="295"/>
        <v>1.0019204276244078</v>
      </c>
      <c r="AO322" s="50">
        <f t="shared" si="296"/>
        <v>6.1925104505039345E-2</v>
      </c>
      <c r="AP322" s="50" t="str">
        <f t="shared" si="275"/>
        <v>1-0.309383343332718i</v>
      </c>
      <c r="AQ322" s="50">
        <f t="shared" si="297"/>
        <v>1.0467655196517176</v>
      </c>
      <c r="AR322" s="50">
        <f t="shared" si="298"/>
        <v>-0.30004298035352756</v>
      </c>
      <c r="AS322" s="59" t="str">
        <f t="shared" si="299"/>
        <v>-0.442717233944011-1.97626213625616i</v>
      </c>
      <c r="AT322" s="50">
        <f t="shared" si="300"/>
        <v>6.1295442473095445</v>
      </c>
      <c r="AU322" s="61">
        <f t="shared" si="301"/>
        <v>-102.6267897355614</v>
      </c>
      <c r="AV322" s="32" t="str">
        <f t="shared" si="276"/>
        <v>-0.0000333333333333333</v>
      </c>
      <c r="AW322" s="32" t="str">
        <f t="shared" si="277"/>
        <v>0.00330690033199183i</v>
      </c>
      <c r="AX322" s="32">
        <f t="shared" si="302"/>
        <v>3.3069003319918301E-3</v>
      </c>
      <c r="AY322" s="32">
        <f t="shared" si="303"/>
        <v>1.5707963267948966</v>
      </c>
      <c r="AZ322" s="32" t="str">
        <f t="shared" si="278"/>
        <v>1+1.34916940628139i</v>
      </c>
      <c r="BA322" s="32">
        <f t="shared" si="304"/>
        <v>1.6793624048565807</v>
      </c>
      <c r="BB322" s="32">
        <f t="shared" si="305"/>
        <v>0.93295313581377459</v>
      </c>
      <c r="BC322" s="32" t="str">
        <f t="shared" si="279"/>
        <v>1+64.7601315015068i</v>
      </c>
      <c r="BD322" s="32">
        <f t="shared" si="306"/>
        <v>64.767851840959295</v>
      </c>
      <c r="BE322" s="32">
        <f t="shared" si="307"/>
        <v>1.5553559546525131</v>
      </c>
      <c r="BF322" s="59" t="str">
        <f t="shared" si="308"/>
        <v>-0.22663820865261+0.315853270272192i</v>
      </c>
      <c r="BG322" s="50">
        <f t="shared" si="309"/>
        <v>-8.206545880612536</v>
      </c>
      <c r="BH322" s="61">
        <f t="shared" si="310"/>
        <v>125.66105467650527</v>
      </c>
      <c r="BI322" s="59" t="str">
        <f t="shared" si="311"/>
        <v>0.14320125616788-0.032584543779403i</v>
      </c>
      <c r="BJ322" s="64">
        <f t="shared" si="312"/>
        <v>-16.661830320475868</v>
      </c>
      <c r="BK322" s="61">
        <f t="shared" si="313"/>
        <v>-12.81902828085285</v>
      </c>
      <c r="BL322" s="59" t="str">
        <f t="shared" si="318"/>
        <v>0.724545499492326+0.308062824242001i</v>
      </c>
      <c r="BM322" s="64">
        <f t="shared" si="314"/>
        <v>-2.0770016333029888</v>
      </c>
      <c r="BN322" s="61">
        <f t="shared" si="319"/>
        <v>23.034264940943832</v>
      </c>
      <c r="BO322" s="50">
        <f t="shared" si="315"/>
        <v>-16.661830320475868</v>
      </c>
      <c r="BP322" s="61">
        <f t="shared" si="316"/>
        <v>-12.81902828085285</v>
      </c>
    </row>
    <row r="323" spans="14:68" x14ac:dyDescent="0.25">
      <c r="N323" s="11">
        <v>5</v>
      </c>
      <c r="O323" s="51">
        <f t="shared" si="320"/>
        <v>11220.184543019639</v>
      </c>
      <c r="P323" s="49" t="str">
        <f t="shared" si="267"/>
        <v>25.6231073841137</v>
      </c>
      <c r="Q323" s="18" t="str">
        <f t="shared" si="268"/>
        <v>1+60.9656828073889i</v>
      </c>
      <c r="R323" s="18">
        <f t="shared" si="280"/>
        <v>60.973883591019145</v>
      </c>
      <c r="S323" s="18">
        <f t="shared" si="281"/>
        <v>1.5543951272036174</v>
      </c>
      <c r="T323" s="18" t="str">
        <f t="shared" si="269"/>
        <v>1+0.0634486487980901i</v>
      </c>
      <c r="U323" s="18">
        <f t="shared" si="282"/>
        <v>1.0020108437708164</v>
      </c>
      <c r="V323" s="18">
        <f t="shared" si="283"/>
        <v>6.3363711466619732E-2</v>
      </c>
      <c r="W323" s="32" t="str">
        <f t="shared" si="270"/>
        <v>1-1.42171972306832i</v>
      </c>
      <c r="X323" s="18">
        <f t="shared" si="284"/>
        <v>1.7381849645424563</v>
      </c>
      <c r="Y323" s="18">
        <f t="shared" si="285"/>
        <v>-0.95780984437844663</v>
      </c>
      <c r="Z323" s="32" t="str">
        <f t="shared" si="271"/>
        <v>0.996852686470515+0.112562602867723i</v>
      </c>
      <c r="AA323" s="18">
        <f t="shared" si="286"/>
        <v>1.0031877282382593</v>
      </c>
      <c r="AB323" s="18">
        <f t="shared" si="287"/>
        <v>0.11244171034149891</v>
      </c>
      <c r="AC323" s="32" t="str">
        <f>IMDIV(IMSUM(COMPLEX(0,2*PI()*O323*Constants!$B$71*Constants!$B$72),COMPLEX(1,0)),IMSUM(COMPLEX(0,2*PI()*O323*Constants!$B$71*Constants!$B$72),COMPLEX(2,0)))</f>
        <v>0.509746318325911+0.0691242970455777i</v>
      </c>
      <c r="AD323" s="18">
        <f t="shared" si="288"/>
        <v>0.51441177813971783</v>
      </c>
      <c r="AE323" s="18">
        <f t="shared" si="289"/>
        <v>0.1347831356844677</v>
      </c>
      <c r="AF323" s="66" t="str">
        <f t="shared" si="290"/>
        <v>-0.283367880739638-0.246083189764801i</v>
      </c>
      <c r="AG323" s="64">
        <f t="shared" si="291"/>
        <v>-8.5122991463136852</v>
      </c>
      <c r="AH323" s="61">
        <f t="shared" si="292"/>
        <v>-139.02819952165459</v>
      </c>
      <c r="AI323" s="50" t="str">
        <f t="shared" si="272"/>
        <v>108.866083054159</v>
      </c>
      <c r="AJ323" s="50" t="str">
        <f t="shared" si="273"/>
        <v>1+57.6805898164456i</v>
      </c>
      <c r="AK323" s="50">
        <f t="shared" si="293"/>
        <v>57.689257592493313</v>
      </c>
      <c r="AL323" s="50">
        <f t="shared" si="294"/>
        <v>1.5534612088218764</v>
      </c>
      <c r="AM323" s="50" t="str">
        <f t="shared" si="274"/>
        <v>1+0.0634486487980901i</v>
      </c>
      <c r="AN323" s="50">
        <f t="shared" si="295"/>
        <v>1.0020108437708164</v>
      </c>
      <c r="AO323" s="50">
        <f t="shared" si="296"/>
        <v>6.3363711466619732E-2</v>
      </c>
      <c r="AP323" s="50" t="str">
        <f t="shared" si="275"/>
        <v>1-0.316589807160761i</v>
      </c>
      <c r="AQ323" s="50">
        <f t="shared" si="297"/>
        <v>1.0489180644826781</v>
      </c>
      <c r="AR323" s="50">
        <f t="shared" si="298"/>
        <v>-0.30660646321849727</v>
      </c>
      <c r="AS323" s="59" t="str">
        <f t="shared" si="299"/>
        <v>-0.444265156710569-1.93301009677536i</v>
      </c>
      <c r="AT323" s="50">
        <f t="shared" si="300"/>
        <v>5.9482326776263257</v>
      </c>
      <c r="AU323" s="61">
        <f t="shared" si="301"/>
        <v>-102.94355397531562</v>
      </c>
      <c r="AV323" s="32" t="str">
        <f t="shared" si="276"/>
        <v>-0.0000333333333333333</v>
      </c>
      <c r="AW323" s="32" t="str">
        <f t="shared" si="277"/>
        <v>0.00338392793589814i</v>
      </c>
      <c r="AX323" s="32">
        <f t="shared" si="302"/>
        <v>3.3839279358981399E-3</v>
      </c>
      <c r="AY323" s="32">
        <f t="shared" si="303"/>
        <v>1.5707963267948966</v>
      </c>
      <c r="AZ323" s="32" t="str">
        <f t="shared" si="278"/>
        <v>1+1.38059559884733i</v>
      </c>
      <c r="BA323" s="32">
        <f t="shared" si="304"/>
        <v>1.7047123533184765</v>
      </c>
      <c r="BB323" s="32">
        <f t="shared" si="305"/>
        <v>0.94393067396212849</v>
      </c>
      <c r="BC323" s="32" t="str">
        <f t="shared" si="279"/>
        <v>1+66.268588744672i</v>
      </c>
      <c r="BD323" s="32">
        <f t="shared" si="306"/>
        <v>66.276133367981487</v>
      </c>
      <c r="BE323" s="32">
        <f t="shared" si="307"/>
        <v>1.5557073664662042</v>
      </c>
      <c r="BF323" s="59" t="str">
        <f t="shared" si="308"/>
        <v>-0.219947872464803+0.313509550279856i</v>
      </c>
      <c r="BG323" s="50">
        <f t="shared" si="309"/>
        <v>-8.336726111152867</v>
      </c>
      <c r="BH323" s="61">
        <f t="shared" si="310"/>
        <v>125.05222248495639</v>
      </c>
      <c r="BI323" s="59" t="str">
        <f t="shared" si="311"/>
        <v>0.139475592648139-0.0347130628163194i</v>
      </c>
      <c r="BJ323" s="64">
        <f t="shared" si="312"/>
        <v>-16.849025257466533</v>
      </c>
      <c r="BK323" s="61">
        <f t="shared" si="313"/>
        <v>-13.975977036698165</v>
      </c>
      <c r="BL323" s="59" t="str">
        <f t="shared" si="318"/>
        <v>0.703732302155196+0.285880088753383i</v>
      </c>
      <c r="BM323" s="64">
        <f t="shared" si="314"/>
        <v>-2.3884934335265435</v>
      </c>
      <c r="BN323" s="61">
        <f t="shared" si="319"/>
        <v>22.108668509640765</v>
      </c>
      <c r="BO323" s="50">
        <f t="shared" si="315"/>
        <v>-16.849025257466533</v>
      </c>
      <c r="BP323" s="61">
        <f t="shared" si="316"/>
        <v>-13.975977036698165</v>
      </c>
    </row>
    <row r="324" spans="14:68" x14ac:dyDescent="0.25">
      <c r="N324" s="11">
        <v>6</v>
      </c>
      <c r="O324" s="51">
        <f t="shared" si="320"/>
        <v>11481.536214968832</v>
      </c>
      <c r="P324" s="49" t="str">
        <f t="shared" si="267"/>
        <v>25.6231073841137</v>
      </c>
      <c r="Q324" s="18" t="str">
        <f t="shared" si="268"/>
        <v>1+62.3857559864123i</v>
      </c>
      <c r="R324" s="18">
        <f t="shared" si="280"/>
        <v>62.393770121673029</v>
      </c>
      <c r="S324" s="18">
        <f t="shared" si="281"/>
        <v>1.554768399406059</v>
      </c>
      <c r="T324" s="18" t="str">
        <f t="shared" si="269"/>
        <v>1+0.0649265576847683i</v>
      </c>
      <c r="U324" s="18">
        <f t="shared" si="282"/>
        <v>1.0021055123552578</v>
      </c>
      <c r="V324" s="18">
        <f t="shared" si="283"/>
        <v>6.4835556018985316E-2</v>
      </c>
      <c r="W324" s="32" t="str">
        <f t="shared" si="270"/>
        <v>1-1.45483582960314i</v>
      </c>
      <c r="X324" s="18">
        <f t="shared" si="284"/>
        <v>1.7653745469721309</v>
      </c>
      <c r="Y324" s="18">
        <f t="shared" si="285"/>
        <v>-0.96860216532725785</v>
      </c>
      <c r="Z324" s="32" t="str">
        <f t="shared" si="271"/>
        <v>0.996704358153609+0.115184522707422i</v>
      </c>
      <c r="AA324" s="18">
        <f t="shared" si="286"/>
        <v>1.0033379549452588</v>
      </c>
      <c r="AB324" s="18">
        <f t="shared" si="287"/>
        <v>0.11505499611110329</v>
      </c>
      <c r="AC324" s="32" t="str">
        <f>IMDIV(IMSUM(COMPLEX(0,2*PI()*O324*Constants!$B$71*Constants!$B$72),COMPLEX(1,0)),IMSUM(COMPLEX(0,2*PI()*O324*Constants!$B$71*Constants!$B$72),COMPLEX(2,0)))</f>
        <v>0.510196281245159+0.0706694875554448i</v>
      </c>
      <c r="AD324" s="18">
        <f t="shared" si="288"/>
        <v>0.51506739546173808</v>
      </c>
      <c r="AE324" s="18">
        <f t="shared" si="289"/>
        <v>0.1376385182123516</v>
      </c>
      <c r="AF324" s="66" t="str">
        <f t="shared" si="290"/>
        <v>-0.283892642140646-0.241870232596351i</v>
      </c>
      <c r="AG324" s="64">
        <f t="shared" si="291"/>
        <v>-8.5668460430442472</v>
      </c>
      <c r="AH324" s="61">
        <f t="shared" si="292"/>
        <v>-139.56973928154827</v>
      </c>
      <c r="AI324" s="50" t="str">
        <f t="shared" si="272"/>
        <v>108.866083054159</v>
      </c>
      <c r="AJ324" s="50" t="str">
        <f t="shared" si="273"/>
        <v>1+59.0241433497894i</v>
      </c>
      <c r="AK324" s="50">
        <f t="shared" si="293"/>
        <v>59.032613851806424</v>
      </c>
      <c r="AL324" s="50">
        <f t="shared" si="294"/>
        <v>1.5538557279123808</v>
      </c>
      <c r="AM324" s="50" t="str">
        <f t="shared" si="274"/>
        <v>1+0.0649265576847683i</v>
      </c>
      <c r="AN324" s="50">
        <f t="shared" si="295"/>
        <v>1.0021055123552578</v>
      </c>
      <c r="AO324" s="50">
        <f t="shared" si="296"/>
        <v>6.4835556018985316E-2</v>
      </c>
      <c r="AP324" s="50" t="str">
        <f t="shared" si="275"/>
        <v>1-0.323964131095122i</v>
      </c>
      <c r="AQ324" s="50">
        <f t="shared" si="297"/>
        <v>1.051167331225727</v>
      </c>
      <c r="AR324" s="50">
        <f t="shared" si="298"/>
        <v>-0.31329470599031078</v>
      </c>
      <c r="AS324" s="59" t="str">
        <f t="shared" si="299"/>
        <v>-0.445743452401906-1.89078054923925i</v>
      </c>
      <c r="AT324" s="50">
        <f t="shared" si="300"/>
        <v>5.7677178079400395</v>
      </c>
      <c r="AU324" s="61">
        <f t="shared" si="301"/>
        <v>-103.26503585637271</v>
      </c>
      <c r="AV324" s="32" t="str">
        <f t="shared" si="276"/>
        <v>-0.0000333333333333333</v>
      </c>
      <c r="AW324" s="32" t="str">
        <f t="shared" si="277"/>
        <v>0.00346274974318764i</v>
      </c>
      <c r="AX324" s="32">
        <f t="shared" si="302"/>
        <v>3.4627497431876401E-3</v>
      </c>
      <c r="AY324" s="32">
        <f t="shared" si="303"/>
        <v>1.5707963267948966</v>
      </c>
      <c r="AZ324" s="32" t="str">
        <f t="shared" si="278"/>
        <v>1+1.41275380147413i</v>
      </c>
      <c r="BA324" s="32">
        <f t="shared" si="304"/>
        <v>1.7308591229732146</v>
      </c>
      <c r="BB324" s="32">
        <f t="shared" si="305"/>
        <v>0.95482969612716873</v>
      </c>
      <c r="BC324" s="32" t="str">
        <f t="shared" si="279"/>
        <v>1+67.8121824707581i</v>
      </c>
      <c r="BD324" s="32">
        <f t="shared" si="306"/>
        <v>67.81955537636172</v>
      </c>
      <c r="BE324" s="32">
        <f t="shared" si="307"/>
        <v>1.5560507827717747</v>
      </c>
      <c r="BF324" s="59" t="str">
        <f t="shared" si="308"/>
        <v>-0.213352894455524+0.311041373849951i</v>
      </c>
      <c r="BG324" s="50">
        <f t="shared" si="309"/>
        <v>-8.4689828742177919</v>
      </c>
      <c r="BH324" s="61">
        <f t="shared" si="310"/>
        <v>124.44743081900513</v>
      </c>
      <c r="BI324" s="59" t="str">
        <f t="shared" si="311"/>
        <v>0.135800966355509-0.0366986432302567i</v>
      </c>
      <c r="BJ324" s="64">
        <f t="shared" si="312"/>
        <v>-17.035828917262059</v>
      </c>
      <c r="BK324" s="61">
        <f t="shared" si="313"/>
        <v>-15.122308462543149</v>
      </c>
      <c r="BL324" s="59" t="str">
        <f t="shared" si="318"/>
        <v>0.683211635438686+0.26475884714069i</v>
      </c>
      <c r="BM324" s="64">
        <f t="shared" si="314"/>
        <v>-2.7012650662777555</v>
      </c>
      <c r="BN324" s="61">
        <f t="shared" si="319"/>
        <v>21.182394962632394</v>
      </c>
      <c r="BO324" s="50">
        <f t="shared" si="315"/>
        <v>-17.035828917262059</v>
      </c>
      <c r="BP324" s="61">
        <f t="shared" si="316"/>
        <v>-15.122308462543149</v>
      </c>
    </row>
    <row r="325" spans="14:68" x14ac:dyDescent="0.25">
      <c r="N325" s="11">
        <v>7</v>
      </c>
      <c r="O325" s="51">
        <f t="shared" si="320"/>
        <v>11748.975549395318</v>
      </c>
      <c r="P325" s="49" t="str">
        <f t="shared" si="267"/>
        <v>25.6231073841137</v>
      </c>
      <c r="Q325" s="18" t="str">
        <f t="shared" si="268"/>
        <v>1+63.838906919033i</v>
      </c>
      <c r="R325" s="18">
        <f t="shared" si="280"/>
        <v>63.846738652941063</v>
      </c>
      <c r="S325" s="18">
        <f t="shared" si="281"/>
        <v>1.5551331792120822</v>
      </c>
      <c r="T325" s="18" t="str">
        <f t="shared" si="269"/>
        <v>1+0.0664388914917357i</v>
      </c>
      <c r="U325" s="18">
        <f t="shared" si="282"/>
        <v>1.0022046329481074</v>
      </c>
      <c r="V325" s="18">
        <f t="shared" si="283"/>
        <v>6.6341393031256732E-2</v>
      </c>
      <c r="W325" s="32" t="str">
        <f t="shared" si="270"/>
        <v>1-1.48872330935185i</v>
      </c>
      <c r="X325" s="18">
        <f t="shared" si="284"/>
        <v>1.7934037726645731</v>
      </c>
      <c r="Y325" s="18">
        <f t="shared" si="285"/>
        <v>-0.97930583318406683</v>
      </c>
      <c r="Z325" s="32" t="str">
        <f t="shared" si="271"/>
        <v>0.996549039338493+0.117867514905709i</v>
      </c>
      <c r="AA325" s="18">
        <f t="shared" si="286"/>
        <v>1.0034952610134842</v>
      </c>
      <c r="AB325" s="18">
        <f t="shared" si="287"/>
        <v>0.11772873820736278</v>
      </c>
      <c r="AC325" s="32" t="str">
        <f>IMDIV(IMSUM(COMPLEX(0,2*PI()*O325*Constants!$B$71*Constants!$B$72),COMPLEX(1,0)),IMSUM(COMPLEX(0,2*PI()*O325*Constants!$B$71*Constants!$B$72),COMPLEX(2,0)))</f>
        <v>0.510666565839478+0.072246157634376i</v>
      </c>
      <c r="AD325" s="18">
        <f t="shared" si="288"/>
        <v>0.51575173170743405</v>
      </c>
      <c r="AE325" s="18">
        <f t="shared" si="289"/>
        <v>0.14054153541136657</v>
      </c>
      <c r="AF325" s="66" t="str">
        <f t="shared" si="290"/>
        <v>-0.284426670431491-0.237779656269982i</v>
      </c>
      <c r="AG325" s="64">
        <f t="shared" si="291"/>
        <v>-8.6189413461497484</v>
      </c>
      <c r="AH325" s="61">
        <f t="shared" si="292"/>
        <v>-140.10450001721696</v>
      </c>
      <c r="AI325" s="50" t="str">
        <f t="shared" si="272"/>
        <v>108.866083054159</v>
      </c>
      <c r="AJ325" s="50" t="str">
        <f t="shared" si="273"/>
        <v>1+60.3989922652143i</v>
      </c>
      <c r="AK325" s="50">
        <f t="shared" si="293"/>
        <v>60.407269981794542</v>
      </c>
      <c r="AL325" s="50">
        <f t="shared" si="294"/>
        <v>1.5542412717482124</v>
      </c>
      <c r="AM325" s="50" t="str">
        <f t="shared" si="274"/>
        <v>1+0.0664388914917357i</v>
      </c>
      <c r="AN325" s="50">
        <f t="shared" si="295"/>
        <v>1.0022046329481074</v>
      </c>
      <c r="AO325" s="50">
        <f t="shared" si="296"/>
        <v>6.6341393031256732E-2</v>
      </c>
      <c r="AP325" s="50" t="str">
        <f t="shared" si="275"/>
        <v>1-0.331510225099962i</v>
      </c>
      <c r="AQ325" s="50">
        <f t="shared" si="297"/>
        <v>1.0535174556436298</v>
      </c>
      <c r="AR325" s="50">
        <f t="shared" si="298"/>
        <v>-0.3201088605650157</v>
      </c>
      <c r="AS325" s="59" t="str">
        <f t="shared" si="299"/>
        <v>-0.447155251153134-1.84955126412179i</v>
      </c>
      <c r="AT325" s="50">
        <f t="shared" si="300"/>
        <v>5.5880306096266441</v>
      </c>
      <c r="AU325" s="61">
        <f t="shared" si="301"/>
        <v>-103.59127008362577</v>
      </c>
      <c r="AV325" s="32" t="str">
        <f t="shared" si="276"/>
        <v>-0.0000333333333333333</v>
      </c>
      <c r="AW325" s="32" t="str">
        <f t="shared" si="277"/>
        <v>0.0035434075462259i</v>
      </c>
      <c r="AX325" s="32">
        <f t="shared" si="302"/>
        <v>3.5434075462259002E-3</v>
      </c>
      <c r="AY325" s="32">
        <f t="shared" si="303"/>
        <v>1.5707963267948966</v>
      </c>
      <c r="AZ325" s="32" t="str">
        <f t="shared" si="278"/>
        <v>1+1.44566106486647i</v>
      </c>
      <c r="BA325" s="32">
        <f t="shared" si="304"/>
        <v>1.7578213545382977</v>
      </c>
      <c r="BB325" s="32">
        <f t="shared" si="305"/>
        <v>0.96564562387358277</v>
      </c>
      <c r="BC325" s="32" t="str">
        <f t="shared" si="279"/>
        <v>1+69.3917311135907i</v>
      </c>
      <c r="BD325" s="32">
        <f t="shared" si="306"/>
        <v>69.398936209000141</v>
      </c>
      <c r="BE325" s="32">
        <f t="shared" si="307"/>
        <v>1.5563863853289031</v>
      </c>
      <c r="BF325" s="59" t="str">
        <f t="shared" si="308"/>
        <v>-0.206858089757567+0.308453827011935i</v>
      </c>
      <c r="BG325" s="50">
        <f t="shared" si="309"/>
        <v>-8.6032856639302029</v>
      </c>
      <c r="BH325" s="61">
        <f t="shared" si="310"/>
        <v>123.8469524177344</v>
      </c>
      <c r="BI325" s="59" t="str">
        <f t="shared" si="311"/>
        <v>0.132180002683622-0.0385458495196364i</v>
      </c>
      <c r="BJ325" s="64">
        <f t="shared" si="312"/>
        <v>-17.22222701007993</v>
      </c>
      <c r="BK325" s="61">
        <f t="shared" si="313"/>
        <v>-16.257547599482528</v>
      </c>
      <c r="BL325" s="59" t="str">
        <f t="shared" si="318"/>
        <v>0.662998846751731+0.24466789291826i</v>
      </c>
      <c r="BM325" s="64">
        <f t="shared" si="314"/>
        <v>-3.0152550543035517</v>
      </c>
      <c r="BN325" s="61">
        <f t="shared" si="319"/>
        <v>20.255682334108666</v>
      </c>
      <c r="BO325" s="50">
        <f t="shared" si="315"/>
        <v>-17.22222701007993</v>
      </c>
      <c r="BP325" s="61">
        <f t="shared" si="316"/>
        <v>-16.257547599482528</v>
      </c>
    </row>
    <row r="326" spans="14:68" x14ac:dyDescent="0.25">
      <c r="N326" s="11">
        <v>8</v>
      </c>
      <c r="O326" s="51">
        <f t="shared" si="320"/>
        <v>12022.644346174151</v>
      </c>
      <c r="P326" s="49" t="str">
        <f t="shared" si="267"/>
        <v>25.6231073841137</v>
      </c>
      <c r="Q326" s="18" t="str">
        <f t="shared" si="268"/>
        <v>1+65.3259060851097i</v>
      </c>
      <c r="R326" s="18">
        <f t="shared" si="280"/>
        <v>65.333559568116073</v>
      </c>
      <c r="S326" s="18">
        <f t="shared" si="281"/>
        <v>1.5554896596442318</v>
      </c>
      <c r="T326" s="18" t="str">
        <f t="shared" si="269"/>
        <v>1+0.0679864520783945i</v>
      </c>
      <c r="U326" s="18">
        <f t="shared" si="282"/>
        <v>1.00230841444448</v>
      </c>
      <c r="V326" s="18">
        <f t="shared" si="283"/>
        <v>6.7881993586339451E-2</v>
      </c>
      <c r="W326" s="32" t="str">
        <f t="shared" si="270"/>
        <v>1-1.52340012990476i</v>
      </c>
      <c r="X326" s="18">
        <f t="shared" si="284"/>
        <v>1.8222919513057831</v>
      </c>
      <c r="Y326" s="18">
        <f t="shared" si="285"/>
        <v>-0.98991671273465698</v>
      </c>
      <c r="Z326" s="32" t="str">
        <f t="shared" si="271"/>
        <v>0.996386400573135+0.120613002020559i</v>
      </c>
      <c r="AA326" s="18">
        <f t="shared" si="286"/>
        <v>1.0036599800248585</v>
      </c>
      <c r="AB326" s="18">
        <f t="shared" si="287"/>
        <v>0.12046431530898787</v>
      </c>
      <c r="AC326" s="32" t="str">
        <f>IMDIV(IMSUM(COMPLEX(0,2*PI()*O326*Constants!$B$71*Constants!$B$72),COMPLEX(1,0)),IMSUM(COMPLEX(0,2*PI()*O326*Constants!$B$71*Constants!$B$72),COMPLEX(2,0)))</f>
        <v>0.511158047304762+0.0738547333129413i</v>
      </c>
      <c r="AD326" s="18">
        <f t="shared" si="288"/>
        <v>0.51646594365663934</v>
      </c>
      <c r="AE326" s="18">
        <f t="shared" si="289"/>
        <v>0.1434921102038719</v>
      </c>
      <c r="AF326" s="66" t="str">
        <f t="shared" si="290"/>
        <v>-0.284970977479763-0.233808922730495i</v>
      </c>
      <c r="AG326" s="64">
        <f t="shared" si="291"/>
        <v>-8.6686021803412565</v>
      </c>
      <c r="AH326" s="61">
        <f t="shared" si="292"/>
        <v>-140.63229508661442</v>
      </c>
      <c r="AI326" s="50" t="str">
        <f t="shared" si="272"/>
        <v>108.866083054159</v>
      </c>
      <c r="AJ326" s="50" t="str">
        <f t="shared" si="273"/>
        <v>1+61.8058655258132i</v>
      </c>
      <c r="AK326" s="50">
        <f t="shared" si="293"/>
        <v>61.813954843505236</v>
      </c>
      <c r="AL326" s="50">
        <f t="shared" si="294"/>
        <v>1.5546180442910826</v>
      </c>
      <c r="AM326" s="50" t="str">
        <f t="shared" si="274"/>
        <v>1+0.0679864520783945i</v>
      </c>
      <c r="AN326" s="50">
        <f t="shared" si="295"/>
        <v>1.00230841444448</v>
      </c>
      <c r="AO326" s="50">
        <f t="shared" si="296"/>
        <v>6.7881993586339451E-2</v>
      </c>
      <c r="AP326" s="50" t="str">
        <f t="shared" si="275"/>
        <v>1-0.339232090214207i</v>
      </c>
      <c r="AQ326" s="50">
        <f t="shared" si="297"/>
        <v>1.0559727321437329</v>
      </c>
      <c r="AR326" s="50">
        <f t="shared" si="298"/>
        <v>-0.32705000783453364</v>
      </c>
      <c r="AS326" s="59" t="str">
        <f t="shared" si="299"/>
        <v>-0.448503542536597-1.80930053150395i</v>
      </c>
      <c r="AT326" s="50">
        <f t="shared" si="300"/>
        <v>5.4092029407449846</v>
      </c>
      <c r="AU326" s="61">
        <f t="shared" si="301"/>
        <v>-103.92228609396905</v>
      </c>
      <c r="AV326" s="32" t="str">
        <f t="shared" si="276"/>
        <v>-0.0000333333333333333</v>
      </c>
      <c r="AW326" s="32" t="str">
        <f t="shared" si="277"/>
        <v>0.0036259441108477i</v>
      </c>
      <c r="AX326" s="32">
        <f t="shared" si="302"/>
        <v>3.6259441108476998E-3</v>
      </c>
      <c r="AY326" s="32">
        <f t="shared" si="303"/>
        <v>1.5707963267948966</v>
      </c>
      <c r="AZ326" s="32" t="str">
        <f t="shared" si="278"/>
        <v>1+1.47933483689099i</v>
      </c>
      <c r="BA326" s="32">
        <f t="shared" si="304"/>
        <v>1.785617976959039</v>
      </c>
      <c r="BB326" s="32">
        <f t="shared" si="305"/>
        <v>0.97637406970714558</v>
      </c>
      <c r="BC326" s="32" t="str">
        <f t="shared" si="279"/>
        <v>1+71.0080721707676i</v>
      </c>
      <c r="BD326" s="32">
        <f t="shared" si="306"/>
        <v>71.015113274632895</v>
      </c>
      <c r="BE326" s="32">
        <f t="shared" si="307"/>
        <v>1.5567143517759452</v>
      </c>
      <c r="BF326" s="59" t="str">
        <f t="shared" si="308"/>
        <v>-0.200467919346856+0.305752184800507i</v>
      </c>
      <c r="BG326" s="50">
        <f t="shared" si="309"/>
        <v>-8.7396025187140083</v>
      </c>
      <c r="BH326" s="61">
        <f t="shared" si="310"/>
        <v>123.25104884397389</v>
      </c>
      <c r="BI326" s="59" t="str">
        <f t="shared" si="311"/>
        <v>0.12861512788031-0.0402593107046615i</v>
      </c>
      <c r="BJ326" s="64">
        <f t="shared" si="312"/>
        <v>-17.408204699055243</v>
      </c>
      <c r="BK326" s="61">
        <f t="shared" si="313"/>
        <v>-17.381246242640497</v>
      </c>
      <c r="BL326" s="59" t="str">
        <f t="shared" si="318"/>
        <v>0.643108162460057+0.225575775002426i</v>
      </c>
      <c r="BM326" s="64">
        <f t="shared" si="314"/>
        <v>-3.3303995779690245</v>
      </c>
      <c r="BN326" s="61">
        <f t="shared" si="319"/>
        <v>19.328762750004852</v>
      </c>
      <c r="BO326" s="50">
        <f t="shared" si="315"/>
        <v>-17.408204699055243</v>
      </c>
      <c r="BP326" s="61">
        <f t="shared" si="316"/>
        <v>-17.381246242640497</v>
      </c>
    </row>
    <row r="327" spans="14:68" x14ac:dyDescent="0.25">
      <c r="N327" s="11">
        <v>9</v>
      </c>
      <c r="O327" s="51">
        <f t="shared" si="320"/>
        <v>12302.687708123816</v>
      </c>
      <c r="P327" s="49" t="str">
        <f t="shared" si="267"/>
        <v>25.6231073841137</v>
      </c>
      <c r="Q327" s="18" t="str">
        <f t="shared" si="268"/>
        <v>1+66.8475419112834i</v>
      </c>
      <c r="R327" s="18">
        <f t="shared" si="280"/>
        <v>66.855021199464076</v>
      </c>
      <c r="S327" s="18">
        <f t="shared" si="281"/>
        <v>1.5558380293505367</v>
      </c>
      <c r="T327" s="18" t="str">
        <f t="shared" si="269"/>
        <v>1+0.0695700599818523i</v>
      </c>
      <c r="U327" s="18">
        <f t="shared" si="282"/>
        <v>1.0024170754959627</v>
      </c>
      <c r="V327" s="18">
        <f t="shared" si="283"/>
        <v>6.9458145262274146E-2</v>
      </c>
      <c r="W327" s="32" t="str">
        <f t="shared" si="270"/>
        <v>1-1.55888467737113i</v>
      </c>
      <c r="X327" s="18">
        <f t="shared" si="284"/>
        <v>1.8520587024558623</v>
      </c>
      <c r="Y327" s="18">
        <f t="shared" si="285"/>
        <v>-1.0004308724026238</v>
      </c>
      <c r="Z327" s="32" t="str">
        <f t="shared" si="271"/>
        <v>0.996216096878909+0.123422439745582i</v>
      </c>
      <c r="AA327" s="18">
        <f t="shared" si="286"/>
        <v>1.0038324612769802</v>
      </c>
      <c r="AB327" s="18">
        <f t="shared" si="287"/>
        <v>0.1232631361138441</v>
      </c>
      <c r="AC327" s="32" t="str">
        <f>IMDIV(IMSUM(COMPLEX(0,2*PI()*O327*Constants!$B$71*Constants!$B$72),COMPLEX(1,0)),IMSUM(COMPLEX(0,2*PI()*O327*Constants!$B$71*Constants!$B$72),COMPLEX(2,0)))</f>
        <v>0.511671634521901+0.0754956303936694i</v>
      </c>
      <c r="AD327" s="18">
        <f t="shared" si="288"/>
        <v>0.51721122549965148</v>
      </c>
      <c r="AE327" s="18">
        <f t="shared" si="289"/>
        <v>0.14649009670184893</v>
      </c>
      <c r="AF327" s="66" t="str">
        <f t="shared" si="290"/>
        <v>-0.285526585911608-0.229955531125032i</v>
      </c>
      <c r="AG327" s="64">
        <f t="shared" si="291"/>
        <v>-8.7158464731154996</v>
      </c>
      <c r="AH327" s="61">
        <f t="shared" si="292"/>
        <v>-141.15295398205382</v>
      </c>
      <c r="AI327" s="50" t="str">
        <f t="shared" si="272"/>
        <v>108.866083054159</v>
      </c>
      <c r="AJ327" s="50" t="str">
        <f t="shared" si="273"/>
        <v>1+63.2455090744113i</v>
      </c>
      <c r="AK327" s="50">
        <f t="shared" si="293"/>
        <v>63.253414280032686</v>
      </c>
      <c r="AL327" s="50">
        <f t="shared" si="294"/>
        <v>1.5549862448826499</v>
      </c>
      <c r="AM327" s="50" t="str">
        <f t="shared" si="274"/>
        <v>1+0.0695700599818523i</v>
      </c>
      <c r="AN327" s="50">
        <f t="shared" si="295"/>
        <v>1.0024170754959627</v>
      </c>
      <c r="AO327" s="50">
        <f t="shared" si="296"/>
        <v>6.9458145262274146E-2</v>
      </c>
      <c r="AP327" s="50" t="str">
        <f t="shared" si="275"/>
        <v>1-0.34713382067295i</v>
      </c>
      <c r="AQ327" s="50">
        <f t="shared" si="297"/>
        <v>1.0585376183466508</v>
      </c>
      <c r="AR327" s="50">
        <f t="shared" si="298"/>
        <v>-0.33411915182548579</v>
      </c>
      <c r="AS327" s="59" t="str">
        <f t="shared" si="299"/>
        <v>-0.449791181860412-1.77000715027892i</v>
      </c>
      <c r="AT327" s="50">
        <f t="shared" si="300"/>
        <v>5.2312675466324956</v>
      </c>
      <c r="AU327" s="61">
        <f t="shared" si="301"/>
        <v>-104.25810771042836</v>
      </c>
      <c r="AV327" s="32" t="str">
        <f t="shared" si="276"/>
        <v>-0.0000333333333333333</v>
      </c>
      <c r="AW327" s="32" t="str">
        <f t="shared" si="277"/>
        <v>0.00371040319903212i</v>
      </c>
      <c r="AX327" s="32">
        <f t="shared" si="302"/>
        <v>3.7104031990321199E-3</v>
      </c>
      <c r="AY327" s="32">
        <f t="shared" si="303"/>
        <v>1.5707963267948966</v>
      </c>
      <c r="AZ327" s="32" t="str">
        <f t="shared" si="278"/>
        <v>1+1.51379297182734i</v>
      </c>
      <c r="BA327" s="32">
        <f t="shared" si="304"/>
        <v>1.8142682165418238</v>
      </c>
      <c r="BB327" s="32">
        <f t="shared" si="305"/>
        <v>0.98701084328891386</v>
      </c>
      <c r="BC327" s="32" t="str">
        <f t="shared" si="279"/>
        <v>1+72.6620626477125i</v>
      </c>
      <c r="BD327" s="32">
        <f t="shared" si="306"/>
        <v>72.668943491839059</v>
      </c>
      <c r="BE327" s="32">
        <f t="shared" si="307"/>
        <v>1.5570348557226767</v>
      </c>
      <c r="BF327" s="59" t="str">
        <f t="shared" si="308"/>
        <v>-0.194186483518701+0.302941883595548i</v>
      </c>
      <c r="BG327" s="50">
        <f t="shared" si="309"/>
        <v>-8.8779001333849052</v>
      </c>
      <c r="BH327" s="61">
        <f t="shared" si="310"/>
        <v>122.65997013356741</v>
      </c>
      <c r="BI327" s="59" t="str">
        <f t="shared" si="311"/>
        <v>0.125108565411507-0.0418437057978234i</v>
      </c>
      <c r="BJ327" s="64">
        <f t="shared" si="312"/>
        <v>-17.593746606500421</v>
      </c>
      <c r="BK327" s="61">
        <f t="shared" si="313"/>
        <v>-18.492983848486428</v>
      </c>
      <c r="BL327" s="59" t="str">
        <f t="shared" si="318"/>
        <v>0.623552668006278+0.20745087645816i</v>
      </c>
      <c r="BM327" s="64">
        <f t="shared" si="314"/>
        <v>-3.6466325867524101</v>
      </c>
      <c r="BN327" s="61">
        <f t="shared" si="319"/>
        <v>18.401862423139079</v>
      </c>
      <c r="BO327" s="50">
        <f t="shared" si="315"/>
        <v>-17.593746606500421</v>
      </c>
      <c r="BP327" s="61">
        <f t="shared" si="316"/>
        <v>-18.492983848486428</v>
      </c>
    </row>
    <row r="328" spans="14:68" x14ac:dyDescent="0.25">
      <c r="N328" s="11">
        <v>10</v>
      </c>
      <c r="O328" s="51">
        <f t="shared" si="320"/>
        <v>12589.254117941671</v>
      </c>
      <c r="P328" s="49" t="str">
        <f t="shared" si="267"/>
        <v>25.6231073841137</v>
      </c>
      <c r="Q328" s="18" t="str">
        <f t="shared" si="268"/>
        <v>1+68.4046211890103i</v>
      </c>
      <c r="R328" s="18">
        <f t="shared" si="280"/>
        <v>68.41193024620776</v>
      </c>
      <c r="S328" s="18">
        <f t="shared" si="281"/>
        <v>1.556178472702803</v>
      </c>
      <c r="T328" s="18" t="str">
        <f t="shared" si="269"/>
        <v>1+0.0711905548519811i</v>
      </c>
      <c r="U328" s="18">
        <f t="shared" si="282"/>
        <v>1.0025308449619557</v>
      </c>
      <c r="V328" s="18">
        <f t="shared" si="283"/>
        <v>7.1070652413445581E-2</v>
      </c>
      <c r="W328" s="32" t="str">
        <f t="shared" si="270"/>
        <v>1-1.59519576612773i</v>
      </c>
      <c r="X328" s="18">
        <f t="shared" si="284"/>
        <v>1.882723966032152</v>
      </c>
      <c r="Y328" s="18">
        <f t="shared" si="285"/>
        <v>-1.0108445882167185</v>
      </c>
      <c r="Z328" s="32" t="str">
        <f t="shared" si="271"/>
        <v>0.996037767018847+0.126297317681848i</v>
      </c>
      <c r="AA328" s="18">
        <f t="shared" si="286"/>
        <v>1.004013070523248</v>
      </c>
      <c r="AB328" s="18">
        <f t="shared" si="287"/>
        <v>0.12612663989052419</v>
      </c>
      <c r="AC328" s="32" t="str">
        <f>IMDIV(IMSUM(COMPLEX(0,2*PI()*O328*Constants!$B$71*Constants!$B$72),COMPLEX(1,0)),IMSUM(COMPLEX(0,2*PI()*O328*Constants!$B$71*Constants!$B$72),COMPLEX(2,0)))</f>
        <v>0.512208270971721+0.0771692529816231i</v>
      </c>
      <c r="AD328" s="18">
        <f t="shared" si="288"/>
        <v>0.51798880920110779</v>
      </c>
      <c r="AE328" s="18">
        <f t="shared" si="289"/>
        <v>0.14953527566276453</v>
      </c>
      <c r="AF328" s="66" t="str">
        <f t="shared" si="290"/>
        <v>-0.286094530282778-0.226217014984915i</v>
      </c>
      <c r="AG328" s="64">
        <f t="shared" si="291"/>
        <v>-8.7606928503909192</v>
      </c>
      <c r="AH328" s="61">
        <f t="shared" si="292"/>
        <v>-141.66632283900253</v>
      </c>
      <c r="AI328" s="50" t="str">
        <f t="shared" si="272"/>
        <v>108.866083054159</v>
      </c>
      <c r="AJ328" s="50" t="str">
        <f t="shared" si="273"/>
        <v>1+64.7186862290738i</v>
      </c>
      <c r="AK328" s="50">
        <f t="shared" si="293"/>
        <v>64.726411511973268</v>
      </c>
      <c r="AL328" s="50">
        <f t="shared" si="294"/>
        <v>1.5553460683481721</v>
      </c>
      <c r="AM328" s="50" t="str">
        <f t="shared" si="274"/>
        <v>1+0.0711905548519811i</v>
      </c>
      <c r="AN328" s="50">
        <f t="shared" si="295"/>
        <v>1.0025308449619557</v>
      </c>
      <c r="AO328" s="50">
        <f t="shared" si="296"/>
        <v>7.1070652413445581E-2</v>
      </c>
      <c r="AP328" s="50" t="str">
        <f t="shared" si="275"/>
        <v>1-0.355219606078273i</v>
      </c>
      <c r="AQ328" s="50">
        <f t="shared" si="297"/>
        <v>1.0612167396636765</v>
      </c>
      <c r="AR328" s="50">
        <f t="shared" si="298"/>
        <v>-0.34131721365541712</v>
      </c>
      <c r="AS328" s="59" t="str">
        <f t="shared" si="299"/>
        <v>-0.451020896185979-1.73165041757943i</v>
      </c>
      <c r="AT328" s="50">
        <f t="shared" si="300"/>
        <v>5.0542580579810723</v>
      </c>
      <c r="AU328" s="61">
        <f t="shared" si="301"/>
        <v>-104.59875278570512</v>
      </c>
      <c r="AV328" s="32" t="str">
        <f t="shared" si="276"/>
        <v>-0.0000333333333333333</v>
      </c>
      <c r="AW328" s="32" t="str">
        <f t="shared" si="277"/>
        <v>0.00379682959210566i</v>
      </c>
      <c r="AX328" s="32">
        <f t="shared" si="302"/>
        <v>3.7968295921056599E-3</v>
      </c>
      <c r="AY328" s="32">
        <f t="shared" si="303"/>
        <v>1.5707963267948966</v>
      </c>
      <c r="AZ328" s="32" t="str">
        <f t="shared" si="278"/>
        <v>1+1.54905373983477i</v>
      </c>
      <c r="BA328" s="32">
        <f t="shared" si="304"/>
        <v>1.8437916066888056</v>
      </c>
      <c r="BB328" s="32">
        <f t="shared" si="305"/>
        <v>0.99755195665633689</v>
      </c>
      <c r="BC328" s="32" t="str">
        <f t="shared" si="279"/>
        <v>1+74.3545795120693i</v>
      </c>
      <c r="BD328" s="32">
        <f t="shared" si="306"/>
        <v>74.361303743389513</v>
      </c>
      <c r="BE328" s="32">
        <f t="shared" si="307"/>
        <v>1.5573480668409971</v>
      </c>
      <c r="BF328" s="59" t="str">
        <f t="shared" si="308"/>
        <v>-0.188017517766149+0.300028493563563i</v>
      </c>
      <c r="BG328" s="50">
        <f t="shared" si="309"/>
        <v>-9.0181439728967376</v>
      </c>
      <c r="BH328" s="61">
        <f t="shared" si="310"/>
        <v>122.0739545014215</v>
      </c>
      <c r="BI328" s="59" t="str">
        <f t="shared" si="311"/>
        <v>0.12166233365461-0.0433037493035856i</v>
      </c>
      <c r="BJ328" s="64">
        <f t="shared" si="312"/>
        <v>-17.778836823287676</v>
      </c>
      <c r="BK328" s="61">
        <f t="shared" si="313"/>
        <v>-19.592368337581082</v>
      </c>
      <c r="BL328" s="59" t="str">
        <f t="shared" si="318"/>
        <v>0.604344295526623+0.190261493103632i</v>
      </c>
      <c r="BM328" s="64">
        <f t="shared" si="314"/>
        <v>-3.9638859149156671</v>
      </c>
      <c r="BN328" s="61">
        <f t="shared" si="319"/>
        <v>17.475201715716342</v>
      </c>
      <c r="BO328" s="50">
        <f t="shared" si="315"/>
        <v>-17.778836823287676</v>
      </c>
      <c r="BP328" s="61">
        <f t="shared" si="316"/>
        <v>-19.592368337581082</v>
      </c>
    </row>
    <row r="329" spans="14:68" x14ac:dyDescent="0.25">
      <c r="N329" s="11">
        <v>11</v>
      </c>
      <c r="O329" s="51">
        <f t="shared" si="320"/>
        <v>12882.49551693136</v>
      </c>
      <c r="P329" s="49" t="str">
        <f t="shared" si="267"/>
        <v>25.6231073841137</v>
      </c>
      <c r="Q329" s="18" t="str">
        <f t="shared" si="268"/>
        <v>1+69.9979695023339i</v>
      </c>
      <c r="R329" s="18">
        <f t="shared" si="280"/>
        <v>70.005112202250388</v>
      </c>
      <c r="S329" s="18">
        <f t="shared" si="281"/>
        <v>1.5565111698927572</v>
      </c>
      <c r="T329" s="18" t="str">
        <f t="shared" si="269"/>
        <v>1+0.0728487958966111i</v>
      </c>
      <c r="U329" s="18">
        <f t="shared" si="282"/>
        <v>1.0026499623814813</v>
      </c>
      <c r="V329" s="18">
        <f t="shared" si="283"/>
        <v>7.2720336451193968E-2</v>
      </c>
      <c r="W329" s="32" t="str">
        <f t="shared" si="270"/>
        <v>1-1.63235264879443i</v>
      </c>
      <c r="X329" s="18">
        <f t="shared" si="284"/>
        <v>1.9143080133631034</v>
      </c>
      <c r="Y329" s="18">
        <f t="shared" si="285"/>
        <v>-1.0211543468137929</v>
      </c>
      <c r="Z329" s="32" t="str">
        <f t="shared" si="271"/>
        <v>0.995851032731406+0.129239160127691i</v>
      </c>
      <c r="AA329" s="18">
        <f t="shared" si="286"/>
        <v>1.0042021907478189</v>
      </c>
      <c r="AB329" s="18">
        <f t="shared" si="287"/>
        <v>0.12905629703246568</v>
      </c>
      <c r="AC329" s="32" t="str">
        <f>IMDIV(IMSUM(COMPLEX(0,2*PI()*O329*Constants!$B$71*Constants!$B$72),COMPLEX(1,0)),IMSUM(COMPLEX(0,2*PI()*O329*Constants!$B$71*Constants!$B$72),COMPLEX(2,0)))</f>
        <v>0.512768935636118+0.0788759919162956i</v>
      </c>
      <c r="AD329" s="18">
        <f t="shared" si="288"/>
        <v>0.51879996477850399</v>
      </c>
      <c r="AE329" s="18">
        <f t="shared" si="289"/>
        <v>0.15262734980561971</v>
      </c>
      <c r="AF329" s="66" t="str">
        <f t="shared" si="290"/>
        <v>-0.286675858189953-0.222590939337978i</v>
      </c>
      <c r="AG329" s="64">
        <f t="shared" si="291"/>
        <v>-8.8031605344903294</v>
      </c>
      <c r="AH329" s="61">
        <f t="shared" si="292"/>
        <v>-142.1722648976872</v>
      </c>
      <c r="AI329" s="50" t="str">
        <f t="shared" si="272"/>
        <v>108.866083054159</v>
      </c>
      <c r="AJ329" s="50" t="str">
        <f t="shared" si="273"/>
        <v>1+66.2261780878283i</v>
      </c>
      <c r="AK329" s="50">
        <f t="shared" si="293"/>
        <v>66.233727542097085</v>
      </c>
      <c r="AL329" s="50">
        <f t="shared" si="294"/>
        <v>1.5556977050979</v>
      </c>
      <c r="AM329" s="50" t="str">
        <f t="shared" si="274"/>
        <v>1+0.0728487958966111i</v>
      </c>
      <c r="AN329" s="50">
        <f t="shared" si="295"/>
        <v>1.0026499623814813</v>
      </c>
      <c r="AO329" s="50">
        <f t="shared" si="296"/>
        <v>7.2720336451193968E-2</v>
      </c>
      <c r="AP329" s="50" t="str">
        <f t="shared" si="275"/>
        <v>1-0.363493733620628i</v>
      </c>
      <c r="AQ329" s="50">
        <f t="shared" si="297"/>
        <v>1.0640148938720098</v>
      </c>
      <c r="AR329" s="50">
        <f t="shared" si="298"/>
        <v>-0.34864502531808855</v>
      </c>
      <c r="AS329" s="59" t="str">
        <f t="shared" si="299"/>
        <v>-0.452195290076884-1.69421011842482i</v>
      </c>
      <c r="AT329" s="50">
        <f t="shared" si="300"/>
        <v>4.8782089861959541</v>
      </c>
      <c r="AU329" s="61">
        <f t="shared" si="301"/>
        <v>-104.94423283583087</v>
      </c>
      <c r="AV329" s="32" t="str">
        <f t="shared" si="276"/>
        <v>-0.0000333333333333333</v>
      </c>
      <c r="AW329" s="32" t="str">
        <f t="shared" si="277"/>
        <v>0.00388526911448592i</v>
      </c>
      <c r="AX329" s="32">
        <f t="shared" si="302"/>
        <v>3.8852691144859201E-3</v>
      </c>
      <c r="AY329" s="32">
        <f t="shared" si="303"/>
        <v>1.5707963267948966</v>
      </c>
      <c r="AZ329" s="32" t="str">
        <f t="shared" si="278"/>
        <v>1+1.58513583663922i</v>
      </c>
      <c r="BA329" s="32">
        <f t="shared" si="304"/>
        <v>1.8742079982216275</v>
      </c>
      <c r="BB329" s="32">
        <f t="shared" si="305"/>
        <v>1.0079936284589501</v>
      </c>
      <c r="BC329" s="32" t="str">
        <f t="shared" si="279"/>
        <v>1+76.0865201586828i</v>
      </c>
      <c r="BD329" s="32">
        <f t="shared" si="306"/>
        <v>76.093091341183168</v>
      </c>
      <c r="BE329" s="32">
        <f t="shared" si="307"/>
        <v>1.5576541509536348</v>
      </c>
      <c r="BF329" s="59" t="str">
        <f t="shared" si="308"/>
        <v>-0.181964390984602+0.297017691424722i</v>
      </c>
      <c r="BG329" s="50">
        <f t="shared" si="309"/>
        <v>-9.1602983870030759</v>
      </c>
      <c r="BH329" s="61">
        <f t="shared" si="310"/>
        <v>121.49322810390098</v>
      </c>
      <c r="BI329" s="59" t="str">
        <f t="shared" si="311"/>
        <v>0.118278244879749-0.0446441768714552i</v>
      </c>
      <c r="BJ329" s="64">
        <f t="shared" si="312"/>
        <v>-17.963458921493437</v>
      </c>
      <c r="BK329" s="61">
        <f t="shared" si="313"/>
        <v>-20.679036793786313</v>
      </c>
      <c r="BL329" s="59" t="str">
        <f t="shared" si="318"/>
        <v>0.585493818727891+0.173975911267354i</v>
      </c>
      <c r="BM329" s="64">
        <f t="shared" si="314"/>
        <v>-4.2820894008071173</v>
      </c>
      <c r="BN329" s="61">
        <f t="shared" si="319"/>
        <v>16.548995268070065</v>
      </c>
      <c r="BO329" s="50">
        <f t="shared" si="315"/>
        <v>-17.963458921493437</v>
      </c>
      <c r="BP329" s="61">
        <f t="shared" si="316"/>
        <v>-20.679036793786313</v>
      </c>
    </row>
    <row r="330" spans="14:68" x14ac:dyDescent="0.25">
      <c r="N330" s="11">
        <v>12</v>
      </c>
      <c r="O330" s="51">
        <f t="shared" si="320"/>
        <v>13182.567385564091</v>
      </c>
      <c r="P330" s="49" t="str">
        <f t="shared" si="267"/>
        <v>25.6231073841137</v>
      </c>
      <c r="Q330" s="18" t="str">
        <f t="shared" si="268"/>
        <v>1+71.6284316656202i</v>
      </c>
      <c r="R330" s="18">
        <f t="shared" si="280"/>
        <v>71.635411793863668</v>
      </c>
      <c r="S330" s="18">
        <f t="shared" si="281"/>
        <v>1.5568362970260812</v>
      </c>
      <c r="T330" s="18" t="str">
        <f t="shared" si="269"/>
        <v>1+0.0745456623370931i</v>
      </c>
      <c r="U330" s="18">
        <f t="shared" si="282"/>
        <v>1.0027746784663421</v>
      </c>
      <c r="V330" s="18">
        <f t="shared" si="283"/>
        <v>7.440803612332797E-2</v>
      </c>
      <c r="W330" s="32" t="str">
        <f t="shared" si="270"/>
        <v>1-1.67037502644227i</v>
      </c>
      <c r="X330" s="18">
        <f t="shared" si="284"/>
        <v>1.9468314587970921</v>
      </c>
      <c r="Y330" s="18">
        <f t="shared" si="285"/>
        <v>-1.0313568475019552</v>
      </c>
      <c r="Z330" s="32" t="str">
        <f t="shared" si="271"/>
        <v>0.995655497928127+0.132249526886917i</v>
      </c>
      <c r="AA330" s="18">
        <f t="shared" si="286"/>
        <v>1.0044002229770361</v>
      </c>
      <c r="AB330" s="18">
        <f t="shared" si="287"/>
        <v>0.13205360961397225</v>
      </c>
      <c r="AC330" s="32" t="str">
        <f>IMDIV(IMSUM(COMPLEX(0,2*PI()*O330*Constants!$B$71*Constants!$B$72),COMPLEX(1,0)),IMSUM(COMPLEX(0,2*PI()*O330*Constants!$B$71*Constants!$B$72),COMPLEX(2,0)))</f>
        <v>0.51335464388031+0.0806162231004727i</v>
      </c>
      <c r="AD330" s="18">
        <f t="shared" si="288"/>
        <v>0.519646000485393</v>
      </c>
      <c r="AE330" s="18">
        <f t="shared" si="289"/>
        <v>0.15576593899591068</v>
      </c>
      <c r="AF330" s="66" t="str">
        <f t="shared" si="290"/>
        <v>-0.287271631317875-0.219074897747237i</v>
      </c>
      <c r="AG330" s="64">
        <f t="shared" si="291"/>
        <v>-8.8432692453219079</v>
      </c>
      <c r="AH330" s="61">
        <f t="shared" si="292"/>
        <v>-142.67066091841681</v>
      </c>
      <c r="AI330" s="50" t="str">
        <f t="shared" si="272"/>
        <v>108.866083054159</v>
      </c>
      <c r="AJ330" s="50" t="str">
        <f t="shared" si="273"/>
        <v>1+67.7687839428119i</v>
      </c>
      <c r="AK330" s="50">
        <f t="shared" si="293"/>
        <v>67.776161569445051</v>
      </c>
      <c r="AL330" s="50">
        <f t="shared" si="294"/>
        <v>1.5560413412262588</v>
      </c>
      <c r="AM330" s="50" t="str">
        <f t="shared" si="274"/>
        <v>1+0.0745456623370931i</v>
      </c>
      <c r="AN330" s="50">
        <f t="shared" si="295"/>
        <v>1.0027746784663421</v>
      </c>
      <c r="AO330" s="50">
        <f t="shared" si="296"/>
        <v>7.440803612332797E-2</v>
      </c>
      <c r="AP330" s="50" t="str">
        <f t="shared" si="275"/>
        <v>1-0.371960590351956i</v>
      </c>
      <c r="AQ330" s="50">
        <f t="shared" si="297"/>
        <v>1.0669370556761892</v>
      </c>
      <c r="AR330" s="50">
        <f t="shared" si="298"/>
        <v>-0.35610332331178374</v>
      </c>
      <c r="AS330" s="59" t="str">
        <f t="shared" si="299"/>
        <v>-0.453316851091087-1.65766651558508i</v>
      </c>
      <c r="AT330" s="50">
        <f t="shared" si="300"/>
        <v>4.7031557158370418</v>
      </c>
      <c r="AU330" s="61">
        <f t="shared" si="301"/>
        <v>-105.29455266476481</v>
      </c>
      <c r="AV330" s="32" t="str">
        <f t="shared" si="276"/>
        <v>-0.0000333333333333333</v>
      </c>
      <c r="AW330" s="32" t="str">
        <f t="shared" si="277"/>
        <v>0.00397576865797829i</v>
      </c>
      <c r="AX330" s="32">
        <f t="shared" si="302"/>
        <v>3.9757686579782901E-3</v>
      </c>
      <c r="AY330" s="32">
        <f t="shared" si="303"/>
        <v>1.5707963267948966</v>
      </c>
      <c r="AZ330" s="32" t="str">
        <f t="shared" si="278"/>
        <v>1+1.62205839344601i</v>
      </c>
      <c r="BA330" s="32">
        <f t="shared" si="304"/>
        <v>1.9055375702800117</v>
      </c>
      <c r="BB330" s="32">
        <f t="shared" si="305"/>
        <v>1.0183322872241272</v>
      </c>
      <c r="BC330" s="32" t="str">
        <f t="shared" si="279"/>
        <v>1+77.8588028854084i</v>
      </c>
      <c r="BD330" s="32">
        <f t="shared" si="306"/>
        <v>77.86522450201295</v>
      </c>
      <c r="BE330" s="32">
        <f t="shared" si="307"/>
        <v>1.5579532701208958</v>
      </c>
      <c r="BF330" s="59" t="str">
        <f t="shared" si="308"/>
        <v>-0.176030105905329+0.293915233754079i</v>
      </c>
      <c r="BG330" s="50">
        <f t="shared" si="309"/>
        <v>-9.3043267251209851</v>
      </c>
      <c r="BH330" s="61">
        <f t="shared" si="310"/>
        <v>120.918004856686</v>
      </c>
      <c r="BI330" s="59" t="str">
        <f t="shared" si="311"/>
        <v>0.114957905465512-0.0458697312180636i</v>
      </c>
      <c r="BJ330" s="64">
        <f t="shared" si="312"/>
        <v>-18.147595970442907</v>
      </c>
      <c r="BK330" s="61">
        <f t="shared" si="313"/>
        <v>-21.752656061730857</v>
      </c>
      <c r="BL330" s="59" t="str">
        <f t="shared" si="318"/>
        <v>0.567010854720733+0.158562484041059i</v>
      </c>
      <c r="BM330" s="64">
        <f t="shared" si="314"/>
        <v>-4.6011710092839424</v>
      </c>
      <c r="BN330" s="61">
        <f t="shared" si="319"/>
        <v>15.623452191921144</v>
      </c>
      <c r="BO330" s="50">
        <f t="shared" si="315"/>
        <v>-18.147595970442907</v>
      </c>
      <c r="BP330" s="61">
        <f t="shared" si="316"/>
        <v>-21.752656061730857</v>
      </c>
    </row>
    <row r="331" spans="14:68" x14ac:dyDescent="0.25">
      <c r="N331" s="11">
        <v>13</v>
      </c>
      <c r="O331" s="51">
        <f t="shared" si="320"/>
        <v>13489.628825916556</v>
      </c>
      <c r="P331" s="49" t="str">
        <f t="shared" si="267"/>
        <v>25.6231073841137</v>
      </c>
      <c r="Q331" s="18" t="str">
        <f t="shared" si="268"/>
        <v>1+73.29687217149i</v>
      </c>
      <c r="R331" s="18">
        <f t="shared" si="280"/>
        <v>73.303693427573918</v>
      </c>
      <c r="S331" s="18">
        <f t="shared" si="281"/>
        <v>1.5571540262143795</v>
      </c>
      <c r="T331" s="18" t="str">
        <f t="shared" si="269"/>
        <v>1+0.0762820538744747i</v>
      </c>
      <c r="U331" s="18">
        <f t="shared" si="282"/>
        <v>1.0029052556165554</v>
      </c>
      <c r="V331" s="18">
        <f t="shared" si="283"/>
        <v>7.6134607792000444E-2</v>
      </c>
      <c r="W331" s="32" t="str">
        <f t="shared" si="270"/>
        <v>1-1.70928305903915i</v>
      </c>
      <c r="X331" s="18">
        <f t="shared" si="284"/>
        <v>1.9803152718489634</v>
      </c>
      <c r="Y331" s="18">
        <f t="shared" si="285"/>
        <v>-1.0414490034147665</v>
      </c>
      <c r="Z331" s="32" t="str">
        <f t="shared" si="271"/>
        <v>0.995450747853475+0.135330014095827i</v>
      </c>
      <c r="AA331" s="18">
        <f t="shared" si="286"/>
        <v>1.0046075871290339</v>
      </c>
      <c r="AB331" s="18">
        <f t="shared" si="287"/>
        <v>0.13512011194741574</v>
      </c>
      <c r="AC331" s="32" t="str">
        <f>IMDIV(IMSUM(COMPLEX(0,2*PI()*O331*Constants!$B$71*Constants!$B$72),COMPLEX(1,0)),IMSUM(COMPLEX(0,2*PI()*O331*Constants!$B$71*Constants!$B$72),COMPLEX(2,0)))</f>
        <v>0.513966448310662+0.0823903057217073i</v>
      </c>
      <c r="AD331" s="18">
        <f t="shared" si="288"/>
        <v>0.52052826288876264</v>
      </c>
      <c r="AE331" s="18">
        <f t="shared" si="289"/>
        <v>0.15895057531006554</v>
      </c>
      <c r="AF331" s="66" t="str">
        <f t="shared" si="290"/>
        <v>-0.287882926417206-0.215666509271887i</v>
      </c>
      <c r="AG331" s="64">
        <f t="shared" si="291"/>
        <v>-8.8810391055737163</v>
      </c>
      <c r="AH331" s="61">
        <f t="shared" si="292"/>
        <v>-143.16140955177289</v>
      </c>
      <c r="AI331" s="50" t="str">
        <f t="shared" si="272"/>
        <v>108.866083054159</v>
      </c>
      <c r="AJ331" s="50" t="str">
        <f t="shared" si="273"/>
        <v>1+69.347321704068i</v>
      </c>
      <c r="AK331" s="50">
        <f t="shared" si="293"/>
        <v>69.354531413077112</v>
      </c>
      <c r="AL331" s="50">
        <f t="shared" si="294"/>
        <v>1.5563771586088577</v>
      </c>
      <c r="AM331" s="50" t="str">
        <f t="shared" si="274"/>
        <v>1+0.0762820538744747i</v>
      </c>
      <c r="AN331" s="50">
        <f t="shared" si="295"/>
        <v>1.0029052556165554</v>
      </c>
      <c r="AO331" s="50">
        <f t="shared" si="296"/>
        <v>7.6134607792000444E-2</v>
      </c>
      <c r="AP331" s="50" t="str">
        <f t="shared" si="275"/>
        <v>1-0.380624665511768i</v>
      </c>
      <c r="AQ331" s="50">
        <f t="shared" si="297"/>
        <v>1.0699883812434345</v>
      </c>
      <c r="AR331" s="50">
        <f t="shared" si="298"/>
        <v>-0.36369274212699354</v>
      </c>
      <c r="AS331" s="59" t="str">
        <f t="shared" si="299"/>
        <v>-0.454387955027788-1.62200033965958i</v>
      </c>
      <c r="AT331" s="50">
        <f t="shared" si="300"/>
        <v>4.5291344939444294</v>
      </c>
      <c r="AU331" s="61">
        <f t="shared" si="301"/>
        <v>-105.64970998090178</v>
      </c>
      <c r="AV331" s="32" t="str">
        <f t="shared" si="276"/>
        <v>-0.0000333333333333333</v>
      </c>
      <c r="AW331" s="32" t="str">
        <f t="shared" si="277"/>
        <v>0.00406837620663865i</v>
      </c>
      <c r="AX331" s="32">
        <f t="shared" si="302"/>
        <v>4.0683762066386501E-3</v>
      </c>
      <c r="AY331" s="32">
        <f t="shared" si="303"/>
        <v>1.5707963267948966</v>
      </c>
      <c r="AZ331" s="32" t="str">
        <f t="shared" si="278"/>
        <v>1+1.65984098708348i</v>
      </c>
      <c r="BA331" s="32">
        <f t="shared" si="304"/>
        <v>1.9378008417797379</v>
      </c>
      <c r="BB331" s="32">
        <f t="shared" si="305"/>
        <v>1.0285645736756133</v>
      </c>
      <c r="BC331" s="32" t="str">
        <f t="shared" si="279"/>
        <v>1+79.672367380007i</v>
      </c>
      <c r="BD331" s="32">
        <f t="shared" si="306"/>
        <v>79.678642834418326</v>
      </c>
      <c r="BE331" s="32">
        <f t="shared" si="307"/>
        <v>1.5582455827254964</v>
      </c>
      <c r="BF331" s="59" t="str">
        <f t="shared" si="308"/>
        <v>-0.170217301641648+0.290726931008037i</v>
      </c>
      <c r="BG331" s="50">
        <f t="shared" si="309"/>
        <v>-9.4501914507183198</v>
      </c>
      <c r="BH331" s="61">
        <f t="shared" si="310"/>
        <v>120.34848630678914</v>
      </c>
      <c r="BI331" s="59" t="str">
        <f t="shared" si="311"/>
        <v>0.11170271728527-0.0469851484241528i</v>
      </c>
      <c r="BJ331" s="64">
        <f t="shared" si="312"/>
        <v>-18.331230556292034</v>
      </c>
      <c r="BK331" s="61">
        <f t="shared" si="313"/>
        <v>-22.8129232449838</v>
      </c>
      <c r="BL331" s="59" t="str">
        <f t="shared" si="318"/>
        <v>0.54890387244652+0.143989705426443i</v>
      </c>
      <c r="BM331" s="64">
        <f t="shared" si="314"/>
        <v>-4.9210569567738922</v>
      </c>
      <c r="BN331" s="61">
        <f t="shared" si="319"/>
        <v>14.698776325887298</v>
      </c>
      <c r="BO331" s="50">
        <f t="shared" si="315"/>
        <v>-18.331230556292034</v>
      </c>
      <c r="BP331" s="61">
        <f t="shared" si="316"/>
        <v>-22.8129232449838</v>
      </c>
    </row>
    <row r="332" spans="14:68" x14ac:dyDescent="0.25">
      <c r="N332" s="11">
        <v>14</v>
      </c>
      <c r="O332" s="51">
        <f t="shared" si="320"/>
        <v>13803.842646028841</v>
      </c>
      <c r="P332" s="49" t="str">
        <f t="shared" si="267"/>
        <v>25.6231073841137</v>
      </c>
      <c r="Q332" s="18" t="str">
        <f t="shared" si="268"/>
        <v>1+75.0041756491838i</v>
      </c>
      <c r="R332" s="18">
        <f t="shared" si="280"/>
        <v>75.010841648481829</v>
      </c>
      <c r="S332" s="18">
        <f t="shared" si="281"/>
        <v>1.5574645256651229</v>
      </c>
      <c r="T332" s="18" t="str">
        <f t="shared" si="269"/>
        <v>1+0.0780588911665327i</v>
      </c>
      <c r="U332" s="18">
        <f t="shared" si="282"/>
        <v>1.0030419684590215</v>
      </c>
      <c r="V332" s="18">
        <f t="shared" si="283"/>
        <v>7.7900925709354418E-2</v>
      </c>
      <c r="W332" s="32" t="str">
        <f t="shared" si="270"/>
        <v>1-1.74909737613897i</v>
      </c>
      <c r="X332" s="18">
        <f t="shared" si="284"/>
        <v>2.0147807898667858</v>
      </c>
      <c r="Y332" s="18">
        <f t="shared" si="285"/>
        <v>-1.05142794179312</v>
      </c>
      <c r="Z332" s="32" t="str">
        <f t="shared" si="271"/>
        <v>0.995236348205092+0.138482255069515i</v>
      </c>
      <c r="AA332" s="18">
        <f t="shared" si="286"/>
        <v>1.0048247229033258</v>
      </c>
      <c r="AB332" s="18">
        <f t="shared" si="287"/>
        <v>0.13825737114086178</v>
      </c>
      <c r="AC332" s="32" t="str">
        <f>IMDIV(IMSUM(COMPLEX(0,2*PI()*O332*Constants!$B$71*Constants!$B$72),COMPLEX(1,0)),IMSUM(COMPLEX(0,2*PI()*O332*Constants!$B$71*Constants!$B$72),COMPLEX(2,0)))</f>
        <v>0.514605439601913+0.0841985803620916i</v>
      </c>
      <c r="AD332" s="18">
        <f t="shared" si="288"/>
        <v>0.52144813682941638</v>
      </c>
      <c r="AE332" s="18">
        <f t="shared" si="289"/>
        <v>0.16218069799195362</v>
      </c>
      <c r="AF332" s="66" t="str">
        <f t="shared" si="290"/>
        <v>-0.288510836207481-0.212363415346616i</v>
      </c>
      <c r="AG332" s="64">
        <f t="shared" si="291"/>
        <v>-8.9164905506954923</v>
      </c>
      <c r="AH332" s="61">
        <f t="shared" si="292"/>
        <v>-143.64442766504106</v>
      </c>
      <c r="AI332" s="50" t="str">
        <f t="shared" si="272"/>
        <v>108.866083054159</v>
      </c>
      <c r="AJ332" s="50" t="str">
        <f t="shared" si="273"/>
        <v>1+70.9626283332117i</v>
      </c>
      <c r="AK332" s="50">
        <f t="shared" si="293"/>
        <v>70.969673945689934</v>
      </c>
      <c r="AL332" s="50">
        <f t="shared" si="294"/>
        <v>1.5567053349973738</v>
      </c>
      <c r="AM332" s="50" t="str">
        <f t="shared" si="274"/>
        <v>1+0.0780588911665327i</v>
      </c>
      <c r="AN332" s="50">
        <f t="shared" si="295"/>
        <v>1.0030419684590215</v>
      </c>
      <c r="AO332" s="50">
        <f t="shared" si="296"/>
        <v>7.7900925709354418E-2</v>
      </c>
      <c r="AP332" s="50" t="str">
        <f t="shared" si="275"/>
        <v>1-0.389490552907398i</v>
      </c>
      <c r="AQ332" s="50">
        <f t="shared" si="297"/>
        <v>1.0731742126999282</v>
      </c>
      <c r="AR332" s="50">
        <f t="shared" si="298"/>
        <v>-0.3714138076123405</v>
      </c>
      <c r="AS332" s="59" t="str">
        <f t="shared" si="299"/>
        <v>-0.455410870939842-1.58719277936755i</v>
      </c>
      <c r="AT332" s="50">
        <f t="shared" si="300"/>
        <v>4.3561824160484512</v>
      </c>
      <c r="AU332" s="61">
        <f t="shared" si="301"/>
        <v>-106.00969500661142</v>
      </c>
      <c r="AV332" s="32" t="str">
        <f t="shared" si="276"/>
        <v>-0.0000333333333333333</v>
      </c>
      <c r="AW332" s="32" t="str">
        <f t="shared" si="277"/>
        <v>0.00416314086221508i</v>
      </c>
      <c r="AX332" s="32">
        <f t="shared" si="302"/>
        <v>4.1631408622150798E-3</v>
      </c>
      <c r="AY332" s="32">
        <f t="shared" si="303"/>
        <v>1.5707963267948966</v>
      </c>
      <c r="AZ332" s="32" t="str">
        <f t="shared" si="278"/>
        <v>1+1.69850365038289i</v>
      </c>
      <c r="BA332" s="32">
        <f t="shared" si="304"/>
        <v>1.9710186834132251</v>
      </c>
      <c r="BB332" s="32">
        <f t="shared" si="305"/>
        <v>1.0386873421340546</v>
      </c>
      <c r="BC332" s="32" t="str">
        <f t="shared" si="279"/>
        <v>1+81.5281752183788i</v>
      </c>
      <c r="BD332" s="32">
        <f t="shared" si="306"/>
        <v>81.534307836877318</v>
      </c>
      <c r="BE332" s="32">
        <f t="shared" si="307"/>
        <v>1.558531243555517</v>
      </c>
      <c r="BF332" s="59" t="str">
        <f t="shared" si="308"/>
        <v>-0.164528258215622+0.287458622448113i</v>
      </c>
      <c r="BG332" s="50">
        <f t="shared" si="309"/>
        <v>-9.597854254583476</v>
      </c>
      <c r="BH332" s="61">
        <f t="shared" si="310"/>
        <v>119.78486155706457</v>
      </c>
      <c r="BI332" s="59" t="str">
        <f t="shared" si="311"/>
        <v>0.108513880191464-0.0479951447018562i</v>
      </c>
      <c r="BJ332" s="64">
        <f t="shared" si="312"/>
        <v>-18.514344805278977</v>
      </c>
      <c r="BK332" s="61">
        <f t="shared" si="313"/>
        <v>-23.859566107976494</v>
      </c>
      <c r="BL332" s="59" t="str">
        <f t="shared" si="318"/>
        <v>0.531180207284779+0.130226281833493i</v>
      </c>
      <c r="BM332" s="64">
        <f t="shared" si="314"/>
        <v>-5.2416718385350283</v>
      </c>
      <c r="BN332" s="61">
        <f t="shared" si="319"/>
        <v>13.775166550453202</v>
      </c>
      <c r="BO332" s="50">
        <f t="shared" si="315"/>
        <v>-18.514344805278977</v>
      </c>
      <c r="BP332" s="61">
        <f t="shared" si="316"/>
        <v>-23.859566107976494</v>
      </c>
    </row>
    <row r="333" spans="14:68" x14ac:dyDescent="0.25">
      <c r="N333" s="11">
        <v>15</v>
      </c>
      <c r="O333" s="51">
        <f t="shared" si="320"/>
        <v>14125.375446227561</v>
      </c>
      <c r="P333" s="49" t="str">
        <f t="shared" si="267"/>
        <v>25.6231073841137</v>
      </c>
      <c r="Q333" s="18" t="str">
        <f t="shared" si="268"/>
        <v>1+76.7512473336047i</v>
      </c>
      <c r="R333" s="18">
        <f t="shared" si="280"/>
        <v>76.757761609261124</v>
      </c>
      <c r="S333" s="18">
        <f t="shared" si="281"/>
        <v>1.5577679597696117</v>
      </c>
      <c r="T333" s="18" t="str">
        <f t="shared" si="269"/>
        <v>1+0.0798771163159191i</v>
      </c>
      <c r="U333" s="18">
        <f t="shared" si="282"/>
        <v>1.0031851044104207</v>
      </c>
      <c r="V333" s="18">
        <f t="shared" si="283"/>
        <v>7.9707882290306009E-2</v>
      </c>
      <c r="W333" s="32" t="str">
        <f t="shared" si="270"/>
        <v>1-1.78983908781967i</v>
      </c>
      <c r="X333" s="18">
        <f t="shared" si="284"/>
        <v>2.0502497312003598</v>
      </c>
      <c r="Y333" s="18">
        <f t="shared" si="285"/>
        <v>-1.0612910034361853</v>
      </c>
      <c r="Z333" s="32" t="str">
        <f t="shared" si="271"/>
        <v>0.995011844212578+0.141707921167871i</v>
      </c>
      <c r="AA333" s="18">
        <f t="shared" si="286"/>
        <v>1.0050520907122353</v>
      </c>
      <c r="AB333" s="18">
        <f t="shared" si="287"/>
        <v>0.14146698765525889</v>
      </c>
      <c r="AC333" s="32" t="str">
        <f>IMDIV(IMSUM(COMPLEX(0,2*PI()*O333*Constants!$B$71*Constants!$B$72),COMPLEX(1,0)),IMSUM(COMPLEX(0,2*PI()*O333*Constants!$B$71*Constants!$B$72),COMPLEX(2,0)))</f>
        <v>0.515272747287129+0.086041366992093i</v>
      </c>
      <c r="AD333" s="18">
        <f t="shared" si="288"/>
        <v>0.52240704525369253</v>
      </c>
      <c r="AE333" s="18">
        <f t="shared" si="289"/>
        <v>0.16545564831621465</v>
      </c>
      <c r="AF333" s="66" t="str">
        <f t="shared" si="290"/>
        <v>-0.289156470198779-0.209163276575406i</v>
      </c>
      <c r="AG333" s="64">
        <f t="shared" si="291"/>
        <v>-8.9496442443965947</v>
      </c>
      <c r="AH333" s="61">
        <f t="shared" si="292"/>
        <v>-144.11965062639695</v>
      </c>
      <c r="AI333" s="50" t="str">
        <f t="shared" si="272"/>
        <v>108.866083054159</v>
      </c>
      <c r="AJ333" s="50" t="str">
        <f t="shared" si="273"/>
        <v>1+72.6155602871993i</v>
      </c>
      <c r="AK333" s="50">
        <f t="shared" si="293"/>
        <v>72.622445537339743</v>
      </c>
      <c r="AL333" s="50">
        <f t="shared" si="294"/>
        <v>1.5570260441123545</v>
      </c>
      <c r="AM333" s="50" t="str">
        <f t="shared" si="274"/>
        <v>1+0.0798771163159191i</v>
      </c>
      <c r="AN333" s="50">
        <f t="shared" si="295"/>
        <v>1.0031851044104207</v>
      </c>
      <c r="AO333" s="50">
        <f t="shared" si="296"/>
        <v>7.9707882290306009E-2</v>
      </c>
      <c r="AP333" s="50" t="str">
        <f t="shared" si="275"/>
        <v>1-0.398562953349697i</v>
      </c>
      <c r="AQ333" s="50">
        <f t="shared" si="297"/>
        <v>1.0765000825744662</v>
      </c>
      <c r="AR333" s="50">
        <f t="shared" si="298"/>
        <v>-0.37926693024028224</v>
      </c>
      <c r="AS333" s="59" t="str">
        <f t="shared" si="299"/>
        <v>-0.45638776592209-1.55322547204764i</v>
      </c>
      <c r="AT333" s="50">
        <f t="shared" si="300"/>
        <v>4.1843374086694265</v>
      </c>
      <c r="AU333" s="61">
        <f t="shared" si="301"/>
        <v>-106.37449008207892</v>
      </c>
      <c r="AV333" s="32" t="str">
        <f t="shared" si="276"/>
        <v>-0.0000333333333333333</v>
      </c>
      <c r="AW333" s="32" t="str">
        <f t="shared" si="277"/>
        <v>0.00426011287018235i</v>
      </c>
      <c r="AX333" s="32">
        <f t="shared" si="302"/>
        <v>4.2601128701823497E-3</v>
      </c>
      <c r="AY333" s="32">
        <f t="shared" si="303"/>
        <v>1.5707963267948966</v>
      </c>
      <c r="AZ333" s="32" t="str">
        <f t="shared" si="278"/>
        <v>1+1.73806688280009i</v>
      </c>
      <c r="BA333" s="32">
        <f t="shared" si="304"/>
        <v>2.0052123301751417</v>
      </c>
      <c r="BB333" s="32">
        <f t="shared" si="305"/>
        <v>1.0486976610346035</v>
      </c>
      <c r="BC333" s="32" t="str">
        <f t="shared" si="279"/>
        <v>1+83.4272103744046i</v>
      </c>
      <c r="BD333" s="32">
        <f t="shared" si="306"/>
        <v>83.433203407607223</v>
      </c>
      <c r="BE333" s="32">
        <f t="shared" si="307"/>
        <v>1.5588104038855193</v>
      </c>
      <c r="BF333" s="59" t="str">
        <f t="shared" si="308"/>
        <v>-0.158964902919952+0.284116152113937i</v>
      </c>
      <c r="BG333" s="50">
        <f t="shared" si="309"/>
        <v>-9.747276166380944</v>
      </c>
      <c r="BH333" s="61">
        <f t="shared" si="310"/>
        <v>119.22730724119965</v>
      </c>
      <c r="BI333" s="59" t="str">
        <f t="shared" si="311"/>
        <v>0.105392395517972-0.0489044037164969i</v>
      </c>
      <c r="BJ333" s="64">
        <f t="shared" si="312"/>
        <v>-18.696920410777565</v>
      </c>
      <c r="BK333" s="61">
        <f t="shared" si="313"/>
        <v>-24.892343385197375</v>
      </c>
      <c r="BL333" s="59" t="str">
        <f t="shared" si="318"/>
        <v>0.513846081387188+0.117241200451189i</v>
      </c>
      <c r="BM333" s="64">
        <f t="shared" si="314"/>
        <v>-5.5629387577115139</v>
      </c>
      <c r="BN333" s="61">
        <f t="shared" si="319"/>
        <v>12.852817159120701</v>
      </c>
      <c r="BO333" s="50">
        <f t="shared" si="315"/>
        <v>-18.696920410777565</v>
      </c>
      <c r="BP333" s="61">
        <f t="shared" si="316"/>
        <v>-24.892343385197375</v>
      </c>
    </row>
    <row r="334" spans="14:68" x14ac:dyDescent="0.25">
      <c r="N334" s="11">
        <v>16</v>
      </c>
      <c r="O334" s="51">
        <f t="shared" si="320"/>
        <v>14454.397707459291</v>
      </c>
      <c r="P334" s="49" t="str">
        <f t="shared" si="267"/>
        <v>25.6231073841137</v>
      </c>
      <c r="Q334" s="18" t="str">
        <f t="shared" si="268"/>
        <v>1+78.5390135452846i</v>
      </c>
      <c r="R334" s="18">
        <f t="shared" si="280"/>
        <v>78.545379550081748</v>
      </c>
      <c r="S334" s="18">
        <f t="shared" si="281"/>
        <v>1.5580644891889925</v>
      </c>
      <c r="T334" s="18" t="str">
        <f t="shared" si="269"/>
        <v>1+0.0817376933696747i</v>
      </c>
      <c r="U334" s="18">
        <f t="shared" si="282"/>
        <v>1.0033349642653717</v>
      </c>
      <c r="V334" s="18">
        <f t="shared" si="283"/>
        <v>8.1556388381770109E-2</v>
      </c>
      <c r="W334" s="32" t="str">
        <f t="shared" si="270"/>
        <v>1-1.83152979587604i</v>
      </c>
      <c r="X334" s="18">
        <f t="shared" si="284"/>
        <v>2.0867442088530468</v>
      </c>
      <c r="Y334" s="18">
        <f t="shared" si="285"/>
        <v>-1.0710357413670311</v>
      </c>
      <c r="Z334" s="32" t="str">
        <f t="shared" si="271"/>
        <v>0.994776759672865+0.145008722681756i</v>
      </c>
      <c r="AA334" s="18">
        <f t="shared" si="286"/>
        <v>1.0052901726561538</v>
      </c>
      <c r="AB334" s="18">
        <f t="shared" si="287"/>
        <v>0.14475059586027419</v>
      </c>
      <c r="AC334" s="32" t="str">
        <f>IMDIV(IMSUM(COMPLEX(0,2*PI()*O334*Constants!$B$71*Constants!$B$72),COMPLEX(1,0)),IMSUM(COMPLEX(0,2*PI()*O334*Constants!$B$71*Constants!$B$72),COMPLEX(2,0)))</f>
        <v>0.515969540502999+0.0879189628443302i</v>
      </c>
      <c r="AD334" s="18">
        <f t="shared" si="288"/>
        <v>0.52340644890419397</v>
      </c>
      <c r="AE334" s="18">
        <f t="shared" si="289"/>
        <v>0.16877466437547536</v>
      </c>
      <c r="AF334" s="66" t="str">
        <f t="shared" si="290"/>
        <v>-0.289820955425089-0.206063769436135i</v>
      </c>
      <c r="AG334" s="64">
        <f t="shared" si="291"/>
        <v>-8.9805210003389302</v>
      </c>
      <c r="AH334" s="61">
        <f t="shared" si="292"/>
        <v>-144.58703254847251</v>
      </c>
      <c r="AI334" s="50" t="str">
        <f t="shared" si="272"/>
        <v>108.866083054159</v>
      </c>
      <c r="AJ334" s="50" t="str">
        <f t="shared" si="273"/>
        <v>1+74.3069939724316i</v>
      </c>
      <c r="AK334" s="50">
        <f t="shared" si="293"/>
        <v>74.313722509500124</v>
      </c>
      <c r="AL334" s="50">
        <f t="shared" si="294"/>
        <v>1.5573394557339753</v>
      </c>
      <c r="AM334" s="50" t="str">
        <f t="shared" si="274"/>
        <v>1+0.0817376933696747i</v>
      </c>
      <c r="AN334" s="50">
        <f t="shared" si="295"/>
        <v>1.0033349642653717</v>
      </c>
      <c r="AO334" s="50">
        <f t="shared" si="296"/>
        <v>8.1556388381770109E-2</v>
      </c>
      <c r="AP334" s="50" t="str">
        <f t="shared" si="275"/>
        <v>1-0.407846677145466i</v>
      </c>
      <c r="AQ334" s="50">
        <f t="shared" si="297"/>
        <v>1.079971718175341</v>
      </c>
      <c r="AR334" s="50">
        <f t="shared" si="298"/>
        <v>-0.38725239829688723</v>
      </c>
      <c r="AS334" s="59" t="str">
        <f t="shared" si="299"/>
        <v>-0.457320709685638-1.52008049436387i</v>
      </c>
      <c r="AT334" s="50">
        <f t="shared" si="300"/>
        <v>4.0136382081181017</v>
      </c>
      <c r="AU334" s="61">
        <f t="shared" si="301"/>
        <v>-106.744069264883</v>
      </c>
      <c r="AV334" s="32" t="str">
        <f t="shared" si="276"/>
        <v>-0.0000333333333333333</v>
      </c>
      <c r="AW334" s="32" t="str">
        <f t="shared" si="277"/>
        <v>0.00435934364638265i</v>
      </c>
      <c r="AX334" s="32">
        <f t="shared" si="302"/>
        <v>4.3593436463826504E-3</v>
      </c>
      <c r="AY334" s="32">
        <f t="shared" si="303"/>
        <v>1.5707963267948966</v>
      </c>
      <c r="AZ334" s="32" t="str">
        <f t="shared" si="278"/>
        <v>1+1.77855166128459i</v>
      </c>
      <c r="BA334" s="32">
        <f t="shared" si="304"/>
        <v>2.0404033943948865</v>
      </c>
      <c r="BB334" s="32">
        <f t="shared" si="305"/>
        <v>1.0585928126017794</v>
      </c>
      <c r="BC334" s="32" t="str">
        <f t="shared" si="279"/>
        <v>1+85.3704797416604i</v>
      </c>
      <c r="BD334" s="32">
        <f t="shared" si="306"/>
        <v>85.376336366239386</v>
      </c>
      <c r="BE334" s="32">
        <f t="shared" si="307"/>
        <v>1.5590832115558648</v>
      </c>
      <c r="BF334" s="59" t="str">
        <f t="shared" si="308"/>
        <v>-0.153528818359561+0.280705345976639i</v>
      </c>
      <c r="BG334" s="50">
        <f t="shared" si="309"/>
        <v>-9.8984176639426948</v>
      </c>
      <c r="BH334" s="61">
        <f t="shared" si="310"/>
        <v>118.67598754688785</v>
      </c>
      <c r="BI334" s="59" t="str">
        <f t="shared" si="311"/>
        <v>0.102339070515074-0.0497175645356328i</v>
      </c>
      <c r="BJ334" s="64">
        <f t="shared" si="312"/>
        <v>-18.878938664281595</v>
      </c>
      <c r="BK334" s="61">
        <f t="shared" si="313"/>
        <v>-25.91104500158453</v>
      </c>
      <c r="BL334" s="59" t="str">
        <f t="shared" si="318"/>
        <v>0.496906629252142+0.105003794076513i</v>
      </c>
      <c r="BM334" s="64">
        <f t="shared" si="314"/>
        <v>-5.8847794558246003</v>
      </c>
      <c r="BN334" s="61">
        <f t="shared" si="319"/>
        <v>11.931918282004855</v>
      </c>
      <c r="BO334" s="50">
        <f t="shared" si="315"/>
        <v>-18.878938664281595</v>
      </c>
      <c r="BP334" s="61">
        <f t="shared" si="316"/>
        <v>-25.91104500158453</v>
      </c>
    </row>
    <row r="335" spans="14:68" x14ac:dyDescent="0.25">
      <c r="N335" s="11">
        <v>17</v>
      </c>
      <c r="O335" s="51">
        <f t="shared" si="320"/>
        <v>14791.083881682089</v>
      </c>
      <c r="P335" s="49" t="str">
        <f t="shared" si="267"/>
        <v>25.6231073841137</v>
      </c>
      <c r="Q335" s="18" t="str">
        <f t="shared" si="268"/>
        <v>1+80.368422181533i</v>
      </c>
      <c r="R335" s="18">
        <f t="shared" si="280"/>
        <v>80.374643289716232</v>
      </c>
      <c r="S335" s="18">
        <f t="shared" si="281"/>
        <v>1.5583542709383793</v>
      </c>
      <c r="T335" s="18" t="str">
        <f t="shared" si="269"/>
        <v>1+0.0836416088303812i</v>
      </c>
      <c r="U335" s="18">
        <f t="shared" si="282"/>
        <v>1.003491862810922</v>
      </c>
      <c r="V335" s="18">
        <f t="shared" si="283"/>
        <v>8.3447373527589269E-2</v>
      </c>
      <c r="W335" s="32" t="str">
        <f t="shared" si="270"/>
        <v>1-1.87419160527336i</v>
      </c>
      <c r="X335" s="18">
        <f t="shared" si="284"/>
        <v>2.1242867445985567</v>
      </c>
      <c r="Y335" s="18">
        <f t="shared" si="285"/>
        <v>-1.0806599187619164</v>
      </c>
      <c r="Z335" s="32" t="str">
        <f t="shared" si="271"/>
        <v>0.994530595940126+0.148386409739824i</v>
      </c>
      <c r="AA335" s="18">
        <f t="shared" si="286"/>
        <v>1.0055394735446725</v>
      </c>
      <c r="AB335" s="18">
        <f t="shared" si="287"/>
        <v>0.14810986458778114</v>
      </c>
      <c r="AC335" s="32" t="str">
        <f>IMDIV(IMSUM(COMPLEX(0,2*PI()*O335*Constants!$B$71*Constants!$B$72),COMPLEX(1,0)),IMSUM(COMPLEX(0,2*PI()*O335*Constants!$B$71*Constants!$B$72),COMPLEX(2,0)))</f>
        <v>0.516697028682517+0.0898316401633285i</v>
      </c>
      <c r="AD335" s="18">
        <f t="shared" si="288"/>
        <v>0.52444784585674054</v>
      </c>
      <c r="AE335" s="18">
        <f t="shared" si="289"/>
        <v>0.17213687581094625</v>
      </c>
      <c r="AF335" s="66" t="str">
        <f t="shared" si="290"/>
        <v>-0.290505437081659-0.203062582892522i</v>
      </c>
      <c r="AG335" s="64">
        <f t="shared" si="291"/>
        <v>-9.0091417106502476</v>
      </c>
      <c r="AH335" s="61">
        <f t="shared" si="292"/>
        <v>-145.04654649298047</v>
      </c>
      <c r="AI335" s="50" t="str">
        <f t="shared" si="272"/>
        <v>108.866083054159</v>
      </c>
      <c r="AJ335" s="50" t="str">
        <f t="shared" si="273"/>
        <v>1+76.0378262094375i</v>
      </c>
      <c r="AK335" s="50">
        <f t="shared" si="293"/>
        <v>76.044401599701075</v>
      </c>
      <c r="AL335" s="50">
        <f t="shared" si="294"/>
        <v>1.5576457357908013</v>
      </c>
      <c r="AM335" s="50" t="str">
        <f t="shared" si="274"/>
        <v>1+0.0836416088303812i</v>
      </c>
      <c r="AN335" s="50">
        <f t="shared" si="295"/>
        <v>1.003491862810922</v>
      </c>
      <c r="AO335" s="50">
        <f t="shared" si="296"/>
        <v>8.3447373527589269E-2</v>
      </c>
      <c r="AP335" s="50" t="str">
        <f t="shared" si="275"/>
        <v>1-0.417346646647947i</v>
      </c>
      <c r="AQ335" s="50">
        <f t="shared" si="297"/>
        <v>1.0835950458858172</v>
      </c>
      <c r="AR335" s="50">
        <f t="shared" si="298"/>
        <v>-0.39537037102280709</v>
      </c>
      <c r="AS335" s="59" t="str">
        <f t="shared" si="299"/>
        <v>-0.458211678927495-1.48774035321499i</v>
      </c>
      <c r="AT335" s="50">
        <f t="shared" si="300"/>
        <v>3.8441243354142212</v>
      </c>
      <c r="AU335" s="61">
        <f t="shared" si="301"/>
        <v>-107.11839792690832</v>
      </c>
      <c r="AV335" s="32" t="str">
        <f t="shared" si="276"/>
        <v>-0.0000333333333333333</v>
      </c>
      <c r="AW335" s="32" t="str">
        <f t="shared" si="277"/>
        <v>0.00446088580428699i</v>
      </c>
      <c r="AX335" s="32">
        <f t="shared" si="302"/>
        <v>4.4608858042869898E-3</v>
      </c>
      <c r="AY335" s="32">
        <f t="shared" si="303"/>
        <v>1.5707963267948966</v>
      </c>
      <c r="AZ335" s="32" t="str">
        <f t="shared" si="278"/>
        <v>1+1.81997945140181i</v>
      </c>
      <c r="BA335" s="32">
        <f t="shared" si="304"/>
        <v>2.0766138792574877</v>
      </c>
      <c r="BB335" s="32">
        <f t="shared" si="305"/>
        <v>1.0683702917261153</v>
      </c>
      <c r="BC335" s="32" t="str">
        <f t="shared" si="279"/>
        <v>1+87.3590136672872i</v>
      </c>
      <c r="BD335" s="32">
        <f t="shared" si="306"/>
        <v>87.364736987650076</v>
      </c>
      <c r="BE335" s="32">
        <f t="shared" si="307"/>
        <v>1.5593498110502706</v>
      </c>
      <c r="BF335" s="59" t="str">
        <f t="shared" si="308"/>
        <v>-0.148221252010003+0.277231990382721i</v>
      </c>
      <c r="BG335" s="50">
        <f t="shared" si="309"/>
        <v>-10.051238779795465</v>
      </c>
      <c r="BH335" s="61">
        <f t="shared" si="310"/>
        <v>118.13105428463591</v>
      </c>
      <c r="BI335" s="59" t="str">
        <f t="shared" si="311"/>
        <v>0.0993545236275068-0.050439210266436i</v>
      </c>
      <c r="BJ335" s="64">
        <f t="shared" si="312"/>
        <v>-19.060380490445713</v>
      </c>
      <c r="BK335" s="61">
        <f t="shared" si="313"/>
        <v>-26.91549220834456</v>
      </c>
      <c r="BL335" s="59" t="str">
        <f t="shared" si="318"/>
        <v>0.480365928030723+0.0934838020536522i</v>
      </c>
      <c r="BM335" s="64">
        <f t="shared" si="314"/>
        <v>-6.2071144443812445</v>
      </c>
      <c r="BN335" s="61">
        <f t="shared" si="319"/>
        <v>11.012656357727593</v>
      </c>
      <c r="BO335" s="50">
        <f t="shared" si="315"/>
        <v>-19.060380490445713</v>
      </c>
      <c r="BP335" s="61">
        <f t="shared" si="316"/>
        <v>-26.91549220834456</v>
      </c>
    </row>
    <row r="336" spans="14:68" x14ac:dyDescent="0.25">
      <c r="N336" s="11">
        <v>18</v>
      </c>
      <c r="O336" s="51">
        <f t="shared" si="320"/>
        <v>15135.612484362096</v>
      </c>
      <c r="P336" s="49" t="str">
        <f t="shared" si="267"/>
        <v>25.6231073841137</v>
      </c>
      <c r="Q336" s="18" t="str">
        <f t="shared" si="268"/>
        <v>1+82.2404432190238i</v>
      </c>
      <c r="R336" s="18">
        <f t="shared" si="280"/>
        <v>82.246522728085452</v>
      </c>
      <c r="S336" s="18">
        <f t="shared" si="281"/>
        <v>1.5586374584691074</v>
      </c>
      <c r="T336" s="18" t="str">
        <f t="shared" si="269"/>
        <v>1+0.0855898721792171i</v>
      </c>
      <c r="U336" s="18">
        <f t="shared" si="282"/>
        <v>1.0036561294684823</v>
      </c>
      <c r="V336" s="18">
        <f t="shared" si="283"/>
        <v>8.5381786228355405E-2</v>
      </c>
      <c r="W336" s="32" t="str">
        <f t="shared" si="270"/>
        <v>1-1.91784713586764i</v>
      </c>
      <c r="X336" s="18">
        <f t="shared" si="284"/>
        <v>2.1629002835442299</v>
      </c>
      <c r="Y336" s="18">
        <f t="shared" si="285"/>
        <v>-1.0901615061947976</v>
      </c>
      <c r="Z336" s="32" t="str">
        <f t="shared" si="271"/>
        <v>0.994272830868081+0.151842773236463i</v>
      </c>
      <c r="AA336" s="18">
        <f t="shared" si="286"/>
        <v>1.0058005219657462</v>
      </c>
      <c r="AB336" s="18">
        <f t="shared" si="287"/>
        <v>0.1515464976819007</v>
      </c>
      <c r="AC336" s="32" t="str">
        <f>IMDIV(IMSUM(COMPLEX(0,2*PI()*O336*Constants!$B$71*Constants!$B$72),COMPLEX(1,0)),IMSUM(COMPLEX(0,2*PI()*O336*Constants!$B$71*Constants!$B$72),COMPLEX(2,0)))</f>
        <v>0.517456462186334+0.0917796438275084i</v>
      </c>
      <c r="AD336" s="18">
        <f t="shared" si="288"/>
        <v>0.52553277089017125</v>
      </c>
      <c r="AE336" s="18">
        <f t="shared" si="289"/>
        <v>0.17554129850849498</v>
      </c>
      <c r="AF336" s="66" t="str">
        <f t="shared" si="290"/>
        <v>-0.291211079057763-0.200157414910228i</v>
      </c>
      <c r="AG336" s="64">
        <f t="shared" si="291"/>
        <v>-9.0355272818295909</v>
      </c>
      <c r="AH336" s="61">
        <f t="shared" si="292"/>
        <v>-145.49818463806994</v>
      </c>
      <c r="AI336" s="50" t="str">
        <f t="shared" si="272"/>
        <v>108.866083054159</v>
      </c>
      <c r="AJ336" s="50" t="str">
        <f t="shared" si="273"/>
        <v>1+77.8089747083793i</v>
      </c>
      <c r="AK336" s="50">
        <f t="shared" si="293"/>
        <v>77.815400436990672</v>
      </c>
      <c r="AL336" s="50">
        <f t="shared" si="294"/>
        <v>1.5579450464465903</v>
      </c>
      <c r="AM336" s="50" t="str">
        <f t="shared" si="274"/>
        <v>1+0.0855898721792171i</v>
      </c>
      <c r="AN336" s="50">
        <f t="shared" si="295"/>
        <v>1.0036561294684823</v>
      </c>
      <c r="AO336" s="50">
        <f t="shared" si="296"/>
        <v>8.5381786228355405E-2</v>
      </c>
      <c r="AP336" s="50" t="str">
        <f t="shared" si="275"/>
        <v>1-0.427067898866716i</v>
      </c>
      <c r="AQ336" s="50">
        <f t="shared" si="297"/>
        <v>1.0873761953631464</v>
      </c>
      <c r="AR336" s="50">
        <f t="shared" si="298"/>
        <v>-0.40362087173546035</v>
      </c>
      <c r="AS336" s="59" t="str">
        <f t="shared" si="299"/>
        <v>-0.459062561504752-1.45618797684454i</v>
      </c>
      <c r="AT336" s="50">
        <f t="shared" si="300"/>
        <v>3.6758360671529298</v>
      </c>
      <c r="AU336" s="61">
        <f t="shared" si="301"/>
        <v>-107.49743235036264</v>
      </c>
      <c r="AV336" s="32" t="str">
        <f t="shared" si="276"/>
        <v>-0.0000333333333333333</v>
      </c>
      <c r="AW336" s="32" t="str">
        <f t="shared" si="277"/>
        <v>0.00456479318289158i</v>
      </c>
      <c r="AX336" s="32">
        <f t="shared" si="302"/>
        <v>4.5647931828915796E-3</v>
      </c>
      <c r="AY336" s="32">
        <f t="shared" si="303"/>
        <v>1.5707963267948966</v>
      </c>
      <c r="AZ336" s="32" t="str">
        <f t="shared" si="278"/>
        <v>1+1.86237221871445i</v>
      </c>
      <c r="BA336" s="32">
        <f t="shared" si="304"/>
        <v>2.1138661927944691</v>
      </c>
      <c r="BB336" s="32">
        <f t="shared" si="305"/>
        <v>1.0780278040907112</v>
      </c>
      <c r="BC336" s="32" t="str">
        <f t="shared" si="279"/>
        <v>1+89.3938664982936i</v>
      </c>
      <c r="BD336" s="32">
        <f t="shared" si="306"/>
        <v>89.399459548225124</v>
      </c>
      <c r="BE336" s="32">
        <f t="shared" si="307"/>
        <v>1.5596103435716411</v>
      </c>
      <c r="BF336" s="59" t="str">
        <f t="shared" si="308"/>
        <v>-0.143043127125185+0.273701811877569i</v>
      </c>
      <c r="BG336" s="50">
        <f t="shared" si="309"/>
        <v>-10.2056992044762</v>
      </c>
      <c r="BH336" s="61">
        <f t="shared" si="310"/>
        <v>117.59264699944971</v>
      </c>
      <c r="BI336" s="59" t="str">
        <f t="shared" si="311"/>
        <v>0.0964391905235816-0.0510738574308796i</v>
      </c>
      <c r="BJ336" s="64">
        <f t="shared" si="312"/>
        <v>-19.241226486305788</v>
      </c>
      <c r="BK336" s="61">
        <f t="shared" si="313"/>
        <v>-27.905537638620267</v>
      </c>
      <c r="BL336" s="59" t="str">
        <f t="shared" si="318"/>
        <v>0.464227032040419+0.0826514270409309i</v>
      </c>
      <c r="BM336" s="64">
        <f t="shared" si="314"/>
        <v>-6.5298631373232743</v>
      </c>
      <c r="BN336" s="61">
        <f t="shared" si="319"/>
        <v>10.095214649087049</v>
      </c>
      <c r="BO336" s="50">
        <f t="shared" si="315"/>
        <v>-19.241226486305788</v>
      </c>
      <c r="BP336" s="61">
        <f t="shared" si="316"/>
        <v>-27.905537638620267</v>
      </c>
    </row>
    <row r="337" spans="14:68" x14ac:dyDescent="0.25">
      <c r="N337" s="11">
        <v>19</v>
      </c>
      <c r="O337" s="51">
        <f t="shared" si="320"/>
        <v>15488.166189124853</v>
      </c>
      <c r="P337" s="49" t="str">
        <f t="shared" si="267"/>
        <v>25.6231073841137</v>
      </c>
      <c r="Q337" s="18" t="str">
        <f t="shared" si="268"/>
        <v>1+84.1560692280905i</v>
      </c>
      <c r="R337" s="18">
        <f t="shared" si="280"/>
        <v>84.162010360513378</v>
      </c>
      <c r="S337" s="18">
        <f t="shared" si="281"/>
        <v>1.5589142017491679</v>
      </c>
      <c r="T337" s="18" t="str">
        <f t="shared" si="269"/>
        <v>1+0.0875835164111985i</v>
      </c>
      <c r="U337" s="18">
        <f t="shared" si="282"/>
        <v>1.0038281089643539</v>
      </c>
      <c r="V337" s="18">
        <f t="shared" si="283"/>
        <v>8.736059419526046E-2</v>
      </c>
      <c r="W337" s="32" t="str">
        <f t="shared" si="270"/>
        <v>1-1.96251953439908i</v>
      </c>
      <c r="X337" s="18">
        <f t="shared" si="284"/>
        <v>2.2026082091234431</v>
      </c>
      <c r="Y337" s="18">
        <f t="shared" si="285"/>
        <v>-1.0995386782506689</v>
      </c>
      <c r="Z337" s="32" t="str">
        <f t="shared" si="271"/>
        <v>0.994002917702451+0.155379645781348i</v>
      </c>
      <c r="AA337" s="18">
        <f t="shared" si="286"/>
        <v>1.0060738714051383</v>
      </c>
      <c r="AB337" s="18">
        <f t="shared" si="287"/>
        <v>0.15506223454441881</v>
      </c>
      <c r="AC337" s="32" t="str">
        <f>IMDIV(IMSUM(COMPLEX(0,2*PI()*O337*Constants!$B$71*Constants!$B$72),COMPLEX(1,0)),IMSUM(COMPLEX(0,2*PI()*O337*Constants!$B$71*Constants!$B$72),COMPLEX(2,0)))</f>
        <v>0.518249132863396+0.0937631888399286i</v>
      </c>
      <c r="AD337" s="18">
        <f t="shared" si="288"/>
        <v>0.52666279467520205</v>
      </c>
      <c r="AE337" s="18">
        <f t="shared" si="289"/>
        <v>0.17898682928496573</v>
      </c>
      <c r="AF337" s="66" t="str">
        <f t="shared" si="290"/>
        <v>-0.291939064355699-0.197345968874279i</v>
      </c>
      <c r="AG337" s="64">
        <f t="shared" si="291"/>
        <v>-9.0596985785561088</v>
      </c>
      <c r="AH337" s="61">
        <f t="shared" si="292"/>
        <v>-145.94195841005163</v>
      </c>
      <c r="AI337" s="50" t="str">
        <f t="shared" si="272"/>
        <v>108.866083054159</v>
      </c>
      <c r="AJ337" s="50" t="str">
        <f t="shared" si="273"/>
        <v>1+79.6213785556351i</v>
      </c>
      <c r="AK337" s="50">
        <f t="shared" si="293"/>
        <v>79.62765802847494</v>
      </c>
      <c r="AL337" s="50">
        <f t="shared" si="294"/>
        <v>1.5582375461851763</v>
      </c>
      <c r="AM337" s="50" t="str">
        <f t="shared" si="274"/>
        <v>1+0.0875835164111985i</v>
      </c>
      <c r="AN337" s="50">
        <f t="shared" si="295"/>
        <v>1.0038281089643539</v>
      </c>
      <c r="AO337" s="50">
        <f t="shared" si="296"/>
        <v>8.736059419526046E-2</v>
      </c>
      <c r="AP337" s="50" t="str">
        <f t="shared" si="275"/>
        <v>1-0.437015588138377i</v>
      </c>
      <c r="AQ337" s="50">
        <f t="shared" si="297"/>
        <v>1.0913215036257333</v>
      </c>
      <c r="AR337" s="50">
        <f t="shared" si="298"/>
        <v>-0.41200378096539469</v>
      </c>
      <c r="AS337" s="59" t="str">
        <f t="shared" si="299"/>
        <v>-0.459875160421948-1.42540670614858i</v>
      </c>
      <c r="AT337" s="50">
        <f t="shared" si="300"/>
        <v>3.5088144021602834</v>
      </c>
      <c r="AU337" s="61">
        <f t="shared" si="301"/>
        <v>-107.88111932483838</v>
      </c>
      <c r="AV337" s="32" t="str">
        <f t="shared" si="276"/>
        <v>-0.0000333333333333333</v>
      </c>
      <c r="AW337" s="32" t="str">
        <f t="shared" si="277"/>
        <v>0.00467112087526392i</v>
      </c>
      <c r="AX337" s="32">
        <f t="shared" si="302"/>
        <v>4.6711208752639203E-3</v>
      </c>
      <c r="AY337" s="32">
        <f t="shared" si="303"/>
        <v>1.5707963267948966</v>
      </c>
      <c r="AZ337" s="32" t="str">
        <f t="shared" si="278"/>
        <v>1+1.90575244042886i</v>
      </c>
      <c r="BA337" s="32">
        <f t="shared" si="304"/>
        <v>2.1521831623262355</v>
      </c>
      <c r="BB337" s="32">
        <f t="shared" si="305"/>
        <v>1.0875632635986185</v>
      </c>
      <c r="BC337" s="32" t="str">
        <f t="shared" si="279"/>
        <v>1+91.4761171405852i</v>
      </c>
      <c r="BD337" s="32">
        <f t="shared" si="306"/>
        <v>91.481582884852102</v>
      </c>
      <c r="BE337" s="32">
        <f t="shared" si="307"/>
        <v>1.5598649471162132</v>
      </c>
      <c r="BF337" s="59" t="str">
        <f t="shared" si="308"/>
        <v>-0.137995054824868+0.270120458477317i</v>
      </c>
      <c r="BG337" s="50">
        <f t="shared" si="309"/>
        <v>-10.361758386238938</v>
      </c>
      <c r="BH337" s="61">
        <f t="shared" si="310"/>
        <v>117.0608931224818</v>
      </c>
      <c r="BI337" s="59" t="str">
        <f t="shared" si="311"/>
        <v>0.0935933307822559-0.0516259461169275i</v>
      </c>
      <c r="BJ337" s="64">
        <f t="shared" si="312"/>
        <v>-19.421456964795048</v>
      </c>
      <c r="BK337" s="61">
        <f t="shared" si="313"/>
        <v>-28.881065287569804</v>
      </c>
      <c r="BL337" s="59" t="str">
        <f t="shared" si="318"/>
        <v>0.448492010956518+0.0724773873872015i</v>
      </c>
      <c r="BM337" s="64">
        <f t="shared" si="314"/>
        <v>-6.8529439840786619</v>
      </c>
      <c r="BN337" s="61">
        <f t="shared" si="319"/>
        <v>9.1797737976434401</v>
      </c>
      <c r="BO337" s="50">
        <f t="shared" si="315"/>
        <v>-19.421456964795048</v>
      </c>
      <c r="BP337" s="61">
        <f t="shared" si="316"/>
        <v>-28.881065287569804</v>
      </c>
    </row>
    <row r="338" spans="14:68" x14ac:dyDescent="0.25">
      <c r="N338" s="11">
        <v>20</v>
      </c>
      <c r="O338" s="51">
        <f t="shared" si="320"/>
        <v>15848.931924611146</v>
      </c>
      <c r="P338" s="49" t="str">
        <f t="shared" si="267"/>
        <v>25.6231073841137</v>
      </c>
      <c r="Q338" s="18" t="str">
        <f t="shared" si="268"/>
        <v>1+86.1163158989988i</v>
      </c>
      <c r="R338" s="18">
        <f t="shared" si="280"/>
        <v>86.122121803960198</v>
      </c>
      <c r="S338" s="18">
        <f t="shared" si="281"/>
        <v>1.5591846473418545</v>
      </c>
      <c r="T338" s="18" t="str">
        <f t="shared" si="269"/>
        <v>1+0.0896235985828857i</v>
      </c>
      <c r="U338" s="18">
        <f t="shared" si="282"/>
        <v>1.0040081620300436</v>
      </c>
      <c r="V338" s="18">
        <f t="shared" si="283"/>
        <v>8.9384784597037942E-2</v>
      </c>
      <c r="W338" s="32" t="str">
        <f t="shared" si="270"/>
        <v>1-2.00823248676466i</v>
      </c>
      <c r="X338" s="18">
        <f t="shared" si="284"/>
        <v>2.2434343584997025</v>
      </c>
      <c r="Y338" s="18">
        <f t="shared" si="285"/>
        <v>-1.1087898095624116</v>
      </c>
      <c r="Z338" s="32" t="str">
        <f t="shared" si="271"/>
        <v>0.993720283921226+0.158998902671119i</v>
      </c>
      <c r="AA338" s="18">
        <f t="shared" si="286"/>
        <v>1.0063601014185239</v>
      </c>
      <c r="AB338" s="18">
        <f t="shared" si="287"/>
        <v>0.15865885067430713</v>
      </c>
      <c r="AC338" s="32" t="str">
        <f>IMDIV(IMSUM(COMPLEX(0,2*PI()*O338*Constants!$B$71*Constants!$B$72),COMPLEX(1,0)),IMSUM(COMPLEX(0,2*PI()*O338*Constants!$B$71*Constants!$B$72),COMPLEX(2,0)))</f>
        <v>0.51907637453069+0.0957824576846389i</v>
      </c>
      <c r="AD338" s="18">
        <f t="shared" si="288"/>
        <v>0.52783952276808033</v>
      </c>
      <c r="AE338" s="18">
        <f t="shared" si="289"/>
        <v>0.18247224059233025</v>
      </c>
      <c r="AF338" s="66" t="str">
        <f t="shared" si="290"/>
        <v>-0.292690595385835-0.19462594990538i</v>
      </c>
      <c r="AG338" s="64">
        <f t="shared" si="291"/>
        <v>-9.081676375856869</v>
      </c>
      <c r="AH338" s="61">
        <f t="shared" si="292"/>
        <v>-146.37789858102406</v>
      </c>
      <c r="AI338" s="50" t="str">
        <f t="shared" si="272"/>
        <v>108.866083054159</v>
      </c>
      <c r="AJ338" s="50" t="str">
        <f t="shared" si="273"/>
        <v>1+81.4759987117143i</v>
      </c>
      <c r="AK338" s="50">
        <f t="shared" si="293"/>
        <v>81.482135257191629</v>
      </c>
      <c r="AL338" s="50">
        <f t="shared" si="294"/>
        <v>1.5585233898934761</v>
      </c>
      <c r="AM338" s="50" t="str">
        <f t="shared" si="274"/>
        <v>1+0.0896235985828857i</v>
      </c>
      <c r="AN338" s="50">
        <f t="shared" si="295"/>
        <v>1.0040081620300436</v>
      </c>
      <c r="AO338" s="50">
        <f t="shared" si="296"/>
        <v>8.9384784597037942E-2</v>
      </c>
      <c r="AP338" s="50" t="str">
        <f t="shared" si="275"/>
        <v>1-0.447194988859452i</v>
      </c>
      <c r="AQ338" s="50">
        <f t="shared" si="297"/>
        <v>1.0954375190128396</v>
      </c>
      <c r="AR338" s="50">
        <f t="shared" si="298"/>
        <v>-0.42051882964269088</v>
      </c>
      <c r="AS338" s="59" t="str">
        <f t="shared" si="299"/>
        <v>-0.460651197639941-1.39538028617833i</v>
      </c>
      <c r="AT338" s="50">
        <f t="shared" si="300"/>
        <v>3.3431010237969976</v>
      </c>
      <c r="AU338" s="61">
        <f t="shared" si="301"/>
        <v>-108.26939574752896</v>
      </c>
      <c r="AV338" s="32" t="str">
        <f t="shared" si="276"/>
        <v>-0.0000333333333333333</v>
      </c>
      <c r="AW338" s="32" t="str">
        <f t="shared" si="277"/>
        <v>0.0047799252577539i</v>
      </c>
      <c r="AX338" s="32">
        <f t="shared" si="302"/>
        <v>4.7799252577538998E-3</v>
      </c>
      <c r="AY338" s="32">
        <f t="shared" si="303"/>
        <v>1.5707963267948966</v>
      </c>
      <c r="AZ338" s="32" t="str">
        <f t="shared" si="278"/>
        <v>1+1.95014311731279i</v>
      </c>
      <c r="BA338" s="32">
        <f t="shared" si="304"/>
        <v>2.1915880493382982</v>
      </c>
      <c r="BB338" s="32">
        <f t="shared" si="305"/>
        <v>1.0969747891541748</v>
      </c>
      <c r="BC338" s="32" t="str">
        <f t="shared" si="279"/>
        <v>1+93.6068696310141i</v>
      </c>
      <c r="BD338" s="32">
        <f t="shared" si="306"/>
        <v>93.612210966933532</v>
      </c>
      <c r="BE338" s="32">
        <f t="shared" si="307"/>
        <v>1.5601137565460468</v>
      </c>
      <c r="BF338" s="59" t="str">
        <f t="shared" si="308"/>
        <v>-0.133077347192695+0.26649348243795i</v>
      </c>
      <c r="BG338" s="50">
        <f t="shared" si="309"/>
        <v>-10.519375626812401</v>
      </c>
      <c r="BH338" s="61">
        <f t="shared" si="310"/>
        <v>116.53590815960139</v>
      </c>
      <c r="BI338" s="59" t="str">
        <f t="shared" si="311"/>
        <v>0.0908170351452761-0.0520998309329418i</v>
      </c>
      <c r="BJ338" s="64">
        <f t="shared" si="312"/>
        <v>-19.601052002669274</v>
      </c>
      <c r="BK338" s="61">
        <f t="shared" si="313"/>
        <v>-29.841990421422651</v>
      </c>
      <c r="BL338" s="59" t="str">
        <f t="shared" si="318"/>
        <v>0.433161991151988+0.0629329649613155i</v>
      </c>
      <c r="BM338" s="64">
        <f t="shared" si="314"/>
        <v>-7.1762746030153979</v>
      </c>
      <c r="BN338" s="61">
        <f t="shared" si="319"/>
        <v>8.2665124120724212</v>
      </c>
      <c r="BO338" s="50">
        <f t="shared" si="315"/>
        <v>-19.601052002669274</v>
      </c>
      <c r="BP338" s="61">
        <f t="shared" si="316"/>
        <v>-29.841990421422651</v>
      </c>
    </row>
    <row r="339" spans="14:68" x14ac:dyDescent="0.25">
      <c r="N339" s="11">
        <v>21</v>
      </c>
      <c r="O339" s="51">
        <f t="shared" si="320"/>
        <v>16218.100973589309</v>
      </c>
      <c r="P339" s="49" t="str">
        <f t="shared" ref="P339:P402" si="321">COMPLEX(Adc,0)</f>
        <v>25.6231073841137</v>
      </c>
      <c r="Q339" s="18" t="str">
        <f t="shared" ref="Q339:Q402" si="322">IMSUM(COMPLEX(1,0),IMDIV(COMPLEX(0,2*PI()*O339),COMPLEX(wp_lf,0)))</f>
        <v>1+88.1222225804809i</v>
      </c>
      <c r="R339" s="18">
        <f t="shared" si="280"/>
        <v>88.127896335518059</v>
      </c>
      <c r="S339" s="18">
        <f t="shared" si="281"/>
        <v>1.559448938482664</v>
      </c>
      <c r="T339" s="18" t="str">
        <f t="shared" ref="T339:T402" si="323">IMSUM(COMPLEX(1,0),IMDIV(COMPLEX(0,2*PI()*O339),COMPLEX(wz_esr,0)))</f>
        <v>1+0.09171120037285i</v>
      </c>
      <c r="U339" s="18">
        <f t="shared" si="282"/>
        <v>1.0041966661335959</v>
      </c>
      <c r="V339" s="18">
        <f t="shared" si="283"/>
        <v>9.1455364298994216E-2</v>
      </c>
      <c r="W339" s="32" t="str">
        <f t="shared" ref="W339:W402" si="324">IMSUB(COMPLEX(1,0),IMDIV(COMPLEX(0,2*PI()*O339),COMPLEX(wz_rhp,0)))</f>
        <v>1-2.05501023057682i</v>
      </c>
      <c r="X339" s="18">
        <f t="shared" si="284"/>
        <v>2.2854030383666237</v>
      </c>
      <c r="Y339" s="18">
        <f t="shared" si="285"/>
        <v>-1.1179134703266143</v>
      </c>
      <c r="Z339" s="32" t="str">
        <f t="shared" ref="Z339:Z402" si="325">IMSUM(COMPLEX(1,0),IMDIV(COMPLEX(0,2*PI()*O339),COMPLEX(Q*(wsl/2),0)),IMDIV(IMPOWER(COMPLEX(0,2*PI()*O339),2),IMPOWER(COMPLEX(wsl/2,0),2)))</f>
        <v>0.993424330020262+0.162702462883686i</v>
      </c>
      <c r="AA339" s="18">
        <f t="shared" si="286"/>
        <v>1.0066598188586964</v>
      </c>
      <c r="AB339" s="18">
        <f t="shared" si="287"/>
        <v>0.16233815819995673</v>
      </c>
      <c r="AC339" s="32" t="str">
        <f>IMDIV(IMSUM(COMPLEX(0,2*PI()*O339*Constants!$B$71*Constants!$B$72),COMPLEX(1,0)),IMSUM(COMPLEX(0,2*PI()*O339*Constants!$B$71*Constants!$B$72),COMPLEX(2,0)))</f>
        <v>0.519939563361181+0.0978375975459126i</v>
      </c>
      <c r="AD339" s="18">
        <f t="shared" si="288"/>
        <v>0.52906459439445719</v>
      </c>
      <c r="AE339" s="18">
        <f t="shared" si="289"/>
        <v>0.18599617527014645</v>
      </c>
      <c r="AF339" s="66" t="str">
        <f t="shared" si="290"/>
        <v>-0.293466894126877-0.19199506107316i</v>
      </c>
      <c r="AG339" s="64">
        <f t="shared" si="291"/>
        <v>-9.1014813200255134</v>
      </c>
      <c r="AH339" s="61">
        <f t="shared" si="292"/>
        <v>-146.80605533381731</v>
      </c>
      <c r="AI339" s="50" t="str">
        <f t="shared" ref="AI339:AI402" si="326">COMPLEX($B$72,0)</f>
        <v>108.866083054159</v>
      </c>
      <c r="AJ339" s="50" t="str">
        <f t="shared" ref="AJ339:AJ402" si="327">IMSUM(COMPLEX(1,0),IMDIV(COMPLEX(0,2*PI()*O339),COMPLEX(wp_lf_DCM,0)))</f>
        <v>1+83.3738185207728i</v>
      </c>
      <c r="AK339" s="50">
        <f t="shared" si="293"/>
        <v>83.379815391584771</v>
      </c>
      <c r="AL339" s="50">
        <f t="shared" si="294"/>
        <v>1.5588027289426578</v>
      </c>
      <c r="AM339" s="50" t="str">
        <f t="shared" ref="AM339:AM402" si="328">IMSUM(COMPLEX(1,0),IMDIV(COMPLEX(0,2*PI()*O339),COMPLEX(wz1_dcm,0)))</f>
        <v>1+0.09171120037285i</v>
      </c>
      <c r="AN339" s="50">
        <f t="shared" si="295"/>
        <v>1.0041966661335959</v>
      </c>
      <c r="AO339" s="50">
        <f t="shared" si="296"/>
        <v>9.1455364298994216E-2</v>
      </c>
      <c r="AP339" s="50" t="str">
        <f t="shared" ref="AP339:AP402" si="329">IMSUB(COMPLEX(1,0),IMDIV(COMPLEX(0,2*PI()*O339),COMPLEX(wz2_dcm,0)))</f>
        <v>1-0.457611498282946i</v>
      </c>
      <c r="AQ339" s="50">
        <f t="shared" si="297"/>
        <v>1.0997310050011151</v>
      </c>
      <c r="AR339" s="50">
        <f t="shared" si="298"/>
        <v>-0.42916559237221386</v>
      </c>
      <c r="AS339" s="59" t="str">
        <f t="shared" si="299"/>
        <v>-0.461392317714259-1.36609285783461i</v>
      </c>
      <c r="AT339" s="50">
        <f t="shared" si="300"/>
        <v>3.1787382577871597</v>
      </c>
      <c r="AU339" s="61">
        <f t="shared" si="301"/>
        <v>-108.66218822888534</v>
      </c>
      <c r="AV339" s="32" t="str">
        <f t="shared" ref="AV339:AV402" si="330">COMPLEX(Adc_ea,0)</f>
        <v>-0.0000333333333333333</v>
      </c>
      <c r="AW339" s="32" t="str">
        <f t="shared" ref="AW339:AW402" si="331">COMPLEX(0,2*PI()*O339*wp0_ea)</f>
        <v>0.00489126401988534i</v>
      </c>
      <c r="AX339" s="32">
        <f t="shared" si="302"/>
        <v>4.8912640198853401E-3</v>
      </c>
      <c r="AY339" s="32">
        <f t="shared" si="303"/>
        <v>1.5707963267948966</v>
      </c>
      <c r="AZ339" s="32" t="str">
        <f t="shared" ref="AZ339:AZ402" si="332">IMSUM(COMPLEX(1,0),IMDIV(COMPLEX(0,2*PI()*O339),COMPLEX(wp1_ea,0)))</f>
        <v>1+1.99556778589072i</v>
      </c>
      <c r="BA339" s="32">
        <f t="shared" si="304"/>
        <v>2.2321045647739695</v>
      </c>
      <c r="BB339" s="32">
        <f t="shared" si="305"/>
        <v>1.1062607008527565</v>
      </c>
      <c r="BC339" s="32" t="str">
        <f t="shared" ref="BC339:BC402" si="333">IMSUM(COMPLEX(1,0),IMDIV(COMPLEX(0,2*PI()*O339),COMPLEX(wz_ea,0)))</f>
        <v>1+95.7872537227546i</v>
      </c>
      <c r="BD339" s="32">
        <f t="shared" si="306"/>
        <v>95.792473481726987</v>
      </c>
      <c r="BE339" s="32">
        <f t="shared" si="307"/>
        <v>1.5603569036599019</v>
      </c>
      <c r="BF339" s="59" t="str">
        <f t="shared" si="308"/>
        <v>-0.128290031218038+0.262826324551854i</v>
      </c>
      <c r="BG339" s="50">
        <f t="shared" si="309"/>
        <v>-10.6785101729176</v>
      </c>
      <c r="BH339" s="61">
        <f t="shared" si="310"/>
        <v>116.01779591376615</v>
      </c>
      <c r="BI339" s="59" t="str">
        <f t="shared" si="311"/>
        <v>0.0881102332429651-0.0524997727822303i</v>
      </c>
      <c r="BJ339" s="64">
        <f t="shared" si="312"/>
        <v>-19.779991492943115</v>
      </c>
      <c r="BK339" s="61">
        <f t="shared" si="313"/>
        <v>-30.788259420051141</v>
      </c>
      <c r="BL339" s="59" t="str">
        <f t="shared" si="318"/>
        <v>0.418237199664534+0.0539900483370409i</v>
      </c>
      <c r="BM339" s="64">
        <f t="shared" si="314"/>
        <v>-7.4997719151304416</v>
      </c>
      <c r="BN339" s="61">
        <f t="shared" si="319"/>
        <v>7.3556076848808116</v>
      </c>
      <c r="BO339" s="50">
        <f t="shared" si="315"/>
        <v>-19.779991492943115</v>
      </c>
      <c r="BP339" s="61">
        <f t="shared" si="316"/>
        <v>-30.788259420051141</v>
      </c>
    </row>
    <row r="340" spans="14:68" x14ac:dyDescent="0.25">
      <c r="N340" s="11">
        <v>22</v>
      </c>
      <c r="O340" s="51">
        <f t="shared" si="320"/>
        <v>16595.869074375616</v>
      </c>
      <c r="P340" s="49" t="str">
        <f t="shared" si="321"/>
        <v>25.6231073841137</v>
      </c>
      <c r="Q340" s="18" t="str">
        <f t="shared" si="322"/>
        <v>1+90.1748528308113i</v>
      </c>
      <c r="R340" s="18">
        <f t="shared" ref="R340:R403" si="334">IMABS(Q340)</f>
        <v>90.180397443449294</v>
      </c>
      <c r="S340" s="18">
        <f t="shared" ref="S340:S403" si="335">IMARGUMENT(Q340)</f>
        <v>1.5597072151544877</v>
      </c>
      <c r="T340" s="18" t="str">
        <f t="shared" si="323"/>
        <v>1+0.0938474286551938i</v>
      </c>
      <c r="U340" s="18">
        <f t="shared" ref="U340:U403" si="336">IMABS(T340)</f>
        <v>1.004394016243223</v>
      </c>
      <c r="V340" s="18">
        <f t="shared" ref="V340:V403" si="337">IMARGUMENT(T340)</f>
        <v>9.3573360093043401E-2</v>
      </c>
      <c r="W340" s="32" t="str">
        <f t="shared" si="324"/>
        <v>1-2.10287756801453i</v>
      </c>
      <c r="X340" s="18">
        <f t="shared" ref="X340:X403" si="338">IMABS(W340)</f>
        <v>2.3285390411283005</v>
      </c>
      <c r="Y340" s="18">
        <f t="shared" ref="Y340:Y403" si="339">IMARGUMENT(W340)</f>
        <v>-1.12690842135366</v>
      </c>
      <c r="Z340" s="32" t="str">
        <f t="shared" si="325"/>
        <v>0.993114428241655+0.166492290095696i</v>
      </c>
      <c r="AA340" s="18">
        <f t="shared" ref="AA340:AA403" si="340">IMABS(Z340)</f>
        <v>1.0069736591604859</v>
      </c>
      <c r="AB340" s="18">
        <f t="shared" ref="AB340:AB403" si="341">IMARGUMENT(Z340)</f>
        <v>0.16610200640263312</v>
      </c>
      <c r="AC340" s="32" t="str">
        <f>IMDIV(IMSUM(COMPLEX(0,2*PI()*O340*Constants!$B$71*Constants!$B$72),COMPLEX(1,0)),IMSUM(COMPLEX(0,2*PI()*O340*Constants!$B$71*Constants!$B$72),COMPLEX(2,0)))</f>
        <v>0.520840118168187+0.0999287173880936i</v>
      </c>
      <c r="AD340" s="18">
        <f t="shared" ref="AD340:AD403" si="342">IMABS(AC340)</f>
        <v>0.53033968100857809</v>
      </c>
      <c r="AE340" s="18">
        <f t="shared" ref="AE340:AE403" si="343">IMARGUMENT(AC340)</f>
        <v>0.18955714137972948</v>
      </c>
      <c r="AF340" s="66" t="str">
        <f t="shared" ref="AF340:AF403" si="344">(IMDIV(IMPRODUCT(P340,T340,W340,AC340),IMPRODUCT(Q340,Z340)))</f>
        <v>-0.294269202139542-0.18945099950499i</v>
      </c>
      <c r="AG340" s="64">
        <f t="shared" ref="AG340:AG403" si="345">20*LOG(IMABS(AF340))</f>
        <v>-9.1191338986245345</v>
      </c>
      <c r="AH340" s="61">
        <f t="shared" ref="AH340:AH403" si="346">(180/PI())*IMARGUMENT(AF340)</f>
        <v>-147.22649829548354</v>
      </c>
      <c r="AI340" s="50" t="str">
        <f t="shared" si="326"/>
        <v>108.866083054159</v>
      </c>
      <c r="AJ340" s="50" t="str">
        <f t="shared" si="327"/>
        <v>1+85.3158442319944i</v>
      </c>
      <c r="AK340" s="50">
        <f t="shared" ref="AK340:AK403" si="347">IMABS(AJ340)</f>
        <v>85.321704606846282</v>
      </c>
      <c r="AL340" s="50">
        <f t="shared" ref="AL340:AL403" si="348">IMARGUMENT(AJ340)</f>
        <v>1.5590757112675071</v>
      </c>
      <c r="AM340" s="50" t="str">
        <f t="shared" si="328"/>
        <v>1+0.0938474286551938i</v>
      </c>
      <c r="AN340" s="50">
        <f t="shared" ref="AN340:AN403" si="349">IMABS(AM340)</f>
        <v>1.004394016243223</v>
      </c>
      <c r="AO340" s="50">
        <f t="shared" ref="AO340:AO403" si="350">IMARGUMENT(AM340)</f>
        <v>9.3573360093043401E-2</v>
      </c>
      <c r="AP340" s="50" t="str">
        <f t="shared" si="329"/>
        <v>1-0.468270639380037i</v>
      </c>
      <c r="AQ340" s="50">
        <f t="shared" ref="AQ340:AQ403" si="351">IMABS(AP340)</f>
        <v>1.1042089438622513</v>
      </c>
      <c r="AR340" s="50">
        <f t="shared" ref="AR340:AR403" si="352">IMARGUMENT(AP340)</f>
        <v>-0.43794348083927909</v>
      </c>
      <c r="AS340" s="59" t="str">
        <f t="shared" ref="AS340:AS403" si="353">(IMDIV(IMPRODUCT(AI340,AM340,AP340),IMPRODUCT(AJ340)))</f>
        <v>-0.462100091270498-1.33752894975147i</v>
      </c>
      <c r="AT340" s="50">
        <f t="shared" ref="AT340:AT403" si="354">20*LOG(IMABS(AS340))</f>
        <v>3.0157690254739444</v>
      </c>
      <c r="AU340" s="61">
        <f t="shared" ref="AU340:AU403" si="355">(180/PI())*IMARGUMENT(AS340)</f>
        <v>-109.05941270615499</v>
      </c>
      <c r="AV340" s="32" t="str">
        <f t="shared" si="330"/>
        <v>-0.0000333333333333333</v>
      </c>
      <c r="AW340" s="32" t="str">
        <f t="shared" si="331"/>
        <v>0.00500519619494366i</v>
      </c>
      <c r="AX340" s="32">
        <f t="shared" ref="AX340:AX403" si="356">IMABS(AW340)</f>
        <v>5.0051961949436601E-3</v>
      </c>
      <c r="AY340" s="32">
        <f t="shared" ref="AY340:AY403" si="357">IMARGUMENT(AW340)</f>
        <v>1.5707963267948966</v>
      </c>
      <c r="AZ340" s="32" t="str">
        <f t="shared" si="332"/>
        <v>1+2.0420505309232i</v>
      </c>
      <c r="BA340" s="32">
        <f t="shared" ref="BA340:BA403" si="358">IMABS(AZ340)</f>
        <v>2.2737568847270642</v>
      </c>
      <c r="BB340" s="32">
        <f t="shared" ref="BB340:BB403" si="359">IMARGUMENT(AZ340)</f>
        <v>1.1154195156342088</v>
      </c>
      <c r="BC340" s="32" t="str">
        <f t="shared" si="333"/>
        <v>1+98.0184254843137i</v>
      </c>
      <c r="BD340" s="32">
        <f t="shared" ref="BD340:BD403" si="360">IMABS(BC340)</f>
        <v>98.023526433320868</v>
      </c>
      <c r="BE340" s="32">
        <f t="shared" ref="BE340:BE403" si="361">IMARGUMENT(BC340)</f>
        <v>1.5605945172625306</v>
      </c>
      <c r="BF340" s="59" t="str">
        <f t="shared" ref="BF340:BF403" si="362">IMPRODUCT(AV340,IMDIV(BC340,IMPRODUCT(AW340,AZ340)))</f>
        <v>-0.123632863419376+0.259124299984476i</v>
      </c>
      <c r="BG340" s="50">
        <f t="shared" ref="BG340:BG403" si="363">20*LOG(IMABS(BF340))</f>
        <v>-10.839121303306559</v>
      </c>
      <c r="BH340" s="61">
        <f t="shared" ref="BH340:BH403" si="364">(180/PI())*IMARGUMENT(BF340)</f>
        <v>115.50664873803247</v>
      </c>
      <c r="BI340" s="59" t="str">
        <f t="shared" ref="BI340:BI403" si="365">IMPRODUCT(AF340,BF340)</f>
        <v>0.0854727017047366-0.0528299314649344i</v>
      </c>
      <c r="BJ340" s="64">
        <f t="shared" ref="BJ340:BJ403" si="366">20*LOG(IMABS(BI340))</f>
        <v>-19.958255201931088</v>
      </c>
      <c r="BK340" s="61">
        <f t="shared" ref="BK340:BK403" si="367">(180/PI())*IMARGUMENT(BI340)</f>
        <v>-31.719849557451056</v>
      </c>
      <c r="BL340" s="59" t="str">
        <f t="shared" si="318"/>
        <v>0.403717010283448+0.0456211712908546i</v>
      </c>
      <c r="BM340" s="64">
        <f t="shared" ref="BM340:BM403" si="368">20*LOG(IMABS(BL340))</f>
        <v>-7.8233522778326057</v>
      </c>
      <c r="BN340" s="61">
        <f t="shared" si="319"/>
        <v>6.4472360318774768</v>
      </c>
      <c r="BO340" s="50">
        <f t="shared" ref="BO340:BO403" si="369">IF($B$31=0,BM340,BJ340)</f>
        <v>-19.958255201931088</v>
      </c>
      <c r="BP340" s="61">
        <f t="shared" ref="BP340:BP403" si="370">IF($B$31=0,BN340,BK340)</f>
        <v>-31.719849557451056</v>
      </c>
    </row>
    <row r="341" spans="14:68" x14ac:dyDescent="0.25">
      <c r="N341" s="11">
        <v>23</v>
      </c>
      <c r="O341" s="51">
        <f t="shared" si="320"/>
        <v>16982.436524617482</v>
      </c>
      <c r="P341" s="49" t="str">
        <f t="shared" si="321"/>
        <v>25.6231073841137</v>
      </c>
      <c r="Q341" s="18" t="str">
        <f t="shared" si="322"/>
        <v>1+92.275294981718i</v>
      </c>
      <c r="R341" s="18">
        <f t="shared" si="334"/>
        <v>92.280713391060601</v>
      </c>
      <c r="S341" s="18">
        <f t="shared" si="335"/>
        <v>1.5599596141611261</v>
      </c>
      <c r="T341" s="18" t="str">
        <f t="shared" si="323"/>
        <v>1+0.0960334160864284i</v>
      </c>
      <c r="U341" s="18">
        <f t="shared" si="336"/>
        <v>1.0046006256245459</v>
      </c>
      <c r="V341" s="18">
        <f t="shared" si="337"/>
        <v>9.573981891758572E-2</v>
      </c>
      <c r="W341" s="32" t="str">
        <f t="shared" si="324"/>
        <v>1-2.15185987897367i</v>
      </c>
      <c r="X341" s="18">
        <f t="shared" si="338"/>
        <v>2.3728676614460773</v>
      </c>
      <c r="Y341" s="18">
        <f t="shared" si="339"/>
        <v>-1.1357736087069323</v>
      </c>
      <c r="Z341" s="32" t="str">
        <f t="shared" si="325"/>
        <v>0.992789921242183+0.170370393723701i</v>
      </c>
      <c r="AA341" s="18">
        <f t="shared" si="340"/>
        <v>1.0073022876860891</v>
      </c>
      <c r="AB341" s="18">
        <f t="shared" si="341"/>
        <v>0.16995228222954281</v>
      </c>
      <c r="AC341" s="32" t="str">
        <f>IMDIV(IMSUM(COMPLEX(0,2*PI()*O341*Constants!$B$71*Constants!$B$72),COMPLEX(1,0)),IMSUM(COMPLEX(0,2*PI()*O341*Constants!$B$71*Constants!$B$72),COMPLEX(2,0)))</f>
        <v>0.521779500573624+0.102055884894383i</v>
      </c>
      <c r="AD341" s="18">
        <f t="shared" si="342"/>
        <v>0.53166648461270904</v>
      </c>
      <c r="AE341" s="18">
        <f t="shared" si="343"/>
        <v>0.19315350715646074</v>
      </c>
      <c r="AF341" s="66" t="str">
        <f t="shared" si="344"/>
        <v>-0.29509878042102-0.186991452389649i</v>
      </c>
      <c r="AG341" s="64">
        <f t="shared" si="345"/>
        <v>-9.1346544198410111</v>
      </c>
      <c r="AH341" s="61">
        <f t="shared" si="346"/>
        <v>-147.63931654036853</v>
      </c>
      <c r="AI341" s="50" t="str">
        <f t="shared" si="326"/>
        <v>108.866083054159</v>
      </c>
      <c r="AJ341" s="50" t="str">
        <f t="shared" si="327"/>
        <v>1+87.3031055331168i</v>
      </c>
      <c r="AK341" s="50">
        <f t="shared" si="347"/>
        <v>87.308832518402909</v>
      </c>
      <c r="AL341" s="50">
        <f t="shared" si="348"/>
        <v>1.5593424814440333</v>
      </c>
      <c r="AM341" s="50" t="str">
        <f t="shared" si="328"/>
        <v>1+0.0960334160864284i</v>
      </c>
      <c r="AN341" s="50">
        <f t="shared" si="349"/>
        <v>1.0046006256245459</v>
      </c>
      <c r="AO341" s="50">
        <f t="shared" si="350"/>
        <v>9.573981891758572E-2</v>
      </c>
      <c r="AP341" s="50" t="str">
        <f t="shared" si="329"/>
        <v>1-0.479178063768423i</v>
      </c>
      <c r="AQ341" s="50">
        <f t="shared" si="351"/>
        <v>1.1088785401462393</v>
      </c>
      <c r="AR341" s="50">
        <f t="shared" si="352"/>
        <v>-0.44685173739004252</v>
      </c>
      <c r="AS341" s="59" t="str">
        <f t="shared" si="353"/>
        <v>-0.462776018324033-1.30967347036585i</v>
      </c>
      <c r="AT341" s="50">
        <f t="shared" si="354"/>
        <v>2.8542367924273933</v>
      </c>
      <c r="AU341" s="61">
        <f t="shared" si="355"/>
        <v>-109.46097406741319</v>
      </c>
      <c r="AV341" s="32" t="str">
        <f t="shared" si="330"/>
        <v>-0.0000333333333333333</v>
      </c>
      <c r="AW341" s="32" t="str">
        <f t="shared" si="331"/>
        <v>0.00512178219127615i</v>
      </c>
      <c r="AX341" s="32">
        <f t="shared" si="356"/>
        <v>5.1217821912761504E-3</v>
      </c>
      <c r="AY341" s="32">
        <f t="shared" si="357"/>
        <v>1.5707963267948966</v>
      </c>
      <c r="AZ341" s="32" t="str">
        <f t="shared" si="332"/>
        <v>1+2.08961599817691i</v>
      </c>
      <c r="BA341" s="32">
        <f t="shared" si="358"/>
        <v>2.3165696665192015</v>
      </c>
      <c r="BB341" s="32">
        <f t="shared" si="359"/>
        <v>1.1244499424553984</v>
      </c>
      <c r="BC341" s="32" t="str">
        <f t="shared" si="333"/>
        <v>1+100.301567912492i</v>
      </c>
      <c r="BD341" s="32">
        <f t="shared" si="360"/>
        <v>100.30655275556151</v>
      </c>
      <c r="BE341" s="32">
        <f t="shared" si="361"/>
        <v>1.5608267232324231</v>
      </c>
      <c r="BF341" s="59" t="str">
        <f t="shared" si="362"/>
        <v>-0.119105344992974+0.255392585647513i</v>
      </c>
      <c r="BG341" s="50">
        <f t="shared" si="363"/>
        <v>-11.001168411135374</v>
      </c>
      <c r="BH341" s="61">
        <f t="shared" si="364"/>
        <v>115.00254781602915</v>
      </c>
      <c r="BI341" s="59" t="str">
        <f t="shared" si="365"/>
        <v>0.0829040725688278-0.0530943591055456i</v>
      </c>
      <c r="BJ341" s="64">
        <f t="shared" si="366"/>
        <v>-20.135822830976377</v>
      </c>
      <c r="BK341" s="61">
        <f t="shared" si="367"/>
        <v>-32.636768724339404</v>
      </c>
      <c r="BL341" s="59" t="str">
        <f t="shared" si="318"/>
        <v>0.389599991267645+0.0377995466206344i</v>
      </c>
      <c r="BM341" s="64">
        <f t="shared" si="368"/>
        <v>-8.1469316187079759</v>
      </c>
      <c r="BN341" s="61">
        <f t="shared" si="319"/>
        <v>5.5415737486159538</v>
      </c>
      <c r="BO341" s="50">
        <f t="shared" si="369"/>
        <v>-20.135822830976377</v>
      </c>
      <c r="BP341" s="61">
        <f t="shared" si="370"/>
        <v>-32.636768724339404</v>
      </c>
    </row>
    <row r="342" spans="14:68" x14ac:dyDescent="0.25">
      <c r="N342" s="11">
        <v>24</v>
      </c>
      <c r="O342" s="51">
        <f t="shared" si="320"/>
        <v>17378.008287493791</v>
      </c>
      <c r="P342" s="49" t="str">
        <f t="shared" si="321"/>
        <v>25.6231073841137</v>
      </c>
      <c r="Q342" s="18" t="str">
        <f t="shared" si="322"/>
        <v>1+94.424662715431i</v>
      </c>
      <c r="R342" s="18">
        <f t="shared" si="334"/>
        <v>94.429957793715573</v>
      </c>
      <c r="S342" s="18">
        <f t="shared" si="335"/>
        <v>1.5602062691991658</v>
      </c>
      <c r="T342" s="18" t="str">
        <f t="shared" si="323"/>
        <v>1+0.0982703217060235i</v>
      </c>
      <c r="U342" s="18">
        <f t="shared" si="336"/>
        <v>1.0048169266728171</v>
      </c>
      <c r="V342" s="18">
        <f t="shared" si="337"/>
        <v>9.7955808065986125E-2</v>
      </c>
      <c r="W342" s="32" t="str">
        <f t="shared" si="324"/>
        <v>1-2.20198313452386i</v>
      </c>
      <c r="X342" s="18">
        <f t="shared" si="338"/>
        <v>2.4184147131390685</v>
      </c>
      <c r="Y342" s="18">
        <f t="shared" si="339"/>
        <v>-1.1445081579849825</v>
      </c>
      <c r="Z342" s="32" t="str">
        <f t="shared" si="325"/>
        <v>0.992450120698995+0.174338829989575i</v>
      </c>
      <c r="AA342" s="18">
        <f t="shared" si="340"/>
        <v>1.0076464011336435</v>
      </c>
      <c r="AB342" s="18">
        <f t="shared" si="341"/>
        <v>0.17389091079476801</v>
      </c>
      <c r="AC342" s="32" t="str">
        <f>IMDIV(IMSUM(COMPLEX(0,2*PI()*O342*Constants!$B$71*Constants!$B$72),COMPLEX(1,0)),IMSUM(COMPLEX(0,2*PI()*O342*Constants!$B$71*Constants!$B$72),COMPLEX(2,0)))</f>
        <v>0.522759215046729+0.10421912326354i</v>
      </c>
      <c r="AD342" s="18">
        <f t="shared" si="342"/>
        <v>0.53304673582162865</v>
      </c>
      <c r="AE342" s="18">
        <f t="shared" si="343"/>
        <v>0.19678349611962329</v>
      </c>
      <c r="AF342" s="66" t="str">
        <f t="shared" si="344"/>
        <v>-0.295956909086714-0.184614092875891i</v>
      </c>
      <c r="AG342" s="64">
        <f t="shared" si="345"/>
        <v>-9.1480630014032123</v>
      </c>
      <c r="AH342" s="61">
        <f t="shared" si="346"/>
        <v>-148.04461856356377</v>
      </c>
      <c r="AI342" s="50" t="str">
        <f t="shared" si="326"/>
        <v>108.866083054159</v>
      </c>
      <c r="AJ342" s="50" t="str">
        <f t="shared" si="327"/>
        <v>1+89.3366560963851i</v>
      </c>
      <c r="AK342" s="50">
        <f t="shared" si="347"/>
        <v>89.342252727831863</v>
      </c>
      <c r="AL342" s="50">
        <f t="shared" si="348"/>
        <v>1.559603180765347</v>
      </c>
      <c r="AM342" s="50" t="str">
        <f t="shared" si="328"/>
        <v>1+0.0982703217060235i</v>
      </c>
      <c r="AN342" s="50">
        <f t="shared" si="349"/>
        <v>1.0048169266728171</v>
      </c>
      <c r="AO342" s="50">
        <f t="shared" si="350"/>
        <v>9.7955808065986125E-2</v>
      </c>
      <c r="AP342" s="50" t="str">
        <f t="shared" si="329"/>
        <v>1-0.490339554708885i</v>
      </c>
      <c r="AQ342" s="50">
        <f t="shared" si="351"/>
        <v>1.1137472239750399</v>
      </c>
      <c r="AR342" s="50">
        <f t="shared" si="352"/>
        <v>-0.45588942883344741</v>
      </c>
      <c r="AS342" s="59" t="str">
        <f t="shared" si="353"/>
        <v>-0.463421531451016-1.28251170017035i</v>
      </c>
      <c r="AT342" s="50">
        <f t="shared" si="354"/>
        <v>2.6941855123599998</v>
      </c>
      <c r="AU342" s="61">
        <f t="shared" si="355"/>
        <v>-109.86676578884486</v>
      </c>
      <c r="AV342" s="32" t="str">
        <f t="shared" si="330"/>
        <v>-0.0000333333333333333</v>
      </c>
      <c r="AW342" s="32" t="str">
        <f t="shared" si="331"/>
        <v>0.00524108382432125i</v>
      </c>
      <c r="AX342" s="32">
        <f t="shared" si="356"/>
        <v>5.2410838243212498E-3</v>
      </c>
      <c r="AY342" s="32">
        <f t="shared" si="357"/>
        <v>1.5707963267948966</v>
      </c>
      <c r="AZ342" s="32" t="str">
        <f t="shared" si="332"/>
        <v>1+2.13828940749218i</v>
      </c>
      <c r="BA342" s="32">
        <f t="shared" si="358"/>
        <v>2.360568065147298</v>
      </c>
      <c r="BB342" s="32">
        <f t="shared" si="359"/>
        <v>1.133350877036909</v>
      </c>
      <c r="BC342" s="32" t="str">
        <f t="shared" si="333"/>
        <v>1+102.637891559625i</v>
      </c>
      <c r="BD342" s="32">
        <f t="shared" si="360"/>
        <v>102.64276293926106</v>
      </c>
      <c r="BE342" s="32">
        <f t="shared" si="361"/>
        <v>1.5610536445880365</v>
      </c>
      <c r="BF342" s="59" t="str">
        <f t="shared" si="362"/>
        <v>-0.114706737338193+0.251636209090446i</v>
      </c>
      <c r="BG342" s="50">
        <f t="shared" si="363"/>
        <v>-11.164611081529827</v>
      </c>
      <c r="BH342" s="61">
        <f t="shared" si="364"/>
        <v>114.5055634667446</v>
      </c>
      <c r="BI342" s="59" t="str">
        <f t="shared" si="365"/>
        <v>0.0804038419099939-0.0532969943962629i</v>
      </c>
      <c r="BJ342" s="64">
        <f t="shared" si="366"/>
        <v>-20.312674082933036</v>
      </c>
      <c r="BK342" s="61">
        <f t="shared" si="367"/>
        <v>-33.539055096819176</v>
      </c>
      <c r="BL342" s="59" t="str">
        <f t="shared" si="318"/>
        <v>0.375883954230024+0.0304990953393771i</v>
      </c>
      <c r="BM342" s="64">
        <f t="shared" si="368"/>
        <v>-8.4704255691698371</v>
      </c>
      <c r="BN342" s="61">
        <f t="shared" si="319"/>
        <v>4.6387976778997535</v>
      </c>
      <c r="BO342" s="50">
        <f t="shared" si="369"/>
        <v>-20.312674082933036</v>
      </c>
      <c r="BP342" s="61">
        <f t="shared" si="370"/>
        <v>-33.539055096819176</v>
      </c>
    </row>
    <row r="343" spans="14:68" x14ac:dyDescent="0.25">
      <c r="N343" s="11">
        <v>25</v>
      </c>
      <c r="O343" s="51">
        <f t="shared" si="320"/>
        <v>17782.794100389234</v>
      </c>
      <c r="P343" s="49" t="str">
        <f t="shared" si="321"/>
        <v>25.6231073841137</v>
      </c>
      <c r="Q343" s="18" t="str">
        <f t="shared" si="322"/>
        <v>1+96.6240956551738i</v>
      </c>
      <c r="R343" s="18">
        <f t="shared" si="334"/>
        <v>96.629270209291022</v>
      </c>
      <c r="S343" s="18">
        <f t="shared" si="335"/>
        <v>1.5604473109282551</v>
      </c>
      <c r="T343" s="18" t="str">
        <f t="shared" si="323"/>
        <v>1+0.100559331550949i</v>
      </c>
      <c r="U343" s="18">
        <f t="shared" si="336"/>
        <v>1.0050433717815235</v>
      </c>
      <c r="V343" s="18">
        <f t="shared" si="337"/>
        <v>0.10022241538232013</v>
      </c>
      <c r="W343" s="32" t="str">
        <f t="shared" si="324"/>
        <v>1-2.25327391067866i</v>
      </c>
      <c r="X343" s="18">
        <f t="shared" si="338"/>
        <v>2.465206546426709</v>
      </c>
      <c r="Y343" s="18">
        <f t="shared" si="339"/>
        <v>-1.1531113682989649</v>
      </c>
      <c r="Z343" s="32" t="str">
        <f t="shared" si="325"/>
        <v>0.992094305849579+0.178399703010757i</v>
      </c>
      <c r="AA343" s="18">
        <f t="shared" si="340"/>
        <v>1.0080067290120063</v>
      </c>
      <c r="AB343" s="18">
        <f t="shared" si="341"/>
        <v>0.1779198558662119</v>
      </c>
      <c r="AC343" s="32" t="str">
        <f>IMDIV(IMSUM(COMPLEX(0,2*PI()*O343*Constants!$B$71*Constants!$B$72),COMPLEX(1,0)),IMSUM(COMPLEX(0,2*PI()*O343*Constants!$B$71*Constants!$B$72),COMPLEX(2,0)))</f>
        <v>0.523780808798987+0.106418407864239i</v>
      </c>
      <c r="AD343" s="18">
        <f t="shared" si="342"/>
        <v>0.53448219165700983</v>
      </c>
      <c r="AE343" s="18">
        <f t="shared" si="343"/>
        <v>0.20044518238212836</v>
      </c>
      <c r="AF343" s="66" t="str">
        <f t="shared" si="344"/>
        <v>-0.296844886864861-0.182316575866817i</v>
      </c>
      <c r="AG343" s="64">
        <f t="shared" si="345"/>
        <v>-9.1593795692029136</v>
      </c>
      <c r="AH343" s="61">
        <f t="shared" si="346"/>
        <v>-148.44253222528357</v>
      </c>
      <c r="AI343" s="50" t="str">
        <f t="shared" si="326"/>
        <v>108.866083054159</v>
      </c>
      <c r="AJ343" s="50" t="str">
        <f t="shared" si="327"/>
        <v>1+91.4175741372261i</v>
      </c>
      <c r="AK343" s="50">
        <f t="shared" si="347"/>
        <v>91.423043381497806</v>
      </c>
      <c r="AL343" s="50">
        <f t="shared" si="348"/>
        <v>1.559857947315852</v>
      </c>
      <c r="AM343" s="50" t="str">
        <f t="shared" si="328"/>
        <v>1+0.100559331550949i</v>
      </c>
      <c r="AN343" s="50">
        <f t="shared" si="349"/>
        <v>1.0050433717815235</v>
      </c>
      <c r="AO343" s="50">
        <f t="shared" si="350"/>
        <v>0.10022241538232013</v>
      </c>
      <c r="AP343" s="50" t="str">
        <f t="shared" si="329"/>
        <v>1-0.501761030171665i</v>
      </c>
      <c r="AQ343" s="50">
        <f t="shared" si="351"/>
        <v>1.118822654131981</v>
      </c>
      <c r="AR343" s="50">
        <f t="shared" si="352"/>
        <v>-0.46505544051387127</v>
      </c>
      <c r="AS343" s="59" t="str">
        <f t="shared" si="353"/>
        <v>-0.464037998817251-1.2560292841464i</v>
      </c>
      <c r="AT343" s="50">
        <f t="shared" si="354"/>
        <v>2.5356595663397052</v>
      </c>
      <c r="AU343" s="61">
        <f t="shared" si="355"/>
        <v>-110.2766695881664</v>
      </c>
      <c r="AV343" s="32" t="str">
        <f t="shared" si="330"/>
        <v>-0.0000333333333333333</v>
      </c>
      <c r="AW343" s="32" t="str">
        <f t="shared" si="331"/>
        <v>0.00536316434938394i</v>
      </c>
      <c r="AX343" s="32">
        <f t="shared" si="356"/>
        <v>5.3631643493839403E-3</v>
      </c>
      <c r="AY343" s="32">
        <f t="shared" si="357"/>
        <v>1.5707963267948966</v>
      </c>
      <c r="AZ343" s="32" t="str">
        <f t="shared" si="332"/>
        <v>1+2.1880965661549i</v>
      </c>
      <c r="BA343" s="32">
        <f t="shared" si="358"/>
        <v>2.4057777500880801</v>
      </c>
      <c r="BB343" s="32">
        <f t="shared" si="359"/>
        <v>1.1421213962380152</v>
      </c>
      <c r="BC343" s="32" t="str">
        <f t="shared" si="333"/>
        <v>1+105.028635175435i</v>
      </c>
      <c r="BD343" s="32">
        <f t="shared" si="360"/>
        <v>105.03339567401704</v>
      </c>
      <c r="BE343" s="32">
        <f t="shared" si="361"/>
        <v>1.5612754015525447</v>
      </c>
      <c r="BF343" s="59" t="str">
        <f t="shared" si="362"/>
        <v>-0.110436077819405+0.247860038879095i</v>
      </c>
      <c r="BG343" s="50">
        <f t="shared" si="363"/>
        <v>-11.329409164247696</v>
      </c>
      <c r="BH343" s="61">
        <f t="shared" si="364"/>
        <v>114.0157554705266</v>
      </c>
      <c r="BI343" s="59" t="str">
        <f t="shared" si="365"/>
        <v>0.077971378608753-0.0534416576391897i</v>
      </c>
      <c r="BJ343" s="64">
        <f t="shared" si="366"/>
        <v>-20.488788733450608</v>
      </c>
      <c r="BK343" s="61">
        <f t="shared" si="367"/>
        <v>-34.426776754756929</v>
      </c>
      <c r="BL343" s="59" t="str">
        <f t="shared" si="318"/>
        <v>0.362566003750351+0.0236944713392221i</v>
      </c>
      <c r="BM343" s="64">
        <f t="shared" si="368"/>
        <v>-8.793749597908004</v>
      </c>
      <c r="BN343" s="61">
        <f t="shared" si="319"/>
        <v>3.7390858823602198</v>
      </c>
      <c r="BO343" s="50">
        <f t="shared" si="369"/>
        <v>-20.488788733450608</v>
      </c>
      <c r="BP343" s="61">
        <f t="shared" si="370"/>
        <v>-34.426776754756929</v>
      </c>
    </row>
    <row r="344" spans="14:68" x14ac:dyDescent="0.25">
      <c r="N344" s="11">
        <v>26</v>
      </c>
      <c r="O344" s="51">
        <f t="shared" si="320"/>
        <v>18197.008586099837</v>
      </c>
      <c r="P344" s="49" t="str">
        <f t="shared" si="321"/>
        <v>25.6231073841137</v>
      </c>
      <c r="Q344" s="18" t="str">
        <f t="shared" si="322"/>
        <v>1+98.8747599694048i</v>
      </c>
      <c r="R344" s="18">
        <f t="shared" si="334"/>
        <v>98.879816742383852</v>
      </c>
      <c r="S344" s="18">
        <f t="shared" si="335"/>
        <v>1.5606828670398065</v>
      </c>
      <c r="T344" s="18" t="str">
        <f t="shared" si="323"/>
        <v>1+0.102901659284523i</v>
      </c>
      <c r="U344" s="18">
        <f t="shared" si="336"/>
        <v>1.005280434248826</v>
      </c>
      <c r="V344" s="18">
        <f t="shared" si="337"/>
        <v>0.10254074944294553</v>
      </c>
      <c r="W344" s="32" t="str">
        <f t="shared" si="324"/>
        <v>1-2.30575940248653i</v>
      </c>
      <c r="X344" s="18">
        <f t="shared" si="338"/>
        <v>2.5132700655033156</v>
      </c>
      <c r="Y344" s="18">
        <f t="shared" si="339"/>
        <v>-1.1615827059958983</v>
      </c>
      <c r="Z344" s="32" t="str">
        <f t="shared" si="325"/>
        <v>0.991721721962935+0.182555165915876i</v>
      </c>
      <c r="AA344" s="18">
        <f t="shared" si="340"/>
        <v>1.0083840351848603</v>
      </c>
      <c r="AB344" s="18">
        <f t="shared" si="341"/>
        <v>0.18204112033651637</v>
      </c>
      <c r="AC344" s="32" t="str">
        <f>IMDIV(IMSUM(COMPLEX(0,2*PI()*O344*Constants!$B$71*Constants!$B$72),COMPLEX(1,0)),IMSUM(COMPLEX(0,2*PI()*O344*Constants!$B$71*Constants!$B$72),COMPLEX(2,0)))</f>
        <v>0.524845871520176+0.108653662747701i</v>
      </c>
      <c r="AD344" s="18">
        <f t="shared" si="342"/>
        <v>0.53597463305670012</v>
      </c>
      <c r="AE344" s="18">
        <f t="shared" si="343"/>
        <v>0.20413648620537519</v>
      </c>
      <c r="AF344" s="66" t="str">
        <f t="shared" si="344"/>
        <v>-0.297764030388761-0.180096533711984i</v>
      </c>
      <c r="AG344" s="64">
        <f t="shared" si="345"/>
        <v>-9.1686238657044026</v>
      </c>
      <c r="AH344" s="61">
        <f t="shared" si="346"/>
        <v>-148.83320466643622</v>
      </c>
      <c r="AI344" s="50" t="str">
        <f t="shared" si="326"/>
        <v>108.866083054159</v>
      </c>
      <c r="AJ344" s="50" t="str">
        <f t="shared" si="327"/>
        <v>1+93.5469629859299i</v>
      </c>
      <c r="AK344" s="50">
        <f t="shared" si="347"/>
        <v>93.55230774219811</v>
      </c>
      <c r="AL344" s="50">
        <f t="shared" si="348"/>
        <v>1.5601069160437835</v>
      </c>
      <c r="AM344" s="50" t="str">
        <f t="shared" si="328"/>
        <v>1+0.102901659284523i</v>
      </c>
      <c r="AN344" s="50">
        <f t="shared" si="349"/>
        <v>1.005280434248826</v>
      </c>
      <c r="AO344" s="50">
        <f t="shared" si="350"/>
        <v>0.10254074944294553</v>
      </c>
      <c r="AP344" s="50" t="str">
        <f t="shared" si="329"/>
        <v>1-0.513448545974237i</v>
      </c>
      <c r="AQ344" s="50">
        <f t="shared" si="351"/>
        <v>1.1241127209328512</v>
      </c>
      <c r="AR344" s="50">
        <f t="shared" si="352"/>
        <v>-0.47434847070561065</v>
      </c>
      <c r="AS344" s="59" t="str">
        <f t="shared" si="353"/>
        <v>-0.464626727071314-1.2302122243748i</v>
      </c>
      <c r="AT344" s="50">
        <f t="shared" si="354"/>
        <v>2.3787036973242213</v>
      </c>
      <c r="AU344" s="61">
        <f t="shared" si="355"/>
        <v>-110.69055509720675</v>
      </c>
      <c r="AV344" s="32" t="str">
        <f t="shared" si="330"/>
        <v>-0.0000333333333333333</v>
      </c>
      <c r="AW344" s="32" t="str">
        <f t="shared" si="331"/>
        <v>0.00548808849517456i</v>
      </c>
      <c r="AX344" s="32">
        <f t="shared" si="356"/>
        <v>5.4880884951745597E-3</v>
      </c>
      <c r="AY344" s="32">
        <f t="shared" si="357"/>
        <v>1.5707963267948966</v>
      </c>
      <c r="AZ344" s="32" t="str">
        <f t="shared" si="332"/>
        <v>1+2.23906388257989i</v>
      </c>
      <c r="BA344" s="32">
        <f t="shared" si="358"/>
        <v>2.4522249224477211</v>
      </c>
      <c r="BB344" s="32">
        <f t="shared" si="359"/>
        <v>1.1507607521127245</v>
      </c>
      <c r="BC344" s="32" t="str">
        <f t="shared" si="333"/>
        <v>1+107.475066363835i</v>
      </c>
      <c r="BD344" s="32">
        <f t="shared" si="360"/>
        <v>107.47971850498463</v>
      </c>
      <c r="BE344" s="32">
        <f t="shared" si="361"/>
        <v>1.5614921116171341</v>
      </c>
      <c r="BF344" s="59" t="str">
        <f t="shared" si="362"/>
        <v>-0.106292195634054+0.244068776418318i</v>
      </c>
      <c r="BG344" s="50">
        <f t="shared" si="363"/>
        <v>-11.495522841385625</v>
      </c>
      <c r="BH344" s="61">
        <f t="shared" si="364"/>
        <v>113.53317341327318</v>
      </c>
      <c r="BI344" s="59" t="str">
        <f t="shared" si="365"/>
        <v>0.0756059331911309-0.0535320465640425i</v>
      </c>
      <c r="BJ344" s="64">
        <f t="shared" si="366"/>
        <v>-20.66414670709003</v>
      </c>
      <c r="BK344" s="61">
        <f t="shared" si="367"/>
        <v>-35.300031253162999</v>
      </c>
      <c r="BL344" s="59" t="str">
        <f t="shared" si="318"/>
        <v>0.349642587308689+0.0173610816571076i</v>
      </c>
      <c r="BM344" s="64">
        <f t="shared" si="368"/>
        <v>-9.1168191440614077</v>
      </c>
      <c r="BN344" s="61">
        <f t="shared" si="319"/>
        <v>2.8426183160664364</v>
      </c>
      <c r="BO344" s="50">
        <f t="shared" si="369"/>
        <v>-20.66414670709003</v>
      </c>
      <c r="BP344" s="61">
        <f t="shared" si="370"/>
        <v>-35.300031253162999</v>
      </c>
    </row>
    <row r="345" spans="14:68" x14ac:dyDescent="0.25">
      <c r="N345" s="11">
        <v>27</v>
      </c>
      <c r="O345" s="51">
        <f t="shared" si="320"/>
        <v>18620.871366628675</v>
      </c>
      <c r="P345" s="49" t="str">
        <f t="shared" si="321"/>
        <v>25.6231073841137</v>
      </c>
      <c r="Q345" s="18" t="str">
        <f t="shared" si="322"/>
        <v>1+101.177848990133i</v>
      </c>
      <c r="R345" s="18">
        <f t="shared" si="334"/>
        <v>101.18279066259321</v>
      </c>
      <c r="S345" s="18">
        <f t="shared" si="335"/>
        <v>1.5609130623241663</v>
      </c>
      <c r="T345" s="18" t="str">
        <f t="shared" si="323"/>
        <v>1+0.105298546839914i</v>
      </c>
      <c r="U345" s="18">
        <f t="shared" si="336"/>
        <v>1.0055286092233267</v>
      </c>
      <c r="V345" s="18">
        <f t="shared" si="337"/>
        <v>0.10491193972238487</v>
      </c>
      <c r="W345" s="32" t="str">
        <f t="shared" si="324"/>
        <v>1-2.35946743844992i</v>
      </c>
      <c r="X345" s="18">
        <f t="shared" si="338"/>
        <v>2.5626327464358654</v>
      </c>
      <c r="Y345" s="18">
        <f t="shared" si="339"/>
        <v>-1.1699217981761307</v>
      </c>
      <c r="Z345" s="32" t="str">
        <f t="shared" si="325"/>
        <v>0.991331578738687+0.186807421986366i</v>
      </c>
      <c r="AA345" s="18">
        <f t="shared" si="340"/>
        <v>1.0087791194873781</v>
      </c>
      <c r="AB345" s="18">
        <f t="shared" si="341"/>
        <v>0.18625674667580833</v>
      </c>
      <c r="AC345" s="32" t="str">
        <f>IMDIV(IMSUM(COMPLEX(0,2*PI()*O345*Constants!$B$71*Constants!$B$72),COMPLEX(1,0)),IMSUM(COMPLEX(0,2*PI()*O345*Constants!$B$71*Constants!$B$72),COMPLEX(2,0)))</f>
        <v>0.525956034939553+0.110924757020213i</v>
      </c>
      <c r="AD345" s="18">
        <f t="shared" si="342"/>
        <v>0.53752586208416941</v>
      </c>
      <c r="AE345" s="18">
        <f t="shared" si="343"/>
        <v>0.20785516984727787</v>
      </c>
      <c r="AF345" s="66" t="str">
        <f t="shared" si="344"/>
        <v>-0.298715673270454-0.177951571800245i</v>
      </c>
      <c r="AG345" s="64">
        <f t="shared" si="345"/>
        <v>-9.1758154681587296</v>
      </c>
      <c r="AH345" s="61">
        <f t="shared" si="346"/>
        <v>-149.21680219537768</v>
      </c>
      <c r="AI345" s="50" t="str">
        <f t="shared" si="326"/>
        <v>108.866083054159</v>
      </c>
      <c r="AJ345" s="50" t="str">
        <f t="shared" si="327"/>
        <v>1+95.7259516726491i</v>
      </c>
      <c r="AK345" s="50">
        <f t="shared" si="347"/>
        <v>95.731174774126487</v>
      </c>
      <c r="AL345" s="50">
        <f t="shared" si="348"/>
        <v>1.5603502188321252</v>
      </c>
      <c r="AM345" s="50" t="str">
        <f t="shared" si="328"/>
        <v>1+0.105298546839914i</v>
      </c>
      <c r="AN345" s="50">
        <f t="shared" si="349"/>
        <v>1.0055286092233267</v>
      </c>
      <c r="AO345" s="50">
        <f t="shared" si="350"/>
        <v>0.10491193972238487</v>
      </c>
      <c r="AP345" s="50" t="str">
        <f t="shared" si="329"/>
        <v>1-0.525408298992179i</v>
      </c>
      <c r="AQ345" s="50">
        <f t="shared" si="351"/>
        <v>1.1296255488655764</v>
      </c>
      <c r="AR345" s="50">
        <f t="shared" si="352"/>
        <v>-0.48376702538211697</v>
      </c>
      <c r="AS345" s="59" t="str">
        <f t="shared" si="353"/>
        <v>-0.465188964107975-1.20504687282088i</v>
      </c>
      <c r="AT345" s="50">
        <f t="shared" si="354"/>
        <v>2.2233629400815209</v>
      </c>
      <c r="AU345" s="61">
        <f t="shared" si="355"/>
        <v>-111.10827955676521</v>
      </c>
      <c r="AV345" s="32" t="str">
        <f t="shared" si="330"/>
        <v>-0.0000333333333333333</v>
      </c>
      <c r="AW345" s="32" t="str">
        <f t="shared" si="331"/>
        <v>0.00561592249812875i</v>
      </c>
      <c r="AX345" s="32">
        <f t="shared" si="356"/>
        <v>5.6159224981287498E-3</v>
      </c>
      <c r="AY345" s="32">
        <f t="shared" si="357"/>
        <v>1.5707963267948966</v>
      </c>
      <c r="AZ345" s="32" t="str">
        <f t="shared" si="332"/>
        <v>1+2.29121838031294i</v>
      </c>
      <c r="BA345" s="32">
        <f t="shared" si="358"/>
        <v>2.4999363324460591</v>
      </c>
      <c r="BB345" s="32">
        <f t="shared" si="359"/>
        <v>1.1592683656979448</v>
      </c>
      <c r="BC345" s="32" t="str">
        <f t="shared" si="333"/>
        <v>1+109.978482255021i</v>
      </c>
      <c r="BD345" s="32">
        <f t="shared" si="360"/>
        <v>109.98302850493785</v>
      </c>
      <c r="BE345" s="32">
        <f t="shared" si="361"/>
        <v>1.5617038896028832</v>
      </c>
      <c r="BF345" s="59" t="str">
        <f t="shared" si="362"/>
        <v>-0.102273727666644+0.24026694916612i</v>
      </c>
      <c r="BG345" s="50">
        <f t="shared" si="363"/>
        <v>-11.662912690116563</v>
      </c>
      <c r="BH345" s="61">
        <f t="shared" si="364"/>
        <v>113.05785704588898</v>
      </c>
      <c r="BI345" s="59" t="str">
        <f t="shared" si="365"/>
        <v>0.0733066466735812-0.053571732892646i</v>
      </c>
      <c r="BJ345" s="64">
        <f t="shared" si="366"/>
        <v>-20.838728158275295</v>
      </c>
      <c r="BK345" s="61">
        <f t="shared" si="367"/>
        <v>-36.158945149488744</v>
      </c>
      <c r="BL345" s="59" t="str">
        <f t="shared" si="318"/>
        <v>0.337109545163554+0.0114751025044528i</v>
      </c>
      <c r="BM345" s="64">
        <f t="shared" si="368"/>
        <v>-9.4395497500350292</v>
      </c>
      <c r="BN345" s="61">
        <f t="shared" si="319"/>
        <v>1.9495774891237609</v>
      </c>
      <c r="BO345" s="50">
        <f t="shared" si="369"/>
        <v>-20.838728158275295</v>
      </c>
      <c r="BP345" s="61">
        <f t="shared" si="370"/>
        <v>-36.158945149488744</v>
      </c>
    </row>
    <row r="346" spans="14:68" x14ac:dyDescent="0.25">
      <c r="N346" s="11">
        <v>28</v>
      </c>
      <c r="O346" s="51">
        <f t="shared" si="320"/>
        <v>19054.607179632505</v>
      </c>
      <c r="P346" s="49" t="str">
        <f t="shared" si="321"/>
        <v>25.6231073841137</v>
      </c>
      <c r="Q346" s="18" t="str">
        <f t="shared" si="322"/>
        <v>1+103.534583845645i</v>
      </c>
      <c r="R346" s="18">
        <f t="shared" si="334"/>
        <v>103.53941303721444</v>
      </c>
      <c r="S346" s="18">
        <f t="shared" si="335"/>
        <v>1.5611380187362813</v>
      </c>
      <c r="T346" s="18" t="str">
        <f t="shared" si="323"/>
        <v>1+0.107751265078632i</v>
      </c>
      <c r="U346" s="18">
        <f t="shared" si="336"/>
        <v>1.005788414690707</v>
      </c>
      <c r="V346" s="18">
        <f t="shared" si="337"/>
        <v>0.10733713674187777</v>
      </c>
      <c r="W346" s="32" t="str">
        <f t="shared" si="324"/>
        <v>1-2.41442649528045i</v>
      </c>
      <c r="X346" s="18">
        <f t="shared" si="338"/>
        <v>2.6133226553780604</v>
      </c>
      <c r="Y346" s="18">
        <f t="shared" si="339"/>
        <v>-1.1781284260510752</v>
      </c>
      <c r="Z346" s="32" t="str">
        <f t="shared" si="325"/>
        <v>0.990923048630747+0.191158725824683i</v>
      </c>
      <c r="AA346" s="18">
        <f t="shared" si="340"/>
        <v>1.0091928194188513</v>
      </c>
      <c r="AB346" s="18">
        <f t="shared" si="341"/>
        <v>0.19056881736395836</v>
      </c>
      <c r="AC346" s="32" t="str">
        <f>IMDIV(IMSUM(COMPLEX(0,2*PI()*O346*Constants!$B$71*Constants!$B$72),COMPLEX(1,0)),IMSUM(COMPLEX(0,2*PI()*O346*Constants!$B$71*Constants!$B$72),COMPLEX(2,0)))</f>
        <v>0.527112972195412+0.113231501078263i</v>
      </c>
      <c r="AD346" s="18">
        <f t="shared" si="342"/>
        <v>0.5391376988238884</v>
      </c>
      <c r="AE346" s="18">
        <f t="shared" si="343"/>
        <v>0.21159883375407426</v>
      </c>
      <c r="AF346" s="66" t="str">
        <f t="shared" si="344"/>
        <v>-0.29970116493886-0.175879264057573i</v>
      </c>
      <c r="AG346" s="64">
        <f t="shared" si="345"/>
        <v>-9.1809738165772572</v>
      </c>
      <c r="AH346" s="61">
        <f t="shared" si="346"/>
        <v>-149.59351014554844</v>
      </c>
      <c r="AI346" s="50" t="str">
        <f t="shared" si="326"/>
        <v>108.866083054159</v>
      </c>
      <c r="AJ346" s="50" t="str">
        <f t="shared" si="327"/>
        <v>1+97.9556955260287i</v>
      </c>
      <c r="AK346" s="50">
        <f t="shared" si="347"/>
        <v>97.960799741468222</v>
      </c>
      <c r="AL346" s="50">
        <f t="shared" si="348"/>
        <v>1.5605879845679496</v>
      </c>
      <c r="AM346" s="50" t="str">
        <f t="shared" si="328"/>
        <v>1+0.107751265078632i</v>
      </c>
      <c r="AN346" s="50">
        <f t="shared" si="349"/>
        <v>1.005788414690707</v>
      </c>
      <c r="AO346" s="50">
        <f t="shared" si="350"/>
        <v>0.10733713674187777</v>
      </c>
      <c r="AP346" s="50" t="str">
        <f t="shared" si="329"/>
        <v>1-0.537646630444852i</v>
      </c>
      <c r="AQ346" s="50">
        <f t="shared" si="351"/>
        <v>1.1353694989864327</v>
      </c>
      <c r="AR346" s="50">
        <f t="shared" si="352"/>
        <v>-0.49330941341418333</v>
      </c>
      <c r="AS346" s="59" t="str">
        <f t="shared" si="353"/>
        <v>-0.46572590170771-1.18051992429125i</v>
      </c>
      <c r="AT346" s="50">
        <f t="shared" si="354"/>
        <v>2.0696825466018893</v>
      </c>
      <c r="AU346" s="61">
        <f t="shared" si="355"/>
        <v>-111.52968753694952</v>
      </c>
      <c r="AV346" s="32" t="str">
        <f t="shared" si="330"/>
        <v>-0.0000333333333333333</v>
      </c>
      <c r="AW346" s="32" t="str">
        <f t="shared" si="331"/>
        <v>0.00574673413752699i</v>
      </c>
      <c r="AX346" s="32">
        <f t="shared" si="356"/>
        <v>5.7467341375269897E-3</v>
      </c>
      <c r="AY346" s="32">
        <f t="shared" si="357"/>
        <v>1.5707963267948966</v>
      </c>
      <c r="AZ346" s="32" t="str">
        <f t="shared" si="332"/>
        <v>1+2.34458771235911i</v>
      </c>
      <c r="BA346" s="32">
        <f t="shared" si="358"/>
        <v>2.5489392972264615</v>
      </c>
      <c r="BB346" s="32">
        <f t="shared" si="359"/>
        <v>1.1676438205828239</v>
      </c>
      <c r="BC346" s="32" t="str">
        <f t="shared" si="333"/>
        <v>1+112.540210193238i</v>
      </c>
      <c r="BD346" s="32">
        <f t="shared" si="360"/>
        <v>112.54465296200522</v>
      </c>
      <c r="BE346" s="32">
        <f t="shared" si="361"/>
        <v>1.561910847721254</v>
      </c>
      <c r="BF346" s="59" t="str">
        <f t="shared" si="362"/>
        <v>-0.0983791342191472+0.236458905178175i</v>
      </c>
      <c r="BG346" s="50">
        <f t="shared" si="363"/>
        <v>-11.831539740478011</v>
      </c>
      <c r="BH346" s="61">
        <f t="shared" si="364"/>
        <v>112.58983665620188</v>
      </c>
      <c r="BI346" s="59" t="str">
        <f t="shared" si="365"/>
        <v>0.0710725593537517-0.0535641596169817i</v>
      </c>
      <c r="BJ346" s="64">
        <f t="shared" si="366"/>
        <v>-21.012513557055268</v>
      </c>
      <c r="BK346" s="61">
        <f t="shared" si="367"/>
        <v>-37.003673489346568</v>
      </c>
      <c r="BL346" s="59" t="str">
        <f t="shared" si="318"/>
        <v>0.324962159832367+0.00601349124930292i</v>
      </c>
      <c r="BM346" s="64">
        <f t="shared" si="368"/>
        <v>-9.7618571938761214</v>
      </c>
      <c r="BN346" s="61">
        <f t="shared" si="319"/>
        <v>1.0601491192523598</v>
      </c>
      <c r="BO346" s="50">
        <f t="shared" si="369"/>
        <v>-21.012513557055268</v>
      </c>
      <c r="BP346" s="61">
        <f t="shared" si="370"/>
        <v>-37.003673489346568</v>
      </c>
    </row>
    <row r="347" spans="14:68" x14ac:dyDescent="0.25">
      <c r="N347" s="11">
        <v>29</v>
      </c>
      <c r="O347" s="51">
        <f t="shared" si="320"/>
        <v>19498.445997580486</v>
      </c>
      <c r="P347" s="49" t="str">
        <f t="shared" si="321"/>
        <v>25.6231073841137</v>
      </c>
      <c r="Q347" s="18" t="str">
        <f t="shared" si="322"/>
        <v>1+105.946214107952i</v>
      </c>
      <c r="R347" s="18">
        <f t="shared" si="334"/>
        <v>105.95093337865414</v>
      </c>
      <c r="S347" s="18">
        <f t="shared" si="335"/>
        <v>1.5613578554598944</v>
      </c>
      <c r="T347" s="18" t="str">
        <f t="shared" si="323"/>
        <v>1+0.110261114464349i</v>
      </c>
      <c r="U347" s="18">
        <f t="shared" si="336"/>
        <v>1.006060392502816</v>
      </c>
      <c r="V347" s="18">
        <f t="shared" si="337"/>
        <v>0.10981751219884918</v>
      </c>
      <c r="W347" s="32" t="str">
        <f t="shared" si="324"/>
        <v>1-2.47066571299745i</v>
      </c>
      <c r="X347" s="18">
        <f t="shared" si="338"/>
        <v>2.6653684670944089</v>
      </c>
      <c r="Y347" s="18">
        <f t="shared" si="339"/>
        <v>-1.1862025181845393</v>
      </c>
      <c r="Z347" s="32" t="str">
        <f t="shared" si="325"/>
        <v>0.990495265091986+0.195611384549715i</v>
      </c>
      <c r="AA347" s="18">
        <f t="shared" si="340"/>
        <v>1.0096260119148575</v>
      </c>
      <c r="AB347" s="18">
        <f t="shared" si="341"/>
        <v>0.19497945529983154</v>
      </c>
      <c r="AC347" s="32" t="str">
        <f>IMDIV(IMSUM(COMPLEX(0,2*PI()*O347*Constants!$B$71*Constants!$B$72),COMPLEX(1,0)),IMSUM(COMPLEX(0,2*PI()*O347*Constants!$B$71*Constants!$B$72),COMPLEX(2,0)))</f>
        <v>0.528318396995417+0.115573642710258i</v>
      </c>
      <c r="AD347" s="18">
        <f t="shared" si="342"/>
        <v>0.54081197794901459</v>
      </c>
      <c r="AE347" s="18">
        <f t="shared" si="343"/>
        <v>0.21536491314889961</v>
      </c>
      <c r="AF347" s="66" t="str">
        <f t="shared" si="344"/>
        <v>-0.300721869224604-0.173877148355557i</v>
      </c>
      <c r="AG347" s="64">
        <f t="shared" si="345"/>
        <v>-9.1841182513534463</v>
      </c>
      <c r="AH347" s="61">
        <f t="shared" si="346"/>
        <v>-149.96353270339964</v>
      </c>
      <c r="AI347" s="50" t="str">
        <f t="shared" si="326"/>
        <v>108.866083054159</v>
      </c>
      <c r="AJ347" s="50" t="str">
        <f t="shared" si="327"/>
        <v>1+100.237376785772i</v>
      </c>
      <c r="AK347" s="50">
        <f t="shared" si="347"/>
        <v>100.24236482093198</v>
      </c>
      <c r="AL347" s="50">
        <f t="shared" si="348"/>
        <v>1.5608203392102027</v>
      </c>
      <c r="AM347" s="50" t="str">
        <f t="shared" si="328"/>
        <v>1+0.110261114464349i</v>
      </c>
      <c r="AN347" s="50">
        <f t="shared" si="349"/>
        <v>1.006060392502816</v>
      </c>
      <c r="AO347" s="50">
        <f t="shared" si="350"/>
        <v>0.10981751219884918</v>
      </c>
      <c r="AP347" s="50" t="str">
        <f t="shared" si="329"/>
        <v>1-0.550170029257575i</v>
      </c>
      <c r="AQ347" s="50">
        <f t="shared" si="351"/>
        <v>1.1413531710619991</v>
      </c>
      <c r="AR347" s="50">
        <f t="shared" si="352"/>
        <v>-0.50297374225210656</v>
      </c>
      <c r="AS347" s="59" t="str">
        <f t="shared" si="353"/>
        <v>-0.466238678057848-1.15661840955956i</v>
      </c>
      <c r="AT347" s="50">
        <f t="shared" si="354"/>
        <v>1.9177079071548786</v>
      </c>
      <c r="AU347" s="61">
        <f t="shared" si="355"/>
        <v>-111.95461068624816</v>
      </c>
      <c r="AV347" s="32" t="str">
        <f t="shared" si="330"/>
        <v>-0.0000333333333333333</v>
      </c>
      <c r="AW347" s="32" t="str">
        <f t="shared" si="331"/>
        <v>0.00588059277143195i</v>
      </c>
      <c r="AX347" s="32">
        <f t="shared" si="356"/>
        <v>5.88059277143195E-3</v>
      </c>
      <c r="AY347" s="32">
        <f t="shared" si="357"/>
        <v>1.5707963267948966</v>
      </c>
      <c r="AZ347" s="32" t="str">
        <f t="shared" si="332"/>
        <v>1+2.39920017584463i</v>
      </c>
      <c r="BA347" s="32">
        <f t="shared" si="358"/>
        <v>2.5992617189834699</v>
      </c>
      <c r="BB347" s="32">
        <f t="shared" si="359"/>
        <v>1.1758868563059037</v>
      </c>
      <c r="BC347" s="32" t="str">
        <f t="shared" si="333"/>
        <v>1+115.161608440542i</v>
      </c>
      <c r="BD347" s="32">
        <f t="shared" si="360"/>
        <v>115.16595008340232</v>
      </c>
      <c r="BE347" s="32">
        <f t="shared" si="361"/>
        <v>1.5621130956332245</v>
      </c>
      <c r="BF347" s="59" t="str">
        <f t="shared" si="362"/>
        <v>-0.0946067145191732+0.232648808914871i</v>
      </c>
      <c r="BG347" s="50">
        <f t="shared" si="363"/>
        <v>-12.001365528268774</v>
      </c>
      <c r="BH347" s="61">
        <f t="shared" si="364"/>
        <v>112.12913345066508</v>
      </c>
      <c r="BI347" s="59" t="str">
        <f t="shared" si="365"/>
        <v>0.0689026194938389-0.0535126389538756i</v>
      </c>
      <c r="BJ347" s="64">
        <f t="shared" si="366"/>
        <v>-21.185483779622221</v>
      </c>
      <c r="BK347" s="61">
        <f t="shared" si="367"/>
        <v>-37.834399252734585</v>
      </c>
      <c r="BL347" s="59" t="str">
        <f t="shared" si="318"/>
        <v>0.31319520486586+0.000953994560619092i</v>
      </c>
      <c r="BM347" s="64">
        <f t="shared" si="368"/>
        <v>-10.083657621113884</v>
      </c>
      <c r="BN347" s="61">
        <f t="shared" si="319"/>
        <v>0.17452276441690476</v>
      </c>
      <c r="BO347" s="50">
        <f t="shared" si="369"/>
        <v>-21.185483779622221</v>
      </c>
      <c r="BP347" s="61">
        <f t="shared" si="370"/>
        <v>-37.834399252734585</v>
      </c>
    </row>
    <row r="348" spans="14:68" x14ac:dyDescent="0.25">
      <c r="N348" s="11">
        <v>30</v>
      </c>
      <c r="O348" s="51">
        <f t="shared" si="320"/>
        <v>19952.623149688792</v>
      </c>
      <c r="P348" s="49" t="str">
        <f t="shared" si="321"/>
        <v>25.6231073841137</v>
      </c>
      <c r="Q348" s="18" t="str">
        <f t="shared" si="322"/>
        <v>1+108.414018455344i</v>
      </c>
      <c r="R348" s="18">
        <f t="shared" si="334"/>
        <v>108.41863030695265</v>
      </c>
      <c r="S348" s="18">
        <f t="shared" si="335"/>
        <v>1.5615726889703028</v>
      </c>
      <c r="T348" s="18" t="str">
        <f t="shared" si="323"/>
        <v>1+0.112829425752435i</v>
      </c>
      <c r="U348" s="18">
        <f t="shared" si="336"/>
        <v>1.0063451094508404</v>
      </c>
      <c r="V348" s="18">
        <f t="shared" si="337"/>
        <v>0.11235425907546025</v>
      </c>
      <c r="W348" s="32" t="str">
        <f t="shared" si="324"/>
        <v>1-2.52821491037862i</v>
      </c>
      <c r="X348" s="18">
        <f t="shared" si="338"/>
        <v>2.7187994837907357</v>
      </c>
      <c r="Y348" s="18">
        <f t="shared" si="339"/>
        <v>-1.1941441436584483</v>
      </c>
      <c r="Z348" s="32" t="str">
        <f t="shared" si="325"/>
        <v>0.990047320736163+0.20016775902006i</v>
      </c>
      <c r="AA348" s="18">
        <f t="shared" si="340"/>
        <v>1.010079615202667</v>
      </c>
      <c r="AB348" s="18">
        <f t="shared" si="341"/>
        <v>0.1994908241849071</v>
      </c>
      <c r="AC348" s="32" t="str">
        <f>IMDIV(IMSUM(COMPLEX(0,2*PI()*O348*Constants!$B$71*Constants!$B$72),COMPLEX(1,0)),IMSUM(COMPLEX(0,2*PI()*O348*Constants!$B$71*Constants!$B$72),COMPLEX(2,0)))</f>
        <v>0.529574062549374+0.117950863070233i</v>
      </c>
      <c r="AD348" s="18">
        <f t="shared" si="342"/>
        <v>0.5425505449486353</v>
      </c>
      <c r="AE348" s="18">
        <f t="shared" si="343"/>
        <v>0.21915067507228395</v>
      </c>
      <c r="AF348" s="66" t="str">
        <f t="shared" si="344"/>
        <v>-0.30177916267288-0.171942721837696i</v>
      </c>
      <c r="AG348" s="64">
        <f t="shared" si="345"/>
        <v>-9.1852680603608032</v>
      </c>
      <c r="AH348" s="61">
        <f t="shared" si="346"/>
        <v>-150.32709270574017</v>
      </c>
      <c r="AI348" s="50" t="str">
        <f t="shared" si="326"/>
        <v>108.866083054159</v>
      </c>
      <c r="AJ348" s="50" t="str">
        <f t="shared" si="327"/>
        <v>1+102.572205229486i</v>
      </c>
      <c r="AK348" s="50">
        <f t="shared" si="347"/>
        <v>102.57707972856215</v>
      </c>
      <c r="AL348" s="50">
        <f t="shared" si="348"/>
        <v>1.5610474058559782</v>
      </c>
      <c r="AM348" s="50" t="str">
        <f t="shared" si="328"/>
        <v>1+0.112829425752435i</v>
      </c>
      <c r="AN348" s="50">
        <f t="shared" si="349"/>
        <v>1.0063451094508404</v>
      </c>
      <c r="AO348" s="50">
        <f t="shared" si="350"/>
        <v>0.11235425907546025</v>
      </c>
      <c r="AP348" s="50" t="str">
        <f t="shared" si="329"/>
        <v>1-0.562985135502174i</v>
      </c>
      <c r="AQ348" s="50">
        <f t="shared" si="351"/>
        <v>1.14758540544763</v>
      </c>
      <c r="AR348" s="50">
        <f t="shared" si="352"/>
        <v>-0.51275791414732841</v>
      </c>
      <c r="AS348" s="59" t="str">
        <f t="shared" si="353"/>
        <v>-0.46672838016062-1.13332968865829i</v>
      </c>
      <c r="AT348" s="50">
        <f t="shared" si="354"/>
        <v>1.7674844671894718</v>
      </c>
      <c r="AU348" s="61">
        <f t="shared" si="355"/>
        <v>-112.38286751262321</v>
      </c>
      <c r="AV348" s="32" t="str">
        <f t="shared" si="330"/>
        <v>-0.0000333333333333333</v>
      </c>
      <c r="AW348" s="32" t="str">
        <f t="shared" si="331"/>
        <v>0.00601756937346316i</v>
      </c>
      <c r="AX348" s="32">
        <f t="shared" si="356"/>
        <v>6.0175693734631601E-3</v>
      </c>
      <c r="AY348" s="32">
        <f t="shared" si="357"/>
        <v>1.5707963267948966</v>
      </c>
      <c r="AZ348" s="32" t="str">
        <f t="shared" si="332"/>
        <v>1+2.45508472702057i</v>
      </c>
      <c r="BA348" s="32">
        <f t="shared" si="358"/>
        <v>2.650932103402436</v>
      </c>
      <c r="BB348" s="32">
        <f t="shared" si="359"/>
        <v>1.1839973616243031</v>
      </c>
      <c r="BC348" s="32" t="str">
        <f t="shared" si="333"/>
        <v>1+117.844066896987i</v>
      </c>
      <c r="BD348" s="32">
        <f t="shared" si="360"/>
        <v>117.84830971558966</v>
      </c>
      <c r="BE348" s="32">
        <f t="shared" si="361"/>
        <v>1.5623107405070946</v>
      </c>
      <c r="BF348" s="59" t="str">
        <f t="shared" si="362"/>
        <v>-0.0909546219183043+0.228840638237887i</v>
      </c>
      <c r="BG348" s="50">
        <f t="shared" si="363"/>
        <v>-12.172352143133978</v>
      </c>
      <c r="BH348" s="61">
        <f t="shared" si="364"/>
        <v>111.67575994331767</v>
      </c>
      <c r="BI348" s="59" t="str">
        <f t="shared" si="365"/>
        <v>0.0667956918494321-0.0534203509366052i</v>
      </c>
      <c r="BJ348" s="64">
        <f t="shared" si="366"/>
        <v>-21.357620203494776</v>
      </c>
      <c r="BK348" s="61">
        <f t="shared" si="367"/>
        <v>-38.651332762422477</v>
      </c>
      <c r="BL348" s="59" t="str">
        <f t="shared" si="318"/>
        <v>0.301802992642561-0.00372484705898717i</v>
      </c>
      <c r="BM348" s="64">
        <f t="shared" si="368"/>
        <v>-10.404867675944496</v>
      </c>
      <c r="BN348" s="61">
        <f t="shared" si="319"/>
        <v>-0.70710756930555108</v>
      </c>
      <c r="BO348" s="50">
        <f t="shared" si="369"/>
        <v>-21.357620203494776</v>
      </c>
      <c r="BP348" s="61">
        <f t="shared" si="370"/>
        <v>-38.651332762422477</v>
      </c>
    </row>
    <row r="349" spans="14:68" x14ac:dyDescent="0.25">
      <c r="N349" s="11">
        <v>31</v>
      </c>
      <c r="O349" s="51">
        <f t="shared" si="320"/>
        <v>20417.379446695286</v>
      </c>
      <c r="P349" s="49" t="str">
        <f t="shared" si="321"/>
        <v>25.6231073841137</v>
      </c>
      <c r="Q349" s="18" t="str">
        <f t="shared" si="322"/>
        <v>1+110.939305350349i</v>
      </c>
      <c r="R349" s="18">
        <f t="shared" si="334"/>
        <v>110.9438122277127</v>
      </c>
      <c r="S349" s="18">
        <f t="shared" si="335"/>
        <v>1.5617826330957099</v>
      </c>
      <c r="T349" s="18" t="str">
        <f t="shared" si="323"/>
        <v>1+0.115457560695528i</v>
      </c>
      <c r="U349" s="18">
        <f t="shared" si="336"/>
        <v>1.0066431583842219</v>
      </c>
      <c r="V349" s="18">
        <f t="shared" si="337"/>
        <v>0.11494859172421124</v>
      </c>
      <c r="W349" s="32" t="str">
        <f t="shared" si="324"/>
        <v>1-2.58710460077015i</v>
      </c>
      <c r="X349" s="18">
        <f t="shared" si="338"/>
        <v>2.7736456542475065</v>
      </c>
      <c r="Y349" s="18">
        <f t="shared" si="339"/>
        <v>-1.2019535052006523</v>
      </c>
      <c r="Z349" s="32" t="str">
        <f t="shared" si="325"/>
        <v>0.989578265413242+0.204830265085769i</v>
      </c>
      <c r="AA349" s="18">
        <f t="shared" si="340"/>
        <v>1.0105545907438092</v>
      </c>
      <c r="AB349" s="18">
        <f t="shared" si="341"/>
        <v>0.20410512887835613</v>
      </c>
      <c r="AC349" s="32" t="str">
        <f>IMDIV(IMSUM(COMPLEX(0,2*PI()*O349*Constants!$B$71*Constants!$B$72),COMPLEX(1,0)),IMSUM(COMPLEX(0,2*PI()*O349*Constants!$B$71*Constants!$B$72),COMPLEX(2,0)))</f>
        <v>0.530881760255366+0.120362772530434i</v>
      </c>
      <c r="AD349" s="18">
        <f t="shared" si="342"/>
        <v>0.54435525200281565</v>
      </c>
      <c r="AE349" s="18">
        <f t="shared" si="343"/>
        <v>0.22295321593138306</v>
      </c>
      <c r="AF349" s="66" t="str">
        <f t="shared" si="344"/>
        <v>-0.302874432565163-0.170073436172425i</v>
      </c>
      <c r="AG349" s="64">
        <f t="shared" si="345"/>
        <v>-9.1844425352853118</v>
      </c>
      <c r="AH349" s="61">
        <f t="shared" si="346"/>
        <v>-150.6844314053626</v>
      </c>
      <c r="AI349" s="50" t="str">
        <f t="shared" si="326"/>
        <v>108.866083054159</v>
      </c>
      <c r="AJ349" s="50" t="str">
        <f t="shared" si="327"/>
        <v>1+104.961418814116i</v>
      </c>
      <c r="AK349" s="50">
        <f t="shared" si="347"/>
        <v>104.96618236114078</v>
      </c>
      <c r="AL349" s="50">
        <f t="shared" si="348"/>
        <v>1.5612693048053039</v>
      </c>
      <c r="AM349" s="50" t="str">
        <f t="shared" si="328"/>
        <v>1+0.115457560695528i</v>
      </c>
      <c r="AN349" s="50">
        <f t="shared" si="349"/>
        <v>1.0066431583842219</v>
      </c>
      <c r="AO349" s="50">
        <f t="shared" si="350"/>
        <v>0.11494859172421124</v>
      </c>
      <c r="AP349" s="50" t="str">
        <f t="shared" si="329"/>
        <v>1-0.576098743917604i</v>
      </c>
      <c r="AQ349" s="50">
        <f t="shared" si="351"/>
        <v>1.1540752846948248</v>
      </c>
      <c r="AR349" s="50">
        <f t="shared" si="352"/>
        <v>-0.52265962296869939</v>
      </c>
      <c r="AS349" s="59" t="str">
        <f t="shared" si="353"/>
        <v>-0.467196046133207-1.11064144433399i</v>
      </c>
      <c r="AT349" s="50">
        <f t="shared" si="354"/>
        <v>1.619057640328085</v>
      </c>
      <c r="AU349" s="61">
        <f t="shared" si="355"/>
        <v>-112.81426319990349</v>
      </c>
      <c r="AV349" s="32" t="str">
        <f t="shared" si="330"/>
        <v>-0.0000333333333333333</v>
      </c>
      <c r="AW349" s="32" t="str">
        <f t="shared" si="331"/>
        <v>0.00615773657042814i</v>
      </c>
      <c r="AX349" s="32">
        <f t="shared" si="356"/>
        <v>6.1577365704281401E-3</v>
      </c>
      <c r="AY349" s="32">
        <f t="shared" si="357"/>
        <v>1.5707963267948966</v>
      </c>
      <c r="AZ349" s="32" t="str">
        <f t="shared" si="332"/>
        <v>1+2.51227099661564i</v>
      </c>
      <c r="BA349" s="32">
        <f t="shared" si="358"/>
        <v>2.7039795784058982</v>
      </c>
      <c r="BB349" s="32">
        <f t="shared" si="359"/>
        <v>1.1919753676962759</v>
      </c>
      <c r="BC349" s="32" t="str">
        <f t="shared" si="333"/>
        <v>1+120.589007837551i</v>
      </c>
      <c r="BD349" s="32">
        <f t="shared" si="360"/>
        <v>120.59315408117051</v>
      </c>
      <c r="BE349" s="32">
        <f t="shared" si="361"/>
        <v>1.5625038870749912</v>
      </c>
      <c r="BF349" s="59" t="str">
        <f t="shared" si="362"/>
        <v>-0.0874208787037576+0.225038182519174i</v>
      </c>
      <c r="BG349" s="50">
        <f t="shared" si="363"/>
        <v>-12.344462271952034</v>
      </c>
      <c r="BH349" s="61">
        <f t="shared" si="364"/>
        <v>111.22972034963169</v>
      </c>
      <c r="BI349" s="59" t="str">
        <f t="shared" si="365"/>
        <v>0.0647505660027818-0.0532903426016296i</v>
      </c>
      <c r="BJ349" s="64">
        <f t="shared" si="366"/>
        <v>-21.528904807237346</v>
      </c>
      <c r="BK349" s="61">
        <f t="shared" si="367"/>
        <v>-39.454711055730911</v>
      </c>
      <c r="BL349" s="59" t="str">
        <f t="shared" si="318"/>
        <v>0.290779420943278-0.00804369811347318i</v>
      </c>
      <c r="BM349" s="64">
        <f t="shared" si="368"/>
        <v>-10.725404631623942</v>
      </c>
      <c r="BN349" s="61">
        <f t="shared" si="319"/>
        <v>-1.5845428502717982</v>
      </c>
      <c r="BO349" s="50">
        <f t="shared" si="369"/>
        <v>-21.528904807237346</v>
      </c>
      <c r="BP349" s="61">
        <f t="shared" si="370"/>
        <v>-39.454711055730911</v>
      </c>
    </row>
    <row r="350" spans="14:68" x14ac:dyDescent="0.25">
      <c r="N350" s="11">
        <v>32</v>
      </c>
      <c r="O350" s="51">
        <f t="shared" si="320"/>
        <v>20892.961308540423</v>
      </c>
      <c r="P350" s="49" t="str">
        <f t="shared" si="321"/>
        <v>25.6231073841137</v>
      </c>
      <c r="Q350" s="18" t="str">
        <f t="shared" si="322"/>
        <v>1+113.523413733508i</v>
      </c>
      <c r="R350" s="18">
        <f t="shared" si="334"/>
        <v>113.52781802584434</v>
      </c>
      <c r="S350" s="18">
        <f t="shared" si="335"/>
        <v>1.561987799077198</v>
      </c>
      <c r="T350" s="18" t="str">
        <f t="shared" si="323"/>
        <v>1+0.118146912765564i</v>
      </c>
      <c r="U350" s="18">
        <f t="shared" si="336"/>
        <v>1.0069551593770369</v>
      </c>
      <c r="V350" s="18">
        <f t="shared" si="337"/>
        <v>0.11760174592853517</v>
      </c>
      <c r="W350" s="32" t="str">
        <f t="shared" si="324"/>
        <v>1-2.64736600826541i</v>
      </c>
      <c r="X350" s="18">
        <f t="shared" si="338"/>
        <v>2.8299375932552175</v>
      </c>
      <c r="Y350" s="18">
        <f t="shared" si="339"/>
        <v>-1.2096309323098424</v>
      </c>
      <c r="Z350" s="32" t="str">
        <f t="shared" si="325"/>
        <v>0.989087104193996+0.209601374869278i</v>
      </c>
      <c r="AA350" s="18">
        <f t="shared" si="340"/>
        <v>1.0110519452678763</v>
      </c>
      <c r="AB350" s="18">
        <f t="shared" si="341"/>
        <v>0.208824615720586</v>
      </c>
      <c r="AC350" s="32" t="str">
        <f>IMDIV(IMSUM(COMPLEX(0,2*PI()*O350*Constants!$B$71*Constants!$B$72),COMPLEX(1,0)),IMSUM(COMPLEX(0,2*PI()*O350*Constants!$B$71*Constants!$B$72),COMPLEX(2,0)))</f>
        <v>0.532243318119567+0.122808906421415i</v>
      </c>
      <c r="AD350" s="18">
        <f t="shared" si="342"/>
        <v>0.54622795349501341</v>
      </c>
      <c r="AE350" s="18">
        <f t="shared" si="343"/>
        <v>0.22676945961621153</v>
      </c>
      <c r="AF350" s="66" t="str">
        <f t="shared" si="344"/>
        <v>-0.304009074629814-0.168266692743544i</v>
      </c>
      <c r="AG350" s="64">
        <f t="shared" si="345"/>
        <v>-9.1816610368900804</v>
      </c>
      <c r="AH350" s="61">
        <f t="shared" si="346"/>
        <v>-151.03580820356558</v>
      </c>
      <c r="AI350" s="50" t="str">
        <f t="shared" si="326"/>
        <v>108.866083054159</v>
      </c>
      <c r="AJ350" s="50" t="str">
        <f t="shared" si="327"/>
        <v>1+107.406284332331i</v>
      </c>
      <c r="AK350" s="50">
        <f t="shared" si="347"/>
        <v>107.41093945254147</v>
      </c>
      <c r="AL350" s="50">
        <f t="shared" si="348"/>
        <v>1.5614861536244811</v>
      </c>
      <c r="AM350" s="50" t="str">
        <f t="shared" si="328"/>
        <v>1+0.118146912765564i</v>
      </c>
      <c r="AN350" s="50">
        <f t="shared" si="349"/>
        <v>1.0069551593770369</v>
      </c>
      <c r="AO350" s="50">
        <f t="shared" si="350"/>
        <v>0.11760174592853517</v>
      </c>
      <c r="AP350" s="50" t="str">
        <f t="shared" si="329"/>
        <v>1-0.589517807512632i</v>
      </c>
      <c r="AQ350" s="50">
        <f t="shared" si="351"/>
        <v>1.1608321348819133</v>
      </c>
      <c r="AR350" s="50">
        <f t="shared" si="352"/>
        <v>-0.53267635166789096</v>
      </c>
      <c r="AS350" s="59" t="str">
        <f t="shared" si="353"/>
        <v>-0.467642667404567-1.08854167566302i</v>
      </c>
      <c r="AT350" s="50">
        <f t="shared" si="354"/>
        <v>1.4724727177535526</v>
      </c>
      <c r="AU350" s="61">
        <f t="shared" si="355"/>
        <v>-113.24858946272096</v>
      </c>
      <c r="AV350" s="32" t="str">
        <f t="shared" si="330"/>
        <v>-0.0000333333333333333</v>
      </c>
      <c r="AW350" s="32" t="str">
        <f t="shared" si="331"/>
        <v>0.00630116868083005i</v>
      </c>
      <c r="AX350" s="32">
        <f t="shared" si="356"/>
        <v>6.3011686808300497E-3</v>
      </c>
      <c r="AY350" s="32">
        <f t="shared" si="357"/>
        <v>1.5707963267948966</v>
      </c>
      <c r="AZ350" s="32" t="str">
        <f t="shared" si="332"/>
        <v>1+2.57078930554699i</v>
      </c>
      <c r="BA350" s="32">
        <f t="shared" si="358"/>
        <v>2.7584339132041529</v>
      </c>
      <c r="BB350" s="32">
        <f t="shared" si="359"/>
        <v>1.1998210412158712</v>
      </c>
      <c r="BC350" s="32" t="str">
        <f t="shared" si="333"/>
        <v>1+123.397886666256i</v>
      </c>
      <c r="BD350" s="32">
        <f t="shared" si="360"/>
        <v>123.40193853298319</v>
      </c>
      <c r="BE350" s="32">
        <f t="shared" si="361"/>
        <v>1.562692637688105</v>
      </c>
      <c r="BF350" s="59" t="str">
        <f t="shared" si="362"/>
        <v>-0.0840033904572323+0.221245041782812i</v>
      </c>
      <c r="BG350" s="50">
        <f t="shared" si="363"/>
        <v>-12.51765923765138</v>
      </c>
      <c r="BH350" s="61">
        <f t="shared" si="364"/>
        <v>110.79101098303337</v>
      </c>
      <c r="BI350" s="59" t="str">
        <f t="shared" si="365"/>
        <v>0.0627659644653711-0.0531255277273442i</v>
      </c>
      <c r="BJ350" s="64">
        <f t="shared" si="366"/>
        <v>-21.699320274541456</v>
      </c>
      <c r="BK350" s="61">
        <f t="shared" si="367"/>
        <v>-40.244797220532249</v>
      </c>
      <c r="BL350" s="59" t="str">
        <f t="shared" si="318"/>
        <v>0.280118018098845-0.0120224300796585i</v>
      </c>
      <c r="BM350" s="64">
        <f t="shared" si="368"/>
        <v>-11.045186519897809</v>
      </c>
      <c r="BN350" s="61">
        <f t="shared" si="319"/>
        <v>-2.457578479687585</v>
      </c>
      <c r="BO350" s="50">
        <f t="shared" si="369"/>
        <v>-21.699320274541456</v>
      </c>
      <c r="BP350" s="61">
        <f t="shared" si="370"/>
        <v>-40.244797220532249</v>
      </c>
    </row>
    <row r="351" spans="14:68" x14ac:dyDescent="0.25">
      <c r="N351" s="11">
        <v>33</v>
      </c>
      <c r="O351" s="51">
        <f t="shared" si="320"/>
        <v>21379.620895022348</v>
      </c>
      <c r="P351" s="49" t="str">
        <f t="shared" si="321"/>
        <v>25.6231073841137</v>
      </c>
      <c r="Q351" s="18" t="str">
        <f t="shared" si="322"/>
        <v>1+116.167713733287i</v>
      </c>
      <c r="R351" s="18">
        <f t="shared" si="334"/>
        <v>116.17201777544763</v>
      </c>
      <c r="S351" s="18">
        <f t="shared" si="335"/>
        <v>1.5621882956273583</v>
      </c>
      <c r="T351" s="18" t="str">
        <f t="shared" si="323"/>
        <v>1+0.120898907892607i</v>
      </c>
      <c r="U351" s="18">
        <f t="shared" si="336"/>
        <v>1.0072817609435927</v>
      </c>
      <c r="V351" s="18">
        <f t="shared" si="337"/>
        <v>0.12031497893609332</v>
      </c>
      <c r="W351" s="32" t="str">
        <f t="shared" si="324"/>
        <v>1-2.70903108426026i</v>
      </c>
      <c r="X351" s="18">
        <f t="shared" si="338"/>
        <v>2.8877066013513768</v>
      </c>
      <c r="Y351" s="18">
        <f t="shared" si="339"/>
        <v>-1.217176874409484</v>
      </c>
      <c r="Z351" s="32" t="str">
        <f t="shared" si="325"/>
        <v>0.988572795259628+0.214483618076143i</v>
      </c>
      <c r="AA351" s="18">
        <f t="shared" si="340"/>
        <v>1.0115727329018251</v>
      </c>
      <c r="AB351" s="18">
        <f t="shared" si="341"/>
        <v>0.21365157282192412</v>
      </c>
      <c r="AC351" s="32" t="str">
        <f>IMDIV(IMSUM(COMPLEX(0,2*PI()*O351*Constants!$B$71*Constants!$B$72),COMPLEX(1,0)),IMSUM(COMPLEX(0,2*PI()*O351*Constants!$B$71*Constants!$B$72),COMPLEX(2,0)))</f>
        <v>0.533660598889508+0.125288720670113i</v>
      </c>
      <c r="AD351" s="18">
        <f t="shared" si="342"/>
        <v>0.54817050115293686</v>
      </c>
      <c r="AE351" s="18">
        <f t="shared" si="343"/>
        <v>0.23059615624196986</v>
      </c>
      <c r="AF351" s="66" t="str">
        <f t="shared" si="344"/>
        <v>-0.305184490421208-0.166519837790885i</v>
      </c>
      <c r="AG351" s="64">
        <f t="shared" si="345"/>
        <v>-9.1769430688405293</v>
      </c>
      <c r="AH351" s="61">
        <f t="shared" si="346"/>
        <v>-151.38150034795183</v>
      </c>
      <c r="AI351" s="50" t="str">
        <f t="shared" si="326"/>
        <v>108.866083054159</v>
      </c>
      <c r="AJ351" s="50" t="str">
        <f t="shared" si="327"/>
        <v>1+109.908098084188i</v>
      </c>
      <c r="AK351" s="50">
        <f t="shared" si="347"/>
        <v>109.91264724536248</v>
      </c>
      <c r="AL351" s="50">
        <f t="shared" si="348"/>
        <v>1.5616980672080014</v>
      </c>
      <c r="AM351" s="50" t="str">
        <f t="shared" si="328"/>
        <v>1+0.120898907892607i</v>
      </c>
      <c r="AN351" s="50">
        <f t="shared" si="349"/>
        <v>1.0072817609435927</v>
      </c>
      <c r="AO351" s="50">
        <f t="shared" si="350"/>
        <v>0.12031497893609332</v>
      </c>
      <c r="AP351" s="50" t="str">
        <f t="shared" si="329"/>
        <v>1-0.60324944125239i</v>
      </c>
      <c r="AQ351" s="50">
        <f t="shared" si="351"/>
        <v>1.1678655266644875</v>
      </c>
      <c r="AR351" s="50">
        <f t="shared" si="352"/>
        <v>-0.54280537044685073</v>
      </c>
      <c r="AS351" s="59" t="str">
        <f t="shared" si="353"/>
        <v>-0.468069190813699-1.06701869182542i</v>
      </c>
      <c r="AT351" s="50">
        <f t="shared" si="354"/>
        <v>1.3277747743444035</v>
      </c>
      <c r="AU351" s="61">
        <f t="shared" si="355"/>
        <v>-113.68562444315262</v>
      </c>
      <c r="AV351" s="32" t="str">
        <f t="shared" si="330"/>
        <v>-0.0000333333333333333</v>
      </c>
      <c r="AW351" s="32" t="str">
        <f t="shared" si="331"/>
        <v>0.00644794175427236i</v>
      </c>
      <c r="AX351" s="32">
        <f t="shared" si="356"/>
        <v>6.4479417542723603E-3</v>
      </c>
      <c r="AY351" s="32">
        <f t="shared" si="357"/>
        <v>1.5707963267948966</v>
      </c>
      <c r="AZ351" s="32" t="str">
        <f t="shared" si="332"/>
        <v>1+2.63067068099654i</v>
      </c>
      <c r="BA351" s="32">
        <f t="shared" si="358"/>
        <v>2.8143255376474841</v>
      </c>
      <c r="BB351" s="32">
        <f t="shared" si="359"/>
        <v>1.2075346775353004</v>
      </c>
      <c r="BC351" s="32" t="str">
        <f t="shared" si="333"/>
        <v>1+126.272192687834i</v>
      </c>
      <c r="BD351" s="32">
        <f t="shared" si="360"/>
        <v>126.27615232573994</v>
      </c>
      <c r="BE351" s="32">
        <f t="shared" si="361"/>
        <v>1.5628770923706814</v>
      </c>
      <c r="BF351" s="59" t="str">
        <f t="shared" si="362"/>
        <v>-0.0806999599049533+0.217464626798559i</v>
      </c>
      <c r="BG351" s="50">
        <f t="shared" si="363"/>
        <v>-12.69190703361086</v>
      </c>
      <c r="BH351" s="61">
        <f t="shared" si="364"/>
        <v>110.3596206520543</v>
      </c>
      <c r="BI351" s="59" t="str">
        <f t="shared" si="365"/>
        <v>0.0608405505203565-0.0529286870810527i</v>
      </c>
      <c r="BJ351" s="64">
        <f t="shared" si="366"/>
        <v>-21.868850102451383</v>
      </c>
      <c r="BK351" s="61">
        <f t="shared" si="367"/>
        <v>-41.021879695897539</v>
      </c>
      <c r="BL351" s="59" t="str">
        <f t="shared" si="318"/>
        <v>0.269811986536311-0.0156801262480574i</v>
      </c>
      <c r="BM351" s="64">
        <f t="shared" si="368"/>
        <v>-11.364132259266459</v>
      </c>
      <c r="BN351" s="61">
        <f t="shared" si="319"/>
        <v>-3.3260037910983042</v>
      </c>
      <c r="BO351" s="50">
        <f t="shared" si="369"/>
        <v>-21.868850102451383</v>
      </c>
      <c r="BP351" s="61">
        <f t="shared" si="370"/>
        <v>-41.021879695897539</v>
      </c>
    </row>
    <row r="352" spans="14:68" x14ac:dyDescent="0.25">
      <c r="N352" s="11">
        <v>34</v>
      </c>
      <c r="O352" s="51">
        <f t="shared" si="320"/>
        <v>21877.61623949555</v>
      </c>
      <c r="P352" s="49" t="str">
        <f t="shared" si="321"/>
        <v>25.6231073841137</v>
      </c>
      <c r="Q352" s="18" t="str">
        <f t="shared" si="322"/>
        <v>1+118.873607392549i</v>
      </c>
      <c r="R352" s="18">
        <f t="shared" si="334"/>
        <v>118.87781346625567</v>
      </c>
      <c r="S352" s="18">
        <f t="shared" si="335"/>
        <v>1.5623842289876007</v>
      </c>
      <c r="T352" s="18" t="str">
        <f t="shared" si="323"/>
        <v>1+0.123715005220901i</v>
      </c>
      <c r="U352" s="18">
        <f t="shared" si="336"/>
        <v>1.0076236413050299</v>
      </c>
      <c r="V352" s="18">
        <f t="shared" si="337"/>
        <v>0.12308956946241474</v>
      </c>
      <c r="W352" s="32" t="str">
        <f t="shared" si="324"/>
        <v>1-2.77213252439426i</v>
      </c>
      <c r="X352" s="18">
        <f t="shared" si="338"/>
        <v>2.9469846848608654</v>
      </c>
      <c r="Y352" s="18">
        <f t="shared" si="339"/>
        <v>-1.2245918940598883</v>
      </c>
      <c r="Z352" s="32" t="str">
        <f t="shared" si="325"/>
        <v>0.988034247691934+0.219479583336339i</v>
      </c>
      <c r="AA352" s="18">
        <f t="shared" si="340"/>
        <v>1.0121180573992636</v>
      </c>
      <c r="AB352" s="18">
        <f t="shared" si="341"/>
        <v>0.21858833031302491</v>
      </c>
      <c r="AC352" s="32" t="str">
        <f>IMDIV(IMSUM(COMPLEX(0,2*PI()*O352*Constants!$B$71*Constants!$B$72),COMPLEX(1,0)),IMSUM(COMPLEX(0,2*PI()*O352*Constants!$B$71*Constants!$B$72),COMPLEX(2,0)))</f>
        <v>0.535135497880101+0.127801587348388i</v>
      </c>
      <c r="AD352" s="18">
        <f t="shared" si="342"/>
        <v>0.55018473881065721</v>
      </c>
      <c r="AE352" s="18">
        <f t="shared" si="343"/>
        <v>0.23442988157693564</v>
      </c>
      <c r="AF352" s="66" t="str">
        <f t="shared" si="344"/>
        <v>-0.306402084346513-0.164830157516037i</v>
      </c>
      <c r="AG352" s="64">
        <f t="shared" si="345"/>
        <v>-9.1703083596577653</v>
      </c>
      <c r="AH352" s="61">
        <f t="shared" si="346"/>
        <v>-151.72180259371294</v>
      </c>
      <c r="AI352" s="50" t="str">
        <f t="shared" si="326"/>
        <v>108.866083054159</v>
      </c>
      <c r="AJ352" s="50" t="str">
        <f t="shared" si="327"/>
        <v>1+112.468186564455i</v>
      </c>
      <c r="AK352" s="50">
        <f t="shared" si="347"/>
        <v>112.4726321782195</v>
      </c>
      <c r="AL352" s="50">
        <f t="shared" si="348"/>
        <v>1.5619051578390759</v>
      </c>
      <c r="AM352" s="50" t="str">
        <f t="shared" si="328"/>
        <v>1+0.123715005220901i</v>
      </c>
      <c r="AN352" s="50">
        <f t="shared" si="349"/>
        <v>1.0076236413050299</v>
      </c>
      <c r="AO352" s="50">
        <f t="shared" si="350"/>
        <v>0.12308956946241474</v>
      </c>
      <c r="AP352" s="50" t="str">
        <f t="shared" si="329"/>
        <v>1-0.617300925830851i</v>
      </c>
      <c r="AQ352" s="50">
        <f t="shared" si="351"/>
        <v>1.1751852760444312</v>
      </c>
      <c r="AR352" s="50">
        <f t="shared" si="352"/>
        <v>-0.55304373567819498</v>
      </c>
      <c r="AS352" s="59" t="str">
        <f t="shared" si="353"/>
        <v>-0.468476520613737-1.04606110603385i</v>
      </c>
      <c r="AT352" s="50">
        <f t="shared" si="354"/>
        <v>1.1850085719614865</v>
      </c>
      <c r="AU352" s="61">
        <f t="shared" si="355"/>
        <v>-114.12513265212442</v>
      </c>
      <c r="AV352" s="32" t="str">
        <f t="shared" si="330"/>
        <v>-0.0000333333333333333</v>
      </c>
      <c r="AW352" s="32" t="str">
        <f t="shared" si="331"/>
        <v>0.00659813361178137i</v>
      </c>
      <c r="AX352" s="32">
        <f t="shared" si="356"/>
        <v>6.5981336117813703E-3</v>
      </c>
      <c r="AY352" s="32">
        <f t="shared" si="357"/>
        <v>1.5707963267948966</v>
      </c>
      <c r="AZ352" s="32" t="str">
        <f t="shared" si="332"/>
        <v>1+2.6919468728622i</v>
      </c>
      <c r="BA352" s="32">
        <f t="shared" si="358"/>
        <v>2.8716855618804402</v>
      </c>
      <c r="BB352" s="32">
        <f t="shared" si="359"/>
        <v>1.2151166938079132</v>
      </c>
      <c r="BC352" s="32" t="str">
        <f t="shared" si="333"/>
        <v>1+129.213449897386i</v>
      </c>
      <c r="BD352" s="32">
        <f t="shared" si="360"/>
        <v>129.21731940565971</v>
      </c>
      <c r="BE352" s="32">
        <f t="shared" si="361"/>
        <v>1.5630573488727997</v>
      </c>
      <c r="BF352" s="59" t="str">
        <f t="shared" si="362"/>
        <v>-0.0775083002127429+0.21370016004565i</v>
      </c>
      <c r="BG352" s="50">
        <f t="shared" si="363"/>
        <v>-12.867170353808124</v>
      </c>
      <c r="BH352" s="61">
        <f t="shared" si="364"/>
        <v>109.93553105623519</v>
      </c>
      <c r="BI352" s="59" t="str">
        <f t="shared" si="365"/>
        <v>0.0589729357808665-0.0527024691303039i</v>
      </c>
      <c r="BJ352" s="64">
        <f t="shared" si="366"/>
        <v>-22.037478713465887</v>
      </c>
      <c r="BK352" s="61">
        <f t="shared" si="367"/>
        <v>-41.786271537477745</v>
      </c>
      <c r="BL352" s="59" t="str">
        <f t="shared" si="318"/>
        <v>0.259854244579314-0.0190350891854393i</v>
      </c>
      <c r="BM352" s="64">
        <f t="shared" si="368"/>
        <v>-11.682161781846643</v>
      </c>
      <c r="BN352" s="61">
        <f t="shared" si="319"/>
        <v>-4.1896015958892328</v>
      </c>
      <c r="BO352" s="50">
        <f t="shared" si="369"/>
        <v>-22.037478713465887</v>
      </c>
      <c r="BP352" s="61">
        <f t="shared" si="370"/>
        <v>-41.786271537477745</v>
      </c>
    </row>
    <row r="353" spans="14:68" x14ac:dyDescent="0.25">
      <c r="N353" s="11">
        <v>35</v>
      </c>
      <c r="O353" s="51">
        <f t="shared" si="320"/>
        <v>22387.211385683382</v>
      </c>
      <c r="P353" s="49" t="str">
        <f t="shared" si="321"/>
        <v>25.6231073841137</v>
      </c>
      <c r="Q353" s="18" t="str">
        <f t="shared" si="322"/>
        <v>1+121.642529411929i</v>
      </c>
      <c r="R353" s="18">
        <f t="shared" si="334"/>
        <v>121.64663974698196</v>
      </c>
      <c r="S353" s="18">
        <f t="shared" si="335"/>
        <v>1.5625757029841767</v>
      </c>
      <c r="T353" s="18" t="str">
        <f t="shared" si="323"/>
        <v>1+0.126596697882524i</v>
      </c>
      <c r="U353" s="18">
        <f t="shared" si="336"/>
        <v>1.0079815097087641</v>
      </c>
      <c r="V353" s="18">
        <f t="shared" si="337"/>
        <v>0.12592681766232572</v>
      </c>
      <c r="W353" s="32" t="str">
        <f t="shared" si="324"/>
        <v>1-2.83670378588619i</v>
      </c>
      <c r="X353" s="18">
        <f t="shared" si="338"/>
        <v>3.0078045762417882</v>
      </c>
      <c r="Y353" s="18">
        <f t="shared" si="339"/>
        <v>-1.2318766602545319</v>
      </c>
      <c r="Z353" s="32" t="str">
        <f t="shared" si="325"/>
        <v>0.987470319159318+0.224591919576774i</v>
      </c>
      <c r="AA353" s="18">
        <f t="shared" si="340"/>
        <v>1.0126890744743846</v>
      </c>
      <c r="AB353" s="18">
        <f t="shared" si="341"/>
        <v>0.22363726055322833</v>
      </c>
      <c r="AC353" s="32" t="str">
        <f>IMDIV(IMSUM(COMPLEX(0,2*PI()*O353*Constants!$B$71*Constants!$B$72),COMPLEX(1,0)),IMSUM(COMPLEX(0,2*PI()*O353*Constants!$B$71*Constants!$B$72),COMPLEX(2,0)))</f>
        <v>0.53666994047147+0.130346790146723i</v>
      </c>
      <c r="AD353" s="18">
        <f t="shared" si="342"/>
        <v>0.55227249678687151</v>
      </c>
      <c r="AE353" s="18">
        <f t="shared" si="343"/>
        <v>0.23826703721516457</v>
      </c>
      <c r="AF353" s="66" t="str">
        <f t="shared" si="344"/>
        <v>-0.307663260319115-0.163194873170599i</v>
      </c>
      <c r="AG353" s="64">
        <f t="shared" si="345"/>
        <v>-9.1617769522962025</v>
      </c>
      <c r="AH353" s="61">
        <f t="shared" si="346"/>
        <v>-152.05702682642428</v>
      </c>
      <c r="AI353" s="50" t="str">
        <f t="shared" si="326"/>
        <v>108.866083054159</v>
      </c>
      <c r="AJ353" s="50" t="str">
        <f t="shared" si="327"/>
        <v>1+115.087907165931i</v>
      </c>
      <c r="AK353" s="50">
        <f t="shared" si="347"/>
        <v>115.09225158903597</v>
      </c>
      <c r="AL353" s="50">
        <f t="shared" si="348"/>
        <v>1.562107535248807</v>
      </c>
      <c r="AM353" s="50" t="str">
        <f t="shared" si="328"/>
        <v>1+0.126596697882524i</v>
      </c>
      <c r="AN353" s="50">
        <f t="shared" si="349"/>
        <v>1.0079815097087641</v>
      </c>
      <c r="AO353" s="50">
        <f t="shared" si="350"/>
        <v>0.12592681766232572</v>
      </c>
      <c r="AP353" s="50" t="str">
        <f t="shared" si="329"/>
        <v>1-0.631679711531129i</v>
      </c>
      <c r="AQ353" s="50">
        <f t="shared" si="351"/>
        <v>1.1828014448587938</v>
      </c>
      <c r="AR353" s="50">
        <f t="shared" si="352"/>
        <v>-0.56338828962639154</v>
      </c>
      <c r="AS353" s="59" t="str">
        <f t="shared" si="353"/>
        <v>-0.468865520386075-1.02565782961544i</v>
      </c>
      <c r="AT353" s="50">
        <f t="shared" si="354"/>
        <v>1.0442184603471147</v>
      </c>
      <c r="AU353" s="61">
        <f t="shared" si="355"/>
        <v>-114.56686495846174</v>
      </c>
      <c r="AV353" s="32" t="str">
        <f t="shared" si="330"/>
        <v>-0.0000333333333333333</v>
      </c>
      <c r="AW353" s="32" t="str">
        <f t="shared" si="331"/>
        <v>0.00675182388706797i</v>
      </c>
      <c r="AX353" s="32">
        <f t="shared" si="356"/>
        <v>6.75182388706797E-3</v>
      </c>
      <c r="AY353" s="32">
        <f t="shared" si="357"/>
        <v>1.5707963267948966</v>
      </c>
      <c r="AZ353" s="32" t="str">
        <f t="shared" si="332"/>
        <v>1+2.75465037059196i</v>
      </c>
      <c r="BA353" s="32">
        <f t="shared" si="358"/>
        <v>2.9305457962984338</v>
      </c>
      <c r="BB353" s="32">
        <f t="shared" si="359"/>
        <v>1.2225676221815389</v>
      </c>
      <c r="BC353" s="32" t="str">
        <f t="shared" si="333"/>
        <v>1+132.223217788414i</v>
      </c>
      <c r="BD353" s="32">
        <f t="shared" si="360"/>
        <v>132.22699921847411</v>
      </c>
      <c r="BE353" s="32">
        <f t="shared" si="361"/>
        <v>1.5632335027219604</v>
      </c>
      <c r="BF353" s="59" t="str">
        <f t="shared" si="362"/>
        <v>-0.0744260476891133+0.209954677465793i</v>
      </c>
      <c r="BG353" s="50">
        <f t="shared" si="363"/>
        <v>-13.043414618898536</v>
      </c>
      <c r="BH353" s="61">
        <f t="shared" si="364"/>
        <v>109.51871717907406</v>
      </c>
      <c r="BI353" s="59" t="str">
        <f t="shared" si="365"/>
        <v>0.0571616874453026-0.0524493911751603i</v>
      </c>
      <c r="BJ353" s="64">
        <f t="shared" si="366"/>
        <v>-22.205191571194739</v>
      </c>
      <c r="BK353" s="61">
        <f t="shared" si="367"/>
        <v>-42.538309647350246</v>
      </c>
      <c r="BL353" s="59" t="str">
        <f t="shared" si="318"/>
        <v>0.25023746638721-0.0221048505678184i</v>
      </c>
      <c r="BM353" s="64">
        <f t="shared" si="368"/>
        <v>-11.999196158551415</v>
      </c>
      <c r="BN353" s="61">
        <f t="shared" si="319"/>
        <v>-5.0481477793876808</v>
      </c>
      <c r="BO353" s="50">
        <f t="shared" si="369"/>
        <v>-22.205191571194739</v>
      </c>
      <c r="BP353" s="61">
        <f t="shared" si="370"/>
        <v>-42.538309647350246</v>
      </c>
    </row>
    <row r="354" spans="14:68" x14ac:dyDescent="0.25">
      <c r="N354" s="11">
        <v>36</v>
      </c>
      <c r="O354" s="51">
        <f t="shared" si="320"/>
        <v>22908.676527677751</v>
      </c>
      <c r="P354" s="49" t="str">
        <f t="shared" si="321"/>
        <v>25.6231073841137</v>
      </c>
      <c r="Q354" s="18" t="str">
        <f t="shared" si="322"/>
        <v>1+124.475947910533i</v>
      </c>
      <c r="R354" s="18">
        <f t="shared" si="334"/>
        <v>124.47996468599165</v>
      </c>
      <c r="S354" s="18">
        <f t="shared" si="335"/>
        <v>1.5627628190829426</v>
      </c>
      <c r="T354" s="18" t="str">
        <f t="shared" si="323"/>
        <v>1+0.129545513789072i</v>
      </c>
      <c r="U354" s="18">
        <f t="shared" si="336"/>
        <v>1.0083561078026326</v>
      </c>
      <c r="V354" s="18">
        <f t="shared" si="337"/>
        <v>0.1288280450664992</v>
      </c>
      <c r="W354" s="32" t="str">
        <f t="shared" si="324"/>
        <v>1-2.90277910527364i</v>
      </c>
      <c r="X354" s="18">
        <f t="shared" si="338"/>
        <v>3.0701997547412501</v>
      </c>
      <c r="Y354" s="18">
        <f t="shared" si="339"/>
        <v>-1.2390319418240552</v>
      </c>
      <c r="Z354" s="32" t="str">
        <f t="shared" si="325"/>
        <v>0.986879813493756+0.229823337425797i</v>
      </c>
      <c r="AA354" s="18">
        <f t="shared" si="340"/>
        <v>1.0132869942454616</v>
      </c>
      <c r="AB354" s="18">
        <f t="shared" si="341"/>
        <v>0.22880077829296575</v>
      </c>
      <c r="AC354" s="32" t="str">
        <f>IMDIV(IMSUM(COMPLEX(0,2*PI()*O354*Constants!$B$71*Constants!$B$72),COMPLEX(1,0)),IMSUM(COMPLEX(0,2*PI()*O354*Constants!$B$71*Constants!$B$72),COMPLEX(2,0)))</f>
        <v>0.538265879257462+0.132923519790082i</v>
      </c>
      <c r="AD354" s="18">
        <f t="shared" si="342"/>
        <v>0.55443558587647768</v>
      </c>
      <c r="AE354" s="18">
        <f t="shared" si="343"/>
        <v>0.24210385155227135</v>
      </c>
      <c r="AF354" s="66" t="str">
        <f t="shared" si="344"/>
        <v>-0.308969418017496-0.161611136146675i</v>
      </c>
      <c r="AG354" s="64">
        <f t="shared" si="345"/>
        <v>-9.1513693007821963</v>
      </c>
      <c r="AH354" s="61">
        <f t="shared" si="346"/>
        <v>-152.38750164429342</v>
      </c>
      <c r="AI354" s="50" t="str">
        <f t="shared" si="326"/>
        <v>108.866083054159</v>
      </c>
      <c r="AJ354" s="50" t="str">
        <f t="shared" si="327"/>
        <v>1+117.768648899156i</v>
      </c>
      <c r="AK354" s="50">
        <f t="shared" si="347"/>
        <v>117.77289443472414</v>
      </c>
      <c r="AL354" s="50">
        <f t="shared" si="348"/>
        <v>1.562305306674028</v>
      </c>
      <c r="AM354" s="50" t="str">
        <f t="shared" si="328"/>
        <v>1+0.129545513789072i</v>
      </c>
      <c r="AN354" s="50">
        <f t="shared" si="349"/>
        <v>1.0083561078026326</v>
      </c>
      <c r="AO354" s="50">
        <f t="shared" si="350"/>
        <v>0.1288280450664992</v>
      </c>
      <c r="AP354" s="50" t="str">
        <f t="shared" si="329"/>
        <v>1-0.646393422175736i</v>
      </c>
      <c r="AQ354" s="50">
        <f t="shared" si="351"/>
        <v>1.190724340992515</v>
      </c>
      <c r="AR354" s="50">
        <f t="shared" si="352"/>
        <v>-0.57383566101410144</v>
      </c>
      <c r="AS354" s="59" t="str">
        <f t="shared" si="353"/>
        <v>-0.469237014868593-1.00579806624357i</v>
      </c>
      <c r="AT354" s="50">
        <f t="shared" si="354"/>
        <v>0.90544827614341294</v>
      </c>
      <c r="AU354" s="61">
        <f t="shared" si="355"/>
        <v>-115.01055862828962</v>
      </c>
      <c r="AV354" s="32" t="str">
        <f t="shared" si="330"/>
        <v>-0.0000333333333333333</v>
      </c>
      <c r="AW354" s="32" t="str">
        <f t="shared" si="331"/>
        <v>0.00690909406875047i</v>
      </c>
      <c r="AX354" s="32">
        <f t="shared" si="356"/>
        <v>6.9090940687504699E-3</v>
      </c>
      <c r="AY354" s="32">
        <f t="shared" si="357"/>
        <v>1.5707963267948966</v>
      </c>
      <c r="AZ354" s="32" t="str">
        <f t="shared" si="332"/>
        <v>1+2.81881442041035i</v>
      </c>
      <c r="BA354" s="32">
        <f t="shared" si="358"/>
        <v>2.9909387718095024</v>
      </c>
      <c r="BB354" s="32">
        <f t="shared" si="359"/>
        <v>1.2298881030692361</v>
      </c>
      <c r="BC354" s="32" t="str">
        <f t="shared" si="333"/>
        <v>1+135.303092179697i</v>
      </c>
      <c r="BD354" s="32">
        <f t="shared" si="360"/>
        <v>135.30678753627839</v>
      </c>
      <c r="BE354" s="32">
        <f t="shared" si="361"/>
        <v>1.5634056472735125</v>
      </c>
      <c r="BF354" s="59" t="str">
        <f t="shared" si="362"/>
        <v>-0.0714507738680229+0.206231030925807i</v>
      </c>
      <c r="BG354" s="50">
        <f t="shared" si="363"/>
        <v>-13.220605998411372</v>
      </c>
      <c r="BH354" s="61">
        <f t="shared" si="364"/>
        <v>109.10914767647294</v>
      </c>
      <c r="BI354" s="59" t="str">
        <f t="shared" si="365"/>
        <v>0.0554053352355225-0.0521718408589245i</v>
      </c>
      <c r="BJ354" s="64">
        <f t="shared" si="366"/>
        <v>-22.371975299193565</v>
      </c>
      <c r="BK354" s="61">
        <f t="shared" si="367"/>
        <v>-43.278353967820472</v>
      </c>
      <c r="BL354" s="59" t="str">
        <f t="shared" si="318"/>
        <v>0.240954119944476-0.0249061831368341i</v>
      </c>
      <c r="BM354" s="64">
        <f t="shared" si="368"/>
        <v>-12.315157722267978</v>
      </c>
      <c r="BN354" s="61">
        <f t="shared" si="319"/>
        <v>-5.9014109518166826</v>
      </c>
      <c r="BO354" s="50">
        <f t="shared" si="369"/>
        <v>-22.371975299193565</v>
      </c>
      <c r="BP354" s="61">
        <f t="shared" si="370"/>
        <v>-43.278353967820472</v>
      </c>
    </row>
    <row r="355" spans="14:68" x14ac:dyDescent="0.25">
      <c r="N355" s="11">
        <v>37</v>
      </c>
      <c r="O355" s="51">
        <f t="shared" si="320"/>
        <v>23442.288153199243</v>
      </c>
      <c r="P355" s="49" t="str">
        <f t="shared" si="321"/>
        <v>25.6231073841137</v>
      </c>
      <c r="Q355" s="18" t="str">
        <f t="shared" si="322"/>
        <v>1+127.375365204353i</v>
      </c>
      <c r="R355" s="18">
        <f t="shared" si="334"/>
        <v>127.37929054968983</v>
      </c>
      <c r="S355" s="18">
        <f t="shared" si="335"/>
        <v>1.5629456764428893</v>
      </c>
      <c r="T355" s="18" t="str">
        <f t="shared" si="323"/>
        <v>1+0.132563016441767i</v>
      </c>
      <c r="U355" s="18">
        <f t="shared" si="336"/>
        <v>1.0087482110656456</v>
      </c>
      <c r="V355" s="18">
        <f t="shared" si="337"/>
        <v>0.13179459448025374</v>
      </c>
      <c r="W355" s="32" t="str">
        <f t="shared" si="324"/>
        <v>1-2.97039351656552i</v>
      </c>
      <c r="X355" s="18">
        <f t="shared" si="338"/>
        <v>3.1342044673655991</v>
      </c>
      <c r="Y355" s="18">
        <f t="shared" si="339"/>
        <v>-1.2460586009685222</v>
      </c>
      <c r="Z355" s="32" t="str">
        <f t="shared" si="325"/>
        <v>0.986261478153559+0.235176610650394i</v>
      </c>
      <c r="AA355" s="18">
        <f t="shared" si="340"/>
        <v>1.0139130837930095</v>
      </c>
      <c r="AB355" s="18">
        <f t="shared" si="341"/>
        <v>0.23408134078595716</v>
      </c>
      <c r="AC355" s="32" t="str">
        <f>IMDIV(IMSUM(COMPLEX(0,2*PI()*O355*Constants!$B$71*Constants!$B$72),COMPLEX(1,0)),IMSUM(COMPLEX(0,2*PI()*O355*Constants!$B$71*Constants!$B$72),COMPLEX(2,0)))</f>
        <v>0.539925290823761+0.13553086941549i</v>
      </c>
      <c r="AD355" s="18">
        <f t="shared" si="342"/>
        <v>0.55667579095523945</v>
      </c>
      <c r="AE355" s="18">
        <f t="shared" si="343"/>
        <v>0.24593638162102699</v>
      </c>
      <c r="AF355" s="66" t="str">
        <f t="shared" si="344"/>
        <v>-0.310321948728528-0.160076023092262i</v>
      </c>
      <c r="AG355" s="64">
        <f t="shared" si="345"/>
        <v>-9.1391063732823437</v>
      </c>
      <c r="AH355" s="61">
        <f t="shared" si="346"/>
        <v>-152.71357189770785</v>
      </c>
      <c r="AI355" s="50" t="str">
        <f t="shared" si="326"/>
        <v>108.866083054159</v>
      </c>
      <c r="AJ355" s="50" t="str">
        <f t="shared" si="327"/>
        <v>1+120.511833128879i</v>
      </c>
      <c r="AK355" s="50">
        <f t="shared" si="347"/>
        <v>120.51598202762479</v>
      </c>
      <c r="AL355" s="50">
        <f t="shared" si="348"/>
        <v>1.5624985769138464</v>
      </c>
      <c r="AM355" s="50" t="str">
        <f t="shared" si="328"/>
        <v>1+0.132563016441767i</v>
      </c>
      <c r="AN355" s="50">
        <f t="shared" si="349"/>
        <v>1.0087482110656456</v>
      </c>
      <c r="AO355" s="50">
        <f t="shared" si="350"/>
        <v>0.13179459448025374</v>
      </c>
      <c r="AP355" s="50" t="str">
        <f t="shared" si="329"/>
        <v>1-0.661449859168807i</v>
      </c>
      <c r="AQ355" s="50">
        <f t="shared" si="351"/>
        <v>1.1989645183217204</v>
      </c>
      <c r="AR355" s="50">
        <f t="shared" si="352"/>
        <v>-0.58438226647352742</v>
      </c>
      <c r="AS355" s="59" t="str">
        <f t="shared" si="353"/>
        <v>-0.469591791701783-0.986471306317358i</v>
      </c>
      <c r="AT355" s="50">
        <f t="shared" si="354"/>
        <v>0.76874124059029658</v>
      </c>
      <c r="AU355" s="61">
        <f t="shared" si="355"/>
        <v>-115.45593741722656</v>
      </c>
      <c r="AV355" s="32" t="str">
        <f t="shared" si="330"/>
        <v>-0.0000333333333333333</v>
      </c>
      <c r="AW355" s="32" t="str">
        <f t="shared" si="331"/>
        <v>0.00707002754356087i</v>
      </c>
      <c r="AX355" s="32">
        <f t="shared" si="356"/>
        <v>7.0700275435608704E-3</v>
      </c>
      <c r="AY355" s="32">
        <f t="shared" si="357"/>
        <v>1.5707963267948966</v>
      </c>
      <c r="AZ355" s="32" t="str">
        <f t="shared" si="332"/>
        <v>1+2.88447304294585i</v>
      </c>
      <c r="BA355" s="32">
        <f t="shared" si="358"/>
        <v>3.0528977604042504</v>
      </c>
      <c r="BB355" s="32">
        <f t="shared" si="359"/>
        <v>1.2370788785215081</v>
      </c>
      <c r="BC355" s="32" t="str">
        <f t="shared" si="333"/>
        <v>1+138.454706061401i</v>
      </c>
      <c r="BD355" s="32">
        <f t="shared" si="360"/>
        <v>138.4583173036165</v>
      </c>
      <c r="BE355" s="32">
        <f t="shared" si="361"/>
        <v>1.5635738737599421</v>
      </c>
      <c r="BF355" s="59" t="str">
        <f t="shared" si="362"/>
        <v>-0.0685799969508583+0.202531891312214i</v>
      </c>
      <c r="BG355" s="50">
        <f t="shared" si="363"/>
        <v>-13.398711429264171</v>
      </c>
      <c r="BH355" s="61">
        <f t="shared" si="364"/>
        <v>108.70678525930622</v>
      </c>
      <c r="BI355" s="59" t="str">
        <f t="shared" si="365"/>
        <v>0.0537023780082003-0.0518720780161078i</v>
      </c>
      <c r="BJ355" s="64">
        <f t="shared" si="366"/>
        <v>-22.53781780254652</v>
      </c>
      <c r="BK355" s="61">
        <f t="shared" si="367"/>
        <v>-44.006786638401628</v>
      </c>
      <c r="BL355" s="59" t="str">
        <f t="shared" si="318"/>
        <v>0.231996503036741-0.0274551145386997i</v>
      </c>
      <c r="BM355" s="64">
        <f t="shared" si="368"/>
        <v>-12.629970188673884</v>
      </c>
      <c r="BN355" s="61">
        <f t="shared" si="319"/>
        <v>-6.7491521579203422</v>
      </c>
      <c r="BO355" s="50">
        <f t="shared" si="369"/>
        <v>-22.53781780254652</v>
      </c>
      <c r="BP355" s="61">
        <f t="shared" si="370"/>
        <v>-44.006786638401628</v>
      </c>
    </row>
    <row r="356" spans="14:68" x14ac:dyDescent="0.25">
      <c r="N356" s="11">
        <v>38</v>
      </c>
      <c r="O356" s="51">
        <f t="shared" si="320"/>
        <v>23988.329190194923</v>
      </c>
      <c r="P356" s="49" t="str">
        <f t="shared" si="321"/>
        <v>25.6231073841137</v>
      </c>
      <c r="Q356" s="18" t="str">
        <f t="shared" si="322"/>
        <v>1+130.342318602816i</v>
      </c>
      <c r="R356" s="18">
        <f t="shared" si="334"/>
        <v>130.34615459904444</v>
      </c>
      <c r="S356" s="18">
        <f t="shared" si="335"/>
        <v>1.5631243719684684</v>
      </c>
      <c r="T356" s="18" t="str">
        <f t="shared" si="323"/>
        <v>1+0.135650805760458i</v>
      </c>
      <c r="U356" s="18">
        <f t="shared" si="336"/>
        <v>1.0091586302972697</v>
      </c>
      <c r="V356" s="18">
        <f t="shared" si="337"/>
        <v>0.13482782984162942</v>
      </c>
      <c r="W356" s="32" t="str">
        <f t="shared" si="324"/>
        <v>1-3.03958286981767i</v>
      </c>
      <c r="X356" s="18">
        <f t="shared" si="338"/>
        <v>3.1998537501718771</v>
      </c>
      <c r="Y356" s="18">
        <f t="shared" si="339"/>
        <v>-1.2529575869360319</v>
      </c>
      <c r="Z356" s="32" t="str">
        <f t="shared" si="325"/>
        <v>0.985614001566571+0.240654577626887i</v>
      </c>
      <c r="AA356" s="18">
        <f t="shared" si="340"/>
        <v>1.0145686698379976</v>
      </c>
      <c r="AB356" s="18">
        <f t="shared" si="341"/>
        <v>0.23948144784677519</v>
      </c>
      <c r="AC356" s="32" t="str">
        <f>IMDIV(IMSUM(COMPLEX(0,2*PI()*O356*Constants!$B$71*Constants!$B$72),COMPLEX(1,0)),IMSUM(COMPLEX(0,2*PI()*O356*Constants!$B$71*Constants!$B$72),COMPLEX(2,0)))</f>
        <v>0.54165017213479+0.138167829933518i</v>
      </c>
      <c r="AD356" s="18">
        <f t="shared" si="342"/>
        <v>0.55899486420018685</v>
      </c>
      <c r="AE356" s="18">
        <f t="shared" si="343"/>
        <v>0.24976051584101286</v>
      </c>
      <c r="AF356" s="66" t="str">
        <f t="shared" si="344"/>
        <v>-0.311722230754505-0.158586531076934i</v>
      </c>
      <c r="AG356" s="64">
        <f t="shared" si="345"/>
        <v>-9.1250097609077265</v>
      </c>
      <c r="AH356" s="61">
        <f t="shared" si="346"/>
        <v>-153.03559818393003</v>
      </c>
      <c r="AI356" s="50" t="str">
        <f t="shared" si="326"/>
        <v>108.866083054159</v>
      </c>
      <c r="AJ356" s="50" t="str">
        <f t="shared" si="327"/>
        <v>1+123.318914327689i</v>
      </c>
      <c r="AK356" s="50">
        <f t="shared" si="347"/>
        <v>123.3229687891104</v>
      </c>
      <c r="AL356" s="50">
        <f t="shared" si="348"/>
        <v>1.5626874483849145</v>
      </c>
      <c r="AM356" s="50" t="str">
        <f t="shared" si="328"/>
        <v>1+0.135650805760458i</v>
      </c>
      <c r="AN356" s="50">
        <f t="shared" si="349"/>
        <v>1.0091586302972697</v>
      </c>
      <c r="AO356" s="50">
        <f t="shared" si="350"/>
        <v>0.13482782984162942</v>
      </c>
      <c r="AP356" s="50" t="str">
        <f t="shared" si="329"/>
        <v>1-0.67685700563253i</v>
      </c>
      <c r="AQ356" s="50">
        <f t="shared" si="351"/>
        <v>1.207532776397326</v>
      </c>
      <c r="AR356" s="50">
        <f t="shared" si="352"/>
        <v>-0.59502431291760538</v>
      </c>
      <c r="AS356" s="59" t="str">
        <f t="shared" si="353"/>
        <v>-0.469930603096468-0.967667321486261i</v>
      </c>
      <c r="AT356" s="50">
        <f t="shared" si="354"/>
        <v>0.6341398565072196</v>
      </c>
      <c r="AU356" s="61">
        <f t="shared" si="355"/>
        <v>-115.90271171754029</v>
      </c>
      <c r="AV356" s="32" t="str">
        <f t="shared" si="330"/>
        <v>-0.0000333333333333333</v>
      </c>
      <c r="AW356" s="32" t="str">
        <f t="shared" si="331"/>
        <v>0.00723470964055776i</v>
      </c>
      <c r="AX356" s="32">
        <f t="shared" si="356"/>
        <v>7.2347096405577602E-3</v>
      </c>
      <c r="AY356" s="32">
        <f t="shared" si="357"/>
        <v>1.5707963267948966</v>
      </c>
      <c r="AZ356" s="32" t="str">
        <f t="shared" si="332"/>
        <v>1+2.95166105126923i</v>
      </c>
      <c r="BA356" s="32">
        <f t="shared" si="358"/>
        <v>3.1164567960393379</v>
      </c>
      <c r="BB356" s="32">
        <f t="shared" si="359"/>
        <v>1.2441407857214462</v>
      </c>
      <c r="BC356" s="32" t="str">
        <f t="shared" si="333"/>
        <v>1+141.679730460923i</v>
      </c>
      <c r="BD356" s="32">
        <f t="shared" si="360"/>
        <v>141.68325950330123</v>
      </c>
      <c r="BE356" s="32">
        <f t="shared" si="361"/>
        <v>1.5637382713390502</v>
      </c>
      <c r="BF356" s="59" t="str">
        <f t="shared" si="362"/>
        <v>-0.0658111925945083+0.198859752182883i</v>
      </c>
      <c r="BG356" s="50">
        <f t="shared" si="363"/>
        <v>-13.577698630795403</v>
      </c>
      <c r="BH356" s="61">
        <f t="shared" si="364"/>
        <v>108.31158706888178</v>
      </c>
      <c r="BI356" s="59" t="str">
        <f t="shared" si="365"/>
        <v>0.0520512900336766-0.0515522368181373i</v>
      </c>
      <c r="BJ356" s="64">
        <f t="shared" si="366"/>
        <v>-22.702708391703133</v>
      </c>
      <c r="BK356" s="61">
        <f t="shared" si="367"/>
        <v>-44.724011115048313</v>
      </c>
      <c r="BL356" s="59" t="str">
        <f t="shared" si="318"/>
        <v>0.223356777172667-0.0297669428131721i</v>
      </c>
      <c r="BM356" s="64">
        <f t="shared" si="368"/>
        <v>-12.943558774288189</v>
      </c>
      <c r="BN356" s="61">
        <f t="shared" si="319"/>
        <v>-7.5911246486585213</v>
      </c>
      <c r="BO356" s="50">
        <f t="shared" si="369"/>
        <v>-22.702708391703133</v>
      </c>
      <c r="BP356" s="61">
        <f t="shared" si="370"/>
        <v>-44.724011115048313</v>
      </c>
    </row>
    <row r="357" spans="14:68" x14ac:dyDescent="0.25">
      <c r="N357" s="11">
        <v>39</v>
      </c>
      <c r="O357" s="51">
        <f t="shared" si="320"/>
        <v>24547.089156850321</v>
      </c>
      <c r="P357" s="49" t="str">
        <f t="shared" si="321"/>
        <v>25.6231073841137</v>
      </c>
      <c r="Q357" s="18" t="str">
        <f t="shared" si="322"/>
        <v>1+133.378381223886i</v>
      </c>
      <c r="R357" s="18">
        <f t="shared" si="334"/>
        <v>133.38212990466252</v>
      </c>
      <c r="S357" s="18">
        <f t="shared" si="335"/>
        <v>1.5632990003607372</v>
      </c>
      <c r="T357" s="18" t="str">
        <f t="shared" si="323"/>
        <v>1+0.138810518931914i</v>
      </c>
      <c r="U357" s="18">
        <f t="shared" si="336"/>
        <v>1.0095882131672038</v>
      </c>
      <c r="V357" s="18">
        <f t="shared" si="337"/>
        <v>0.13792913603551973</v>
      </c>
      <c r="W357" s="32" t="str">
        <f t="shared" si="324"/>
        <v>1-3.11038385014104i</v>
      </c>
      <c r="X357" s="18">
        <f t="shared" si="338"/>
        <v>3.2671834498874102</v>
      </c>
      <c r="Y357" s="18">
        <f t="shared" si="339"/>
        <v>-1.2597299298631732</v>
      </c>
      <c r="Z357" s="32" t="str">
        <f t="shared" si="325"/>
        <v>0.984936010348141+0.246260142845877i</v>
      </c>
      <c r="AA357" s="18">
        <f t="shared" si="340"/>
        <v>1.0152551415457027</v>
      </c>
      <c r="AB357" s="18">
        <f t="shared" si="341"/>
        <v>0.24500364184899223</v>
      </c>
      <c r="AC357" s="32" t="str">
        <f>IMDIV(IMSUM(COMPLEX(0,2*PI()*O357*Constants!$B$71*Constants!$B$72),COMPLEX(1,0)),IMSUM(COMPLEX(0,2*PI()*O357*Constants!$B$71*Constants!$B$72),COMPLEX(2,0)))</f>
        <v>0.543442536509067+0.1408332853987i</v>
      </c>
      <c r="AD357" s="18">
        <f t="shared" si="342"/>
        <v>0.56139451793155271</v>
      </c>
      <c r="AE357" s="18">
        <f t="shared" si="343"/>
        <v>0.25357197773340839</v>
      </c>
      <c r="AF357" s="66" t="str">
        <f t="shared" si="344"/>
        <v>-0.313171624363806-0.157139572836303i</v>
      </c>
      <c r="AG357" s="64">
        <f t="shared" si="345"/>
        <v>-9.109101791498647</v>
      </c>
      <c r="AH357" s="61">
        <f t="shared" si="346"/>
        <v>-153.35395629481309</v>
      </c>
      <c r="AI357" s="50" t="str">
        <f t="shared" si="326"/>
        <v>108.866083054159</v>
      </c>
      <c r="AJ357" s="50" t="str">
        <f t="shared" si="327"/>
        <v>1+126.191380847195i</v>
      </c>
      <c r="AK357" s="50">
        <f t="shared" si="347"/>
        <v>126.19534302073835</v>
      </c>
      <c r="AL357" s="50">
        <f t="shared" si="348"/>
        <v>1.562872021175455</v>
      </c>
      <c r="AM357" s="50" t="str">
        <f t="shared" si="328"/>
        <v>1+0.138810518931914i</v>
      </c>
      <c r="AN357" s="50">
        <f t="shared" si="349"/>
        <v>1.0095882131672038</v>
      </c>
      <c r="AO357" s="50">
        <f t="shared" si="350"/>
        <v>0.13792913603551973</v>
      </c>
      <c r="AP357" s="50" t="str">
        <f t="shared" si="329"/>
        <v>1-0.692623030639901i</v>
      </c>
      <c r="AQ357" s="50">
        <f t="shared" si="351"/>
        <v>1.2164401598816119</v>
      </c>
      <c r="AR357" s="50">
        <f t="shared" si="352"/>
        <v>-0.60575780085987307</v>
      </c>
      <c r="AS357" s="59" t="str">
        <f t="shared" si="353"/>
        <v>-0.470254167426649-0.949376159317173i</v>
      </c>
      <c r="AT357" s="50">
        <f t="shared" si="354"/>
        <v>0.50168580520470551</v>
      </c>
      <c r="AU357" s="61">
        <f t="shared" si="355"/>
        <v>-116.35057876210995</v>
      </c>
      <c r="AV357" s="32" t="str">
        <f t="shared" si="330"/>
        <v>-0.0000333333333333333</v>
      </c>
      <c r="AW357" s="32" t="str">
        <f t="shared" si="331"/>
        <v>0.00740322767636877i</v>
      </c>
      <c r="AX357" s="32">
        <f t="shared" si="356"/>
        <v>7.4032276763687701E-3</v>
      </c>
      <c r="AY357" s="32">
        <f t="shared" si="357"/>
        <v>1.5707963267948966</v>
      </c>
      <c r="AZ357" s="32" t="str">
        <f t="shared" si="332"/>
        <v>1+3.02041406935184i</v>
      </c>
      <c r="BA357" s="32">
        <f t="shared" si="358"/>
        <v>3.1816506958399033</v>
      </c>
      <c r="BB357" s="32">
        <f t="shared" si="359"/>
        <v>1.2510747506214666</v>
      </c>
      <c r="BC357" s="32" t="str">
        <f t="shared" si="333"/>
        <v>1+144.979875328888i</v>
      </c>
      <c r="BD357" s="32">
        <f t="shared" si="360"/>
        <v>144.98332404238738</v>
      </c>
      <c r="BE357" s="32">
        <f t="shared" si="361"/>
        <v>1.5638989271410442</v>
      </c>
      <c r="BF357" s="59" t="str">
        <f t="shared" si="362"/>
        <v>-0.0631418040389893+0.195216933903806i</v>
      </c>
      <c r="BG357" s="50">
        <f t="shared" si="363"/>
        <v>-13.757536116523202</v>
      </c>
      <c r="BH357" s="61">
        <f t="shared" si="364"/>
        <v>107.92350504422724</v>
      </c>
      <c r="BI357" s="59" t="str">
        <f t="shared" si="365"/>
        <v>0.0504505269402083-0.0512143281791764i</v>
      </c>
      <c r="BJ357" s="64">
        <f t="shared" si="366"/>
        <v>-22.866637908021843</v>
      </c>
      <c r="BK357" s="61">
        <f t="shared" si="367"/>
        <v>-45.430451250585882</v>
      </c>
      <c r="BL357" s="59" t="str">
        <f t="shared" si="318"/>
        <v>0.215026999431441-0.0318562533096242i</v>
      </c>
      <c r="BM357" s="64">
        <f t="shared" si="368"/>
        <v>-13.255850311318509</v>
      </c>
      <c r="BN357" s="61">
        <f t="shared" si="319"/>
        <v>-8.4270737178827169</v>
      </c>
      <c r="BO357" s="50">
        <f t="shared" si="369"/>
        <v>-22.866637908021843</v>
      </c>
      <c r="BP357" s="61">
        <f t="shared" si="370"/>
        <v>-45.430451250585882</v>
      </c>
    </row>
    <row r="358" spans="14:68" x14ac:dyDescent="0.25">
      <c r="N358" s="11">
        <v>40</v>
      </c>
      <c r="O358" s="51">
        <f t="shared" si="320"/>
        <v>25118.86431509586</v>
      </c>
      <c r="P358" s="49" t="str">
        <f t="shared" si="321"/>
        <v>25.6231073841137</v>
      </c>
      <c r="Q358" s="18" t="str">
        <f t="shared" si="322"/>
        <v>1+136.485162828154i</v>
      </c>
      <c r="R358" s="18">
        <f t="shared" si="334"/>
        <v>136.4888261808552</v>
      </c>
      <c r="S358" s="18">
        <f t="shared" si="335"/>
        <v>1.5634696541673543</v>
      </c>
      <c r="T358" s="18" t="str">
        <f t="shared" si="323"/>
        <v>1+0.142043831277883i</v>
      </c>
      <c r="U358" s="18">
        <f t="shared" si="336"/>
        <v>1.0100378458276202</v>
      </c>
      <c r="V358" s="18">
        <f t="shared" si="337"/>
        <v>0.14109991866052526</v>
      </c>
      <c r="W358" s="32" t="str">
        <f t="shared" si="324"/>
        <v>1-3.18283399715257i</v>
      </c>
      <c r="X358" s="18">
        <f t="shared" si="338"/>
        <v>3.3362302458658641</v>
      </c>
      <c r="Y358" s="18">
        <f t="shared" si="339"/>
        <v>-1.2663767347905144</v>
      </c>
      <c r="Z358" s="32" t="str">
        <f t="shared" si="325"/>
        <v>0.984226066387995+0.251996278452245i</v>
      </c>
      <c r="AA358" s="18">
        <f t="shared" si="340"/>
        <v>1.015973953461095</v>
      </c>
      <c r="AB358" s="18">
        <f t="shared" si="341"/>
        <v>0.25065050765888169</v>
      </c>
      <c r="AC358" s="32" t="str">
        <f>IMDIV(IMSUM(COMPLEX(0,2*PI()*O358*Constants!$B$71*Constants!$B$72),COMPLEX(1,0)),IMSUM(COMPLEX(0,2*PI()*O358*Constants!$B$71*Constants!$B$72),COMPLEX(2,0)))</f>
        <v>0.545304409163448+0.143526008416855i</v>
      </c>
      <c r="AD358" s="18">
        <f t="shared" si="342"/>
        <v>0.56387641708549252</v>
      </c>
      <c r="AE358" s="18">
        <f t="shared" si="343"/>
        <v>0.25736633064789516</v>
      </c>
      <c r="AF358" s="66" t="str">
        <f t="shared" si="344"/>
        <v>-0.314671466265979-0.155731972126892i</v>
      </c>
      <c r="AG358" s="64">
        <f t="shared" si="345"/>
        <v>-9.0914056475748257</v>
      </c>
      <c r="AH358" s="61">
        <f t="shared" si="346"/>
        <v>-153.66903661550757</v>
      </c>
      <c r="AI358" s="50" t="str">
        <f t="shared" si="326"/>
        <v>108.866083054159</v>
      </c>
      <c r="AJ358" s="50" t="str">
        <f t="shared" si="327"/>
        <v>1+129.130755707167i</v>
      </c>
      <c r="AK358" s="50">
        <f t="shared" si="347"/>
        <v>129.13462769336522</v>
      </c>
      <c r="AL358" s="50">
        <f t="shared" si="348"/>
        <v>1.5630523930980729</v>
      </c>
      <c r="AM358" s="50" t="str">
        <f t="shared" si="328"/>
        <v>1+0.142043831277883i</v>
      </c>
      <c r="AN358" s="50">
        <f t="shared" si="349"/>
        <v>1.0100378458276202</v>
      </c>
      <c r="AO358" s="50">
        <f t="shared" si="350"/>
        <v>0.14109991866052526</v>
      </c>
      <c r="AP358" s="50" t="str">
        <f t="shared" si="329"/>
        <v>1-0.708756293546072i</v>
      </c>
      <c r="AQ358" s="50">
        <f t="shared" si="351"/>
        <v>1.2256979577535265</v>
      </c>
      <c r="AR358" s="50">
        <f t="shared" si="352"/>
        <v>-0.61657852870533691</v>
      </c>
      <c r="AS358" s="59" t="str">
        <f t="shared" si="353"/>
        <v>-0.470563170750816-0.931588138101999i</v>
      </c>
      <c r="AT358" s="50">
        <f t="shared" si="354"/>
        <v>0.37141984401329575</v>
      </c>
      <c r="AU358" s="61">
        <f t="shared" si="355"/>
        <v>-116.79922288665719</v>
      </c>
      <c r="AV358" s="32" t="str">
        <f t="shared" si="330"/>
        <v>-0.0000333333333333333</v>
      </c>
      <c r="AW358" s="32" t="str">
        <f t="shared" si="331"/>
        <v>0.0075756710014871i</v>
      </c>
      <c r="AX358" s="32">
        <f t="shared" si="356"/>
        <v>7.5756710014871003E-3</v>
      </c>
      <c r="AY358" s="32">
        <f t="shared" si="357"/>
        <v>1.5707963267948966</v>
      </c>
      <c r="AZ358" s="32" t="str">
        <f t="shared" si="332"/>
        <v>1+3.09076855095394i</v>
      </c>
      <c r="BA358" s="32">
        <f t="shared" si="358"/>
        <v>3.2485150816282071</v>
      </c>
      <c r="BB358" s="32">
        <f t="shared" si="359"/>
        <v>1.257881781737888</v>
      </c>
      <c r="BC358" s="32" t="str">
        <f t="shared" si="333"/>
        <v>1+148.356890445789i</v>
      </c>
      <c r="BD358" s="32">
        <f t="shared" si="360"/>
        <v>148.36026065878906</v>
      </c>
      <c r="BE358" s="32">
        <f t="shared" si="361"/>
        <v>1.5640559263145652</v>
      </c>
      <c r="BF358" s="59" t="str">
        <f t="shared" si="362"/>
        <v>-0.0605692515739999+0.191605588202648i</v>
      </c>
      <c r="BG358" s="50">
        <f t="shared" si="363"/>
        <v>-13.938193202836251</v>
      </c>
      <c r="BH358" s="61">
        <f t="shared" si="364"/>
        <v>107.54248628027182</v>
      </c>
      <c r="BI358" s="59" t="str">
        <f t="shared" si="365"/>
        <v>0.048898531324755-0.0508602423866138i</v>
      </c>
      <c r="BJ358" s="64">
        <f t="shared" si="366"/>
        <v>-23.029598850411077</v>
      </c>
      <c r="BK358" s="61">
        <f t="shared" si="367"/>
        <v>-46.126550335235812</v>
      </c>
      <c r="BL358" s="59" t="str">
        <f t="shared" si="318"/>
        <v>0.206999152234308-0.033736936818159i</v>
      </c>
      <c r="BM358" s="64">
        <f t="shared" si="368"/>
        <v>-13.566773358822973</v>
      </c>
      <c r="BN358" s="61">
        <f t="shared" si="319"/>
        <v>-9.2567366063853793</v>
      </c>
      <c r="BO358" s="50">
        <f t="shared" si="369"/>
        <v>-23.029598850411077</v>
      </c>
      <c r="BP358" s="61">
        <f t="shared" si="370"/>
        <v>-46.126550335235812</v>
      </c>
    </row>
    <row r="359" spans="14:68" x14ac:dyDescent="0.25">
      <c r="N359" s="11">
        <v>41</v>
      </c>
      <c r="O359" s="51">
        <f t="shared" si="320"/>
        <v>25703.95782768865</v>
      </c>
      <c r="P359" s="49" t="str">
        <f t="shared" si="321"/>
        <v>25.6231073841137</v>
      </c>
      <c r="Q359" s="18" t="str">
        <f t="shared" si="322"/>
        <v>1+139.664310672348i</v>
      </c>
      <c r="R359" s="18">
        <f t="shared" si="334"/>
        <v>139.66789063912341</v>
      </c>
      <c r="S359" s="18">
        <f t="shared" si="335"/>
        <v>1.5636364238314444</v>
      </c>
      <c r="T359" s="18" t="str">
        <f t="shared" si="323"/>
        <v>1+0.145352457143367i</v>
      </c>
      <c r="U359" s="18">
        <f t="shared" si="336"/>
        <v>1.0105084545898735</v>
      </c>
      <c r="V359" s="18">
        <f t="shared" si="337"/>
        <v>0.14434160374498001</v>
      </c>
      <c r="W359" s="32" t="str">
        <f t="shared" si="324"/>
        <v>1-3.25697172487916i</v>
      </c>
      <c r="X359" s="18">
        <f t="shared" si="338"/>
        <v>3.4070316723890799</v>
      </c>
      <c r="Y359" s="18">
        <f t="shared" si="339"/>
        <v>-1.2728991758640935</v>
      </c>
      <c r="Z359" s="32" t="str">
        <f t="shared" si="325"/>
        <v>0.98348266379981+0.257866025821011i</v>
      </c>
      <c r="AA359" s="18">
        <f t="shared" si="340"/>
        <v>1.0167266285818879</v>
      </c>
      <c r="AB359" s="18">
        <f t="shared" si="341"/>
        <v>0.25642467249932033</v>
      </c>
      <c r="AC359" s="32" t="str">
        <f>IMDIV(IMSUM(COMPLEX(0,2*PI()*O359*Constants!$B$71*Constants!$B$72),COMPLEX(1,0)),IMSUM(COMPLEX(0,2*PI()*O359*Constants!$B$71*Constants!$B$72),COMPLEX(2,0)))</f>
        <v>0.547237822307778+0.146244655620325i</v>
      </c>
      <c r="AD359" s="18">
        <f t="shared" si="342"/>
        <v>0.56644217133054864</v>
      </c>
      <c r="AE359" s="18">
        <f t="shared" si="343"/>
        <v>0.26113898354363252</v>
      </c>
      <c r="AF359" s="66" t="str">
        <f t="shared" si="344"/>
        <v>-0.316223063593257-0.154360459226381i</v>
      </c>
      <c r="AG359" s="64">
        <f t="shared" si="345"/>
        <v>-9.0719454875788035</v>
      </c>
      <c r="AH359" s="61">
        <f t="shared" si="346"/>
        <v>-153.98124347227625</v>
      </c>
      <c r="AI359" s="50" t="str">
        <f t="shared" si="326"/>
        <v>108.866083054159</v>
      </c>
      <c r="AJ359" s="50" t="str">
        <f t="shared" si="327"/>
        <v>1+132.138597403061i</v>
      </c>
      <c r="AK359" s="50">
        <f t="shared" si="347"/>
        <v>132.14238125464607</v>
      </c>
      <c r="AL359" s="50">
        <f t="shared" si="348"/>
        <v>1.563228659741376</v>
      </c>
      <c r="AM359" s="50" t="str">
        <f t="shared" si="328"/>
        <v>1+0.145352457143367i</v>
      </c>
      <c r="AN359" s="50">
        <f t="shared" si="349"/>
        <v>1.0105084545898735</v>
      </c>
      <c r="AO359" s="50">
        <f t="shared" si="350"/>
        <v>0.14434160374498001</v>
      </c>
      <c r="AP359" s="50" t="str">
        <f t="shared" si="329"/>
        <v>1-0.725265348420574i</v>
      </c>
      <c r="AQ359" s="50">
        <f t="shared" si="351"/>
        <v>1.2353177023015645</v>
      </c>
      <c r="AR359" s="50">
        <f t="shared" si="352"/>
        <v>-0.6274820980273903</v>
      </c>
      <c r="AS359" s="59" t="str">
        <f t="shared" si="353"/>
        <v>-0.470858268264906-0.914293841803018i</v>
      </c>
      <c r="AT359" s="50">
        <f t="shared" si="354"/>
        <v>0.24338170514457466</v>
      </c>
      <c r="AU359" s="61">
        <f t="shared" si="355"/>
        <v>-117.2483158513197</v>
      </c>
      <c r="AV359" s="32" t="str">
        <f t="shared" si="330"/>
        <v>-0.0000333333333333333</v>
      </c>
      <c r="AW359" s="32" t="str">
        <f t="shared" si="331"/>
        <v>0.00775213104764626i</v>
      </c>
      <c r="AX359" s="32">
        <f t="shared" si="356"/>
        <v>7.75213104764626E-3</v>
      </c>
      <c r="AY359" s="32">
        <f t="shared" si="357"/>
        <v>1.5707963267948966</v>
      </c>
      <c r="AZ359" s="32" t="str">
        <f t="shared" si="332"/>
        <v>1+3.1627617989529i</v>
      </c>
      <c r="BA359" s="32">
        <f t="shared" si="358"/>
        <v>3.3170864017863302</v>
      </c>
      <c r="BB359" s="32">
        <f t="shared" si="359"/>
        <v>1.2645629641171447</v>
      </c>
      <c r="BC359" s="32" t="str">
        <f t="shared" si="333"/>
        <v>1+151.81256634974i</v>
      </c>
      <c r="BD359" s="32">
        <f t="shared" si="360"/>
        <v>151.81585984900988</v>
      </c>
      <c r="BE359" s="32">
        <f t="shared" si="361"/>
        <v>1.5642093520716771</v>
      </c>
      <c r="BF359" s="59" t="str">
        <f t="shared" si="362"/>
        <v>-0.0580909413490283+0.188027703074457i</v>
      </c>
      <c r="BG359" s="50">
        <f t="shared" si="363"/>
        <v>-14.119640014823327</v>
      </c>
      <c r="BH359" s="61">
        <f t="shared" si="364"/>
        <v>107.16847337613447</v>
      </c>
      <c r="BI359" s="59" t="str">
        <f t="shared" si="365"/>
        <v>0.0473937380342607-0.0504917519230793i</v>
      </c>
      <c r="BJ359" s="64">
        <f t="shared" si="366"/>
        <v>-23.191585502402134</v>
      </c>
      <c r="BK359" s="61">
        <f t="shared" si="367"/>
        <v>-46.812770096141804</v>
      </c>
      <c r="BL359" s="59" t="str">
        <f t="shared" si="318"/>
        <v>0.199265171054824-0.0354222087155099i</v>
      </c>
      <c r="BM359" s="64">
        <f t="shared" si="368"/>
        <v>-13.876258309678756</v>
      </c>
      <c r="BN359" s="61">
        <f t="shared" si="319"/>
        <v>-10.079842475185211</v>
      </c>
      <c r="BO359" s="50">
        <f t="shared" si="369"/>
        <v>-23.191585502402134</v>
      </c>
      <c r="BP359" s="61">
        <f t="shared" si="370"/>
        <v>-46.812770096141804</v>
      </c>
    </row>
    <row r="360" spans="14:68" x14ac:dyDescent="0.25">
      <c r="N360" s="11">
        <v>42</v>
      </c>
      <c r="O360" s="51">
        <f t="shared" si="320"/>
        <v>26302.679918953829</v>
      </c>
      <c r="P360" s="49" t="str">
        <f t="shared" si="321"/>
        <v>25.6231073841137</v>
      </c>
      <c r="Q360" s="18" t="str">
        <f t="shared" si="322"/>
        <v>1+142.917510382735i</v>
      </c>
      <c r="R360" s="18">
        <f t="shared" si="334"/>
        <v>142.92100886153568</v>
      </c>
      <c r="S360" s="18">
        <f t="shared" si="335"/>
        <v>1.563799397739364</v>
      </c>
      <c r="T360" s="18" t="str">
        <f t="shared" si="323"/>
        <v>1+0.148738150805596i</v>
      </c>
      <c r="U360" s="18">
        <f t="shared" si="336"/>
        <v>1.0110010076676819</v>
      </c>
      <c r="V360" s="18">
        <f t="shared" si="337"/>
        <v>0.14765563740843546</v>
      </c>
      <c r="W360" s="32" t="str">
        <f t="shared" si="324"/>
        <v>1-3.3328363421254i</v>
      </c>
      <c r="X360" s="18">
        <f t="shared" si="338"/>
        <v>3.4796261413249292</v>
      </c>
      <c r="Y360" s="18">
        <f t="shared" si="339"/>
        <v>-1.2792984907318177</v>
      </c>
      <c r="Z360" s="32" t="str">
        <f t="shared" si="325"/>
        <v>0.982704225727027+0.263872497169928i</v>
      </c>
      <c r="AA360" s="18">
        <f t="shared" si="340"/>
        <v>1.0175147615756976</v>
      </c>
      <c r="AB360" s="18">
        <f t="shared" si="341"/>
        <v>0.26232880573827744</v>
      </c>
      <c r="AC360" s="32" t="str">
        <f>IMDIV(IMSUM(COMPLEX(0,2*PI()*O360*Constants!$B$71*Constants!$B$72),COMPLEX(1,0)),IMSUM(COMPLEX(0,2*PI()*O360*Constants!$B$71*Constants!$B$72),COMPLEX(2,0)))</f>
        <v>0.549244809772838+0.148987763245362i</v>
      </c>
      <c r="AD360" s="18">
        <f t="shared" si="342"/>
        <v>0.56909332684477776</v>
      </c>
      <c r="AE360" s="18">
        <f t="shared" si="343"/>
        <v>0.26488519786051168</v>
      </c>
      <c r="AF360" s="66" t="str">
        <f t="shared" si="344"/>
        <v>-0.317827687372122-0.153021666617551i</v>
      </c>
      <c r="AG360" s="64">
        <f t="shared" si="345"/>
        <v>-9.0507465694869911</v>
      </c>
      <c r="AH360" s="61">
        <f t="shared" si="346"/>
        <v>-154.29099442775288</v>
      </c>
      <c r="AI360" s="50" t="str">
        <f t="shared" si="326"/>
        <v>108.866083054159</v>
      </c>
      <c r="AJ360" s="50" t="str">
        <f t="shared" si="327"/>
        <v>1+135.21650073236i</v>
      </c>
      <c r="AK360" s="50">
        <f t="shared" si="347"/>
        <v>135.22019845535027</v>
      </c>
      <c r="AL360" s="50">
        <f t="shared" si="348"/>
        <v>1.5634009145204342</v>
      </c>
      <c r="AM360" s="50" t="str">
        <f t="shared" si="328"/>
        <v>1+0.148738150805596i</v>
      </c>
      <c r="AN360" s="50">
        <f t="shared" si="349"/>
        <v>1.0110010076676819</v>
      </c>
      <c r="AO360" s="50">
        <f t="shared" si="350"/>
        <v>0.14765563740843546</v>
      </c>
      <c r="AP360" s="50" t="str">
        <f t="shared" si="329"/>
        <v>1-0.742158948582832i</v>
      </c>
      <c r="AQ360" s="50">
        <f t="shared" si="351"/>
        <v>1.245311167926143</v>
      </c>
      <c r="AR360" s="50">
        <f t="shared" si="352"/>
        <v>-0.63846391983805806</v>
      </c>
      <c r="AS360" s="59" t="str">
        <f t="shared" si="353"/>
        <v>-0.471140085690015-0.897484115133845i</v>
      </c>
      <c r="AT360" s="50">
        <f t="shared" si="354"/>
        <v>0.11760999662796406</v>
      </c>
      <c r="AU360" s="61">
        <f t="shared" si="355"/>
        <v>-117.69751722219634</v>
      </c>
      <c r="AV360" s="32" t="str">
        <f t="shared" si="330"/>
        <v>-0.0000333333333333333</v>
      </c>
      <c r="AW360" s="32" t="str">
        <f t="shared" si="331"/>
        <v>0.00793270137629848i</v>
      </c>
      <c r="AX360" s="32">
        <f t="shared" si="356"/>
        <v>7.9327013762984806E-3</v>
      </c>
      <c r="AY360" s="32">
        <f t="shared" si="357"/>
        <v>1.5707963267948966</v>
      </c>
      <c r="AZ360" s="32" t="str">
        <f t="shared" si="332"/>
        <v>1+3.23643198512177i</v>
      </c>
      <c r="BA360" s="32">
        <f t="shared" si="358"/>
        <v>3.3874019534621573</v>
      </c>
      <c r="BB360" s="32">
        <f t="shared" si="359"/>
        <v>1.2711194534852139</v>
      </c>
      <c r="BC360" s="32" t="str">
        <f t="shared" si="333"/>
        <v>1+155.348735285845i</v>
      </c>
      <c r="BD360" s="32">
        <f t="shared" si="360"/>
        <v>155.35195381749003</v>
      </c>
      <c r="BE360" s="32">
        <f t="shared" si="361"/>
        <v>1.5643592857318374</v>
      </c>
      <c r="BF360" s="59" t="str">
        <f t="shared" si="362"/>
        <v>-0.0557042735362213+0.1844851079789i</v>
      </c>
      <c r="BG360" s="50">
        <f t="shared" si="363"/>
        <v>-14.301847489446011</v>
      </c>
      <c r="BH360" s="61">
        <f t="shared" si="364"/>
        <v>106.8014047728558</v>
      </c>
      <c r="BI360" s="59" t="str">
        <f t="shared" si="365"/>
        <v>0.0459345791238115-0.0501105144492975i</v>
      </c>
      <c r="BJ360" s="64">
        <f t="shared" si="366"/>
        <v>-23.352594058932997</v>
      </c>
      <c r="BK360" s="61">
        <f t="shared" si="367"/>
        <v>-47.489589654897046</v>
      </c>
      <c r="BL360" s="59" t="str">
        <f t="shared" si="318"/>
        <v>0.19181697009697-0.0369246289378814i</v>
      </c>
      <c r="BM360" s="64">
        <f t="shared" si="368"/>
        <v>-14.18423749281806</v>
      </c>
      <c r="BN360" s="61">
        <f t="shared" si="319"/>
        <v>-10.896112449340539</v>
      </c>
      <c r="BO360" s="50">
        <f t="shared" si="369"/>
        <v>-23.352594058932997</v>
      </c>
      <c r="BP360" s="61">
        <f t="shared" si="370"/>
        <v>-47.489589654897046</v>
      </c>
    </row>
    <row r="361" spans="14:68" x14ac:dyDescent="0.25">
      <c r="N361" s="11">
        <v>43</v>
      </c>
      <c r="O361" s="51">
        <f t="shared" si="320"/>
        <v>26915.348039269167</v>
      </c>
      <c r="P361" s="49" t="str">
        <f t="shared" si="321"/>
        <v>25.6231073841137</v>
      </c>
      <c r="Q361" s="18" t="str">
        <f t="shared" si="322"/>
        <v>1+146.246486848865i</v>
      </c>
      <c r="R361" s="18">
        <f t="shared" si="334"/>
        <v>146.24990569444907</v>
      </c>
      <c r="S361" s="18">
        <f t="shared" si="335"/>
        <v>1.5639586622673871</v>
      </c>
      <c r="T361" s="18" t="str">
        <f t="shared" si="323"/>
        <v>1+0.152202707404165i</v>
      </c>
      <c r="U361" s="18">
        <f t="shared" si="336"/>
        <v>1.0115165169888023</v>
      </c>
      <c r="V361" s="18">
        <f t="shared" si="337"/>
        <v>0.15104348546466909</v>
      </c>
      <c r="W361" s="32" t="str">
        <f t="shared" si="324"/>
        <v>1-3.41046807331555i</v>
      </c>
      <c r="X361" s="18">
        <f t="shared" si="338"/>
        <v>3.5540529651518531</v>
      </c>
      <c r="Y361" s="18">
        <f t="shared" si="339"/>
        <v>-1.2855759751417148</v>
      </c>
      <c r="Z361" s="32" t="str">
        <f t="shared" si="325"/>
        <v>0.981889100998125+0.270018877209611i</v>
      </c>
      <c r="AA361" s="18">
        <f t="shared" si="340"/>
        <v>1.0183400221480274</v>
      </c>
      <c r="AB361" s="18">
        <f t="shared" si="341"/>
        <v>0.26836561859586172</v>
      </c>
      <c r="AC361" s="32" t="str">
        <f>IMDIV(IMSUM(COMPLEX(0,2*PI()*O361*Constants!$B$71*Constants!$B$72),COMPLEX(1,0)),IMSUM(COMPLEX(0,2*PI()*O361*Constants!$B$71*Constants!$B$72),COMPLEX(2,0)))</f>
        <v>0.551327401156313+0.151753742849049i</v>
      </c>
      <c r="AD361" s="18">
        <f t="shared" si="342"/>
        <v>0.57183135777471084</v>
      </c>
      <c r="AE361" s="18">
        <f t="shared" si="343"/>
        <v>0.26860009550995018</v>
      </c>
      <c r="AF361" s="66" t="str">
        <f t="shared" si="344"/>
        <v>-0.319486565470395-0.151712124897742i</v>
      </c>
      <c r="AG361" s="64">
        <f t="shared" si="345"/>
        <v>-9.0278353758161742</v>
      </c>
      <c r="AH361" s="61">
        <f t="shared" si="346"/>
        <v>-154.59871952224117</v>
      </c>
      <c r="AI361" s="50" t="str">
        <f t="shared" si="326"/>
        <v>108.866083054159</v>
      </c>
      <c r="AJ361" s="50" t="str">
        <f t="shared" si="327"/>
        <v>1+138.36609764015i</v>
      </c>
      <c r="AK361" s="50">
        <f t="shared" si="347"/>
        <v>138.36971119491261</v>
      </c>
      <c r="AL361" s="50">
        <f t="shared" si="348"/>
        <v>1.563569248726099</v>
      </c>
      <c r="AM361" s="50" t="str">
        <f t="shared" si="328"/>
        <v>1+0.152202707404165i</v>
      </c>
      <c r="AN361" s="50">
        <f t="shared" si="349"/>
        <v>1.0115165169888023</v>
      </c>
      <c r="AO361" s="50">
        <f t="shared" si="350"/>
        <v>0.15104348546466909</v>
      </c>
      <c r="AP361" s="50" t="str">
        <f t="shared" si="329"/>
        <v>1-0.759446051243266i</v>
      </c>
      <c r="AQ361" s="50">
        <f t="shared" si="351"/>
        <v>1.2556903697763193</v>
      </c>
      <c r="AR361" s="50">
        <f t="shared" si="352"/>
        <v>-0.64951922185037969</v>
      </c>
      <c r="AS361" s="59" t="str">
        <f t="shared" si="353"/>
        <v>-0.471409220597777-0.881150058773809i</v>
      </c>
      <c r="AT361" s="50">
        <f t="shared" si="354"/>
        <v>-5.8578939151091988E-3</v>
      </c>
      <c r="AU361" s="61">
        <f t="shared" si="355"/>
        <v>-118.14647481302347</v>
      </c>
      <c r="AV361" s="32" t="str">
        <f t="shared" si="330"/>
        <v>-0.0000333333333333333</v>
      </c>
      <c r="AW361" s="32" t="str">
        <f t="shared" si="331"/>
        <v>0.00811747772822212i</v>
      </c>
      <c r="AX361" s="32">
        <f t="shared" si="356"/>
        <v>8.1174777282221194E-3</v>
      </c>
      <c r="AY361" s="32">
        <f t="shared" si="357"/>
        <v>1.5707963267948966</v>
      </c>
      <c r="AZ361" s="32" t="str">
        <f t="shared" si="332"/>
        <v>1+3.31181817036841i</v>
      </c>
      <c r="BA361" s="32">
        <f t="shared" si="358"/>
        <v>3.4594999051282485</v>
      </c>
      <c r="BB361" s="32">
        <f t="shared" si="359"/>
        <v>1.2775524705896788</v>
      </c>
      <c r="BC361" s="32" t="str">
        <f t="shared" si="333"/>
        <v>1+158.967272177684i</v>
      </c>
      <c r="BD361" s="32">
        <f t="shared" si="360"/>
        <v>158.97041744807072</v>
      </c>
      <c r="BE361" s="32">
        <f t="shared" si="361"/>
        <v>1.564505806764878</v>
      </c>
      <c r="BF361" s="59" t="str">
        <f t="shared" si="362"/>
        <v>-0.0534066498592219+0.180979479272524i</v>
      </c>
      <c r="BG361" s="50">
        <f t="shared" si="363"/>
        <v>-14.484787376254225</v>
      </c>
      <c r="BH361" s="61">
        <f t="shared" si="364"/>
        <v>106.44121508003764</v>
      </c>
      <c r="BI361" s="59" t="str">
        <f t="shared" si="365"/>
        <v>0.0445194885001242-0.049718075919587i</v>
      </c>
      <c r="BJ361" s="64">
        <f t="shared" si="366"/>
        <v>-23.512622752070399</v>
      </c>
      <c r="BK361" s="61">
        <f t="shared" si="367"/>
        <v>-48.157504442203567</v>
      </c>
      <c r="BL361" s="59" t="str">
        <f t="shared" si="318"/>
        <v>0.184646465982712-0.0382561226056865i</v>
      </c>
      <c r="BM361" s="64">
        <f t="shared" si="368"/>
        <v>-14.49064527016934</v>
      </c>
      <c r="BN361" s="61">
        <f t="shared" si="319"/>
        <v>-11.705259732985853</v>
      </c>
      <c r="BO361" s="50">
        <f t="shared" si="369"/>
        <v>-23.512622752070399</v>
      </c>
      <c r="BP361" s="61">
        <f t="shared" si="370"/>
        <v>-48.157504442203567</v>
      </c>
    </row>
    <row r="362" spans="14:68" x14ac:dyDescent="0.25">
      <c r="N362" s="11">
        <v>44</v>
      </c>
      <c r="O362" s="51">
        <f t="shared" si="320"/>
        <v>27542.287033381719</v>
      </c>
      <c r="P362" s="49" t="str">
        <f t="shared" si="321"/>
        <v>25.6231073841137</v>
      </c>
      <c r="Q362" s="18" t="str">
        <f t="shared" si="322"/>
        <v>1+149.653005138124i</v>
      </c>
      <c r="R362" s="18">
        <f t="shared" si="334"/>
        <v>149.65634616303902</v>
      </c>
      <c r="S362" s="18">
        <f t="shared" si="335"/>
        <v>1.5641143018273378</v>
      </c>
      <c r="T362" s="18" t="str">
        <f t="shared" si="323"/>
        <v>1+0.15574796389284i</v>
      </c>
      <c r="U362" s="18">
        <f t="shared" si="336"/>
        <v>1.0120560400772109</v>
      </c>
      <c r="V362" s="18">
        <f t="shared" si="337"/>
        <v>0.1545066329621175</v>
      </c>
      <c r="W362" s="32" t="str">
        <f t="shared" si="324"/>
        <v>1-3.48990807982105i</v>
      </c>
      <c r="X362" s="18">
        <f t="shared" si="338"/>
        <v>3.6303523803620288</v>
      </c>
      <c r="Y362" s="18">
        <f t="shared" si="339"/>
        <v>-1.2917329777472697</v>
      </c>
      <c r="Z362" s="32" t="str">
        <f t="shared" si="325"/>
        <v>0.98103556062427+0.276308424832113i</v>
      </c>
      <c r="AA362" s="18">
        <f t="shared" si="340"/>
        <v>1.0192041585681344</v>
      </c>
      <c r="AB362" s="18">
        <f t="shared" si="341"/>
        <v>0.27453786376364736</v>
      </c>
      <c r="AC362" s="32" t="str">
        <f>IMDIV(IMSUM(COMPLEX(0,2*PI()*O362*Constants!$B$71*Constants!$B$72),COMPLEX(1,0)),IMSUM(COMPLEX(0,2*PI()*O362*Constants!$B$71*Constants!$B$72),COMPLEX(2,0)))</f>
        <v>0.553487615473611+0.154540877206493i</v>
      </c>
      <c r="AD362" s="18">
        <f t="shared" si="342"/>
        <v>0.57465765740170582</v>
      </c>
      <c r="AE362" s="18">
        <f t="shared" si="343"/>
        <v>0.27227866800701367</v>
      </c>
      <c r="AF362" s="66" t="str">
        <f t="shared" si="344"/>
        <v>-0.321200875007882-0.150428258959205i</v>
      </c>
      <c r="AG362" s="64">
        <f t="shared" si="345"/>
        <v>-9.0032397390061085</v>
      </c>
      <c r="AH362" s="61">
        <f t="shared" si="346"/>
        <v>-154.90486045998543</v>
      </c>
      <c r="AI362" s="50" t="str">
        <f t="shared" si="326"/>
        <v>108.866083054159</v>
      </c>
      <c r="AJ362" s="50" t="str">
        <f t="shared" si="327"/>
        <v>1+141.589058084401i</v>
      </c>
      <c r="AK362" s="50">
        <f t="shared" si="347"/>
        <v>141.59258938669026</v>
      </c>
      <c r="AL362" s="50">
        <f t="shared" si="348"/>
        <v>1.5637337515732126</v>
      </c>
      <c r="AM362" s="50" t="str">
        <f t="shared" si="328"/>
        <v>1+0.15574796389284i</v>
      </c>
      <c r="AN362" s="50">
        <f t="shared" si="349"/>
        <v>1.0120560400772109</v>
      </c>
      <c r="AO362" s="50">
        <f t="shared" si="350"/>
        <v>0.1545066329621175</v>
      </c>
      <c r="AP362" s="50" t="str">
        <f t="shared" si="329"/>
        <v>1-0.777135822252526i</v>
      </c>
      <c r="AQ362" s="50">
        <f t="shared" si="351"/>
        <v>1.2664675622486783</v>
      </c>
      <c r="AR362" s="50">
        <f t="shared" si="352"/>
        <v>-0.66064305672311285</v>
      </c>
      <c r="AS362" s="59" t="str">
        <f t="shared" si="353"/>
        <v>-0.471666243676182-0.86528302471346i</v>
      </c>
      <c r="AT362" s="50">
        <f t="shared" si="354"/>
        <v>-0.12698589188890191</v>
      </c>
      <c r="AU362" s="61">
        <f t="shared" si="355"/>
        <v>-118.59482518665385</v>
      </c>
      <c r="AV362" s="32" t="str">
        <f t="shared" si="330"/>
        <v>-0.0000333333333333333</v>
      </c>
      <c r="AW362" s="32" t="str">
        <f t="shared" si="331"/>
        <v>0.00830655807428481i</v>
      </c>
      <c r="AX362" s="32">
        <f t="shared" si="356"/>
        <v>8.3065580742848096E-3</v>
      </c>
      <c r="AY362" s="32">
        <f t="shared" si="357"/>
        <v>1.5707963267948966</v>
      </c>
      <c r="AZ362" s="32" t="str">
        <f t="shared" si="332"/>
        <v>1+3.38896032544607i</v>
      </c>
      <c r="BA362" s="32">
        <f t="shared" si="358"/>
        <v>3.5334193195044841</v>
      </c>
      <c r="BB362" s="32">
        <f t="shared" si="359"/>
        <v>1.2838632957419311</v>
      </c>
      <c r="BC362" s="32" t="str">
        <f t="shared" si="333"/>
        <v>1+162.670095621411i</v>
      </c>
      <c r="BD362" s="32">
        <f t="shared" si="360"/>
        <v>162.6731692980714</v>
      </c>
      <c r="BE362" s="32">
        <f t="shared" si="361"/>
        <v>1.5646489928330112</v>
      </c>
      <c r="BF362" s="59" t="str">
        <f t="shared" si="362"/>
        <v>-0.0511954805045123+0.177512345823666i</v>
      </c>
      <c r="BG362" s="50">
        <f t="shared" si="363"/>
        <v>-14.668432235842291</v>
      </c>
      <c r="BH362" s="61">
        <f t="shared" si="364"/>
        <v>106.08783539095762</v>
      </c>
      <c r="BI362" s="59" t="str">
        <f t="shared" si="365"/>
        <v>0.0431469062605167-0.0493158738043896i</v>
      </c>
      <c r="BJ362" s="64">
        <f t="shared" si="366"/>
        <v>-23.671671974848394</v>
      </c>
      <c r="BK362" s="61">
        <f t="shared" si="367"/>
        <v>-48.817025069027835</v>
      </c>
      <c r="BL362" s="59" t="str">
        <f t="shared" si="318"/>
        <v>0.177745599501044-0.0394280011381926i</v>
      </c>
      <c r="BM362" s="64">
        <f t="shared" si="368"/>
        <v>-14.795418127731191</v>
      </c>
      <c r="BN362" s="61">
        <f t="shared" si="319"/>
        <v>-12.506989795696271</v>
      </c>
      <c r="BO362" s="50">
        <f t="shared" si="369"/>
        <v>-23.671671974848394</v>
      </c>
      <c r="BP362" s="61">
        <f t="shared" si="370"/>
        <v>-48.817025069027835</v>
      </c>
    </row>
    <row r="363" spans="14:68" x14ac:dyDescent="0.25">
      <c r="N363" s="11">
        <v>45</v>
      </c>
      <c r="O363" s="51">
        <f t="shared" si="320"/>
        <v>28183.829312644593</v>
      </c>
      <c r="P363" s="49" t="str">
        <f t="shared" si="321"/>
        <v>25.6231073841137</v>
      </c>
      <c r="Q363" s="18" t="str">
        <f t="shared" si="322"/>
        <v>1+153.138871431597i</v>
      </c>
      <c r="R363" s="18">
        <f t="shared" si="334"/>
        <v>153.14213640714038</v>
      </c>
      <c r="S363" s="18">
        <f t="shared" si="335"/>
        <v>1.5642663989111922</v>
      </c>
      <c r="T363" s="18" t="str">
        <f t="shared" si="323"/>
        <v>1+0.15937580001354i</v>
      </c>
      <c r="U363" s="18">
        <f t="shared" si="336"/>
        <v>1.0126206820078067</v>
      </c>
      <c r="V363" s="18">
        <f t="shared" si="337"/>
        <v>0.15804658365742888</v>
      </c>
      <c r="W363" s="32" t="str">
        <f t="shared" si="324"/>
        <v>1-3.57119848178487i</v>
      </c>
      <c r="X363" s="18">
        <f t="shared" si="338"/>
        <v>3.7085655712556247</v>
      </c>
      <c r="Y363" s="18">
        <f t="shared" si="339"/>
        <v>-1.2977708951234259</v>
      </c>
      <c r="Z363" s="32" t="str">
        <f t="shared" si="325"/>
        <v>0.980141794131893+0.282744474838835i</v>
      </c>
      <c r="AA363" s="18">
        <f t="shared" si="340"/>
        <v>1.0201090013601364</v>
      </c>
      <c r="AB363" s="18">
        <f t="shared" si="341"/>
        <v>0.28084833492961847</v>
      </c>
      <c r="AC363" s="32" t="str">
        <f>IMDIV(IMSUM(COMPLEX(0,2*PI()*O363*Constants!$B$71*Constants!$B$72),COMPLEX(1,0)),IMSUM(COMPLEX(0,2*PI()*O363*Constants!$B$71*Constants!$B$72),COMPLEX(2,0)))</f>
        <v>0.555727454303045+0.157347316432231i</v>
      </c>
      <c r="AD363" s="18">
        <f t="shared" si="342"/>
        <v>0.57757352904592807</v>
      </c>
      <c r="AE363" s="18">
        <f t="shared" si="343"/>
        <v>0.27591578675698586</v>
      </c>
      <c r="AF363" s="66" t="str">
        <f t="shared" si="344"/>
        <v>-0.322971734221314-0.149166384489172i</v>
      </c>
      <c r="AG363" s="64">
        <f t="shared" si="345"/>
        <v>-8.9769889661257594</v>
      </c>
      <c r="AH363" s="61">
        <f t="shared" si="346"/>
        <v>-155.209869739731</v>
      </c>
      <c r="AI363" s="50" t="str">
        <f t="shared" si="326"/>
        <v>108.866083054159</v>
      </c>
      <c r="AJ363" s="50" t="str">
        <f t="shared" si="327"/>
        <v>1+144.8870909214i</v>
      </c>
      <c r="AK363" s="50">
        <f t="shared" si="347"/>
        <v>144.89054184337232</v>
      </c>
      <c r="AL363" s="50">
        <f t="shared" si="348"/>
        <v>1.5638945102477286</v>
      </c>
      <c r="AM363" s="50" t="str">
        <f t="shared" si="328"/>
        <v>1+0.15937580001354i</v>
      </c>
      <c r="AN363" s="50">
        <f t="shared" si="349"/>
        <v>1.0126206820078067</v>
      </c>
      <c r="AO363" s="50">
        <f t="shared" si="350"/>
        <v>0.15804658365742888</v>
      </c>
      <c r="AP363" s="50" t="str">
        <f t="shared" si="329"/>
        <v>1-0.795237640961352i</v>
      </c>
      <c r="AQ363" s="50">
        <f t="shared" si="351"/>
        <v>1.2776552373789167</v>
      </c>
      <c r="AR363" s="50">
        <f t="shared" si="352"/>
        <v>-0.67183031126879167</v>
      </c>
      <c r="AS363" s="59" t="str">
        <f t="shared" si="353"/>
        <v>-0.471911699938528-0.849874611728996i</v>
      </c>
      <c r="AT363" s="50">
        <f t="shared" si="354"/>
        <v>-0.24573932396027814</v>
      </c>
      <c r="AU363" s="61">
        <f t="shared" si="355"/>
        <v>-119.04219421550383</v>
      </c>
      <c r="AV363" s="32" t="str">
        <f t="shared" si="330"/>
        <v>-0.0000333333333333333</v>
      </c>
      <c r="AW363" s="32" t="str">
        <f t="shared" si="331"/>
        <v>0.00850004266738876i</v>
      </c>
      <c r="AX363" s="32">
        <f t="shared" si="356"/>
        <v>8.5000426673887599E-3</v>
      </c>
      <c r="AY363" s="32">
        <f t="shared" si="357"/>
        <v>1.5707963267948966</v>
      </c>
      <c r="AZ363" s="32" t="str">
        <f t="shared" si="332"/>
        <v>1+3.46789935214646i</v>
      </c>
      <c r="BA363" s="32">
        <f t="shared" si="358"/>
        <v>3.6092001768560635</v>
      </c>
      <c r="BB363" s="32">
        <f t="shared" si="359"/>
        <v>1.2900532635651929</v>
      </c>
      <c r="BC363" s="32" t="str">
        <f t="shared" si="333"/>
        <v>1+166.45916890303i</v>
      </c>
      <c r="BD363" s="32">
        <f t="shared" si="360"/>
        <v>166.46217261554492</v>
      </c>
      <c r="BE363" s="32">
        <f t="shared" si="361"/>
        <v>1.5647889198318867</v>
      </c>
      <c r="BF363" s="59" t="str">
        <f t="shared" si="362"/>
        <v>-0.0490681904346746+0.174085094761887i</v>
      </c>
      <c r="BG363" s="50">
        <f t="shared" si="363"/>
        <v>-14.852755436233858</v>
      </c>
      <c r="BH363" s="61">
        <f t="shared" si="364"/>
        <v>105.74119358583846</v>
      </c>
      <c r="BI363" s="59" t="str">
        <f t="shared" si="365"/>
        <v>0.0418152827388741-0.0489052403967618i</v>
      </c>
      <c r="BJ363" s="64">
        <f t="shared" si="366"/>
        <v>-23.829744402359623</v>
      </c>
      <c r="BK363" s="61">
        <f t="shared" si="367"/>
        <v>-49.468676153892524</v>
      </c>
      <c r="BL363" s="59" t="str">
        <f t="shared" si="318"/>
        <v>0.171106355479499-0.0404509837091283i</v>
      </c>
      <c r="BM363" s="64">
        <f t="shared" si="368"/>
        <v>-15.09849476019413</v>
      </c>
      <c r="BN363" s="61">
        <f t="shared" si="319"/>
        <v>-13.301000629665348</v>
      </c>
      <c r="BO363" s="50">
        <f t="shared" si="369"/>
        <v>-23.829744402359623</v>
      </c>
      <c r="BP363" s="61">
        <f t="shared" si="370"/>
        <v>-49.468676153892524</v>
      </c>
    </row>
    <row r="364" spans="14:68" x14ac:dyDescent="0.25">
      <c r="N364" s="11">
        <v>46</v>
      </c>
      <c r="O364" s="51">
        <f t="shared" si="320"/>
        <v>28840.315031266062</v>
      </c>
      <c r="P364" s="49" t="str">
        <f t="shared" si="321"/>
        <v>25.6231073841137</v>
      </c>
      <c r="Q364" s="18" t="str">
        <f t="shared" si="322"/>
        <v>1+156.705933981736i</v>
      </c>
      <c r="R364" s="18">
        <f t="shared" si="334"/>
        <v>156.70912463889334</v>
      </c>
      <c r="S364" s="18">
        <f t="shared" si="335"/>
        <v>1.564415034134673</v>
      </c>
      <c r="T364" s="18" t="str">
        <f t="shared" si="323"/>
        <v>1+0.163088139292993i</v>
      </c>
      <c r="U364" s="18">
        <f t="shared" si="336"/>
        <v>1.0132115974356248</v>
      </c>
      <c r="V364" s="18">
        <f t="shared" si="337"/>
        <v>0.16166485941760753</v>
      </c>
      <c r="W364" s="32" t="str">
        <f t="shared" si="324"/>
        <v>1-3.6543823804541i</v>
      </c>
      <c r="X364" s="18">
        <f t="shared" si="338"/>
        <v>3.7887346941391091</v>
      </c>
      <c r="Y364" s="18">
        <f t="shared" si="339"/>
        <v>-1.3036911669953624</v>
      </c>
      <c r="Z364" s="32" t="str">
        <f t="shared" si="325"/>
        <v>0.979205905722433+0.28933043970868i</v>
      </c>
      <c r="AA364" s="18">
        <f t="shared" si="340"/>
        <v>1.0210564671670752</v>
      </c>
      <c r="AB364" s="18">
        <f t="shared" si="341"/>
        <v>0.28729986620171066</v>
      </c>
      <c r="AC364" s="32" t="str">
        <f>IMDIV(IMSUM(COMPLEX(0,2*PI()*O364*Constants!$B$71*Constants!$B$72),COMPLEX(1,0)),IMSUM(COMPLEX(0,2*PI()*O364*Constants!$B$71*Constants!$B$72),COMPLEX(2,0)))</f>
        <v>0.558048894417906+0.160171074373033i</v>
      </c>
      <c r="AD364" s="18">
        <f t="shared" si="342"/>
        <v>0.58058017674293605</v>
      </c>
      <c r="AE364" s="18">
        <f t="shared" si="343"/>
        <v>0.27950621450025559</v>
      </c>
      <c r="AF364" s="66" t="str">
        <f t="shared" si="344"/>
        <v>-0.324800193777762-0.147922704841998i</v>
      </c>
      <c r="AG364" s="64">
        <f t="shared" si="345"/>
        <v>-8.9491139618180853</v>
      </c>
      <c r="AH364" s="61">
        <f t="shared" si="346"/>
        <v>-155.51420972933423</v>
      </c>
      <c r="AI364" s="50" t="str">
        <f t="shared" si="326"/>
        <v>108.866083054159</v>
      </c>
      <c r="AJ364" s="50" t="str">
        <f t="shared" si="327"/>
        <v>1+148.261944811812i</v>
      </c>
      <c r="AK364" s="50">
        <f t="shared" si="347"/>
        <v>148.26531718301749</v>
      </c>
      <c r="AL364" s="50">
        <f t="shared" si="348"/>
        <v>1.5640516099527684</v>
      </c>
      <c r="AM364" s="50" t="str">
        <f t="shared" si="328"/>
        <v>1+0.163088139292993i</v>
      </c>
      <c r="AN364" s="50">
        <f t="shared" si="349"/>
        <v>1.0132115974356248</v>
      </c>
      <c r="AO364" s="50">
        <f t="shared" si="350"/>
        <v>0.16166485941760753</v>
      </c>
      <c r="AP364" s="50" t="str">
        <f t="shared" si="329"/>
        <v>1-0.813761105193625i</v>
      </c>
      <c r="AQ364" s="50">
        <f t="shared" si="351"/>
        <v>1.2892661231591986</v>
      </c>
      <c r="AR364" s="50">
        <f t="shared" si="352"/>
        <v>-0.68307571659692823</v>
      </c>
      <c r="AS364" s="59" t="str">
        <f t="shared" si="353"/>
        <v>-0.472146109878046-0.834916660983588i</v>
      </c>
      <c r="AT364" s="50">
        <f t="shared" si="354"/>
        <v>-0.36208500114882697</v>
      </c>
      <c r="AU364" s="61">
        <f t="shared" si="355"/>
        <v>-119.48819769960892</v>
      </c>
      <c r="AV364" s="32" t="str">
        <f t="shared" si="330"/>
        <v>-0.0000333333333333333</v>
      </c>
      <c r="AW364" s="32" t="str">
        <f t="shared" si="331"/>
        <v>0.00869803409562631i</v>
      </c>
      <c r="AX364" s="32">
        <f t="shared" si="356"/>
        <v>8.6980340956263093E-3</v>
      </c>
      <c r="AY364" s="32">
        <f t="shared" si="357"/>
        <v>1.5707963267948966</v>
      </c>
      <c r="AZ364" s="32" t="str">
        <f t="shared" si="332"/>
        <v>1+3.54867710498642i</v>
      </c>
      <c r="BA364" s="32">
        <f t="shared" si="358"/>
        <v>3.6868833986789982</v>
      </c>
      <c r="BB364" s="32">
        <f t="shared" si="359"/>
        <v>1.2961237579523652</v>
      </c>
      <c r="BC364" s="32" t="str">
        <f t="shared" si="333"/>
        <v>1+170.336501039349i</v>
      </c>
      <c r="BD364" s="32">
        <f t="shared" si="360"/>
        <v>170.33943638021157</v>
      </c>
      <c r="BE364" s="32">
        <f t="shared" si="361"/>
        <v>1.5649256619307212</v>
      </c>
      <c r="BF364" s="59" t="str">
        <f t="shared" si="362"/>
        <v>-0.0470222251252473+0.170698977317873i</v>
      </c>
      <c r="BG364" s="50">
        <f t="shared" si="363"/>
        <v>-15.03773114738118</v>
      </c>
      <c r="BH364" s="61">
        <f t="shared" si="364"/>
        <v>105.40121462304066</v>
      </c>
      <c r="BI364" s="59" t="str">
        <f t="shared" si="365"/>
        <v>0.0405230822711645-0.048487406182295i</v>
      </c>
      <c r="BJ364" s="64">
        <f t="shared" si="366"/>
        <v>-23.986845109199265</v>
      </c>
      <c r="BK364" s="61">
        <f t="shared" si="367"/>
        <v>-50.112995106293567</v>
      </c>
      <c r="BL364" s="59" t="str">
        <f t="shared" si="318"/>
        <v>0.164720780846247-0.0413352189072045i</v>
      </c>
      <c r="BM364" s="64">
        <f t="shared" si="368"/>
        <v>-15.399816148530006</v>
      </c>
      <c r="BN364" s="61">
        <f t="shared" si="319"/>
        <v>-14.08698307656825</v>
      </c>
      <c r="BO364" s="50">
        <f t="shared" si="369"/>
        <v>-23.986845109199265</v>
      </c>
      <c r="BP364" s="61">
        <f t="shared" si="370"/>
        <v>-50.112995106293567</v>
      </c>
    </row>
    <row r="365" spans="14:68" x14ac:dyDescent="0.25">
      <c r="N365" s="11">
        <v>47</v>
      </c>
      <c r="O365" s="51">
        <f t="shared" si="320"/>
        <v>29512.092266663854</v>
      </c>
      <c r="P365" s="49" t="str">
        <f t="shared" si="321"/>
        <v>25.6231073841137</v>
      </c>
      <c r="Q365" s="18" t="str">
        <f t="shared" si="322"/>
        <v>1+160.356084092322i</v>
      </c>
      <c r="R365" s="18">
        <f t="shared" si="334"/>
        <v>160.35920212268405</v>
      </c>
      <c r="S365" s="18">
        <f t="shared" si="335"/>
        <v>1.5645602862798582</v>
      </c>
      <c r="T365" s="18" t="str">
        <f t="shared" si="323"/>
        <v>1+0.166886950062628i</v>
      </c>
      <c r="U365" s="18">
        <f t="shared" si="336"/>
        <v>1.0138299927015408</v>
      </c>
      <c r="V365" s="18">
        <f t="shared" si="337"/>
        <v>0.16536299954607397</v>
      </c>
      <c r="W365" s="32" t="str">
        <f t="shared" si="324"/>
        <v>1-3.73950388103296i</v>
      </c>
      <c r="X365" s="18">
        <f t="shared" si="338"/>
        <v>3.8709029019416872</v>
      </c>
      <c r="Y365" s="18">
        <f t="shared" si="339"/>
        <v>-1.3094952716808488</v>
      </c>
      <c r="Z365" s="32" t="str">
        <f t="shared" si="325"/>
        <v>0.978225910251098+0.296069811407403i</v>
      </c>
      <c r="AA365" s="18">
        <f t="shared" si="340"/>
        <v>1.0220485627960172</v>
      </c>
      <c r="AB365" s="18">
        <f t="shared" si="341"/>
        <v>0.29389533142258795</v>
      </c>
      <c r="AC365" s="32" t="str">
        <f>IMDIV(IMSUM(COMPLEX(0,2*PI()*O365*Constants!$B$71*Constants!$B$72),COMPLEX(1,0)),IMSUM(COMPLEX(0,2*PI()*O365*Constants!$B$71*Constants!$B$72),COMPLEX(2,0)))</f>
        <v>0.560453879901538+0.16301002532243i</v>
      </c>
      <c r="AD365" s="18">
        <f t="shared" si="342"/>
        <v>0.58367869573276943</v>
      </c>
      <c r="AE365" s="18">
        <f t="shared" si="343"/>
        <v>0.28304461790934338</v>
      </c>
      <c r="AF365" s="66" t="str">
        <f t="shared" si="344"/>
        <v>-0.326687227534506-0.146693308339119i</v>
      </c>
      <c r="AG365" s="64">
        <f t="shared" si="345"/>
        <v>-8.9196473483778664</v>
      </c>
      <c r="AH365" s="61">
        <f t="shared" si="346"/>
        <v>-155.81835168466608</v>
      </c>
      <c r="AI365" s="50" t="str">
        <f t="shared" si="326"/>
        <v>108.866083054159</v>
      </c>
      <c r="AJ365" s="50" t="str">
        <f t="shared" si="327"/>
        <v>1+151.715409147844i</v>
      </c>
      <c r="AK365" s="50">
        <f t="shared" si="347"/>
        <v>151.71870475619579</v>
      </c>
      <c r="AL365" s="50">
        <f t="shared" si="348"/>
        <v>1.5642051339536394</v>
      </c>
      <c r="AM365" s="50" t="str">
        <f t="shared" si="328"/>
        <v>1+0.166886950062628i</v>
      </c>
      <c r="AN365" s="50">
        <f t="shared" si="349"/>
        <v>1.0138299927015408</v>
      </c>
      <c r="AO365" s="50">
        <f t="shared" si="350"/>
        <v>0.16536299954607397</v>
      </c>
      <c r="AP365" s="50" t="str">
        <f t="shared" si="329"/>
        <v>1-0.832716036335282i</v>
      </c>
      <c r="AQ365" s="50">
        <f t="shared" si="351"/>
        <v>1.301313181816715</v>
      </c>
      <c r="AR365" s="50">
        <f t="shared" si="352"/>
        <v>-0.69437385915485883</v>
      </c>
      <c r="AS365" s="59" t="str">
        <f t="shared" si="353"/>
        <v>-0.472369970570643-0.820401251753533i</v>
      </c>
      <c r="AT365" s="50">
        <f t="shared" si="354"/>
        <v>-0.47599129602191947</v>
      </c>
      <c r="AU365" s="61">
        <f t="shared" si="355"/>
        <v>-119.93244204041022</v>
      </c>
      <c r="AV365" s="32" t="str">
        <f t="shared" si="330"/>
        <v>-0.0000333333333333333</v>
      </c>
      <c r="AW365" s="32" t="str">
        <f t="shared" si="331"/>
        <v>0.00890063733667347i</v>
      </c>
      <c r="AX365" s="32">
        <f t="shared" si="356"/>
        <v>8.9006373366734698E-3</v>
      </c>
      <c r="AY365" s="32">
        <f t="shared" si="357"/>
        <v>1.5707963267948966</v>
      </c>
      <c r="AZ365" s="32" t="str">
        <f t="shared" si="332"/>
        <v>1+3.63133641339978i</v>
      </c>
      <c r="BA365" s="32">
        <f t="shared" si="358"/>
        <v>3.7665108717861382</v>
      </c>
      <c r="BB365" s="32">
        <f t="shared" si="359"/>
        <v>1.3020762072362175</v>
      </c>
      <c r="BC365" s="32" t="str">
        <f t="shared" si="333"/>
        <v>1+174.30414784319i</v>
      </c>
      <c r="BD365" s="32">
        <f t="shared" si="360"/>
        <v>174.3070163686495</v>
      </c>
      <c r="BE365" s="32">
        <f t="shared" si="361"/>
        <v>1.5650592916115191</v>
      </c>
      <c r="BF365" s="59" t="str">
        <f t="shared" si="362"/>
        <v>-0.0450550557487116+0.167355114713842i</v>
      </c>
      <c r="BG365" s="50">
        <f t="shared" si="363"/>
        <v>-15.223334333954764</v>
      </c>
      <c r="BH365" s="61">
        <f t="shared" si="364"/>
        <v>105.0678208180376</v>
      </c>
      <c r="BI365" s="59" t="str">
        <f t="shared" si="365"/>
        <v>0.0392687866938055-0.0480635032544023i</v>
      </c>
      <c r="BJ365" s="64">
        <f t="shared" si="366"/>
        <v>-24.142981682332625</v>
      </c>
      <c r="BK365" s="61">
        <f t="shared" si="367"/>
        <v>-50.750530866628466</v>
      </c>
      <c r="BL365" s="59" t="str">
        <f t="shared" si="318"/>
        <v>0.15858100095667-0.0420903064781559i</v>
      </c>
      <c r="BM365" s="64">
        <f t="shared" si="368"/>
        <v>-15.699325629976663</v>
      </c>
      <c r="BN365" s="61">
        <f t="shared" si="319"/>
        <v>-14.864621222372584</v>
      </c>
      <c r="BO365" s="50">
        <f t="shared" si="369"/>
        <v>-24.142981682332625</v>
      </c>
      <c r="BP365" s="61">
        <f t="shared" si="370"/>
        <v>-50.750530866628466</v>
      </c>
    </row>
    <row r="366" spans="14:68" x14ac:dyDescent="0.25">
      <c r="N366" s="11">
        <v>48</v>
      </c>
      <c r="O366" s="51">
        <f t="shared" si="320"/>
        <v>30199.517204020212</v>
      </c>
      <c r="P366" s="49" t="str">
        <f t="shared" si="321"/>
        <v>25.6231073841137</v>
      </c>
      <c r="Q366" s="18" t="str">
        <f t="shared" si="322"/>
        <v>1+164.091257121256i</v>
      </c>
      <c r="R366" s="18">
        <f t="shared" si="334"/>
        <v>164.09430417791515</v>
      </c>
      <c r="S366" s="18">
        <f t="shared" si="335"/>
        <v>1.5647022323368274</v>
      </c>
      <c r="T366" s="18" t="str">
        <f t="shared" si="323"/>
        <v>1+0.170774246502195i</v>
      </c>
      <c r="U366" s="18">
        <f t="shared" si="336"/>
        <v>1.0144771280163947</v>
      </c>
      <c r="V366" s="18">
        <f t="shared" si="337"/>
        <v>0.1691425600276848</v>
      </c>
      <c r="W366" s="32" t="str">
        <f t="shared" si="324"/>
        <v>1-3.82660811606771i</v>
      </c>
      <c r="X366" s="18">
        <f t="shared" si="338"/>
        <v>3.9551143692635824</v>
      </c>
      <c r="Y366" s="18">
        <f t="shared" si="339"/>
        <v>-1.3151847217457344</v>
      </c>
      <c r="Z366" s="32" t="str">
        <f t="shared" si="325"/>
        <v>0.977199729016102+0.30296616323908i</v>
      </c>
      <c r="AA366" s="18">
        <f t="shared" si="340"/>
        <v>1.0230873894526078</v>
      </c>
      <c r="AB366" s="18">
        <f t="shared" si="341"/>
        <v>0.30063764336787585</v>
      </c>
      <c r="AC366" s="32" t="str">
        <f>IMDIV(IMSUM(COMPLEX(0,2*PI()*O366*Constants!$B$71*Constants!$B$72),COMPLEX(1,0)),IMSUM(COMPLEX(0,2*PI()*O366*Constants!$B$71*Constants!$B$72),COMPLEX(2,0)))</f>
        <v>0.562944313745596+0.165861901110213i</v>
      </c>
      <c r="AD366" s="18">
        <f t="shared" si="342"/>
        <v>0.5868700628064053</v>
      </c>
      <c r="AE366" s="18">
        <f t="shared" si="343"/>
        <v>0.28652558132109773</v>
      </c>
      <c r="AF366" s="66" t="str">
        <f t="shared" si="344"/>
        <v>-0.328633722747817-0.145474166055771i</v>
      </c>
      <c r="AG366" s="64">
        <f t="shared" si="345"/>
        <v>-8.8886235818426602</v>
      </c>
      <c r="AH366" s="61">
        <f t="shared" si="346"/>
        <v>-156.12277471359926</v>
      </c>
      <c r="AI366" s="50" t="str">
        <f t="shared" si="326"/>
        <v>108.866083054159</v>
      </c>
      <c r="AJ366" s="50" t="str">
        <f t="shared" si="327"/>
        <v>1+155.249315001996i</v>
      </c>
      <c r="AK366" s="50">
        <f t="shared" si="347"/>
        <v>155.25253559471736</v>
      </c>
      <c r="AL366" s="50">
        <f t="shared" si="348"/>
        <v>1.5643551636218338</v>
      </c>
      <c r="AM366" s="50" t="str">
        <f t="shared" si="328"/>
        <v>1+0.170774246502195i</v>
      </c>
      <c r="AN366" s="50">
        <f t="shared" si="349"/>
        <v>1.0144771280163947</v>
      </c>
      <c r="AO366" s="50">
        <f t="shared" si="350"/>
        <v>0.1691425600276848</v>
      </c>
      <c r="AP366" s="50" t="str">
        <f t="shared" si="329"/>
        <v>1-0.8521124845417i</v>
      </c>
      <c r="AQ366" s="50">
        <f t="shared" si="351"/>
        <v>1.3138096080908486</v>
      </c>
      <c r="AR366" s="50">
        <f t="shared" si="352"/>
        <v>-0.70571919261943183</v>
      </c>
      <c r="AS366" s="59" t="str">
        <f t="shared" si="353"/>
        <v>-0.47258375672809-0.806320697277142i</v>
      </c>
      <c r="AT366" s="50">
        <f t="shared" si="354"/>
        <v>-0.58742821327407113</v>
      </c>
      <c r="AU366" s="61">
        <f t="shared" si="355"/>
        <v>-120.37452496787736</v>
      </c>
      <c r="AV366" s="32" t="str">
        <f t="shared" si="330"/>
        <v>-0.0000333333333333333</v>
      </c>
      <c r="AW366" s="32" t="str">
        <f t="shared" si="331"/>
        <v>0.00910795981345041i</v>
      </c>
      <c r="AX366" s="32">
        <f t="shared" si="356"/>
        <v>9.10795981345041E-3</v>
      </c>
      <c r="AY366" s="32">
        <f t="shared" si="357"/>
        <v>1.5707963267948966</v>
      </c>
      <c r="AZ366" s="32" t="str">
        <f t="shared" si="332"/>
        <v>1+3.71592110444592i</v>
      </c>
      <c r="BA366" s="32">
        <f t="shared" si="358"/>
        <v>3.8481254728070633</v>
      </c>
      <c r="BB366" s="32">
        <f t="shared" si="359"/>
        <v>1.3079120795730366</v>
      </c>
      <c r="BC366" s="32" t="str">
        <f t="shared" si="333"/>
        <v>1+178.364213013404i</v>
      </c>
      <c r="BD366" s="32">
        <f t="shared" si="360"/>
        <v>178.36701624429043</v>
      </c>
      <c r="BE366" s="32">
        <f t="shared" si="361"/>
        <v>1.5651898797074051</v>
      </c>
      <c r="BF366" s="59" t="str">
        <f t="shared" si="362"/>
        <v>-0.0431641838305336+0.164054504068418i</v>
      </c>
      <c r="BG366" s="50">
        <f t="shared" si="363"/>
        <v>-15.409540746592311</v>
      </c>
      <c r="BH366" s="61">
        <f t="shared" si="364"/>
        <v>104.74093211010968</v>
      </c>
      <c r="BI366" s="59" t="str">
        <f t="shared" si="365"/>
        <v>0.0380508985886456-0.0476345687593262i</v>
      </c>
      <c r="BJ366" s="64">
        <f t="shared" si="366"/>
        <v>-24.298164328434972</v>
      </c>
      <c r="BK366" s="61">
        <f t="shared" si="367"/>
        <v>-51.381842603489552</v>
      </c>
      <c r="BL366" s="59" t="str">
        <f t="shared" si="318"/>
        <v>0.152679234262638-0.0427253190371821i</v>
      </c>
      <c r="BM366" s="64">
        <f t="shared" si="368"/>
        <v>-15.996968959866383</v>
      </c>
      <c r="BN366" s="61">
        <f t="shared" si="319"/>
        <v>-15.633592857767661</v>
      </c>
      <c r="BO366" s="50">
        <f t="shared" si="369"/>
        <v>-24.298164328434972</v>
      </c>
      <c r="BP366" s="61">
        <f t="shared" si="370"/>
        <v>-51.381842603489552</v>
      </c>
    </row>
    <row r="367" spans="14:68" x14ac:dyDescent="0.25">
      <c r="N367" s="11">
        <v>49</v>
      </c>
      <c r="O367" s="51">
        <f t="shared" si="320"/>
        <v>30902.954325135954</v>
      </c>
      <c r="P367" s="49" t="str">
        <f t="shared" si="321"/>
        <v>25.6231073841137</v>
      </c>
      <c r="Q367" s="18" t="str">
        <f t="shared" si="322"/>
        <v>1+167.913433506721i</v>
      </c>
      <c r="R367" s="18">
        <f t="shared" si="334"/>
        <v>167.91641120514697</v>
      </c>
      <c r="S367" s="18">
        <f t="shared" si="335"/>
        <v>1.5648409475443654</v>
      </c>
      <c r="T367" s="18" t="str">
        <f t="shared" si="323"/>
        <v>1+0.174752089707723i</v>
      </c>
      <c r="U367" s="18">
        <f t="shared" si="336"/>
        <v>1.0151543197254376</v>
      </c>
      <c r="V367" s="18">
        <f t="shared" si="337"/>
        <v>0.173005112687657</v>
      </c>
      <c r="W367" s="32" t="str">
        <f t="shared" si="324"/>
        <v>1-3.91574126937675i</v>
      </c>
      <c r="X367" s="18">
        <f t="shared" si="338"/>
        <v>4.0414143178719302</v>
      </c>
      <c r="Y367" s="18">
        <f t="shared" si="339"/>
        <v>-1.3207610598711603</v>
      </c>
      <c r="Z367" s="32" t="str">
        <f t="shared" si="325"/>
        <v>0.976125185349464+0.310023151740737i</v>
      </c>
      <c r="AA367" s="18">
        <f t="shared" si="340"/>
        <v>1.0241751471739515</v>
      </c>
      <c r="AB367" s="18">
        <f t="shared" si="341"/>
        <v>0.30752975281977768</v>
      </c>
      <c r="AC367" s="32" t="str">
        <f>IMDIV(IMSUM(COMPLEX(0,2*PI()*O367*Constants!$B$71*Constants!$B$72),COMPLEX(1,0)),IMSUM(COMPLEX(0,2*PI()*O367*Constants!$B$71*Constants!$B$72),COMPLEX(2,0)))</f>
        <v>0.565522048936238+0.168724288622938i</v>
      </c>
      <c r="AD367" s="18">
        <f t="shared" si="342"/>
        <v>0.59015512655941349</v>
      </c>
      <c r="AE367" s="18">
        <f t="shared" si="343"/>
        <v>0.28994362157589387</v>
      </c>
      <c r="AF367" s="66" t="str">
        <f t="shared" si="344"/>
        <v>-0.330640469737978-0.144261130156407i</v>
      </c>
      <c r="AG367" s="64">
        <f t="shared" si="345"/>
        <v>-8.856079062976244</v>
      </c>
      <c r="AH367" s="61">
        <f t="shared" si="346"/>
        <v>-156.42796468643738</v>
      </c>
      <c r="AI367" s="50" t="str">
        <f t="shared" si="326"/>
        <v>108.866083054159</v>
      </c>
      <c r="AJ367" s="50" t="str">
        <f t="shared" si="327"/>
        <v>1+158.86553609793i</v>
      </c>
      <c r="AK367" s="50">
        <f t="shared" si="347"/>
        <v>158.86868338248007</v>
      </c>
      <c r="AL367" s="50">
        <f t="shared" si="348"/>
        <v>1.5645017784780366</v>
      </c>
      <c r="AM367" s="50" t="str">
        <f t="shared" si="328"/>
        <v>1+0.174752089707723i</v>
      </c>
      <c r="AN367" s="50">
        <f t="shared" si="349"/>
        <v>1.0151543197254376</v>
      </c>
      <c r="AO367" s="50">
        <f t="shared" si="350"/>
        <v>0.173005112687657</v>
      </c>
      <c r="AP367" s="50" t="str">
        <f t="shared" si="329"/>
        <v>1-0.871960734066463i</v>
      </c>
      <c r="AQ367" s="50">
        <f t="shared" si="351"/>
        <v>1.3267688275482377</v>
      </c>
      <c r="AR367" s="50">
        <f t="shared" si="352"/>
        <v>-0.71710605058387833</v>
      </c>
      <c r="AS367" s="59" t="str">
        <f t="shared" si="353"/>
        <v>-0.472787921703872-0.792667540724446i</v>
      </c>
      <c r="AT367" s="50">
        <f t="shared" si="354"/>
        <v>-0.69636745300565606</v>
      </c>
      <c r="AU367" s="61">
        <f t="shared" si="355"/>
        <v>-120.81403631806594</v>
      </c>
      <c r="AV367" s="32" t="str">
        <f t="shared" si="330"/>
        <v>-0.0000333333333333333</v>
      </c>
      <c r="AW367" s="32" t="str">
        <f t="shared" si="331"/>
        <v>0.00932011145107853i</v>
      </c>
      <c r="AX367" s="32">
        <f t="shared" si="356"/>
        <v>9.3201114510785294E-3</v>
      </c>
      <c r="AY367" s="32">
        <f t="shared" si="357"/>
        <v>1.5707963267948966</v>
      </c>
      <c r="AZ367" s="32" t="str">
        <f t="shared" si="332"/>
        <v>1+3.80247602604767i</v>
      </c>
      <c r="BA367" s="32">
        <f t="shared" si="358"/>
        <v>3.931771093116597</v>
      </c>
      <c r="BB367" s="32">
        <f t="shared" si="359"/>
        <v>1.3136328785396842</v>
      </c>
      <c r="BC367" s="32" t="str">
        <f t="shared" si="333"/>
        <v>1+182.518849250288i</v>
      </c>
      <c r="BD367" s="32">
        <f t="shared" si="360"/>
        <v>182.52158867281798</v>
      </c>
      <c r="BE367" s="32">
        <f t="shared" si="361"/>
        <v>1.5653174954400904</v>
      </c>
      <c r="BF367" s="59" t="str">
        <f t="shared" si="362"/>
        <v>-0.0413471454031783+0.1607980242837i</v>
      </c>
      <c r="BG367" s="50">
        <f t="shared" si="363"/>
        <v>-15.596326911768799</v>
      </c>
      <c r="BH367" s="61">
        <f t="shared" si="364"/>
        <v>104.42046631676017</v>
      </c>
      <c r="BI367" s="59" t="str">
        <f t="shared" si="365"/>
        <v>0.0368679442885153-0.0472015483574976i</v>
      </c>
      <c r="BJ367" s="64">
        <f t="shared" si="366"/>
        <v>-24.452405974745037</v>
      </c>
      <c r="BK367" s="61">
        <f t="shared" si="367"/>
        <v>-52.007498369677215</v>
      </c>
      <c r="BL367" s="59" t="str">
        <f t="shared" si="318"/>
        <v>0.147007805405867-0.0432488236524658i</v>
      </c>
      <c r="BM367" s="64">
        <f t="shared" si="368"/>
        <v>-16.292694364774441</v>
      </c>
      <c r="BN367" s="61">
        <f t="shared" si="319"/>
        <v>-16.393570001305751</v>
      </c>
      <c r="BO367" s="50">
        <f t="shared" si="369"/>
        <v>-24.452405974745037</v>
      </c>
      <c r="BP367" s="61">
        <f t="shared" si="370"/>
        <v>-52.007498369677215</v>
      </c>
    </row>
    <row r="368" spans="14:68" x14ac:dyDescent="0.25">
      <c r="N368" s="11">
        <v>50</v>
      </c>
      <c r="O368" s="51">
        <f t="shared" si="320"/>
        <v>31622.77660168384</v>
      </c>
      <c r="P368" s="49" t="str">
        <f t="shared" si="321"/>
        <v>25.6231073841137</v>
      </c>
      <c r="Q368" s="18" t="str">
        <f t="shared" si="322"/>
        <v>1+171.824639817228i</v>
      </c>
      <c r="R368" s="18">
        <f t="shared" si="334"/>
        <v>171.8275497361239</v>
      </c>
      <c r="S368" s="18">
        <f t="shared" si="335"/>
        <v>1.564976505429746</v>
      </c>
      <c r="T368" s="18" t="str">
        <f t="shared" si="323"/>
        <v>1+0.17882258878433i</v>
      </c>
      <c r="U368" s="18">
        <f t="shared" si="336"/>
        <v>1.0158629426549282</v>
      </c>
      <c r="V368" s="18">
        <f t="shared" si="337"/>
        <v>0.17695224425904335</v>
      </c>
      <c r="W368" s="32" t="str">
        <f t="shared" si="324"/>
        <v>1-4.00695060053776i</v>
      </c>
      <c r="X368" s="18">
        <f t="shared" si="338"/>
        <v>4.1298490426588126</v>
      </c>
      <c r="Y368" s="18">
        <f t="shared" si="339"/>
        <v>-1.3262258549300385</v>
      </c>
      <c r="Z368" s="32" t="str">
        <f t="shared" si="325"/>
        <v>0.975+0.317244518621089i</v>
      </c>
      <c r="AA368" s="18">
        <f t="shared" si="340"/>
        <v>1.0253141394690344</v>
      </c>
      <c r="AB368" s="18">
        <f t="shared" si="341"/>
        <v>0.31457464750751796</v>
      </c>
      <c r="AC368" s="32" t="str">
        <f>IMDIV(IMSUM(COMPLEX(0,2*PI()*O368*Constants!$B$71*Constants!$B$72),COMPLEX(1,0)),IMSUM(COMPLEX(0,2*PI()*O368*Constants!$B$71*Constants!$B$72),COMPLEX(2,0)))</f>
        <v>0.568188879038151+0.171594627813914i</v>
      </c>
      <c r="AD368" s="18">
        <f t="shared" si="342"/>
        <v>0.59353459760760885</v>
      </c>
      <c r="AE368" s="18">
        <f t="shared" si="343"/>
        <v>0.29329320392394331</v>
      </c>
      <c r="AF368" s="66" t="str">
        <f t="shared" si="344"/>
        <v>-0.332708151023541-0.14304993284353i</v>
      </c>
      <c r="AG368" s="64">
        <f t="shared" si="345"/>
        <v>-8.8220522420274978</v>
      </c>
      <c r="AH368" s="61">
        <f t="shared" si="346"/>
        <v>-156.73441309475075</v>
      </c>
      <c r="AI368" s="50" t="str">
        <f t="shared" si="326"/>
        <v>108.866083054159</v>
      </c>
      <c r="AJ368" s="50" t="str">
        <f t="shared" si="327"/>
        <v>1+162.565989803937i</v>
      </c>
      <c r="AK368" s="50">
        <f t="shared" si="347"/>
        <v>162.56906544891544</v>
      </c>
      <c r="AL368" s="50">
        <f t="shared" si="348"/>
        <v>1.5646450562341576</v>
      </c>
      <c r="AM368" s="50" t="str">
        <f t="shared" si="328"/>
        <v>1+0.17882258878433i</v>
      </c>
      <c r="AN368" s="50">
        <f t="shared" si="349"/>
        <v>1.0158629426549282</v>
      </c>
      <c r="AO368" s="50">
        <f t="shared" si="350"/>
        <v>0.17695224425904335</v>
      </c>
      <c r="AP368" s="50" t="str">
        <f t="shared" si="329"/>
        <v>1-0.892271308714193i</v>
      </c>
      <c r="AQ368" s="50">
        <f t="shared" si="351"/>
        <v>1.3402044949762475</v>
      </c>
      <c r="AR368" s="50">
        <f t="shared" si="352"/>
        <v>-0.72852865997540728</v>
      </c>
      <c r="AS368" s="59" t="str">
        <f t="shared" si="353"/>
        <v>-0.472982898453831-0.779434551285796i</v>
      </c>
      <c r="AT368" s="50">
        <f t="shared" si="354"/>
        <v>-0.80278246606286041</v>
      </c>
      <c r="AU368" s="61">
        <f t="shared" si="355"/>
        <v>-121.2505588577276</v>
      </c>
      <c r="AV368" s="32" t="str">
        <f t="shared" si="330"/>
        <v>-0.0000333333333333333</v>
      </c>
      <c r="AW368" s="32" t="str">
        <f t="shared" si="331"/>
        <v>0.00953720473516427i</v>
      </c>
      <c r="AX368" s="32">
        <f t="shared" si="356"/>
        <v>9.5372047351642703E-3</v>
      </c>
      <c r="AY368" s="32">
        <f t="shared" si="357"/>
        <v>1.5707963267948966</v>
      </c>
      <c r="AZ368" s="32" t="str">
        <f t="shared" si="332"/>
        <v>1+3.89104707077014i</v>
      </c>
      <c r="BA368" s="32">
        <f t="shared" si="358"/>
        <v>4.0174926642059834</v>
      </c>
      <c r="BB368" s="32">
        <f t="shared" si="359"/>
        <v>1.3192401389428261</v>
      </c>
      <c r="BC368" s="32" t="str">
        <f t="shared" si="333"/>
        <v>1+186.770259396967i</v>
      </c>
      <c r="BD368" s="32">
        <f t="shared" si="360"/>
        <v>186.77293646353141</v>
      </c>
      <c r="BE368" s="32">
        <f t="shared" si="361"/>
        <v>1.5654422064564895</v>
      </c>
      <c r="BF368" s="59" t="str">
        <f t="shared" si="362"/>
        <v>-0.0396015146846946+0.157586441885865i</v>
      </c>
      <c r="BG368" s="50">
        <f t="shared" si="363"/>
        <v>-15.783670120441</v>
      </c>
      <c r="BH368" s="61">
        <f t="shared" si="364"/>
        <v>104.10633937592782</v>
      </c>
      <c r="BI368" s="59" t="str">
        <f t="shared" si="365"/>
        <v>0.0357184766573002-0.0467652996900772i</v>
      </c>
      <c r="BJ368" s="64">
        <f t="shared" si="366"/>
        <v>-24.605722362468498</v>
      </c>
      <c r="BK368" s="61">
        <f t="shared" si="367"/>
        <v>-52.628073718822918</v>
      </c>
      <c r="BL368" s="59" t="str">
        <f t="shared" si="318"/>
        <v>0.141559156818763-0.0436689032116998i</v>
      </c>
      <c r="BM368" s="64">
        <f t="shared" si="368"/>
        <v>-16.586452586503867</v>
      </c>
      <c r="BN368" s="61">
        <f t="shared" si="319"/>
        <v>-17.144219481799791</v>
      </c>
      <c r="BO368" s="50">
        <f t="shared" si="369"/>
        <v>-24.605722362468498</v>
      </c>
      <c r="BP368" s="61">
        <f t="shared" si="370"/>
        <v>-52.628073718822918</v>
      </c>
    </row>
    <row r="369" spans="14:68" x14ac:dyDescent="0.25">
      <c r="N369" s="11">
        <v>51</v>
      </c>
      <c r="O369" s="51">
        <f t="shared" si="320"/>
        <v>32359.365692962871</v>
      </c>
      <c r="P369" s="49" t="str">
        <f t="shared" si="321"/>
        <v>25.6231073841137</v>
      </c>
      <c r="Q369" s="18" t="str">
        <f t="shared" si="322"/>
        <v>1+175.826949826134i</v>
      </c>
      <c r="R369" s="18">
        <f t="shared" si="334"/>
        <v>175.82979350827279</v>
      </c>
      <c r="S369" s="18">
        <f t="shared" si="335"/>
        <v>1.565108977847615</v>
      </c>
      <c r="T369" s="18" t="str">
        <f t="shared" si="323"/>
        <v>1+0.182987901964508i</v>
      </c>
      <c r="U369" s="18">
        <f t="shared" si="336"/>
        <v>1.0166044325426544</v>
      </c>
      <c r="V369" s="18">
        <f t="shared" si="337"/>
        <v>0.18098555535330449</v>
      </c>
      <c r="W369" s="32" t="str">
        <f t="shared" si="324"/>
        <v>1-4.10028446994545i</v>
      </c>
      <c r="X369" s="18">
        <f t="shared" si="338"/>
        <v>4.2204659380779086</v>
      </c>
      <c r="Y369" s="18">
        <f t="shared" si="339"/>
        <v>-1.3315806982696139</v>
      </c>
      <c r="Z369" s="32" t="str">
        <f t="shared" si="325"/>
        <v>0.973821786298728+0.324634092744441i</v>
      </c>
      <c r="AA369" s="18">
        <f t="shared" si="340"/>
        <v>1.0265067781763801</v>
      </c>
      <c r="AB369" s="18">
        <f t="shared" si="341"/>
        <v>0.321775350905738</v>
      </c>
      <c r="AC369" s="32" t="str">
        <f>IMDIV(IMSUM(COMPLEX(0,2*PI()*O369*Constants!$B$71*Constants!$B$72),COMPLEX(1,0)),IMSUM(COMPLEX(0,2*PI()*O369*Constants!$B$71*Constants!$B$72),COMPLEX(2,0)))</f>
        <v>0.570946528291938+0.174470210263215i</v>
      </c>
      <c r="AD369" s="18">
        <f t="shared" si="342"/>
        <v>0.5970090388242939</v>
      </c>
      <c r="AE369" s="18">
        <f t="shared" si="343"/>
        <v>0.29656875894680212</v>
      </c>
      <c r="AF369" s="66" t="str">
        <f t="shared" si="344"/>
        <v>-0.334837329943791-0.141836185986899i</v>
      </c>
      <c r="AG369" s="64">
        <f t="shared" si="345"/>
        <v>-8.7865837161702025</v>
      </c>
      <c r="AH369" s="61">
        <f t="shared" si="346"/>
        <v>-157.04261586121427</v>
      </c>
      <c r="AI369" s="50" t="str">
        <f t="shared" si="326"/>
        <v>108.866083054159</v>
      </c>
      <c r="AJ369" s="50" t="str">
        <f t="shared" si="327"/>
        <v>1+166.352638149553i</v>
      </c>
      <c r="AK369" s="50">
        <f t="shared" si="347"/>
        <v>166.35564378558402</v>
      </c>
      <c r="AL369" s="50">
        <f t="shared" si="348"/>
        <v>1.5647850728344159</v>
      </c>
      <c r="AM369" s="50" t="str">
        <f t="shared" si="328"/>
        <v>1+0.182987901964508i</v>
      </c>
      <c r="AN369" s="50">
        <f t="shared" si="349"/>
        <v>1.0166044325426544</v>
      </c>
      <c r="AO369" s="50">
        <f t="shared" si="350"/>
        <v>0.18098555535330449</v>
      </c>
      <c r="AP369" s="50" t="str">
        <f t="shared" si="329"/>
        <v>1-0.91305497742041i</v>
      </c>
      <c r="AQ369" s="50">
        <f t="shared" si="351"/>
        <v>1.3541304928965248</v>
      </c>
      <c r="AR369" s="50">
        <f t="shared" si="352"/>
        <v>-0.73998115513109419</v>
      </c>
      <c r="AS369" s="59" t="str">
        <f t="shared" si="353"/>
        <v>-0.473169100453627-0.766614720377486i</v>
      </c>
      <c r="AT369" s="50">
        <f t="shared" si="354"/>
        <v>-0.9066485008564531</v>
      </c>
      <c r="AU369" s="61">
        <f t="shared" si="355"/>
        <v>-121.6836691521345</v>
      </c>
      <c r="AV369" s="32" t="str">
        <f t="shared" si="330"/>
        <v>-0.0000333333333333333</v>
      </c>
      <c r="AW369" s="32" t="str">
        <f t="shared" si="331"/>
        <v>0.00975935477144043i</v>
      </c>
      <c r="AX369" s="32">
        <f t="shared" si="356"/>
        <v>9.7593547714404302E-3</v>
      </c>
      <c r="AY369" s="32">
        <f t="shared" si="357"/>
        <v>1.5707963267948966</v>
      </c>
      <c r="AZ369" s="32" t="str">
        <f t="shared" si="332"/>
        <v>1+3.98168120015364i</v>
      </c>
      <c r="BA369" s="32">
        <f t="shared" si="358"/>
        <v>4.1053361835124944</v>
      </c>
      <c r="BB369" s="32">
        <f t="shared" si="359"/>
        <v>1.3247354228382082</v>
      </c>
      <c r="BC369" s="32" t="str">
        <f t="shared" si="333"/>
        <v>1+191.120697607375i</v>
      </c>
      <c r="BD369" s="32">
        <f t="shared" si="360"/>
        <v>191.12331373730854</v>
      </c>
      <c r="BE369" s="32">
        <f t="shared" si="361"/>
        <v>1.5655640788645084</v>
      </c>
      <c r="BF369" s="59" t="str">
        <f t="shared" si="362"/>
        <v>-0.0379249073087896+0.154420416794108i</v>
      </c>
      <c r="BG369" s="50">
        <f t="shared" si="363"/>
        <v>-15.971548415609739</v>
      </c>
      <c r="BH369" s="61">
        <f t="shared" si="364"/>
        <v>103.79846557611482</v>
      </c>
      <c r="BI369" s="59" t="str">
        <f t="shared" si="365"/>
        <v>0.0346010776582244-0.0463265958415611i</v>
      </c>
      <c r="BJ369" s="64">
        <f t="shared" si="366"/>
        <v>-24.758132131779945</v>
      </c>
      <c r="BK369" s="61">
        <f t="shared" si="367"/>
        <v>-53.244150285099501</v>
      </c>
      <c r="BL369" s="59" t="str">
        <f t="shared" si="318"/>
        <v>0.136325858917277-0.0439931774942724i</v>
      </c>
      <c r="BM369" s="64">
        <f t="shared" si="368"/>
        <v>-16.878196916466198</v>
      </c>
      <c r="BN369" s="61">
        <f t="shared" si="319"/>
        <v>-17.885203576019691</v>
      </c>
      <c r="BO369" s="50">
        <f t="shared" si="369"/>
        <v>-24.758132131779945</v>
      </c>
      <c r="BP369" s="61">
        <f t="shared" si="370"/>
        <v>-53.244150285099501</v>
      </c>
    </row>
    <row r="370" spans="14:68" x14ac:dyDescent="0.25">
      <c r="N370" s="11">
        <v>52</v>
      </c>
      <c r="O370" s="51">
        <f t="shared" si="320"/>
        <v>33113.11214825909</v>
      </c>
      <c r="P370" s="49" t="str">
        <f t="shared" si="321"/>
        <v>25.6231073841137</v>
      </c>
      <c r="Q370" s="18" t="str">
        <f t="shared" si="322"/>
        <v>1+179.922485611182i</v>
      </c>
      <c r="R370" s="18">
        <f t="shared" si="334"/>
        <v>179.92526456422397</v>
      </c>
      <c r="S370" s="18">
        <f t="shared" si="335"/>
        <v>1.5652384350179929</v>
      </c>
      <c r="T370" s="18" t="str">
        <f t="shared" si="323"/>
        <v>1+0.187250237752438i</v>
      </c>
      <c r="U370" s="18">
        <f t="shared" si="336"/>
        <v>1.017380288554061</v>
      </c>
      <c r="V370" s="18">
        <f t="shared" si="337"/>
        <v>0.18510665932826315</v>
      </c>
      <c r="W370" s="32" t="str">
        <f t="shared" si="324"/>
        <v>1-4.19579236445278i</v>
      </c>
      <c r="X370" s="18">
        <f t="shared" si="338"/>
        <v>4.3133135250756176</v>
      </c>
      <c r="Y370" s="18">
        <f t="shared" si="339"/>
        <v>-1.3368272001961554</v>
      </c>
      <c r="Z370" s="32" t="str">
        <f t="shared" si="325"/>
        <v>0.97258804509642+0.332195792160807i</v>
      </c>
      <c r="AA370" s="18">
        <f t="shared" si="340"/>
        <v>1.0277555885490588</v>
      </c>
      <c r="AB370" s="18">
        <f t="shared" si="341"/>
        <v>0.32913492088157015</v>
      </c>
      <c r="AC370" s="32" t="str">
        <f>IMDIV(IMSUM(COMPLEX(0,2*PI()*O370*Constants!$B$71*Constants!$B$72),COMPLEX(1,0)),IMSUM(COMPLEX(0,2*PI()*O370*Constants!$B$71*Constants!$B$72),COMPLEX(2,0)))</f>
        <v>0.573796641246626+0.177348178349905i</v>
      </c>
      <c r="AD370" s="18">
        <f t="shared" si="342"/>
        <v>0.6005788556633832</v>
      </c>
      <c r="AE370" s="18">
        <f t="shared" si="343"/>
        <v>0.29976470043003212</v>
      </c>
      <c r="AF370" s="66" t="str">
        <f t="shared" si="344"/>
        <v>-0.337028438795222-0.140615381501995i</v>
      </c>
      <c r="AG370" s="64">
        <f t="shared" si="345"/>
        <v>-8.7497163185553752</v>
      </c>
      <c r="AH370" s="61">
        <f t="shared" si="346"/>
        <v>-157.35307210368956</v>
      </c>
      <c r="AI370" s="50" t="str">
        <f t="shared" si="326"/>
        <v>108.866083054159</v>
      </c>
      <c r="AJ370" s="50" t="str">
        <f t="shared" si="327"/>
        <v>1+170.227488865853i</v>
      </c>
      <c r="AK370" s="50">
        <f t="shared" si="347"/>
        <v>170.2304260864494</v>
      </c>
      <c r="AL370" s="50">
        <f t="shared" si="348"/>
        <v>1.5649219024954937</v>
      </c>
      <c r="AM370" s="50" t="str">
        <f t="shared" si="328"/>
        <v>1+0.187250237752438i</v>
      </c>
      <c r="AN370" s="50">
        <f t="shared" si="349"/>
        <v>1.017380288554061</v>
      </c>
      <c r="AO370" s="50">
        <f t="shared" si="350"/>
        <v>0.18510665932826315</v>
      </c>
      <c r="AP370" s="50" t="str">
        <f t="shared" si="329"/>
        <v>1-0.934322759961367i</v>
      </c>
      <c r="AQ370" s="50">
        <f t="shared" si="351"/>
        <v>1.3685609302408959</v>
      </c>
      <c r="AR370" s="50">
        <f t="shared" si="352"/>
        <v>-0.75145759245214305</v>
      </c>
      <c r="AS370" s="59" t="str">
        <f t="shared" si="353"/>
        <v>-0.47334692257496-0.754201257962542i</v>
      </c>
      <c r="AT370" s="50">
        <f t="shared" si="354"/>
        <v>-1.0079426411417389</v>
      </c>
      <c r="AU370" s="61">
        <f t="shared" si="355"/>
        <v>-122.11293847186936</v>
      </c>
      <c r="AV370" s="32" t="str">
        <f t="shared" si="330"/>
        <v>-0.0000333333333333333</v>
      </c>
      <c r="AW370" s="32" t="str">
        <f t="shared" si="331"/>
        <v>0.00998667934679671i</v>
      </c>
      <c r="AX370" s="32">
        <f t="shared" si="356"/>
        <v>9.9866793467967094E-3</v>
      </c>
      <c r="AY370" s="32">
        <f t="shared" si="357"/>
        <v>1.5707963267948966</v>
      </c>
      <c r="AZ370" s="32" t="str">
        <f t="shared" si="332"/>
        <v>1+4.07442646961324i</v>
      </c>
      <c r="BA370" s="32">
        <f t="shared" si="358"/>
        <v>4.1953487407228742</v>
      </c>
      <c r="BB370" s="32">
        <f t="shared" si="359"/>
        <v>1.3301203157569566</v>
      </c>
      <c r="BC370" s="32" t="str">
        <f t="shared" si="333"/>
        <v>1+195.572470541436i</v>
      </c>
      <c r="BD370" s="32">
        <f t="shared" si="360"/>
        <v>195.57502712176941</v>
      </c>
      <c r="BE370" s="32">
        <f t="shared" si="361"/>
        <v>1.5656831772680213</v>
      </c>
      <c r="BF370" s="59" t="str">
        <f t="shared" si="362"/>
        <v>-0.0363149831333973+0.151300507995889i</v>
      </c>
      <c r="BG370" s="50">
        <f t="shared" si="363"/>
        <v>-16.159940578937281</v>
      </c>
      <c r="BH370" s="61">
        <f t="shared" si="364"/>
        <v>103.49675777460874</v>
      </c>
      <c r="BI370" s="59" t="str">
        <f t="shared" si="365"/>
        <v>0.0335143607236113-0.0458861287912373i</v>
      </c>
      <c r="BJ370" s="64">
        <f t="shared" si="366"/>
        <v>-24.909656897492653</v>
      </c>
      <c r="BK370" s="61">
        <f t="shared" si="367"/>
        <v>-53.856314329080803</v>
      </c>
      <c r="BL370" s="59" t="str">
        <f t="shared" ref="BL370:BL433" si="371">IMPRODUCT(AS370,BF370)</f>
        <v>0.131300618970426-0.0442288238817855i</v>
      </c>
      <c r="BM370" s="64">
        <f t="shared" si="368"/>
        <v>-17.167883220079041</v>
      </c>
      <c r="BN370" s="61">
        <f t="shared" ref="BN370:BN433" si="372">(180/PI())*IMARGUMENT(BL370)</f>
        <v>-18.616180697260678</v>
      </c>
      <c r="BO370" s="50">
        <f t="shared" si="369"/>
        <v>-24.909656897492653</v>
      </c>
      <c r="BP370" s="61">
        <f t="shared" si="370"/>
        <v>-53.856314329080803</v>
      </c>
    </row>
    <row r="371" spans="14:68" x14ac:dyDescent="0.25">
      <c r="N371" s="11">
        <v>53</v>
      </c>
      <c r="O371" s="51">
        <f t="shared" si="320"/>
        <v>33884.41561392029</v>
      </c>
      <c r="P371" s="49" t="str">
        <f t="shared" si="321"/>
        <v>25.6231073841137</v>
      </c>
      <c r="Q371" s="18" t="str">
        <f t="shared" si="322"/>
        <v>1+184.113418679658i</v>
      </c>
      <c r="R371" s="18">
        <f t="shared" si="334"/>
        <v>184.11613437694982</v>
      </c>
      <c r="S371" s="18">
        <f t="shared" si="335"/>
        <v>1.5653649455634184</v>
      </c>
      <c r="T371" s="18" t="str">
        <f t="shared" si="323"/>
        <v>1+0.191611856094976i</v>
      </c>
      <c r="U371" s="18">
        <f t="shared" si="336"/>
        <v>1.0181920758855678</v>
      </c>
      <c r="V371" s="18">
        <f t="shared" si="337"/>
        <v>0.18931718104761955</v>
      </c>
      <c r="W371" s="32" t="str">
        <f t="shared" si="324"/>
        <v>1-4.29352492360965i</v>
      </c>
      <c r="X371" s="18">
        <f t="shared" si="338"/>
        <v>4.4084414785337964</v>
      </c>
      <c r="Y371" s="18">
        <f t="shared" si="339"/>
        <v>-1.3419669866572659</v>
      </c>
      <c r="Z371" s="32" t="str">
        <f t="shared" si="325"/>
        <v>0.971296159462578+0.339933626183309i</v>
      </c>
      <c r="AA371" s="18">
        <f t="shared" si="340"/>
        <v>1.0290632145776506</v>
      </c>
      <c r="AB371" s="18">
        <f t="shared" si="341"/>
        <v>0.33665644818070606</v>
      </c>
      <c r="AC371" s="32" t="str">
        <f>IMDIV(IMSUM(COMPLEX(0,2*PI()*O371*Constants!$B$71*Constants!$B$72),COMPLEX(1,0)),IMSUM(COMPLEX(0,2*PI()*O371*Constants!$B$71*Constants!$B$72),COMPLEX(2,0)))</f>
        <v>0.576740771955686+0.180225525099772i</v>
      </c>
      <c r="AD371" s="18">
        <f t="shared" si="342"/>
        <v>0.60424428663705976</v>
      </c>
      <c r="AE371" s="18">
        <f t="shared" si="343"/>
        <v>0.30287544411090001</v>
      </c>
      <c r="AF371" s="66" t="str">
        <f t="shared" si="344"/>
        <v>-0.33928176651494-0.139382892547949i</v>
      </c>
      <c r="AG371" s="64">
        <f t="shared" si="345"/>
        <v>-8.7114951979526758</v>
      </c>
      <c r="AH371" s="61">
        <f t="shared" si="346"/>
        <v>-157.66628285743138</v>
      </c>
      <c r="AI371" s="50" t="str">
        <f t="shared" si="326"/>
        <v>108.866083054159</v>
      </c>
      <c r="AJ371" s="50" t="str">
        <f t="shared" si="327"/>
        <v>1+174.192596449978i</v>
      </c>
      <c r="AK371" s="50">
        <f t="shared" si="347"/>
        <v>174.19546681238546</v>
      </c>
      <c r="AL371" s="50">
        <f t="shared" si="348"/>
        <v>1.5650556177457826</v>
      </c>
      <c r="AM371" s="50" t="str">
        <f t="shared" si="328"/>
        <v>1+0.191611856094976i</v>
      </c>
      <c r="AN371" s="50">
        <f t="shared" si="349"/>
        <v>1.0181920758855678</v>
      </c>
      <c r="AO371" s="50">
        <f t="shared" si="350"/>
        <v>0.18931718104761955</v>
      </c>
      <c r="AP371" s="50" t="str">
        <f t="shared" si="329"/>
        <v>1-0.956085932796885i</v>
      </c>
      <c r="AQ371" s="50">
        <f t="shared" si="351"/>
        <v>1.3835101412321089</v>
      </c>
      <c r="AR371" s="50">
        <f t="shared" si="352"/>
        <v>-0.76295196554996403</v>
      </c>
      <c r="AS371" s="59" t="str">
        <f t="shared" si="353"/>
        <v>-0.473516741922397-0.742187588984972i</v>
      </c>
      <c r="AT371" s="50">
        <f t="shared" si="354"/>
        <v>-1.106643834313936</v>
      </c>
      <c r="AU371" s="61">
        <f t="shared" si="355"/>
        <v>-122.53793373395391</v>
      </c>
      <c r="AV371" s="32" t="str">
        <f t="shared" si="330"/>
        <v>-0.0000333333333333333</v>
      </c>
      <c r="AW371" s="32" t="str">
        <f t="shared" si="331"/>
        <v>0.010219298991732i</v>
      </c>
      <c r="AX371" s="32">
        <f t="shared" si="356"/>
        <v>1.0219298991732E-2</v>
      </c>
      <c r="AY371" s="32">
        <f t="shared" si="357"/>
        <v>1.5707963267948966</v>
      </c>
      <c r="AZ371" s="32" t="str">
        <f t="shared" si="332"/>
        <v>1+4.16933205391846i</v>
      </c>
      <c r="BA371" s="32">
        <f t="shared" si="358"/>
        <v>4.2875785445670758</v>
      </c>
      <c r="BB371" s="32">
        <f t="shared" si="359"/>
        <v>1.3353964231351663</v>
      </c>
      <c r="BC371" s="32" t="str">
        <f t="shared" si="333"/>
        <v>1+200.127938588086i</v>
      </c>
      <c r="BD371" s="32">
        <f t="shared" si="360"/>
        <v>200.1304369742812</v>
      </c>
      <c r="BE371" s="32">
        <f t="shared" si="361"/>
        <v>1.5657995648010556</v>
      </c>
      <c r="BF371" s="59" t="str">
        <f t="shared" si="362"/>
        <v>-0.034769448654566+0.148227179109515i</v>
      </c>
      <c r="BG371" s="50">
        <f t="shared" si="363"/>
        <v>-16.348826116547038</v>
      </c>
      <c r="BH371" s="61">
        <f t="shared" si="364"/>
        <v>103.20112760401025</v>
      </c>
      <c r="BI371" s="59" t="str">
        <f t="shared" si="365"/>
        <v>0.0324569729387788-0.0454445128480319i</v>
      </c>
      <c r="BJ371" s="64">
        <f t="shared" si="366"/>
        <v>-25.060321314499706</v>
      </c>
      <c r="BK371" s="61">
        <f t="shared" si="367"/>
        <v>-54.465155253421123</v>
      </c>
      <c r="BL371" s="59" t="str">
        <f t="shared" si="371"/>
        <v>0.126476288730683-0.044382597649016i</v>
      </c>
      <c r="BM371" s="64">
        <f t="shared" si="368"/>
        <v>-17.455469950860955</v>
      </c>
      <c r="BN371" s="61">
        <f t="shared" si="372"/>
        <v>-19.336806129943614</v>
      </c>
      <c r="BO371" s="50">
        <f t="shared" si="369"/>
        <v>-25.060321314499706</v>
      </c>
      <c r="BP371" s="61">
        <f t="shared" si="370"/>
        <v>-54.465155253421123</v>
      </c>
    </row>
    <row r="372" spans="14:68" x14ac:dyDescent="0.25">
      <c r="N372" s="11">
        <v>54</v>
      </c>
      <c r="O372" s="51">
        <f t="shared" si="320"/>
        <v>34673.685045253202</v>
      </c>
      <c r="P372" s="49" t="str">
        <f t="shared" si="321"/>
        <v>25.6231073841137</v>
      </c>
      <c r="Q372" s="18" t="str">
        <f t="shared" si="322"/>
        <v>1+188.401971119746i</v>
      </c>
      <c r="R372" s="18">
        <f t="shared" si="334"/>
        <v>188.40462500110129</v>
      </c>
      <c r="S372" s="18">
        <f t="shared" si="335"/>
        <v>1.5654885765452498</v>
      </c>
      <c r="T372" s="18" t="str">
        <f t="shared" si="323"/>
        <v>1+0.196075069579896i</v>
      </c>
      <c r="U372" s="18">
        <f t="shared" si="336"/>
        <v>1.0190414284565477</v>
      </c>
      <c r="V372" s="18">
        <f t="shared" si="337"/>
        <v>0.19361875552597838</v>
      </c>
      <c r="W372" s="32" t="str">
        <f t="shared" si="324"/>
        <v>1-4.39353396651249i</v>
      </c>
      <c r="X372" s="18">
        <f t="shared" si="338"/>
        <v>4.5059006552407448</v>
      </c>
      <c r="Y372" s="18">
        <f t="shared" si="339"/>
        <v>-1.3470016961167426</v>
      </c>
      <c r="Z372" s="32" t="str">
        <f t="shared" si="325"/>
        <v>0.969943389134565+0.347851697513964i</v>
      </c>
      <c r="AA372" s="18">
        <f t="shared" si="340"/>
        <v>1.0304324245622285</v>
      </c>
      <c r="AB372" s="18">
        <f t="shared" si="341"/>
        <v>0.34434305474242705</v>
      </c>
      <c r="AC372" s="32" t="str">
        <f>IMDIV(IMSUM(COMPLEX(0,2*PI()*O372*Constants!$B$71*Constants!$B$72),COMPLEX(1,0)),IMSUM(COMPLEX(0,2*PI()*O372*Constants!$B$71*Constants!$B$72),COMPLEX(2,0)))</f>
        <v>0.579780372772204+0.183099094772285i</v>
      </c>
      <c r="AD372" s="18">
        <f t="shared" si="342"/>
        <v>0.60800539402073239</v>
      </c>
      <c r="AE372" s="18">
        <f t="shared" si="343"/>
        <v>0.30589542721295804</v>
      </c>
      <c r="AF372" s="66" t="str">
        <f t="shared" si="344"/>
        <v>-0.341597445951813-0.138133975615773i</v>
      </c>
      <c r="AG372" s="64">
        <f t="shared" si="345"/>
        <v>-8.6719678880086484</v>
      </c>
      <c r="AH372" s="61">
        <f t="shared" si="346"/>
        <v>-157.98274975995426</v>
      </c>
      <c r="AI372" s="50" t="str">
        <f t="shared" si="326"/>
        <v>108.866083054159</v>
      </c>
      <c r="AJ372" s="50" t="str">
        <f t="shared" si="327"/>
        <v>1+178.250063254452i</v>
      </c>
      <c r="AK372" s="50">
        <f t="shared" si="347"/>
        <v>178.25286828047433</v>
      </c>
      <c r="AL372" s="50">
        <f t="shared" si="348"/>
        <v>1.5651862894637407</v>
      </c>
      <c r="AM372" s="50" t="str">
        <f t="shared" si="328"/>
        <v>1+0.196075069579896i</v>
      </c>
      <c r="AN372" s="50">
        <f t="shared" si="349"/>
        <v>1.0190414284565477</v>
      </c>
      <c r="AO372" s="50">
        <f t="shared" si="350"/>
        <v>0.19361875552597838</v>
      </c>
      <c r="AP372" s="50" t="str">
        <f t="shared" si="329"/>
        <v>1-0.978356035049256i</v>
      </c>
      <c r="AQ372" s="50">
        <f t="shared" si="351"/>
        <v>1.3989926845117171</v>
      </c>
      <c r="AR372" s="50">
        <f t="shared" si="352"/>
        <v>-0.7744582207917714</v>
      </c>
      <c r="AS372" s="59" t="str">
        <f t="shared" si="353"/>
        <v>-0.473678918632589-0.730567349915659i</v>
      </c>
      <c r="AT372" s="50">
        <f t="shared" si="354"/>
        <v>-1.2027329098541599</v>
      </c>
      <c r="AU372" s="61">
        <f t="shared" si="355"/>
        <v>-122.95821847237943</v>
      </c>
      <c r="AV372" s="32" t="str">
        <f t="shared" si="330"/>
        <v>-0.0000333333333333333</v>
      </c>
      <c r="AW372" s="32" t="str">
        <f t="shared" si="331"/>
        <v>0.0104573370442612i</v>
      </c>
      <c r="AX372" s="32">
        <f t="shared" si="356"/>
        <v>1.0457337044261199E-2</v>
      </c>
      <c r="AY372" s="32">
        <f t="shared" si="357"/>
        <v>1.5707963267948966</v>
      </c>
      <c r="AZ372" s="32" t="str">
        <f t="shared" si="332"/>
        <v>1+4.26644827326627i</v>
      </c>
      <c r="BA372" s="32">
        <f t="shared" si="358"/>
        <v>4.382074950118577</v>
      </c>
      <c r="BB372" s="32">
        <f t="shared" si="359"/>
        <v>1.3405653669423911</v>
      </c>
      <c r="BC372" s="32" t="str">
        <f t="shared" si="333"/>
        <v>1+204.789517116781i</v>
      </c>
      <c r="BD372" s="32">
        <f t="shared" si="360"/>
        <v>204.79195863344913</v>
      </c>
      <c r="BE372" s="32">
        <f t="shared" si="361"/>
        <v>1.5659133031612023</v>
      </c>
      <c r="BF372" s="59" t="str">
        <f t="shared" si="362"/>
        <v>-0.0332860590521292+0.145200803817875i</v>
      </c>
      <c r="BG372" s="50">
        <f t="shared" si="363"/>
        <v>-16.538185244125302</v>
      </c>
      <c r="BH372" s="61">
        <f t="shared" si="364"/>
        <v>102.9114856673211</v>
      </c>
      <c r="BI372" s="59" t="str">
        <f t="shared" si="365"/>
        <v>0.0314275970519775-0.0450022880648844i</v>
      </c>
      <c r="BJ372" s="64">
        <f t="shared" si="366"/>
        <v>-25.210153132133954</v>
      </c>
      <c r="BK372" s="61">
        <f t="shared" si="367"/>
        <v>-55.071264092633228</v>
      </c>
      <c r="BL372" s="59" t="str">
        <f t="shared" si="371"/>
        <v>0.121845870908201-0.0444608517861836i</v>
      </c>
      <c r="BM372" s="64">
        <f t="shared" si="368"/>
        <v>-17.740918153979493</v>
      </c>
      <c r="BN372" s="61">
        <f t="shared" si="372"/>
        <v>-20.046732805058419</v>
      </c>
      <c r="BO372" s="50">
        <f t="shared" si="369"/>
        <v>-25.210153132133954</v>
      </c>
      <c r="BP372" s="61">
        <f t="shared" si="370"/>
        <v>-55.071264092633228</v>
      </c>
    </row>
    <row r="373" spans="14:68" x14ac:dyDescent="0.25">
      <c r="N373" s="11">
        <v>55</v>
      </c>
      <c r="O373" s="51">
        <f t="shared" si="320"/>
        <v>35481.33892335758</v>
      </c>
      <c r="P373" s="49" t="str">
        <f t="shared" si="321"/>
        <v>25.6231073841137</v>
      </c>
      <c r="Q373" s="18" t="str">
        <f t="shared" si="322"/>
        <v>1+192.790416778718i</v>
      </c>
      <c r="R373" s="18">
        <f t="shared" si="334"/>
        <v>192.7930102511805</v>
      </c>
      <c r="S373" s="18">
        <f t="shared" si="335"/>
        <v>1.565609393499144</v>
      </c>
      <c r="T373" s="18" t="str">
        <f t="shared" si="323"/>
        <v>1+0.20064224466207i</v>
      </c>
      <c r="U373" s="18">
        <f t="shared" si="336"/>
        <v>1.0199300516913079</v>
      </c>
      <c r="V373" s="18">
        <f t="shared" si="337"/>
        <v>0.19801302645326749</v>
      </c>
      <c r="W373" s="32" t="str">
        <f t="shared" si="324"/>
        <v>1-4.49587251927972i</v>
      </c>
      <c r="X373" s="18">
        <f t="shared" si="338"/>
        <v>4.6057431224086498</v>
      </c>
      <c r="Y373" s="18">
        <f t="shared" si="339"/>
        <v>-1.3519329766165609</v>
      </c>
      <c r="Z373" s="32" t="str">
        <f t="shared" si="325"/>
        <v>0.968526864705146+0.355954204419006i</v>
      </c>
      <c r="AA373" s="18">
        <f t="shared" si="340"/>
        <v>1.0318661169449976</v>
      </c>
      <c r="AB373" s="18">
        <f t="shared" si="341"/>
        <v>0.3521978918331849</v>
      </c>
      <c r="AC373" s="32" t="str">
        <f>IMDIV(IMSUM(COMPLEX(0,2*PI()*O373*Constants!$B$71*Constants!$B$72),COMPLEX(1,0)),IMSUM(COMPLEX(0,2*PI()*O373*Constants!$B$71*Constants!$B$72),COMPLEX(2,0)))</f>
        <v>0.582916782786371+0.185965584250267i</v>
      </c>
      <c r="AD373" s="18">
        <f t="shared" si="342"/>
        <v>0.61186205486167911</v>
      </c>
      <c r="AE373" s="18">
        <f t="shared" si="343"/>
        <v>0.30881912866788841</v>
      </c>
      <c r="AF373" s="66" t="str">
        <f t="shared" si="344"/>
        <v>-0.34397544077433-0.136863773577685i</v>
      </c>
      <c r="AG373" s="64">
        <f t="shared" si="345"/>
        <v>-8.6311843652178286</v>
      </c>
      <c r="AH373" s="61">
        <f t="shared" si="346"/>
        <v>-158.3029737037096</v>
      </c>
      <c r="AI373" s="50" t="str">
        <f t="shared" si="326"/>
        <v>108.866083054159</v>
      </c>
      <c r="AJ373" s="50" t="str">
        <f t="shared" si="327"/>
        <v>1+182.402040601882i</v>
      </c>
      <c r="AK373" s="50">
        <f t="shared" si="347"/>
        <v>182.40478177868749</v>
      </c>
      <c r="AL373" s="50">
        <f t="shared" si="348"/>
        <v>1.5653139869153827</v>
      </c>
      <c r="AM373" s="50" t="str">
        <f t="shared" si="328"/>
        <v>1+0.20064224466207i</v>
      </c>
      <c r="AN373" s="50">
        <f t="shared" si="349"/>
        <v>1.0199300516913079</v>
      </c>
      <c r="AO373" s="50">
        <f t="shared" si="350"/>
        <v>0.19801302645326749</v>
      </c>
      <c r="AP373" s="50" t="str">
        <f t="shared" si="329"/>
        <v>1-1.00114487462149i</v>
      </c>
      <c r="AQ373" s="50">
        <f t="shared" si="351"/>
        <v>1.4150233425568917</v>
      </c>
      <c r="AR373" s="50">
        <f t="shared" si="352"/>
        <v>-0.78597027314877099</v>
      </c>
      <c r="AS373" s="59" t="str">
        <f t="shared" si="353"/>
        <v>-0.473833796637552-0.719334385408311i</v>
      </c>
      <c r="AT373" s="50">
        <f t="shared" si="354"/>
        <v>-1.2961925876460201</v>
      </c>
      <c r="AU373" s="61">
        <f t="shared" si="355"/>
        <v>-123.37335383283212</v>
      </c>
      <c r="AV373" s="32" t="str">
        <f t="shared" si="330"/>
        <v>-0.0000333333333333333</v>
      </c>
      <c r="AW373" s="32" t="str">
        <f t="shared" si="331"/>
        <v>0.0107009197153104i</v>
      </c>
      <c r="AX373" s="32">
        <f t="shared" si="356"/>
        <v>1.0700919715310399E-2</v>
      </c>
      <c r="AY373" s="32">
        <f t="shared" si="357"/>
        <v>1.5707963267948966</v>
      </c>
      <c r="AZ373" s="32" t="str">
        <f t="shared" si="332"/>
        <v>1+4.36582661996171i</v>
      </c>
      <c r="BA373" s="32">
        <f t="shared" si="358"/>
        <v>4.4788884866187821</v>
      </c>
      <c r="BB373" s="32">
        <f t="shared" si="359"/>
        <v>1.3456287825041413</v>
      </c>
      <c r="BC373" s="32" t="str">
        <f t="shared" si="333"/>
        <v>1+209.559677758163i</v>
      </c>
      <c r="BD373" s="32">
        <f t="shared" si="360"/>
        <v>209.56206369976678</v>
      </c>
      <c r="BE373" s="32">
        <f t="shared" si="361"/>
        <v>1.5660244526422673</v>
      </c>
      <c r="BF373" s="59" t="str">
        <f t="shared" si="362"/>
        <v>-0.0318626198930713+0.142221671159758i</v>
      </c>
      <c r="BG373" s="50">
        <f t="shared" si="363"/>
        <v>-16.72799887143572</v>
      </c>
      <c r="BH373" s="61">
        <f t="shared" si="364"/>
        <v>102.62774172187201</v>
      </c>
      <c r="BI373" s="59" t="str">
        <f t="shared" si="365"/>
        <v>0.0304249533213932-0.0445599236302024i</v>
      </c>
      <c r="BJ373" s="64">
        <f t="shared" si="366"/>
        <v>-25.359183236653561</v>
      </c>
      <c r="BK373" s="61">
        <f t="shared" si="367"/>
        <v>-55.675231981837591</v>
      </c>
      <c r="BL373" s="59" t="str">
        <f t="shared" si="371"/>
        <v>0.117402524570201-0.0444695563114845i</v>
      </c>
      <c r="BM373" s="64">
        <f t="shared" si="368"/>
        <v>-18.024191459081717</v>
      </c>
      <c r="BN373" s="61">
        <f t="shared" si="372"/>
        <v>-20.745612110960032</v>
      </c>
      <c r="BO373" s="50">
        <f t="shared" si="369"/>
        <v>-25.359183236653561</v>
      </c>
      <c r="BP373" s="61">
        <f t="shared" si="370"/>
        <v>-55.675231981837591</v>
      </c>
    </row>
    <row r="374" spans="14:68" x14ac:dyDescent="0.25">
      <c r="N374" s="11">
        <v>56</v>
      </c>
      <c r="O374" s="51">
        <f t="shared" si="320"/>
        <v>36307.805477010232</v>
      </c>
      <c r="P374" s="49" t="str">
        <f t="shared" si="321"/>
        <v>25.6231073841137</v>
      </c>
      <c r="Q374" s="18" t="str">
        <f t="shared" si="322"/>
        <v>1+197.281082468548i</v>
      </c>
      <c r="R374" s="18">
        <f t="shared" si="334"/>
        <v>197.28361690713712</v>
      </c>
      <c r="S374" s="18">
        <f t="shared" si="335"/>
        <v>1.5657274604697327</v>
      </c>
      <c r="T374" s="18" t="str">
        <f t="shared" si="323"/>
        <v>1+0.205315802918177i</v>
      </c>
      <c r="U374" s="18">
        <f t="shared" si="336"/>
        <v>1.0208597253922478</v>
      </c>
      <c r="V374" s="18">
        <f t="shared" si="337"/>
        <v>0.2025016445921991</v>
      </c>
      <c r="W374" s="32" t="str">
        <f t="shared" si="324"/>
        <v>1-4.60059484316655i</v>
      </c>
      <c r="X374" s="18">
        <f t="shared" si="338"/>
        <v>4.70802218675429</v>
      </c>
      <c r="Y374" s="18">
        <f t="shared" si="339"/>
        <v>-1.3567624830201215</v>
      </c>
      <c r="Z374" s="32" t="str">
        <f t="shared" si="325"/>
        <v>0.96704358153609+0.364245442954839i</v>
      </c>
      <c r="AA374" s="18">
        <f t="shared" si="340"/>
        <v>1.033367326415692</v>
      </c>
      <c r="AB374" s="18">
        <f t="shared" si="341"/>
        <v>0.36022413798790781</v>
      </c>
      <c r="AC374" s="32" t="str">
        <f>IMDIV(IMSUM(COMPLEX(0,2*PI()*O374*Constants!$B$71*Constants!$B$72),COMPLEX(1,0)),IMSUM(COMPLEX(0,2*PI()*O374*Constants!$B$71*Constants!$B$72),COMPLEX(2,0)))</f>
        <v>0.586151215956503+0.188821545294671i</v>
      </c>
      <c r="AD374" s="18">
        <f t="shared" si="342"/>
        <v>0.61581395237096936</v>
      </c>
      <c r="AE374" s="18">
        <f t="shared" si="343"/>
        <v>0.31164108991390349</v>
      </c>
      <c r="AF374" s="66" t="str">
        <f t="shared" si="344"/>
        <v>-0.34641553207288-0.135567319767403i</v>
      </c>
      <c r="AG374" s="64">
        <f t="shared" si="345"/>
        <v>-8.5891970947791201</v>
      </c>
      <c r="AH374" s="61">
        <f t="shared" si="346"/>
        <v>-158.62745346232563</v>
      </c>
      <c r="AI374" s="50" t="str">
        <f t="shared" si="326"/>
        <v>108.866083054159</v>
      </c>
      <c r="AJ374" s="50" t="str">
        <f t="shared" si="327"/>
        <v>1+186.650729925615i</v>
      </c>
      <c r="AK374" s="50">
        <f t="shared" si="347"/>
        <v>186.65340870652449</v>
      </c>
      <c r="AL374" s="50">
        <f t="shared" si="348"/>
        <v>1.5654387777909196</v>
      </c>
      <c r="AM374" s="50" t="str">
        <f t="shared" si="328"/>
        <v>1+0.205315802918177i</v>
      </c>
      <c r="AN374" s="50">
        <f t="shared" si="349"/>
        <v>1.0208597253922478</v>
      </c>
      <c r="AO374" s="50">
        <f t="shared" si="350"/>
        <v>0.2025016445921991</v>
      </c>
      <c r="AP374" s="50" t="str">
        <f t="shared" si="329"/>
        <v>1-1.02446453445797i</v>
      </c>
      <c r="AQ374" s="50">
        <f t="shared" si="351"/>
        <v>1.4316171214267399</v>
      </c>
      <c r="AR374" s="50">
        <f t="shared" si="352"/>
        <v>-0.79748202224626974</v>
      </c>
      <c r="AS374" s="59" t="str">
        <f t="shared" si="353"/>
        <v>-0.47398170439362-0.708482745063751i</v>
      </c>
      <c r="AT374" s="50">
        <f t="shared" si="354"/>
        <v>-1.3870074759752198</v>
      </c>
      <c r="AU374" s="61">
        <f t="shared" si="355"/>
        <v>-123.78289958621573</v>
      </c>
      <c r="AV374" s="32" t="str">
        <f t="shared" si="330"/>
        <v>-0.0000333333333333333</v>
      </c>
      <c r="AW374" s="32" t="str">
        <f t="shared" si="331"/>
        <v>0.0109501761556361i</v>
      </c>
      <c r="AX374" s="32">
        <f t="shared" si="356"/>
        <v>1.09501761556361E-2</v>
      </c>
      <c r="AY374" s="32">
        <f t="shared" si="357"/>
        <v>1.5707963267948966</v>
      </c>
      <c r="AZ374" s="32" t="str">
        <f t="shared" si="332"/>
        <v>1+4.46751978571959i</v>
      </c>
      <c r="BA374" s="32">
        <f t="shared" si="358"/>
        <v>4.5780708858422026</v>
      </c>
      <c r="BB374" s="32">
        <f t="shared" si="359"/>
        <v>1.3505883155130036</v>
      </c>
      <c r="BC374" s="32" t="str">
        <f t="shared" si="333"/>
        <v>1+214.44094971454i</v>
      </c>
      <c r="BD374" s="32">
        <f t="shared" si="360"/>
        <v>214.44328134607966</v>
      </c>
      <c r="BE374" s="32">
        <f t="shared" si="361"/>
        <v>1.5661330721661852</v>
      </c>
      <c r="BF374" s="59" t="str">
        <f t="shared" si="362"/>
        <v>-0.0304969885178206+0.139289990667545i</v>
      </c>
      <c r="BG374" s="50">
        <f t="shared" si="363"/>
        <v>-16.91824858635065</v>
      </c>
      <c r="BH374" s="61">
        <f t="shared" si="364"/>
        <v>102.34980485240168</v>
      </c>
      <c r="BI374" s="59" t="str">
        <f t="shared" si="365"/>
        <v>0.029447801209247-0.0441178212351859i</v>
      </c>
      <c r="BJ374" s="64">
        <f t="shared" si="366"/>
        <v>-25.50744568112977</v>
      </c>
      <c r="BK374" s="61">
        <f t="shared" si="367"/>
        <v>-56.277648609923958</v>
      </c>
      <c r="BL374" s="59" t="str">
        <f t="shared" si="371"/>
        <v>0.113139569544596-0.0444143170402912i</v>
      </c>
      <c r="BM374" s="64">
        <f t="shared" si="368"/>
        <v>-18.30525606232586</v>
      </c>
      <c r="BN374" s="61">
        <f t="shared" si="372"/>
        <v>-21.433094733814027</v>
      </c>
      <c r="BO374" s="50">
        <f t="shared" si="369"/>
        <v>-25.50744568112977</v>
      </c>
      <c r="BP374" s="61">
        <f t="shared" si="370"/>
        <v>-56.277648609923958</v>
      </c>
    </row>
    <row r="375" spans="14:68" x14ac:dyDescent="0.25">
      <c r="N375" s="11">
        <v>57</v>
      </c>
      <c r="O375" s="51">
        <f t="shared" si="320"/>
        <v>37153.522909717351</v>
      </c>
      <c r="P375" s="49" t="str">
        <f t="shared" si="321"/>
        <v>25.6231073841137</v>
      </c>
      <c r="Q375" s="18" t="str">
        <f t="shared" si="322"/>
        <v>1+201.876349199626i</v>
      </c>
      <c r="R375" s="18">
        <f t="shared" si="334"/>
        <v>201.87882594806553</v>
      </c>
      <c r="S375" s="18">
        <f t="shared" si="335"/>
        <v>1.5658428400445124</v>
      </c>
      <c r="T375" s="18" t="str">
        <f t="shared" si="323"/>
        <v>1+0.210098222330667i</v>
      </c>
      <c r="U375" s="18">
        <f t="shared" si="336"/>
        <v>1.0218323067052177</v>
      </c>
      <c r="V375" s="18">
        <f t="shared" si="337"/>
        <v>0.20708626604243091</v>
      </c>
      <c r="W375" s="32" t="str">
        <f t="shared" si="324"/>
        <v>1-4.70775646333531i</v>
      </c>
      <c r="X375" s="18">
        <f t="shared" si="338"/>
        <v>4.8127924241624411</v>
      </c>
      <c r="Y375" s="18">
        <f t="shared" si="339"/>
        <v>-1.3614918744307487</v>
      </c>
      <c r="Z375" s="32" t="str">
        <f t="shared" si="325"/>
        <v>0.965490393384928+0.372729809245886i</v>
      </c>
      <c r="AA375" s="18">
        <f t="shared" si="340"/>
        <v>1.0349392303024645</v>
      </c>
      <c r="AB375" s="18">
        <f t="shared" si="341"/>
        <v>0.36842499674797879</v>
      </c>
      <c r="AC375" s="32" t="str">
        <f>IMDIV(IMSUM(COMPLEX(0,2*PI()*O375*Constants!$B$71*Constants!$B$72),COMPLEX(1,0)),IMSUM(COMPLEX(0,2*PI()*O375*Constants!$B$71*Constants!$B$72),COMPLEX(2,0)))</f>
        <v>0.589484748993039+0.191663387724866i</v>
      </c>
      <c r="AD375" s="18">
        <f t="shared" si="342"/>
        <v>0.61986056778081844</v>
      </c>
      <c r="AE375" s="18">
        <f t="shared" si="343"/>
        <v>0.31435593614973711</v>
      </c>
      <c r="AF375" s="66" t="str">
        <f t="shared" si="344"/>
        <v>-0.34891730472322-0.134239543159401i</v>
      </c>
      <c r="AG375" s="64">
        <f t="shared" si="345"/>
        <v>-8.5460610635985823</v>
      </c>
      <c r="AH375" s="61">
        <f t="shared" si="346"/>
        <v>-158.95668429672813</v>
      </c>
      <c r="AI375" s="50" t="str">
        <f t="shared" si="326"/>
        <v>108.866083054159</v>
      </c>
      <c r="AJ375" s="50" t="str">
        <f t="shared" si="327"/>
        <v>1+190.99838393697i</v>
      </c>
      <c r="AK375" s="50">
        <f t="shared" si="347"/>
        <v>191.00100174222698</v>
      </c>
      <c r="AL375" s="50">
        <f t="shared" si="348"/>
        <v>1.5655607282405695</v>
      </c>
      <c r="AM375" s="50" t="str">
        <f t="shared" si="328"/>
        <v>1+0.210098222330667i</v>
      </c>
      <c r="AN375" s="50">
        <f t="shared" si="349"/>
        <v>1.0218323067052177</v>
      </c>
      <c r="AO375" s="50">
        <f t="shared" si="350"/>
        <v>0.20708626604243091</v>
      </c>
      <c r="AP375" s="50" t="str">
        <f t="shared" si="329"/>
        <v>1-1.048327378951i</v>
      </c>
      <c r="AQ375" s="50">
        <f t="shared" si="351"/>
        <v>1.4487892508775297</v>
      </c>
      <c r="AR375" s="50">
        <f t="shared" si="352"/>
        <v>-0.80898736851280595</v>
      </c>
      <c r="AS375" s="59" t="str">
        <f t="shared" si="353"/>
        <v>-0.474122955577623-0.698006680301039i</v>
      </c>
      <c r="AT375" s="50">
        <f t="shared" si="354"/>
        <v>-1.4751640591179505</v>
      </c>
      <c r="AU375" s="61">
        <f t="shared" si="355"/>
        <v>-124.18641515543605</v>
      </c>
      <c r="AV375" s="32" t="str">
        <f t="shared" si="330"/>
        <v>-0.0000333333333333333</v>
      </c>
      <c r="AW375" s="32" t="str">
        <f t="shared" si="331"/>
        <v>0.0112052385243022i</v>
      </c>
      <c r="AX375" s="32">
        <f t="shared" si="356"/>
        <v>1.12052385243022E-2</v>
      </c>
      <c r="AY375" s="32">
        <f t="shared" si="357"/>
        <v>1.5707963267948966</v>
      </c>
      <c r="AZ375" s="32" t="str">
        <f t="shared" si="332"/>
        <v>1+4.57158168960247i</v>
      </c>
      <c r="BA375" s="32">
        <f t="shared" si="358"/>
        <v>4.679675111020912</v>
      </c>
      <c r="BB375" s="32">
        <f t="shared" si="359"/>
        <v>1.355445619222696</v>
      </c>
      <c r="BC375" s="32" t="str">
        <f t="shared" si="333"/>
        <v>1+219.435921100919i</v>
      </c>
      <c r="BD375" s="32">
        <f t="shared" si="360"/>
        <v>219.43819965860257</v>
      </c>
      <c r="BE375" s="32">
        <f t="shared" si="361"/>
        <v>1.5662392193142076</v>
      </c>
      <c r="BF375" s="59" t="str">
        <f t="shared" si="362"/>
        <v>-0.0291870751338943+0.136405897342307i</v>
      </c>
      <c r="BG375" s="50">
        <f t="shared" si="363"/>
        <v>-17.108916638492722</v>
      </c>
      <c r="BH375" s="61">
        <f t="shared" si="364"/>
        <v>102.07758363361214</v>
      </c>
      <c r="BI375" s="59" t="str">
        <f t="shared" si="365"/>
        <v>0.028494940931952-0.0436763184168969i</v>
      </c>
      <c r="BJ375" s="64">
        <f t="shared" si="366"/>
        <v>-25.654977702091305</v>
      </c>
      <c r="BK375" s="61">
        <f t="shared" si="367"/>
        <v>-56.879100663115928</v>
      </c>
      <c r="BL375" s="59" t="str">
        <f t="shared" si="371"/>
        <v>0.109050489904536-0.0443003937842459i</v>
      </c>
      <c r="BM375" s="64">
        <f t="shared" si="368"/>
        <v>-18.584080697610684</v>
      </c>
      <c r="BN375" s="61">
        <f t="shared" si="372"/>
        <v>-22.108831521823959</v>
      </c>
      <c r="BO375" s="50">
        <f t="shared" si="369"/>
        <v>-25.654977702091305</v>
      </c>
      <c r="BP375" s="61">
        <f t="shared" si="370"/>
        <v>-56.879100663115928</v>
      </c>
    </row>
    <row r="376" spans="14:68" x14ac:dyDescent="0.25">
      <c r="N376" s="11">
        <v>58</v>
      </c>
      <c r="O376" s="51">
        <f t="shared" si="320"/>
        <v>38018.939632056143</v>
      </c>
      <c r="P376" s="49" t="str">
        <f t="shared" si="321"/>
        <v>25.6231073841137</v>
      </c>
      <c r="Q376" s="18" t="str">
        <f t="shared" si="322"/>
        <v>1+206.5786534432i</v>
      </c>
      <c r="R376" s="18">
        <f t="shared" si="334"/>
        <v>206.58107381463032</v>
      </c>
      <c r="S376" s="18">
        <f t="shared" si="335"/>
        <v>1.565955593386966</v>
      </c>
      <c r="T376" s="18" t="str">
        <f t="shared" si="323"/>
        <v>1+0.214992038601615i</v>
      </c>
      <c r="U376" s="18">
        <f t="shared" si="336"/>
        <v>1.0228497331778887</v>
      </c>
      <c r="V376" s="18">
        <f t="shared" si="337"/>
        <v>0.21176855036490014</v>
      </c>
      <c r="W376" s="32" t="str">
        <f t="shared" si="324"/>
        <v>1-4.81741419829544i</v>
      </c>
      <c r="X376" s="18">
        <f t="shared" si="338"/>
        <v>4.9201097099494131</v>
      </c>
      <c r="Y376" s="18">
        <f t="shared" si="339"/>
        <v>-1.3661228117791113</v>
      </c>
      <c r="Z376" s="32" t="str">
        <f t="shared" si="325"/>
        <v>0.963864005731352+0.381411801815457i</v>
      </c>
      <c r="AA376" s="18">
        <f t="shared" si="340"/>
        <v>1.036585155261545</v>
      </c>
      <c r="AB376" s="18">
        <f t="shared" si="341"/>
        <v>0.37680369418435861</v>
      </c>
      <c r="AC376" s="32" t="str">
        <f>IMDIV(IMSUM(COMPLEX(0,2*PI()*O376*Constants!$B$71*Constants!$B$72),COMPLEX(1,0)),IMSUM(COMPLEX(0,2*PI()*O376*Constants!$B$71*Constants!$B$72),COMPLEX(2,0)))</f>
        <v>0.592918309063464+0.194487383581863i</v>
      </c>
      <c r="AD376" s="18">
        <f t="shared" si="342"/>
        <v>0.62400117275145894</v>
      </c>
      <c r="AE376" s="18">
        <f t="shared" si="343"/>
        <v>0.31695839791388558</v>
      </c>
      <c r="AF376" s="66" t="str">
        <f t="shared" si="344"/>
        <v>-0.351480133587126-0.132875274712263i</v>
      </c>
      <c r="AG376" s="64">
        <f t="shared" si="345"/>
        <v>-8.5018337998011635</v>
      </c>
      <c r="AH376" s="61">
        <f t="shared" si="346"/>
        <v>-159.29115654796135</v>
      </c>
      <c r="AI376" s="50" t="str">
        <f t="shared" si="326"/>
        <v>108.866083054159</v>
      </c>
      <c r="AJ376" s="50" t="str">
        <f t="shared" si="327"/>
        <v>1+195.44730781965i</v>
      </c>
      <c r="AK376" s="50">
        <f t="shared" si="347"/>
        <v>195.44986603717339</v>
      </c>
      <c r="AL376" s="50">
        <f t="shared" si="348"/>
        <v>1.5656799029095576</v>
      </c>
      <c r="AM376" s="50" t="str">
        <f t="shared" si="328"/>
        <v>1+0.214992038601615i</v>
      </c>
      <c r="AN376" s="50">
        <f t="shared" si="349"/>
        <v>1.0228497331778887</v>
      </c>
      <c r="AO376" s="50">
        <f t="shared" si="350"/>
        <v>0.21176855036490014</v>
      </c>
      <c r="AP376" s="50" t="str">
        <f t="shared" si="329"/>
        <v>1-1.07274606049661i</v>
      </c>
      <c r="AQ376" s="50">
        <f t="shared" si="351"/>
        <v>1.4665551848842908</v>
      </c>
      <c r="AR376" s="50">
        <f t="shared" si="352"/>
        <v>-0.82048022932410725</v>
      </c>
      <c r="AS376" s="59" t="str">
        <f t="shared" si="353"/>
        <v>-0.474257849751801-0.687900641333851i</v>
      </c>
      <c r="AT376" s="50">
        <f t="shared" si="354"/>
        <v>-1.5606506745218782</v>
      </c>
      <c r="AU376" s="61">
        <f t="shared" si="355"/>
        <v>-124.58346064985508</v>
      </c>
      <c r="AV376" s="32" t="str">
        <f t="shared" si="330"/>
        <v>-0.0000333333333333333</v>
      </c>
      <c r="AW376" s="32" t="str">
        <f t="shared" si="331"/>
        <v>0.0114662420587528i</v>
      </c>
      <c r="AX376" s="32">
        <f t="shared" si="356"/>
        <v>1.1466242058752799E-2</v>
      </c>
      <c r="AY376" s="32">
        <f t="shared" si="357"/>
        <v>1.5707963267948966</v>
      </c>
      <c r="AZ376" s="32" t="str">
        <f t="shared" si="332"/>
        <v>1+4.67806750660921i</v>
      </c>
      <c r="BA376" s="32">
        <f t="shared" si="358"/>
        <v>4.7837553863458471</v>
      </c>
      <c r="BB376" s="32">
        <f t="shared" si="359"/>
        <v>1.3602023518190254</v>
      </c>
      <c r="BC376" s="32" t="str">
        <f t="shared" si="333"/>
        <v>1+224.547240317243i</v>
      </c>
      <c r="BD376" s="32">
        <f t="shared" si="360"/>
        <v>224.54946700914184</v>
      </c>
      <c r="BE376" s="32">
        <f t="shared" si="361"/>
        <v>1.5663429503573838</v>
      </c>
      <c r="BF376" s="59" t="str">
        <f t="shared" si="362"/>
        <v>-0.0279308436404141+0.133569456459227i</v>
      </c>
      <c r="BG376" s="50">
        <f t="shared" si="363"/>
        <v>-17.299985922578166</v>
      </c>
      <c r="BH376" s="61">
        <f t="shared" si="364"/>
        <v>101.8109862825486</v>
      </c>
      <c r="BI376" s="59" t="str">
        <f t="shared" si="365"/>
        <v>0.0275652148741213-0.0432356918777836i</v>
      </c>
      <c r="BJ376" s="64">
        <f t="shared" si="366"/>
        <v>-25.801819722379339</v>
      </c>
      <c r="BK376" s="61">
        <f t="shared" si="367"/>
        <v>-57.480170265412781</v>
      </c>
      <c r="BL376" s="59" t="str">
        <f t="shared" si="371"/>
        <v>0.105128936607573-0.0441327179596334i</v>
      </c>
      <c r="BM376" s="64">
        <f t="shared" si="368"/>
        <v>-18.860636597100026</v>
      </c>
      <c r="BN376" s="61">
        <f t="shared" si="372"/>
        <v>-22.772474367306419</v>
      </c>
      <c r="BO376" s="50">
        <f t="shared" si="369"/>
        <v>-25.801819722379339</v>
      </c>
      <c r="BP376" s="61">
        <f t="shared" si="370"/>
        <v>-57.480170265412781</v>
      </c>
    </row>
    <row r="377" spans="14:68" x14ac:dyDescent="0.25">
      <c r="N377" s="11">
        <v>59</v>
      </c>
      <c r="O377" s="51">
        <f t="shared" si="320"/>
        <v>38904.514499428085</v>
      </c>
      <c r="P377" s="49" t="str">
        <f t="shared" si="321"/>
        <v>25.6231073841137</v>
      </c>
      <c r="Q377" s="18" t="str">
        <f t="shared" si="322"/>
        <v>1+211.390488423221i</v>
      </c>
      <c r="R377" s="18">
        <f t="shared" si="334"/>
        <v>211.39285370089485</v>
      </c>
      <c r="S377" s="18">
        <f t="shared" si="335"/>
        <v>1.5660657802689337</v>
      </c>
      <c r="T377" s="18" t="str">
        <f t="shared" si="323"/>
        <v>1+0.219999846497186i</v>
      </c>
      <c r="U377" s="18">
        <f t="shared" si="336"/>
        <v>1.023914025911739</v>
      </c>
      <c r="V377" s="18">
        <f t="shared" si="337"/>
        <v>0.21655015855981788</v>
      </c>
      <c r="W377" s="32" t="str">
        <f t="shared" si="324"/>
        <v>1-4.92962619002954i</v>
      </c>
      <c r="X377" s="18">
        <f t="shared" si="338"/>
        <v>5.0300312497463828</v>
      </c>
      <c r="Y377" s="18">
        <f t="shared" si="339"/>
        <v>-1.3706569555731829</v>
      </c>
      <c r="Z377" s="32" t="str">
        <f t="shared" si="325"/>
        <v>0.962160968789095+0.390296023970933i</v>
      </c>
      <c r="AA377" s="18">
        <f t="shared" si="340"/>
        <v>1.0383085842795912</v>
      </c>
      <c r="AB377" s="18">
        <f t="shared" si="341"/>
        <v>0.38536347619415701</v>
      </c>
      <c r="AC377" s="32" t="str">
        <f>IMDIV(IMSUM(COMPLEX(0,2*PI()*O377*Constants!$B$71*Constants!$B$72),COMPLEX(1,0)),IMSUM(COMPLEX(0,2*PI()*O377*Constants!$B$71*Constants!$B$72),COMPLEX(2,0)))</f>
        <v>0.596452661394669+0.197289672327823i</v>
      </c>
      <c r="AD377" s="18">
        <f t="shared" si="342"/>
        <v>0.62823482241276907</v>
      </c>
      <c r="AE377" s="18">
        <f t="shared" si="343"/>
        <v>0.3194433328504131</v>
      </c>
      <c r="AF377" s="66" t="str">
        <f t="shared" si="344"/>
        <v>-0.354103169635773-0.131469254937232i</v>
      </c>
      <c r="AG377" s="64">
        <f t="shared" si="345"/>
        <v>-8.456575378221606</v>
      </c>
      <c r="AH377" s="61">
        <f t="shared" si="346"/>
        <v>-159.63135422399353</v>
      </c>
      <c r="AI377" s="50" t="str">
        <f t="shared" si="326"/>
        <v>108.866083054159</v>
      </c>
      <c r="AJ377" s="50" t="str">
        <f t="shared" si="327"/>
        <v>1+199.999860451987i</v>
      </c>
      <c r="AK377" s="50">
        <f t="shared" si="347"/>
        <v>200.00236043810654</v>
      </c>
      <c r="AL377" s="50">
        <f t="shared" si="348"/>
        <v>1.5657963649723228</v>
      </c>
      <c r="AM377" s="50" t="str">
        <f t="shared" si="328"/>
        <v>1+0.219999846497186i</v>
      </c>
      <c r="AN377" s="50">
        <f t="shared" si="349"/>
        <v>1.023914025911739</v>
      </c>
      <c r="AO377" s="50">
        <f t="shared" si="350"/>
        <v>0.21655015855981788</v>
      </c>
      <c r="AP377" s="50" t="str">
        <f t="shared" si="329"/>
        <v>1-1.09773352620297i</v>
      </c>
      <c r="AQ377" s="50">
        <f t="shared" si="351"/>
        <v>1.484930602604043</v>
      </c>
      <c r="AR377" s="50">
        <f t="shared" si="352"/>
        <v>-0.83195455503770643</v>
      </c>
      <c r="AS377" s="59" t="str">
        <f t="shared" si="353"/>
        <v>-0.474386672998747-0.67815927425063i</v>
      </c>
      <c r="AT377" s="50">
        <f t="shared" si="354"/>
        <v>-1.6434574796821613</v>
      </c>
      <c r="AU377" s="61">
        <f t="shared" si="355"/>
        <v>-124.97359790181854</v>
      </c>
      <c r="AV377" s="32" t="str">
        <f t="shared" si="330"/>
        <v>-0.0000333333333333333</v>
      </c>
      <c r="AW377" s="32" t="str">
        <f t="shared" si="331"/>
        <v>0.0117333251465166i</v>
      </c>
      <c r="AX377" s="32">
        <f t="shared" si="356"/>
        <v>1.17333251465166E-2</v>
      </c>
      <c r="AY377" s="32">
        <f t="shared" si="357"/>
        <v>1.5707963267948966</v>
      </c>
      <c r="AZ377" s="32" t="str">
        <f t="shared" si="332"/>
        <v>1+4.78703369692951i</v>
      </c>
      <c r="BA377" s="32">
        <f t="shared" si="358"/>
        <v>4.8903672270636909</v>
      </c>
      <c r="BB377" s="32">
        <f t="shared" si="359"/>
        <v>1.3648601739615351</v>
      </c>
      <c r="BC377" s="32" t="str">
        <f t="shared" si="333"/>
        <v>1+229.777617452617i</v>
      </c>
      <c r="BD377" s="32">
        <f t="shared" si="360"/>
        <v>229.77979345930569</v>
      </c>
      <c r="BE377" s="32">
        <f t="shared" si="361"/>
        <v>1.5664443202863514</v>
      </c>
      <c r="BF377" s="59" t="str">
        <f t="shared" si="362"/>
        <v>-0.0267263122060602+0.130780668198195i</v>
      </c>
      <c r="BG377" s="50">
        <f t="shared" si="363"/>
        <v>-17.491439961538251</v>
      </c>
      <c r="BH377" s="61">
        <f t="shared" si="364"/>
        <v>101.54992080115962</v>
      </c>
      <c r="BI377" s="59" t="str">
        <f t="shared" si="365"/>
        <v>0.0266575088730512-0.0427961607831146i</v>
      </c>
      <c r="BJ377" s="64">
        <f t="shared" si="366"/>
        <v>-25.948015339759856</v>
      </c>
      <c r="BK377" s="61">
        <f t="shared" si="367"/>
        <v>-58.081433422833925</v>
      </c>
      <c r="BL377" s="59" t="str">
        <f t="shared" si="371"/>
        <v>0.101368729360259-0.0439159095900372i</v>
      </c>
      <c r="BM377" s="64">
        <f t="shared" si="368"/>
        <v>-19.134897441220417</v>
      </c>
      <c r="BN377" s="61">
        <f t="shared" si="372"/>
        <v>-23.423677100658935</v>
      </c>
      <c r="BO377" s="50">
        <f t="shared" si="369"/>
        <v>-25.948015339759856</v>
      </c>
      <c r="BP377" s="61">
        <f t="shared" si="370"/>
        <v>-58.081433422833925</v>
      </c>
    </row>
    <row r="378" spans="14:68" x14ac:dyDescent="0.25">
      <c r="N378" s="11">
        <v>60</v>
      </c>
      <c r="O378" s="51">
        <f t="shared" si="320"/>
        <v>39810.717055349742</v>
      </c>
      <c r="P378" s="49" t="str">
        <f t="shared" si="321"/>
        <v>25.6231073841137</v>
      </c>
      <c r="Q378" s="18" t="str">
        <f t="shared" si="322"/>
        <v>1+216.314405438288i</v>
      </c>
      <c r="R378" s="18">
        <f t="shared" si="334"/>
        <v>216.31671687625078</v>
      </c>
      <c r="S378" s="18">
        <f t="shared" si="335"/>
        <v>1.5661734591022505</v>
      </c>
      <c r="T378" s="18" t="str">
        <f t="shared" si="323"/>
        <v>1+0.225124301223412i</v>
      </c>
      <c r="U378" s="18">
        <f t="shared" si="336"/>
        <v>1.0250272928080157</v>
      </c>
      <c r="V378" s="18">
        <f t="shared" si="337"/>
        <v>0.22143275089175826</v>
      </c>
      <c r="W378" s="32" t="str">
        <f t="shared" si="324"/>
        <v>1-5.04445193482089i</v>
      </c>
      <c r="X378" s="18">
        <f t="shared" si="338"/>
        <v>5.142615611021129</v>
      </c>
      <c r="Y378" s="18">
        <f t="shared" si="339"/>
        <v>-1.3750959638042088</v>
      </c>
      <c r="Z378" s="32" t="str">
        <f t="shared" si="325"/>
        <v>0.960377670188472+0.399387186244496i</v>
      </c>
      <c r="AA378" s="18">
        <f t="shared" si="340"/>
        <v>1.0401131640032892</v>
      </c>
      <c r="AB378" s="18">
        <f t="shared" si="341"/>
        <v>0.3941076055586008</v>
      </c>
      <c r="AC378" s="32" t="str">
        <f>IMDIV(IMSUM(COMPLEX(0,2*PI()*O378*Constants!$B$71*Constants!$B$72),COMPLEX(1,0)),IMSUM(COMPLEX(0,2*PI()*O378*Constants!$B$71*Constants!$B$72),COMPLEX(2,0)))</f>
        <v>0.600088396857833+0.200066267130033i</v>
      </c>
      <c r="AD378" s="18">
        <f t="shared" si="342"/>
        <v>0.6325603491262709</v>
      </c>
      <c r="AE378" s="18">
        <f t="shared" si="343"/>
        <v>0.32180574751562691</v>
      </c>
      <c r="AF378" s="66" t="str">
        <f t="shared" si="344"/>
        <v>-0.356785326090795-0.130016142747871i</v>
      </c>
      <c r="AG378" s="64">
        <f t="shared" si="345"/>
        <v>-8.4103484114649056</v>
      </c>
      <c r="AH378" s="61">
        <f t="shared" si="346"/>
        <v>-159.97775358816622</v>
      </c>
      <c r="AI378" s="50" t="str">
        <f t="shared" si="326"/>
        <v>108.866083054159</v>
      </c>
      <c r="AJ378" s="50" t="str">
        <f t="shared" si="327"/>
        <v>1+204.658455657647i</v>
      </c>
      <c r="AK378" s="50">
        <f t="shared" si="347"/>
        <v>204.66089873782212</v>
      </c>
      <c r="AL378" s="50">
        <f t="shared" si="348"/>
        <v>1.5659101761659475</v>
      </c>
      <c r="AM378" s="50" t="str">
        <f t="shared" si="328"/>
        <v>1+0.225124301223412i</v>
      </c>
      <c r="AN378" s="50">
        <f t="shared" si="349"/>
        <v>1.0250272928080157</v>
      </c>
      <c r="AO378" s="50">
        <f t="shared" si="350"/>
        <v>0.22143275089175826</v>
      </c>
      <c r="AP378" s="50" t="str">
        <f t="shared" si="329"/>
        <v>1-1.12330302475514i</v>
      </c>
      <c r="AQ378" s="50">
        <f t="shared" si="351"/>
        <v>1.5039314098136414</v>
      </c>
      <c r="AR378" s="50">
        <f t="shared" si="352"/>
        <v>-0.84340434481549531</v>
      </c>
      <c r="AS378" s="59" t="str">
        <f t="shared" si="353"/>
        <v>-0.474509698527855-0.668777418197076i</v>
      </c>
      <c r="AT378" s="50">
        <f t="shared" si="354"/>
        <v>-1.7235764089112333</v>
      </c>
      <c r="AU378" s="61">
        <f t="shared" si="355"/>
        <v>-125.3563914997507</v>
      </c>
      <c r="AV378" s="32" t="str">
        <f t="shared" si="330"/>
        <v>-0.0000333333333333333</v>
      </c>
      <c r="AW378" s="32" t="str">
        <f t="shared" si="331"/>
        <v>0.0120066293985819i</v>
      </c>
      <c r="AX378" s="32">
        <f t="shared" si="356"/>
        <v>1.20066293985819E-2</v>
      </c>
      <c r="AY378" s="32">
        <f t="shared" si="357"/>
        <v>1.5707963267948966</v>
      </c>
      <c r="AZ378" s="32" t="str">
        <f t="shared" si="332"/>
        <v>1+4.89853803587979i</v>
      </c>
      <c r="BA378" s="32">
        <f t="shared" si="358"/>
        <v>4.9995674701878992</v>
      </c>
      <c r="BB378" s="32">
        <f t="shared" si="359"/>
        <v>1.369420746489449</v>
      </c>
      <c r="BC378" s="32" t="str">
        <f t="shared" si="333"/>
        <v>1+235.12982572223i</v>
      </c>
      <c r="BD378" s="32">
        <f t="shared" si="360"/>
        <v>235.13195219741243</v>
      </c>
      <c r="BE378" s="32">
        <f t="shared" si="361"/>
        <v>1.5665433828404507</v>
      </c>
      <c r="BF378" s="59" t="str">
        <f t="shared" si="362"/>
        <v>-0.0255715536219839+0.128039472095913i</v>
      </c>
      <c r="BG378" s="50">
        <f t="shared" si="363"/>
        <v>-17.683262889495953</v>
      </c>
      <c r="BH378" s="61">
        <f t="shared" si="364"/>
        <v>101.29429510940446</v>
      </c>
      <c r="BI378" s="59" t="str">
        <f t="shared" si="365"/>
        <v>0.025770753379052-0.0423578900382329i</v>
      </c>
      <c r="BJ378" s="64">
        <f t="shared" si="366"/>
        <v>-26.093611300960859</v>
      </c>
      <c r="BK378" s="61">
        <f t="shared" si="367"/>
        <v>-58.683458478761843</v>
      </c>
      <c r="BL378" s="59" t="str">
        <f t="shared" si="371"/>
        <v>0.0977638577756777-0.0436542936932989i</v>
      </c>
      <c r="BM378" s="64">
        <f t="shared" si="368"/>
        <v>-19.406839298407185</v>
      </c>
      <c r="BN378" s="61">
        <f t="shared" si="372"/>
        <v>-24.062096390346252</v>
      </c>
      <c r="BO378" s="50">
        <f t="shared" si="369"/>
        <v>-26.093611300960859</v>
      </c>
      <c r="BP378" s="61">
        <f t="shared" si="370"/>
        <v>-58.683458478761843</v>
      </c>
    </row>
    <row r="379" spans="14:68" x14ac:dyDescent="0.25">
      <c r="N379" s="11">
        <v>61</v>
      </c>
      <c r="O379" s="51">
        <f t="shared" si="320"/>
        <v>40738.027780411358</v>
      </c>
      <c r="P379" s="49" t="str">
        <f t="shared" si="321"/>
        <v>25.6231073841137</v>
      </c>
      <c r="Q379" s="18" t="str">
        <f t="shared" si="322"/>
        <v>1+221.353015214378i</v>
      </c>
      <c r="R379" s="18">
        <f t="shared" si="334"/>
        <v>221.35527403813231</v>
      </c>
      <c r="S379" s="18">
        <f t="shared" si="335"/>
        <v>1.5662786869696652</v>
      </c>
      <c r="T379" s="18" t="str">
        <f t="shared" si="323"/>
        <v>1+0.230368119834019i</v>
      </c>
      <c r="U379" s="18">
        <f t="shared" si="336"/>
        <v>1.0261917319077662</v>
      </c>
      <c r="V379" s="18">
        <f t="shared" si="337"/>
        <v>0.22641798455531767</v>
      </c>
      <c r="W379" s="32" t="str">
        <f t="shared" si="324"/>
        <v>1-5.16195231479931i</v>
      </c>
      <c r="X379" s="18">
        <f t="shared" si="338"/>
        <v>5.257922755258198</v>
      </c>
      <c r="Y379" s="18">
        <f t="shared" si="339"/>
        <v>-1.379441490002155</v>
      </c>
      <c r="Z379" s="32" t="str">
        <f t="shared" si="325"/>
        <v>0.958510327314061+0.408690108890722i</v>
      </c>
      <c r="AA379" s="18">
        <f t="shared" si="340"/>
        <v>1.0420027124114499</v>
      </c>
      <c r="AB379" s="18">
        <f t="shared" si="341"/>
        <v>0.403039358750169</v>
      </c>
      <c r="AC379" s="32" t="str">
        <f>IMDIV(IMSUM(COMPLEX(0,2*PI()*O379*Constants!$B$71*Constants!$B$72),COMPLEX(1,0)),IMSUM(COMPLEX(0,2*PI()*O379*Constants!$B$71*Constants!$B$72),COMPLEX(2,0)))</f>
        <v>0.603825919629257+0.202813062271066i</v>
      </c>
      <c r="AD379" s="18">
        <f t="shared" si="342"/>
        <v>0.63697635705250877</v>
      </c>
      <c r="AE379" s="18">
        <f t="shared" si="343"/>
        <v>0.32404081907415039</v>
      </c>
      <c r="AF379" s="66" t="str">
        <f t="shared" si="344"/>
        <v>-0.359525264687454-0.128510525640252i</v>
      </c>
      <c r="AG379" s="64">
        <f t="shared" si="345"/>
        <v>-8.3632180262507312</v>
      </c>
      <c r="AH379" s="61">
        <f t="shared" si="346"/>
        <v>-160.33082175726989</v>
      </c>
      <c r="AI379" s="50" t="str">
        <f t="shared" si="326"/>
        <v>108.866083054159</v>
      </c>
      <c r="AJ379" s="50" t="str">
        <f t="shared" si="327"/>
        <v>1+209.425563485472i</v>
      </c>
      <c r="AK379" s="50">
        <f t="shared" si="347"/>
        <v>209.42795095499423</v>
      </c>
      <c r="AL379" s="50">
        <f t="shared" si="348"/>
        <v>1.5660213968228334</v>
      </c>
      <c r="AM379" s="50" t="str">
        <f t="shared" si="328"/>
        <v>1+0.230368119834019i</v>
      </c>
      <c r="AN379" s="50">
        <f t="shared" si="349"/>
        <v>1.0261917319077662</v>
      </c>
      <c r="AO379" s="50">
        <f t="shared" si="350"/>
        <v>0.22641798455531767</v>
      </c>
      <c r="AP379" s="50" t="str">
        <f t="shared" si="329"/>
        <v>1-1.14946811343971i</v>
      </c>
      <c r="AQ379" s="50">
        <f t="shared" si="351"/>
        <v>1.5235737408522916</v>
      </c>
      <c r="AR379" s="50">
        <f t="shared" si="352"/>
        <v>-0.85482366213390348</v>
      </c>
      <c r="AS379" s="59" t="str">
        <f t="shared" si="353"/>
        <v>-0.474627187254481-0.659750102659589i</v>
      </c>
      <c r="AT379" s="50">
        <f t="shared" si="354"/>
        <v>-1.8010011202981382</v>
      </c>
      <c r="AU379" s="61">
        <f t="shared" si="355"/>
        <v>-125.73140981244202</v>
      </c>
      <c r="AV379" s="32" t="str">
        <f t="shared" si="330"/>
        <v>-0.0000333333333333333</v>
      </c>
      <c r="AW379" s="32" t="str">
        <f t="shared" si="331"/>
        <v>0.012286299724481i</v>
      </c>
      <c r="AX379" s="32">
        <f t="shared" si="356"/>
        <v>1.2286299724481E-2</v>
      </c>
      <c r="AY379" s="32">
        <f t="shared" si="357"/>
        <v>1.5707963267948966</v>
      </c>
      <c r="AZ379" s="32" t="str">
        <f t="shared" si="332"/>
        <v>1+5.01263964453652i</v>
      </c>
      <c r="BA379" s="32">
        <f t="shared" si="358"/>
        <v>5.1114143058432671</v>
      </c>
      <c r="BB379" s="32">
        <f t="shared" si="359"/>
        <v>1.3738857282854329</v>
      </c>
      <c r="BC379" s="32" t="str">
        <f t="shared" si="333"/>
        <v>1+240.606702937753i</v>
      </c>
      <c r="BD379" s="32">
        <f t="shared" si="360"/>
        <v>240.60878100887368</v>
      </c>
      <c r="BE379" s="32">
        <f t="shared" si="361"/>
        <v>1.5666401905361773</v>
      </c>
      <c r="BF379" s="59" t="str">
        <f t="shared" si="362"/>
        <v>-0.0244646954501589+0.125345751317361i</v>
      </c>
      <c r="BG379" s="50">
        <f t="shared" si="363"/>
        <v>-17.875439434664052</v>
      </c>
      <c r="BH379" s="61">
        <f t="shared" si="364"/>
        <v>101.04401716928139</v>
      </c>
      <c r="BI379" s="59" t="str">
        <f t="shared" si="365"/>
        <v>0.0249039244957827-0.0419209935478934i</v>
      </c>
      <c r="BJ379" s="64">
        <f t="shared" si="366"/>
        <v>-26.238657460914784</v>
      </c>
      <c r="BK379" s="61">
        <f t="shared" si="367"/>
        <v>-59.286804587988492</v>
      </c>
      <c r="BL379" s="59" t="str">
        <f t="shared" si="371"/>
        <v>0.0943084818881186-0.0433519160472808i</v>
      </c>
      <c r="BM379" s="64">
        <f t="shared" si="368"/>
        <v>-19.676440554962195</v>
      </c>
      <c r="BN379" s="61">
        <f t="shared" si="372"/>
        <v>-24.687392643160646</v>
      </c>
      <c r="BO379" s="50">
        <f t="shared" si="369"/>
        <v>-26.238657460914784</v>
      </c>
      <c r="BP379" s="61">
        <f t="shared" si="370"/>
        <v>-59.286804587988492</v>
      </c>
    </row>
    <row r="380" spans="14:68" x14ac:dyDescent="0.25">
      <c r="N380" s="11">
        <v>62</v>
      </c>
      <c r="O380" s="51">
        <f t="shared" si="320"/>
        <v>41686.938347033625</v>
      </c>
      <c r="P380" s="49" t="str">
        <f t="shared" si="321"/>
        <v>25.6231073841137</v>
      </c>
      <c r="Q380" s="18" t="str">
        <f t="shared" si="322"/>
        <v>1+226.508989289088i</v>
      </c>
      <c r="R380" s="18">
        <f t="shared" si="334"/>
        <v>226.51119669624319</v>
      </c>
      <c r="S380" s="18">
        <f t="shared" si="335"/>
        <v>1.566381519655059</v>
      </c>
      <c r="T380" s="18" t="str">
        <f t="shared" si="323"/>
        <v>1+0.235734082671045i</v>
      </c>
      <c r="U380" s="18">
        <f t="shared" si="336"/>
        <v>1.0274096348257393</v>
      </c>
      <c r="V380" s="18">
        <f t="shared" si="337"/>
        <v>0.23150751117487114</v>
      </c>
      <c r="W380" s="32" t="str">
        <f t="shared" si="324"/>
        <v>1-5.28218963022156i</v>
      </c>
      <c r="X380" s="18">
        <f t="shared" si="338"/>
        <v>5.3760140708167956</v>
      </c>
      <c r="Y380" s="18">
        <f t="shared" si="339"/>
        <v>-1.3836951814340634</v>
      </c>
      <c r="Z380" s="32" t="str">
        <f t="shared" si="325"/>
        <v>0.956554979281266+0.418209724442335i</v>
      </c>
      <c r="AA380" s="18">
        <f t="shared" si="340"/>
        <v>1.0439812268455391</v>
      </c>
      <c r="AB380" s="18">
        <f t="shared" si="341"/>
        <v>0.41216202247643696</v>
      </c>
      <c r="AC380" s="32" t="str">
        <f>IMDIV(IMSUM(COMPLEX(0,2*PI()*O380*Constants!$B$71*Constants!$B$72),COMPLEX(1,0)),IMSUM(COMPLEX(0,2*PI()*O380*Constants!$B$71*Constants!$B$72),COMPLEX(2,0)))</f>
        <v>0.607665435028633+0.205525841719263i</v>
      </c>
      <c r="AD380" s="18">
        <f t="shared" si="342"/>
        <v>0.64148121760730403</v>
      </c>
      <c r="AE380" s="18">
        <f t="shared" si="343"/>
        <v>0.32614391672883158</v>
      </c>
      <c r="AF380" s="66" t="str">
        <f t="shared" si="344"/>
        <v>-0.362321382173328-0.126946931245386i</v>
      </c>
      <c r="AG380" s="64">
        <f t="shared" si="345"/>
        <v>-8.3152518248904155</v>
      </c>
      <c r="AH380" s="61">
        <f t="shared" si="346"/>
        <v>-160.6910153174336</v>
      </c>
      <c r="AI380" s="50" t="str">
        <f t="shared" si="326"/>
        <v>108.866083054159</v>
      </c>
      <c r="AJ380" s="50" t="str">
        <f t="shared" si="327"/>
        <v>1+214.303711519132i</v>
      </c>
      <c r="AK380" s="50">
        <f t="shared" si="347"/>
        <v>214.30604464381156</v>
      </c>
      <c r="AL380" s="50">
        <f t="shared" si="348"/>
        <v>1.5661300859026315</v>
      </c>
      <c r="AM380" s="50" t="str">
        <f t="shared" si="328"/>
        <v>1+0.235734082671045i</v>
      </c>
      <c r="AN380" s="50">
        <f t="shared" si="349"/>
        <v>1.0274096348257393</v>
      </c>
      <c r="AO380" s="50">
        <f t="shared" si="350"/>
        <v>0.23150751117487114</v>
      </c>
      <c r="AP380" s="50" t="str">
        <f t="shared" si="329"/>
        <v>1-1.17624266533303i</v>
      </c>
      <c r="AQ380" s="50">
        <f t="shared" si="351"/>
        <v>1.5438739610958372</v>
      </c>
      <c r="AR380" s="50">
        <f t="shared" si="352"/>
        <v>-0.86620664988512985</v>
      </c>
      <c r="AS380" s="59" t="str">
        <f t="shared" si="353"/>
        <v>-0.474739388353047-0.651072544848332i</v>
      </c>
      <c r="AT380" s="50">
        <f t="shared" si="354"/>
        <v>-1.8757269332453079</v>
      </c>
      <c r="AU380" s="61">
        <f t="shared" si="355"/>
        <v>-126.09822599936811</v>
      </c>
      <c r="AV380" s="32" t="str">
        <f t="shared" si="330"/>
        <v>-0.0000333333333333333</v>
      </c>
      <c r="AW380" s="32" t="str">
        <f t="shared" si="331"/>
        <v>0.0125724844091224i</v>
      </c>
      <c r="AX380" s="32">
        <f t="shared" si="356"/>
        <v>1.2572484409122399E-2</v>
      </c>
      <c r="AY380" s="32">
        <f t="shared" si="357"/>
        <v>1.5707963267948966</v>
      </c>
      <c r="AZ380" s="32" t="str">
        <f t="shared" si="332"/>
        <v>1+5.12939902108292i</v>
      </c>
      <c r="BA380" s="32">
        <f t="shared" si="358"/>
        <v>5.2259673092630816</v>
      </c>
      <c r="BB380" s="32">
        <f t="shared" si="359"/>
        <v>1.3782567742906209</v>
      </c>
      <c r="BC380" s="32" t="str">
        <f t="shared" si="333"/>
        <v>1+246.211153011981i</v>
      </c>
      <c r="BD380" s="32">
        <f t="shared" si="360"/>
        <v>246.21318378082256</v>
      </c>
      <c r="BE380" s="32">
        <f t="shared" si="361"/>
        <v>1.566734794694991</v>
      </c>
      <c r="BF380" s="59" t="str">
        <f t="shared" si="362"/>
        <v>-0.0234039199865633+0.122699336745758i</v>
      </c>
      <c r="BG380" s="50">
        <f t="shared" si="363"/>
        <v>-18.067954902224276</v>
      </c>
      <c r="BH380" s="61">
        <f t="shared" si="364"/>
        <v>100.798995100151</v>
      </c>
      <c r="BI380" s="59" t="str">
        <f t="shared" si="365"/>
        <v>0.0240560449035238-0.0414855374600669i</v>
      </c>
      <c r="BJ380" s="64">
        <f t="shared" si="366"/>
        <v>-26.38320672711469</v>
      </c>
      <c r="BK380" s="61">
        <f t="shared" si="367"/>
        <v>-59.892020217282607</v>
      </c>
      <c r="BL380" s="59" t="str">
        <f t="shared" si="371"/>
        <v>0.0909969320857478-0.0430125583329272i</v>
      </c>
      <c r="BM380" s="64">
        <f t="shared" si="368"/>
        <v>-19.943681835469587</v>
      </c>
      <c r="BN380" s="61">
        <f t="shared" si="372"/>
        <v>-25.299230899217122</v>
      </c>
      <c r="BO380" s="50">
        <f t="shared" si="369"/>
        <v>-26.38320672711469</v>
      </c>
      <c r="BP380" s="61">
        <f t="shared" si="370"/>
        <v>-59.892020217282607</v>
      </c>
    </row>
    <row r="381" spans="14:68" x14ac:dyDescent="0.25">
      <c r="N381" s="11">
        <v>63</v>
      </c>
      <c r="O381" s="51">
        <f t="shared" si="320"/>
        <v>42657.951880159271</v>
      </c>
      <c r="P381" s="49" t="str">
        <f t="shared" si="321"/>
        <v>25.6231073841137</v>
      </c>
      <c r="Q381" s="18" t="str">
        <f t="shared" si="322"/>
        <v>1+231.78506142812i</v>
      </c>
      <c r="R381" s="18">
        <f t="shared" si="334"/>
        <v>231.78721858902693</v>
      </c>
      <c r="S381" s="18">
        <f t="shared" si="335"/>
        <v>1.566482011672979</v>
      </c>
      <c r="T381" s="18" t="str">
        <f t="shared" si="323"/>
        <v>1+0.241225034839012i</v>
      </c>
      <c r="U381" s="18">
        <f t="shared" si="336"/>
        <v>1.0286833902776318</v>
      </c>
      <c r="V381" s="18">
        <f t="shared" si="337"/>
        <v>0.23670297413207458</v>
      </c>
      <c r="W381" s="32" t="str">
        <f t="shared" si="324"/>
        <v>1-5.40522763250379i</v>
      </c>
      <c r="X381" s="18">
        <f t="shared" si="338"/>
        <v>5.4969524064869359</v>
      </c>
      <c r="Y381" s="18">
        <f t="shared" si="339"/>
        <v>-1.3878586774388244</v>
      </c>
      <c r="Z381" s="32" t="str">
        <f t="shared" si="325"/>
        <v>0.95450747853475+0.427951080325506i</v>
      </c>
      <c r="AA381" s="18">
        <f t="shared" si="340"/>
        <v>1.0460528924153569</v>
      </c>
      <c r="AB381" s="18">
        <f t="shared" si="341"/>
        <v>0.42147888994808308</v>
      </c>
      <c r="AC381" s="32" t="str">
        <f>IMDIV(IMSUM(COMPLEX(0,2*PI()*O381*Constants!$B$71*Constants!$B$72),COMPLEX(1,0)),IMSUM(COMPLEX(0,2*PI()*O381*Constants!$B$71*Constants!$B$72),COMPLEX(2,0)))</f>
        <v>0.61160693764378+0.208200288884688i</v>
      </c>
      <c r="AD381" s="18">
        <f t="shared" si="342"/>
        <v>0.64607306588780677</v>
      </c>
      <c r="AE381" s="18">
        <f t="shared" si="343"/>
        <v>0.32811062272621216</v>
      </c>
      <c r="AF381" s="66" t="str">
        <f t="shared" si="344"/>
        <v>-0.365171797164731-0.125319840286394i</v>
      </c>
      <c r="AG381" s="64">
        <f t="shared" si="345"/>
        <v>-8.266519831879604</v>
      </c>
      <c r="AH381" s="61">
        <f t="shared" si="346"/>
        <v>-161.05877896617829</v>
      </c>
      <c r="AI381" s="50" t="str">
        <f t="shared" si="326"/>
        <v>108.866083054159</v>
      </c>
      <c r="AJ381" s="50" t="str">
        <f t="shared" si="327"/>
        <v>1+219.295486217284i</v>
      </c>
      <c r="AK381" s="50">
        <f t="shared" si="347"/>
        <v>219.29776623412056</v>
      </c>
      <c r="AL381" s="50">
        <f t="shared" si="348"/>
        <v>1.5662363010234532</v>
      </c>
      <c r="AM381" s="50" t="str">
        <f t="shared" si="328"/>
        <v>1+0.241225034839012i</v>
      </c>
      <c r="AN381" s="50">
        <f t="shared" si="349"/>
        <v>1.0286833902776318</v>
      </c>
      <c r="AO381" s="50">
        <f t="shared" si="350"/>
        <v>0.23670297413207458</v>
      </c>
      <c r="AP381" s="50" t="str">
        <f t="shared" si="329"/>
        <v>1-1.20364087665693i</v>
      </c>
      <c r="AQ381" s="50">
        <f t="shared" si="351"/>
        <v>1.5648486699868018</v>
      </c>
      <c r="AR381" s="50">
        <f t="shared" si="352"/>
        <v>-0.87754754497770471</v>
      </c>
      <c r="AS381" s="59" t="str">
        <f t="shared" si="353"/>
        <v>-0.474846539785287-0.642740147178538i</v>
      </c>
      <c r="AT381" s="50">
        <f t="shared" si="354"/>
        <v>-1.9477507570595276</v>
      </c>
      <c r="AU381" s="61">
        <f t="shared" si="355"/>
        <v>-126.45641900215261</v>
      </c>
      <c r="AV381" s="32" t="str">
        <f t="shared" si="330"/>
        <v>-0.0000333333333333333</v>
      </c>
      <c r="AW381" s="32" t="str">
        <f t="shared" si="331"/>
        <v>0.0128653351914139i</v>
      </c>
      <c r="AX381" s="32">
        <f t="shared" si="356"/>
        <v>1.2865335191413901E-2</v>
      </c>
      <c r="AY381" s="32">
        <f t="shared" si="357"/>
        <v>1.5707963267948966</v>
      </c>
      <c r="AZ381" s="32" t="str">
        <f t="shared" si="332"/>
        <v>1+5.24887807288591i</v>
      </c>
      <c r="BA381" s="32">
        <f t="shared" si="358"/>
        <v>5.3432874734588722</v>
      </c>
      <c r="BB381" s="32">
        <f t="shared" si="359"/>
        <v>1.3825355336643608</v>
      </c>
      <c r="BC381" s="32" t="str">
        <f t="shared" si="333"/>
        <v>1+251.946147498524i</v>
      </c>
      <c r="BD381" s="32">
        <f t="shared" si="360"/>
        <v>251.94813204179152</v>
      </c>
      <c r="BE381" s="32">
        <f t="shared" si="361"/>
        <v>1.5668272454704912</v>
      </c>
      <c r="BF381" s="59" t="str">
        <f t="shared" si="362"/>
        <v>-0.0223874640574906+0.120100010891222i</v>
      </c>
      <c r="BG381" s="50">
        <f t="shared" si="363"/>
        <v>-18.260795157245116</v>
      </c>
      <c r="BH381" s="61">
        <f t="shared" si="364"/>
        <v>100.5591372857325</v>
      </c>
      <c r="BI381" s="59" t="str">
        <f t="shared" si="365"/>
        <v>0.0232261846671168-0.0410515433965492i</v>
      </c>
      <c r="BJ381" s="64">
        <f t="shared" si="366"/>
        <v>-26.527314989124715</v>
      </c>
      <c r="BK381" s="61">
        <f t="shared" si="367"/>
        <v>-60.499641680445777</v>
      </c>
      <c r="BL381" s="59" t="str">
        <f t="shared" si="371"/>
        <v>0.0878237085186349-0.0426397526566063i</v>
      </c>
      <c r="BM381" s="64">
        <f t="shared" si="368"/>
        <v>-20.208545914304644</v>
      </c>
      <c r="BN381" s="61">
        <f t="shared" si="372"/>
        <v>-25.897281716420096</v>
      </c>
      <c r="BO381" s="50">
        <f t="shared" si="369"/>
        <v>-26.527314989124715</v>
      </c>
      <c r="BP381" s="61">
        <f t="shared" si="370"/>
        <v>-60.499641680445777</v>
      </c>
    </row>
    <row r="382" spans="14:68" x14ac:dyDescent="0.25">
      <c r="N382" s="11">
        <v>64</v>
      </c>
      <c r="O382" s="51">
        <f t="shared" si="320"/>
        <v>43651.583224016598</v>
      </c>
      <c r="P382" s="49" t="str">
        <f t="shared" si="321"/>
        <v>25.6231073841137</v>
      </c>
      <c r="Q382" s="18" t="str">
        <f t="shared" si="322"/>
        <v>1+237.184029074759i</v>
      </c>
      <c r="R382" s="18">
        <f t="shared" si="334"/>
        <v>237.18613713313039</v>
      </c>
      <c r="S382" s="18">
        <f t="shared" si="335"/>
        <v>1.5665802162974993</v>
      </c>
      <c r="T382" s="18" t="str">
        <f t="shared" si="323"/>
        <v>1+0.246843887713441i</v>
      </c>
      <c r="U382" s="18">
        <f t="shared" si="336"/>
        <v>1.030015487699814</v>
      </c>
      <c r="V382" s="18">
        <f t="shared" si="337"/>
        <v>0.24200600571494127</v>
      </c>
      <c r="W382" s="32" t="str">
        <f t="shared" si="324"/>
        <v>1-5.53113155802341i</v>
      </c>
      <c r="X382" s="18">
        <f t="shared" si="338"/>
        <v>5.6208021057641293</v>
      </c>
      <c r="Y382" s="18">
        <f t="shared" si="339"/>
        <v>-1.391933607891908</v>
      </c>
      <c r="Z382" s="32" t="str">
        <f t="shared" si="325"/>
        <v>0.952363482050919+0.437919341536068i</v>
      </c>
      <c r="AA382" s="18">
        <f t="shared" si="340"/>
        <v>1.0482220907973341</v>
      </c>
      <c r="AB382" s="18">
        <f t="shared" si="341"/>
        <v>0.43099325685840256</v>
      </c>
      <c r="AC382" s="32" t="str">
        <f>IMDIV(IMSUM(COMPLEX(0,2*PI()*O382*Constants!$B$71*Constants!$B$72),COMPLEX(1,0)),IMSUM(COMPLEX(0,2*PI()*O382*Constants!$B$71*Constants!$B$72),COMPLEX(2,0)))</f>
        <v>0.615650199857668+0.210831997575594i</v>
      </c>
      <c r="AD382" s="18">
        <f t="shared" si="342"/>
        <v>0.65074979814557132</v>
      </c>
      <c r="AE382" s="18">
        <f t="shared" si="343"/>
        <v>0.32993675277849754</v>
      </c>
      <c r="AF382" s="66" t="str">
        <f t="shared" si="344"/>
        <v>-0.368074337490988-0.123623700962548i</v>
      </c>
      <c r="AG382" s="64">
        <f t="shared" si="345"/>
        <v>-8.217094425731041</v>
      </c>
      <c r="AH382" s="61">
        <f t="shared" si="346"/>
        <v>-161.43454418900239</v>
      </c>
      <c r="AI382" s="50" t="str">
        <f t="shared" si="326"/>
        <v>108.866083054159</v>
      </c>
      <c r="AJ382" s="50" t="str">
        <f t="shared" si="327"/>
        <v>1+224.403534284947i</v>
      </c>
      <c r="AK382" s="50">
        <f t="shared" si="347"/>
        <v>224.40576240278546</v>
      </c>
      <c r="AL382" s="50">
        <f t="shared" si="348"/>
        <v>1.5663400984923697</v>
      </c>
      <c r="AM382" s="50" t="str">
        <f t="shared" si="328"/>
        <v>1+0.246843887713441i</v>
      </c>
      <c r="AN382" s="50">
        <f t="shared" si="349"/>
        <v>1.030015487699814</v>
      </c>
      <c r="AO382" s="50">
        <f t="shared" si="350"/>
        <v>0.24200600571494127</v>
      </c>
      <c r="AP382" s="50" t="str">
        <f t="shared" si="329"/>
        <v>1-1.2316772743057i</v>
      </c>
      <c r="AQ382" s="50">
        <f t="shared" si="351"/>
        <v>1.5865147046406844</v>
      </c>
      <c r="AR382" s="50">
        <f t="shared" si="352"/>
        <v>-0.88884069235039664</v>
      </c>
      <c r="AS382" s="59" t="str">
        <f t="shared" si="353"/>
        <v>-0.474948868804704-0.634748494848918i</v>
      </c>
      <c r="AT382" s="50">
        <f t="shared" si="354"/>
        <v>-2.0170710111550241</v>
      </c>
      <c r="AU382" s="61">
        <f t="shared" si="355"/>
        <v>-126.80557451259739</v>
      </c>
      <c r="AV382" s="32" t="str">
        <f t="shared" si="330"/>
        <v>-0.0000333333333333333</v>
      </c>
      <c r="AW382" s="32" t="str">
        <f t="shared" si="331"/>
        <v>0.0131650073447169i</v>
      </c>
      <c r="AX382" s="32">
        <f t="shared" si="356"/>
        <v>1.31650073447169E-2</v>
      </c>
      <c r="AY382" s="32">
        <f t="shared" si="357"/>
        <v>1.5707963267948966</v>
      </c>
      <c r="AZ382" s="32" t="str">
        <f t="shared" si="332"/>
        <v>1+5.37114014932025i</v>
      </c>
      <c r="BA382" s="32">
        <f t="shared" si="358"/>
        <v>5.463437242582728</v>
      </c>
      <c r="BB382" s="32">
        <f t="shared" si="359"/>
        <v>1.3867236480821516</v>
      </c>
      <c r="BC382" s="32" t="str">
        <f t="shared" si="333"/>
        <v>1+257.814727167373i</v>
      </c>
      <c r="BD382" s="32">
        <f t="shared" si="360"/>
        <v>257.81666653726438</v>
      </c>
      <c r="BE382" s="32">
        <f t="shared" si="361"/>
        <v>1.5669175918749778</v>
      </c>
      <c r="BF382" s="59" t="str">
        <f t="shared" si="362"/>
        <v>-0.0214136186662086+0.117547511619386i</v>
      </c>
      <c r="BG382" s="50">
        <f t="shared" si="363"/>
        <v>-18.453946607686188</v>
      </c>
      <c r="BH382" s="61">
        <f t="shared" si="364"/>
        <v>100.32435247314643</v>
      </c>
      <c r="BI382" s="59" t="str">
        <f t="shared" si="365"/>
        <v>0.022413461929176-0.0406189916725023i</v>
      </c>
      <c r="BJ382" s="64">
        <f t="shared" si="366"/>
        <v>-26.671041033417232</v>
      </c>
      <c r="BK382" s="61">
        <f t="shared" si="367"/>
        <v>-61.110191715855947</v>
      </c>
      <c r="BL382" s="59" t="str">
        <f t="shared" si="371"/>
        <v>0.084783480036172-0.0422367954567906i</v>
      </c>
      <c r="BM382" s="64">
        <f t="shared" si="368"/>
        <v>-20.471017618841216</v>
      </c>
      <c r="BN382" s="61">
        <f t="shared" si="372"/>
        <v>-26.481222039450984</v>
      </c>
      <c r="BO382" s="50">
        <f t="shared" si="369"/>
        <v>-26.671041033417232</v>
      </c>
      <c r="BP382" s="61">
        <f t="shared" si="370"/>
        <v>-61.110191715855947</v>
      </c>
    </row>
    <row r="383" spans="14:68" x14ac:dyDescent="0.25">
      <c r="N383" s="11">
        <v>65</v>
      </c>
      <c r="O383" s="51">
        <f t="shared" si="320"/>
        <v>44668.359215096389</v>
      </c>
      <c r="P383" s="49" t="str">
        <f t="shared" si="321"/>
        <v>25.6231073841137</v>
      </c>
      <c r="Q383" s="18" t="str">
        <f t="shared" si="322"/>
        <v>1+242.708754833117i</v>
      </c>
      <c r="R383" s="18">
        <f t="shared" si="334"/>
        <v>242.71081490663352</v>
      </c>
      <c r="S383" s="18">
        <f t="shared" si="335"/>
        <v>1.5666761855904312</v>
      </c>
      <c r="T383" s="18" t="str">
        <f t="shared" si="323"/>
        <v>1+0.252593620484503i</v>
      </c>
      <c r="U383" s="18">
        <f t="shared" si="336"/>
        <v>1.0314085209602784</v>
      </c>
      <c r="V383" s="18">
        <f t="shared" si="337"/>
        <v>0.24741822408254402</v>
      </c>
      <c r="W383" s="32" t="str">
        <f t="shared" si="324"/>
        <v>1-5.6599681627083i</v>
      </c>
      <c r="X383" s="18">
        <f t="shared" si="338"/>
        <v>5.7476290418633988</v>
      </c>
      <c r="Y383" s="18">
        <f t="shared" si="339"/>
        <v>-1.3959215917937151</v>
      </c>
      <c r="Z383" s="32" t="str">
        <f t="shared" si="325"/>
        <v>0.950118442125778+0.448119793378062i</v>
      </c>
      <c r="AA383" s="18">
        <f t="shared" si="340"/>
        <v>1.0504934094437302</v>
      </c>
      <c r="AB383" s="18">
        <f t="shared" si="341"/>
        <v>0.44070841706168618</v>
      </c>
      <c r="AC383" s="32" t="str">
        <f>IMDIV(IMSUM(COMPLEX(0,2*PI()*O383*Constants!$B$71*Constants!$B$72),COMPLEX(1,0)),IMSUM(COMPLEX(0,2*PI()*O383*Constants!$B$71*Constants!$B$72),COMPLEX(2,0)))</f>
        <v>0.619794760899553+0.213416484159016i</v>
      </c>
      <c r="AD383" s="18">
        <f t="shared" si="342"/>
        <v>0.65550907037914397</v>
      </c>
      <c r="AE383" s="18">
        <f t="shared" si="343"/>
        <v>0.33161837574375036</v>
      </c>
      <c r="AF383" s="66" t="str">
        <f t="shared" si="344"/>
        <v>-0.371026528163967-0.1218529447705i</v>
      </c>
      <c r="AG383" s="64">
        <f t="shared" si="345"/>
        <v>-8.167050256311212</v>
      </c>
      <c r="AH383" s="61">
        <f t="shared" si="346"/>
        <v>-161.81872797882335</v>
      </c>
      <c r="AI383" s="50" t="str">
        <f t="shared" si="326"/>
        <v>108.866083054159</v>
      </c>
      <c r="AJ383" s="50" t="str">
        <f t="shared" si="327"/>
        <v>1+229.630564076821i</v>
      </c>
      <c r="AK383" s="50">
        <f t="shared" si="347"/>
        <v>229.6327414769919</v>
      </c>
      <c r="AL383" s="50">
        <f t="shared" si="348"/>
        <v>1.5664415333352213</v>
      </c>
      <c r="AM383" s="50" t="str">
        <f t="shared" si="328"/>
        <v>1+0.252593620484503i</v>
      </c>
      <c r="AN383" s="50">
        <f t="shared" si="349"/>
        <v>1.0314085209602784</v>
      </c>
      <c r="AO383" s="50">
        <f t="shared" si="350"/>
        <v>0.24741822408254402</v>
      </c>
      <c r="AP383" s="50" t="str">
        <f t="shared" si="329"/>
        <v>1-1.26036672354848i</v>
      </c>
      <c r="AQ383" s="50">
        <f t="shared" si="351"/>
        <v>1.60888914404577</v>
      </c>
      <c r="AR383" s="50">
        <f t="shared" si="352"/>
        <v>-0.90008055832032208</v>
      </c>
      <c r="AS383" s="59" t="str">
        <f t="shared" si="353"/>
        <v>-0.475046592438368-0.627093353515887i</v>
      </c>
      <c r="AT383" s="50">
        <f t="shared" si="354"/>
        <v>-2.0836875375034247</v>
      </c>
      <c r="AU383" s="61">
        <f t="shared" si="355"/>
        <v>-127.14528591309062</v>
      </c>
      <c r="AV383" s="32" t="str">
        <f t="shared" si="330"/>
        <v>-0.0000333333333333333</v>
      </c>
      <c r="AW383" s="32" t="str">
        <f t="shared" si="331"/>
        <v>0.0134716597591735i</v>
      </c>
      <c r="AX383" s="32">
        <f t="shared" si="356"/>
        <v>1.3471659759173501E-2</v>
      </c>
      <c r="AY383" s="32">
        <f t="shared" si="357"/>
        <v>1.5707963267948966</v>
      </c>
      <c r="AZ383" s="32" t="str">
        <f t="shared" si="332"/>
        <v>1+5.49625007535724i</v>
      </c>
      <c r="BA383" s="32">
        <f t="shared" si="358"/>
        <v>5.5864805460025071</v>
      </c>
      <c r="BB383" s="32">
        <f t="shared" si="359"/>
        <v>1.3908227501653068</v>
      </c>
      <c r="BC383" s="32" t="str">
        <f t="shared" si="333"/>
        <v>1+263.820003617148i</v>
      </c>
      <c r="BD383" s="32">
        <f t="shared" si="360"/>
        <v>263.82189884191189</v>
      </c>
      <c r="BE383" s="32">
        <f t="shared" si="361"/>
        <v>1.5670058818054073</v>
      </c>
      <c r="BF383" s="59" t="str">
        <f t="shared" si="362"/>
        <v>-0.0204807285061077+0.115041535702062i</v>
      </c>
      <c r="BG383" s="50">
        <f t="shared" si="363"/>
        <v>-18.647396187532934</v>
      </c>
      <c r="BH383" s="61">
        <f t="shared" si="364"/>
        <v>100.09454986437555</v>
      </c>
      <c r="BI383" s="59" t="str">
        <f t="shared" si="365"/>
        <v>0.0216170434881068-0.0401878245066728i</v>
      </c>
      <c r="BJ383" s="64">
        <f t="shared" si="366"/>
        <v>-26.81444644384414</v>
      </c>
      <c r="BK383" s="61">
        <f t="shared" si="367"/>
        <v>-61.724178114447831</v>
      </c>
      <c r="BL383" s="59" t="str">
        <f t="shared" si="371"/>
        <v>0.0818710827045055-0.0418067608027979i</v>
      </c>
      <c r="BM383" s="64">
        <f t="shared" si="368"/>
        <v>-20.731083725036363</v>
      </c>
      <c r="BN383" s="61">
        <f t="shared" si="372"/>
        <v>-27.050736048715081</v>
      </c>
      <c r="BO383" s="50">
        <f t="shared" si="369"/>
        <v>-26.81444644384414</v>
      </c>
      <c r="BP383" s="61">
        <f t="shared" si="370"/>
        <v>-61.724178114447831</v>
      </c>
    </row>
    <row r="384" spans="14:68" x14ac:dyDescent="0.25">
      <c r="N384" s="11">
        <v>66</v>
      </c>
      <c r="O384" s="51">
        <f t="shared" ref="O384:O418" si="373">10^(4+(N384/100))</f>
        <v>45708.818961487581</v>
      </c>
      <c r="P384" s="49" t="str">
        <f t="shared" si="321"/>
        <v>25.6231073841137</v>
      </c>
      <c r="Q384" s="18" t="str">
        <f t="shared" si="322"/>
        <v>1+248.362167985915i</v>
      </c>
      <c r="R384" s="18">
        <f t="shared" si="334"/>
        <v>248.3641811668177</v>
      </c>
      <c r="S384" s="18">
        <f t="shared" si="335"/>
        <v>1.5667699704288887</v>
      </c>
      <c r="T384" s="18" t="str">
        <f t="shared" si="323"/>
        <v>1+0.258477281736615i</v>
      </c>
      <c r="U384" s="18">
        <f t="shared" si="336"/>
        <v>1.0328651921591459</v>
      </c>
      <c r="V384" s="18">
        <f t="shared" si="337"/>
        <v>0.25294123003969754</v>
      </c>
      <c r="W384" s="32" t="str">
        <f t="shared" si="324"/>
        <v>1-5.79180575743156i</v>
      </c>
      <c r="X384" s="18">
        <f t="shared" si="338"/>
        <v>5.8775006534935725</v>
      </c>
      <c r="Y384" s="18">
        <f t="shared" si="339"/>
        <v>-1.3998242359753108</v>
      </c>
      <c r="Z384" s="32" t="str">
        <f t="shared" si="325"/>
        <v>0.947767596728649+0.458557844266069i</v>
      </c>
      <c r="AA384" s="18">
        <f t="shared" si="340"/>
        <v>1.0528716512219063</v>
      </c>
      <c r="AB384" s="18">
        <f t="shared" si="341"/>
        <v>0.45062765793788967</v>
      </c>
      <c r="AC384" s="32" t="str">
        <f>IMDIV(IMSUM(COMPLEX(0,2*PI()*O384*Constants!$B$71*Constants!$B$72),COMPLEX(1,0)),IMSUM(COMPLEX(0,2*PI()*O384*Constants!$B$71*Constants!$B$72),COMPLEX(2,0)))</f>
        <v>0.62403991654688+0.215949200916519i</v>
      </c>
      <c r="AD384" s="18">
        <f t="shared" si="342"/>
        <v>0.66034829811268536</v>
      </c>
      <c r="AE384" s="18">
        <f t="shared" si="343"/>
        <v>0.33315183240863711</v>
      </c>
      <c r="AF384" s="66" t="str">
        <f t="shared" si="344"/>
        <v>-0.374025580116404-0.120002003759941i</v>
      </c>
      <c r="AG384" s="64">
        <f t="shared" si="345"/>
        <v>-8.1164641480854929</v>
      </c>
      <c r="AH384" s="61">
        <f t="shared" si="346"/>
        <v>-162.21173160644148</v>
      </c>
      <c r="AI384" s="50" t="str">
        <f t="shared" si="326"/>
        <v>108.866083054159</v>
      </c>
      <c r="AJ384" s="50" t="str">
        <f t="shared" si="327"/>
        <v>1+234.979347033287i</v>
      </c>
      <c r="AK384" s="50">
        <f t="shared" si="347"/>
        <v>234.981474870233</v>
      </c>
      <c r="AL384" s="50">
        <f t="shared" si="348"/>
        <v>1.56654065932575</v>
      </c>
      <c r="AM384" s="50" t="str">
        <f t="shared" si="328"/>
        <v>1+0.258477281736615i</v>
      </c>
      <c r="AN384" s="50">
        <f t="shared" si="349"/>
        <v>1.0328651921591459</v>
      </c>
      <c r="AO384" s="50">
        <f t="shared" si="350"/>
        <v>0.25294123003969754</v>
      </c>
      <c r="AP384" s="50" t="str">
        <f t="shared" si="329"/>
        <v>1-1.28972443591101i</v>
      </c>
      <c r="AQ384" s="50">
        <f t="shared" si="351"/>
        <v>1.6319893138700305</v>
      </c>
      <c r="AR384" s="50">
        <f t="shared" si="352"/>
        <v>-0.91126174319350428</v>
      </c>
      <c r="AS384" s="59" t="str">
        <f t="shared" si="353"/>
        <v>-0.475139917947072-0.619770667062475i</v>
      </c>
      <c r="AT384" s="50">
        <f t="shared" si="354"/>
        <v>-2.1476015060328306</v>
      </c>
      <c r="AU384" s="61">
        <f t="shared" si="355"/>
        <v>-127.4751551856065</v>
      </c>
      <c r="AV384" s="32" t="str">
        <f t="shared" si="330"/>
        <v>-0.0000333333333333333</v>
      </c>
      <c r="AW384" s="32" t="str">
        <f t="shared" si="331"/>
        <v>0.0137854550259528i</v>
      </c>
      <c r="AX384" s="32">
        <f t="shared" si="356"/>
        <v>1.3785455025952799E-2</v>
      </c>
      <c r="AY384" s="32">
        <f t="shared" si="357"/>
        <v>1.5707963267948966</v>
      </c>
      <c r="AZ384" s="32" t="str">
        <f t="shared" si="332"/>
        <v>1+5.62427418593561i</v>
      </c>
      <c r="BA384" s="32">
        <f t="shared" si="358"/>
        <v>5.7124828331104558</v>
      </c>
      <c r="BB384" s="32">
        <f t="shared" si="359"/>
        <v>1.3948344620359592</v>
      </c>
      <c r="BC384" s="32" t="str">
        <f t="shared" si="333"/>
        <v>1+269.96516092491i</v>
      </c>
      <c r="BD384" s="32">
        <f t="shared" si="360"/>
        <v>269.96701300939077</v>
      </c>
      <c r="BE384" s="32">
        <f t="shared" si="361"/>
        <v>1.5670921620687606</v>
      </c>
      <c r="BF384" s="59" t="str">
        <f t="shared" si="362"/>
        <v>-0.0195871913554191+0.112581742192753i</v>
      </c>
      <c r="BG384" s="50">
        <f t="shared" si="363"/>
        <v>-18.841131340102773</v>
      </c>
      <c r="BH384" s="61">
        <f t="shared" si="364"/>
        <v>99.869639200510079</v>
      </c>
      <c r="BI384" s="59" t="str">
        <f t="shared" si="365"/>
        <v>0.0208361452594771-0.0397579492234802i</v>
      </c>
      <c r="BJ384" s="64">
        <f t="shared" si="366"/>
        <v>-26.957595488188268</v>
      </c>
      <c r="BK384" s="61">
        <f t="shared" si="367"/>
        <v>-62.342092405931425</v>
      </c>
      <c r="BL384" s="59" t="str">
        <f t="shared" si="371"/>
        <v>0.0790815179512856-0.0413525130955746i</v>
      </c>
      <c r="BM384" s="64">
        <f t="shared" si="368"/>
        <v>-20.988732846135605</v>
      </c>
      <c r="BN384" s="61">
        <f t="shared" si="372"/>
        <v>-27.605515985096407</v>
      </c>
      <c r="BO384" s="50">
        <f t="shared" si="369"/>
        <v>-26.957595488188268</v>
      </c>
      <c r="BP384" s="61">
        <f t="shared" si="370"/>
        <v>-62.342092405931425</v>
      </c>
    </row>
    <row r="385" spans="14:68" x14ac:dyDescent="0.25">
      <c r="N385" s="11">
        <v>67</v>
      </c>
      <c r="O385" s="51">
        <f t="shared" si="373"/>
        <v>46773.514128719893</v>
      </c>
      <c r="P385" s="49" t="str">
        <f t="shared" si="321"/>
        <v>25.6231073841137</v>
      </c>
      <c r="Q385" s="18" t="str">
        <f t="shared" si="322"/>
        <v>1+254.147266047643i</v>
      </c>
      <c r="R385" s="18">
        <f t="shared" si="334"/>
        <v>254.14923340331254</v>
      </c>
      <c r="S385" s="18">
        <f t="shared" si="335"/>
        <v>1.5668616205322314</v>
      </c>
      <c r="T385" s="18" t="str">
        <f t="shared" si="323"/>
        <v>1+0.264497991064857i</v>
      </c>
      <c r="U385" s="18">
        <f t="shared" si="336"/>
        <v>1.0343883155166367</v>
      </c>
      <c r="V385" s="18">
        <f t="shared" si="337"/>
        <v>0.25857660361640339</v>
      </c>
      <c r="W385" s="32" t="str">
        <f t="shared" si="324"/>
        <v>1-5.92671424423106i</v>
      </c>
      <c r="X385" s="18">
        <f t="shared" si="338"/>
        <v>6.010485981413761</v>
      </c>
      <c r="Y385" s="18">
        <f t="shared" si="339"/>
        <v>-1.4036431339154702</v>
      </c>
      <c r="Z385" s="32" t="str">
        <f t="shared" si="325"/>
        <v>0.945305959401261+0.469239028592839i</v>
      </c>
      <c r="AA385" s="18">
        <f t="shared" si="340"/>
        <v>1.0553618445037181</v>
      </c>
      <c r="AB385" s="18">
        <f t="shared" si="341"/>
        <v>0.46075425543122622</v>
      </c>
      <c r="AC385" s="32" t="str">
        <f>IMDIV(IMSUM(COMPLEX(0,2*PI()*O385*Constants!$B$71*Constants!$B$72),COMPLEX(1,0)),IMSUM(COMPLEX(0,2*PI()*O385*Constants!$B$71*Constants!$B$72),COMPLEX(2,0)))</f>
        <v>0.628384709608143+0.21842555057251i</v>
      </c>
      <c r="AD385" s="18">
        <f t="shared" si="342"/>
        <v>0.66526465742004848</v>
      </c>
      <c r="AE385" s="18">
        <f t="shared" si="343"/>
        <v>0.33453375322251588</v>
      </c>
      <c r="AF385" s="66" t="str">
        <f t="shared" si="344"/>
        <v>-0.377068379857464-0.118065329206701i</v>
      </c>
      <c r="AG385" s="64">
        <f t="shared" si="345"/>
        <v>-8.0654149898141583</v>
      </c>
      <c r="AH385" s="61">
        <f t="shared" si="346"/>
        <v>-162.61393944993193</v>
      </c>
      <c r="AI385" s="50" t="str">
        <f t="shared" si="326"/>
        <v>108.866083054159</v>
      </c>
      <c r="AJ385" s="50" t="str">
        <f t="shared" si="327"/>
        <v>1+240.45271914987i</v>
      </c>
      <c r="AK385" s="50">
        <f t="shared" si="347"/>
        <v>240.45479855175742</v>
      </c>
      <c r="AL385" s="50">
        <f t="shared" si="348"/>
        <v>1.5666375290140722</v>
      </c>
      <c r="AM385" s="50" t="str">
        <f t="shared" si="328"/>
        <v>1+0.264497991064857i</v>
      </c>
      <c r="AN385" s="50">
        <f t="shared" si="349"/>
        <v>1.0343883155166367</v>
      </c>
      <c r="AO385" s="50">
        <f t="shared" si="350"/>
        <v>0.25857660361640339</v>
      </c>
      <c r="AP385" s="50" t="str">
        <f t="shared" si="329"/>
        <v>1-1.31976597724099i</v>
      </c>
      <c r="AQ385" s="50">
        <f t="shared" si="351"/>
        <v>1.6558327918853597</v>
      </c>
      <c r="AR385" s="50">
        <f t="shared" si="352"/>
        <v>-0.92237899307437454</v>
      </c>
      <c r="AS385" s="59" t="str">
        <f t="shared" si="353"/>
        <v>-0.475229043264687-0.612776555460801i</v>
      </c>
      <c r="AT385" s="50">
        <f t="shared" si="354"/>
        <v>-2.2088153137392701</v>
      </c>
      <c r="AU385" s="61">
        <f t="shared" si="355"/>
        <v>-127.79479378595146</v>
      </c>
      <c r="AV385" s="32" t="str">
        <f t="shared" si="330"/>
        <v>-0.0000333333333333333</v>
      </c>
      <c r="AW385" s="32" t="str">
        <f t="shared" si="331"/>
        <v>0.014106559523459i</v>
      </c>
      <c r="AX385" s="32">
        <f t="shared" si="356"/>
        <v>1.4106559523459E-2</v>
      </c>
      <c r="AY385" s="32">
        <f t="shared" si="357"/>
        <v>1.5707963267948966</v>
      </c>
      <c r="AZ385" s="32" t="str">
        <f t="shared" si="332"/>
        <v>1+5.75528036113347i</v>
      </c>
      <c r="BA385" s="32">
        <f t="shared" si="358"/>
        <v>5.8415111088868601</v>
      </c>
      <c r="BB385" s="32">
        <f t="shared" si="359"/>
        <v>1.398760393991169</v>
      </c>
      <c r="BC385" s="32" t="str">
        <f t="shared" si="333"/>
        <v>1+276.253457334407i</v>
      </c>
      <c r="BD385" s="32">
        <f t="shared" si="360"/>
        <v>276.25526726057734</v>
      </c>
      <c r="BE385" s="32">
        <f t="shared" si="361"/>
        <v>1.5671764784068338</v>
      </c>
      <c r="BF385" s="59" t="str">
        <f t="shared" si="362"/>
        <v>-0.0187314573675594+0.110167755630475i</v>
      </c>
      <c r="BG385" s="50">
        <f t="shared" si="363"/>
        <v>-19.035140001556744</v>
      </c>
      <c r="BH385" s="61">
        <f t="shared" si="364"/>
        <v>99.649530839136546</v>
      </c>
      <c r="BI385" s="59" t="str">
        <f t="shared" si="365"/>
        <v>0.0200700326184302-0.039329241447494i</v>
      </c>
      <c r="BJ385" s="64">
        <f t="shared" si="366"/>
        <v>-27.100554991370906</v>
      </c>
      <c r="BK385" s="61">
        <f t="shared" si="367"/>
        <v>-62.964408610795388</v>
      </c>
      <c r="BL385" s="59" t="str">
        <f t="shared" si="371"/>
        <v>0.0764099503818283-0.0408767191824346i</v>
      </c>
      <c r="BM385" s="64">
        <f t="shared" si="368"/>
        <v>-21.243955315296009</v>
      </c>
      <c r="BN385" s="61">
        <f t="shared" si="372"/>
        <v>-28.14526294681492</v>
      </c>
      <c r="BO385" s="50">
        <f t="shared" si="369"/>
        <v>-27.100554991370906</v>
      </c>
      <c r="BP385" s="61">
        <f t="shared" si="370"/>
        <v>-62.964408610795388</v>
      </c>
    </row>
    <row r="386" spans="14:68" x14ac:dyDescent="0.25">
      <c r="N386" s="11">
        <v>68</v>
      </c>
      <c r="O386" s="51">
        <f t="shared" si="373"/>
        <v>47863.009232263823</v>
      </c>
      <c r="P386" s="49" t="str">
        <f t="shared" si="321"/>
        <v>25.6231073841137</v>
      </c>
      <c r="Q386" s="18" t="str">
        <f t="shared" si="322"/>
        <v>1+260.067116353865i</v>
      </c>
      <c r="R386" s="18">
        <f t="shared" si="334"/>
        <v>260.069038927387</v>
      </c>
      <c r="S386" s="18">
        <f t="shared" si="335"/>
        <v>1.5669511844883954</v>
      </c>
      <c r="T386" s="18" t="str">
        <f t="shared" si="323"/>
        <v>1+0.270658940729005i</v>
      </c>
      <c r="U386" s="18">
        <f t="shared" si="336"/>
        <v>1.0359808213459103</v>
      </c>
      <c r="V386" s="18">
        <f t="shared" si="337"/>
        <v>0.2643259004472111</v>
      </c>
      <c r="W386" s="32" t="str">
        <f t="shared" si="324"/>
        <v>1-6.06476515337215i</v>
      </c>
      <c r="X386" s="18">
        <f t="shared" si="338"/>
        <v>6.1466557057929574</v>
      </c>
      <c r="Y386" s="18">
        <f t="shared" si="339"/>
        <v>-1.4073798646630777</v>
      </c>
      <c r="Z386" s="32" t="str">
        <f t="shared" si="325"/>
        <v>0.942728308680806+0.480169009663679i</v>
      </c>
      <c r="AA386" s="18">
        <f t="shared" si="340"/>
        <v>1.0579692537260106</v>
      </c>
      <c r="AB386" s="18">
        <f t="shared" si="341"/>
        <v>0.47109146875049379</v>
      </c>
      <c r="AC386" s="32" t="str">
        <f>IMDIV(IMSUM(COMPLEX(0,2*PI()*O386*Constants!$B$71*Constants!$B$72),COMPLEX(1,0)),IMSUM(COMPLEX(0,2*PI()*O386*Constants!$B$71*Constants!$B$72),COMPLEX(2,0)))</f>
        <v>0.632827921319032+0.220840901957905i</v>
      </c>
      <c r="AD386" s="18">
        <f t="shared" si="342"/>
        <v>0.67025508724555605</v>
      </c>
      <c r="AE386" s="18">
        <f t="shared" si="343"/>
        <v>0.33576107483775136</v>
      </c>
      <c r="AF386" s="66" t="str">
        <f t="shared" si="344"/>
        <v>-0.380151480197563-0.116037411670964i</v>
      </c>
      <c r="AG386" s="64">
        <f t="shared" si="345"/>
        <v>-8.013983611372721</v>
      </c>
      <c r="AH386" s="61">
        <f t="shared" si="346"/>
        <v>-163.02571789052035</v>
      </c>
      <c r="AI386" s="50" t="str">
        <f t="shared" si="326"/>
        <v>108.866083054159</v>
      </c>
      <c r="AJ386" s="50" t="str">
        <f t="shared" si="327"/>
        <v>1+246.053582480914i</v>
      </c>
      <c r="AK386" s="50">
        <f t="shared" si="347"/>
        <v>246.05561455023121</v>
      </c>
      <c r="AL386" s="50">
        <f t="shared" si="348"/>
        <v>1.566732193754502</v>
      </c>
      <c r="AM386" s="50" t="str">
        <f t="shared" si="328"/>
        <v>1+0.270658940729005i</v>
      </c>
      <c r="AN386" s="50">
        <f t="shared" si="349"/>
        <v>1.0359808213459103</v>
      </c>
      <c r="AO386" s="50">
        <f t="shared" si="350"/>
        <v>0.2643259004472111</v>
      </c>
      <c r="AP386" s="50" t="str">
        <f t="shared" si="329"/>
        <v>1-1.35050727596126i</v>
      </c>
      <c r="AQ386" s="50">
        <f t="shared" si="351"/>
        <v>1.6804374140158578</v>
      </c>
      <c r="AR386" s="50">
        <f t="shared" si="352"/>
        <v>-0.93342721081932312</v>
      </c>
      <c r="AS386" s="59" t="str">
        <f t="shared" si="353"/>
        <v>-0.475314157417866-0.606107312727028i</v>
      </c>
      <c r="AT386" s="50">
        <f t="shared" si="354"/>
        <v>-2.2673324783223943</v>
      </c>
      <c r="AU386" s="61">
        <f t="shared" si="355"/>
        <v>-128.10382348040073</v>
      </c>
      <c r="AV386" s="32" t="str">
        <f t="shared" si="330"/>
        <v>-0.0000333333333333333</v>
      </c>
      <c r="AW386" s="32" t="str">
        <f t="shared" si="331"/>
        <v>0.0144351435055469i</v>
      </c>
      <c r="AX386" s="32">
        <f t="shared" si="356"/>
        <v>1.44351435055469E-2</v>
      </c>
      <c r="AY386" s="32">
        <f t="shared" si="357"/>
        <v>1.5707963267948966</v>
      </c>
      <c r="AZ386" s="32" t="str">
        <f t="shared" si="332"/>
        <v>1+5.88933806215891i</v>
      </c>
      <c r="BA386" s="32">
        <f t="shared" si="358"/>
        <v>5.9736339702390264</v>
      </c>
      <c r="BB386" s="32">
        <f t="shared" si="359"/>
        <v>1.4026021432899711</v>
      </c>
      <c r="BC386" s="32" t="str">
        <f t="shared" si="333"/>
        <v>1+282.688226983628i</v>
      </c>
      <c r="BD386" s="32">
        <f t="shared" si="360"/>
        <v>282.68999571110965</v>
      </c>
      <c r="BE386" s="32">
        <f t="shared" si="361"/>
        <v>1.5672588755204675</v>
      </c>
      <c r="BF386" s="59" t="str">
        <f t="shared" si="362"/>
        <v>-0.0179120282701606+0.107799169075869i</v>
      </c>
      <c r="BG386" s="50">
        <f t="shared" si="363"/>
        <v>-19.229410584646772</v>
      </c>
      <c r="BH386" s="61">
        <f t="shared" si="364"/>
        <v>99.434135825223152</v>
      </c>
      <c r="BI386" s="59" t="str">
        <f t="shared" si="365"/>
        <v>0.0193180206200866-0.0389015482900124i</v>
      </c>
      <c r="BJ386" s="64">
        <f t="shared" si="366"/>
        <v>-27.243394196019494</v>
      </c>
      <c r="BK386" s="61">
        <f t="shared" si="367"/>
        <v>-63.591582065297203</v>
      </c>
      <c r="BL386" s="59" t="str">
        <f t="shared" si="371"/>
        <v>0.0738517053076579-0.0403818598993252i</v>
      </c>
      <c r="BM386" s="64">
        <f t="shared" si="368"/>
        <v>-21.496743062969163</v>
      </c>
      <c r="BN386" s="61">
        <f t="shared" si="372"/>
        <v>-28.669687655177629</v>
      </c>
      <c r="BO386" s="50">
        <f t="shared" si="369"/>
        <v>-27.243394196019494</v>
      </c>
      <c r="BP386" s="61">
        <f t="shared" si="370"/>
        <v>-63.591582065297203</v>
      </c>
    </row>
    <row r="387" spans="14:68" x14ac:dyDescent="0.25">
      <c r="N387" s="11">
        <v>69</v>
      </c>
      <c r="O387" s="51">
        <f t="shared" si="373"/>
        <v>48977.881936844598</v>
      </c>
      <c r="P387" s="49" t="str">
        <f t="shared" si="321"/>
        <v>25.6231073841137</v>
      </c>
      <c r="Q387" s="18" t="str">
        <f t="shared" si="322"/>
        <v>1+266.124857687573i</v>
      </c>
      <c r="R387" s="18">
        <f t="shared" si="334"/>
        <v>266.12673649829128</v>
      </c>
      <c r="S387" s="18">
        <f t="shared" si="335"/>
        <v>1.5670387097796246</v>
      </c>
      <c r="T387" s="18" t="str">
        <f t="shared" si="323"/>
        <v>1+0.276963397346122i</v>
      </c>
      <c r="U387" s="18">
        <f t="shared" si="336"/>
        <v>1.0376457601077094</v>
      </c>
      <c r="V387" s="18">
        <f t="shared" si="337"/>
        <v>0.27019064794632902</v>
      </c>
      <c r="W387" s="32" t="str">
        <f t="shared" si="324"/>
        <v>1-6.20603168127422i</v>
      </c>
      <c r="X387" s="18">
        <f t="shared" si="338"/>
        <v>6.286082184395883</v>
      </c>
      <c r="Y387" s="18">
        <f t="shared" si="339"/>
        <v>-1.4110359918591457</v>
      </c>
      <c r="Z387" s="32" t="str">
        <f t="shared" si="325"/>
        <v>0.940029177024513+0.491353582699232i</v>
      </c>
      <c r="AA387" s="18">
        <f t="shared" si="340"/>
        <v>1.0606993904442268</v>
      </c>
      <c r="AB387" s="18">
        <f t="shared" si="341"/>
        <v>0.481642534719459</v>
      </c>
      <c r="AC387" s="32" t="str">
        <f>IMDIV(IMSUM(COMPLEX(0,2*PI()*O387*Constants!$B$71*Constants!$B$72),COMPLEX(1,0)),IMSUM(COMPLEX(0,2*PI()*O387*Constants!$B$71*Constants!$B$72),COMPLEX(2,0)))</f>
        <v>0.637368063784518+0.223190606756538i</v>
      </c>
      <c r="AD387" s="18">
        <f t="shared" si="342"/>
        <v>0.67531629306331498</v>
      </c>
      <c r="AE387" s="18">
        <f t="shared" si="343"/>
        <v>0.3368310553190258</v>
      </c>
      <c r="AF387" s="66" t="str">
        <f t="shared" si="344"/>
        <v>-0.383271092196181-0.11391280239196i</v>
      </c>
      <c r="AG387" s="64">
        <f t="shared" si="345"/>
        <v>-7.9622526485003489</v>
      </c>
      <c r="AH387" s="61">
        <f t="shared" si="346"/>
        <v>-163.44741428204426</v>
      </c>
      <c r="AI387" s="50" t="str">
        <f t="shared" si="326"/>
        <v>108.866083054159</v>
      </c>
      <c r="AJ387" s="50" t="str">
        <f t="shared" si="327"/>
        <v>1+251.784906678293i</v>
      </c>
      <c r="AK387" s="50">
        <f t="shared" si="347"/>
        <v>251.78689249243439</v>
      </c>
      <c r="AL387" s="50">
        <f t="shared" si="348"/>
        <v>1.5668247037327476</v>
      </c>
      <c r="AM387" s="50" t="str">
        <f t="shared" si="328"/>
        <v>1+0.276963397346122i</v>
      </c>
      <c r="AN387" s="50">
        <f t="shared" si="349"/>
        <v>1.0376457601077094</v>
      </c>
      <c r="AO387" s="50">
        <f t="shared" si="350"/>
        <v>0.27019064794632902</v>
      </c>
      <c r="AP387" s="50" t="str">
        <f t="shared" si="329"/>
        <v>1-1.38196463151533i</v>
      </c>
      <c r="AQ387" s="50">
        <f t="shared" si="351"/>
        <v>1.7058212810137239</v>
      </c>
      <c r="AR387" s="50">
        <f t="shared" si="352"/>
        <v>-0.94440146608851439</v>
      </c>
      <c r="AS387" s="59" t="str">
        <f t="shared" si="353"/>
        <v>-0.475395440926819-0.599759404967811i</v>
      </c>
      <c r="AT387" s="50">
        <f t="shared" si="354"/>
        <v>-2.3231575272009768</v>
      </c>
      <c r="AU387" s="61">
        <f t="shared" si="355"/>
        <v>-128.40187714233144</v>
      </c>
      <c r="AV387" s="32" t="str">
        <f t="shared" si="330"/>
        <v>-0.0000333333333333333</v>
      </c>
      <c r="AW387" s="32" t="str">
        <f t="shared" si="331"/>
        <v>0.0147713811917932i</v>
      </c>
      <c r="AX387" s="32">
        <f t="shared" si="356"/>
        <v>1.4771381191793199E-2</v>
      </c>
      <c r="AY387" s="32">
        <f t="shared" si="357"/>
        <v>1.5707963267948966</v>
      </c>
      <c r="AZ387" s="32" t="str">
        <f t="shared" si="332"/>
        <v>1+6.02651836817952i</v>
      </c>
      <c r="BA387" s="32">
        <f t="shared" si="358"/>
        <v>6.1089216431384301</v>
      </c>
      <c r="BB387" s="32">
        <f t="shared" si="359"/>
        <v>1.4063612930474214</v>
      </c>
      <c r="BC387" s="32" t="str">
        <f t="shared" si="333"/>
        <v>1+289.272881672617i</v>
      </c>
      <c r="BD387" s="32">
        <f t="shared" si="360"/>
        <v>289.27461013918918</v>
      </c>
      <c r="BE387" s="32">
        <f t="shared" si="361"/>
        <v>1.5673393970932239</v>
      </c>
      <c r="BF387" s="59" t="str">
        <f t="shared" si="362"/>
        <v>-0.017127456484873+0.105475546984008i</v>
      </c>
      <c r="BG387" s="50">
        <f t="shared" si="363"/>
        <v>-19.423931962725622</v>
      </c>
      <c r="BH387" s="61">
        <f t="shared" si="364"/>
        <v>99.223365955842311</v>
      </c>
      <c r="BI387" s="59" t="str">
        <f t="shared" si="365"/>
        <v>0.018579474094273-0.0384746915265121i</v>
      </c>
      <c r="BJ387" s="64">
        <f t="shared" si="366"/>
        <v>-27.386184611225971</v>
      </c>
      <c r="BK387" s="61">
        <f t="shared" si="367"/>
        <v>-64.224048326201967</v>
      </c>
      <c r="BL387" s="59" t="str">
        <f t="shared" si="371"/>
        <v>0.0714022660253641-0.0398702410554804i</v>
      </c>
      <c r="BM387" s="64">
        <f t="shared" si="368"/>
        <v>-21.747089489926598</v>
      </c>
      <c r="BN387" s="61">
        <f t="shared" si="372"/>
        <v>-29.178511186489139</v>
      </c>
      <c r="BO387" s="50">
        <f t="shared" si="369"/>
        <v>-27.386184611225971</v>
      </c>
      <c r="BP387" s="61">
        <f t="shared" si="370"/>
        <v>-64.224048326201967</v>
      </c>
    </row>
    <row r="388" spans="14:68" x14ac:dyDescent="0.25">
      <c r="N388" s="11">
        <v>70</v>
      </c>
      <c r="O388" s="51">
        <f t="shared" si="373"/>
        <v>50118.723362727294</v>
      </c>
      <c r="P388" s="49" t="str">
        <f t="shared" si="321"/>
        <v>25.6231073841137</v>
      </c>
      <c r="Q388" s="18" t="str">
        <f t="shared" si="322"/>
        <v>1+272.323701943407i</v>
      </c>
      <c r="R388" s="18">
        <f t="shared" si="334"/>
        <v>272.3255379874638</v>
      </c>
      <c r="S388" s="18">
        <f t="shared" si="335"/>
        <v>1.5671242428076197</v>
      </c>
      <c r="T388" s="18" t="str">
        <f t="shared" si="323"/>
        <v>1+0.283414703622558i</v>
      </c>
      <c r="U388" s="18">
        <f t="shared" si="336"/>
        <v>1.0393863065431748</v>
      </c>
      <c r="V388" s="18">
        <f t="shared" si="337"/>
        <v>0.27617234127486884</v>
      </c>
      <c r="W388" s="32" t="str">
        <f t="shared" si="324"/>
        <v>1-6.35058872932027i</v>
      </c>
      <c r="X388" s="18">
        <f t="shared" si="338"/>
        <v>6.4288394916166354</v>
      </c>
      <c r="Y388" s="18">
        <f t="shared" si="339"/>
        <v>-1.4146130628528439</v>
      </c>
      <c r="Z388" s="32" t="str">
        <f t="shared" si="325"/>
        <v>0.937202839212261+0.502798677908167i</v>
      </c>
      <c r="AA388" s="18">
        <f t="shared" si="340"/>
        <v>1.0635580249021319</v>
      </c>
      <c r="AB388" s="18">
        <f t="shared" si="341"/>
        <v>0.49241066176598791</v>
      </c>
      <c r="AC388" s="32" t="str">
        <f>IMDIV(IMSUM(COMPLEX(0,2*PI()*O388*Constants!$B$71*Constants!$B$72),COMPLEX(1,0)),IMSUM(COMPLEX(0,2*PI()*O388*Constants!$B$71*Constants!$B$72),COMPLEX(2,0)))</f>
        <v>0.642003373598084+0.225470017265722i</v>
      </c>
      <c r="AD388" s="18">
        <f t="shared" si="342"/>
        <v>0.68044475190652032</v>
      </c>
      <c r="AE388" s="18">
        <f t="shared" si="343"/>
        <v>0.33774128789392427</v>
      </c>
      <c r="AF388" s="66" t="str">
        <f t="shared" si="344"/>
        <v>-0.386423078486562-0.111686135953534i</v>
      </c>
      <c r="AG388" s="64">
        <f t="shared" si="345"/>
        <v>-7.9103063963957485</v>
      </c>
      <c r="AH388" s="61">
        <f t="shared" si="346"/>
        <v>-163.87935600055772</v>
      </c>
      <c r="AI388" s="50" t="str">
        <f t="shared" si="326"/>
        <v>108.866083054159</v>
      </c>
      <c r="AJ388" s="50" t="str">
        <f t="shared" si="327"/>
        <v>1+257.649730565962i</v>
      </c>
      <c r="AK388" s="50">
        <f t="shared" si="347"/>
        <v>257.65167117779924</v>
      </c>
      <c r="AL388" s="50">
        <f t="shared" si="348"/>
        <v>1.5669151079924866</v>
      </c>
      <c r="AM388" s="50" t="str">
        <f t="shared" si="328"/>
        <v>1+0.283414703622558i</v>
      </c>
      <c r="AN388" s="50">
        <f t="shared" si="349"/>
        <v>1.0393863065431748</v>
      </c>
      <c r="AO388" s="50">
        <f t="shared" si="350"/>
        <v>0.27617234127486884</v>
      </c>
      <c r="AP388" s="50" t="str">
        <f t="shared" si="329"/>
        <v>1-1.41415472300949i</v>
      </c>
      <c r="AQ388" s="50">
        <f t="shared" si="351"/>
        <v>1.7320027657628172</v>
      </c>
      <c r="AR388" s="50">
        <f t="shared" si="352"/>
        <v>-0.95529700445928312</v>
      </c>
      <c r="AS388" s="59" t="str">
        <f t="shared" si="353"/>
        <v>-0.475473066188046-0.593729468517179i</v>
      </c>
      <c r="AT388" s="50">
        <f t="shared" si="354"/>
        <v>-2.3762958827956333</v>
      </c>
      <c r="AU388" s="61">
        <f t="shared" si="355"/>
        <v>-128.6885995069656</v>
      </c>
      <c r="AV388" s="32" t="str">
        <f t="shared" si="330"/>
        <v>-0.0000333333333333333</v>
      </c>
      <c r="AW388" s="32" t="str">
        <f t="shared" si="331"/>
        <v>0.0151154508598698i</v>
      </c>
      <c r="AX388" s="32">
        <f t="shared" si="356"/>
        <v>1.5115450859869799E-2</v>
      </c>
      <c r="AY388" s="32">
        <f t="shared" si="357"/>
        <v>1.5707963267948966</v>
      </c>
      <c r="AZ388" s="32" t="str">
        <f t="shared" si="332"/>
        <v>1+6.16689401400936i</v>
      </c>
      <c r="BA388" s="32">
        <f t="shared" si="358"/>
        <v>6.2474460205770868</v>
      </c>
      <c r="BB388" s="32">
        <f t="shared" si="359"/>
        <v>1.4100394112298018</v>
      </c>
      <c r="BC388" s="32" t="str">
        <f t="shared" si="333"/>
        <v>1+296.01091267245i</v>
      </c>
      <c r="BD388" s="32">
        <f t="shared" si="360"/>
        <v>296.01260179454658</v>
      </c>
      <c r="BE388" s="32">
        <f t="shared" si="361"/>
        <v>1.5674180858145279</v>
      </c>
      <c r="BF388" s="59" t="str">
        <f t="shared" si="362"/>
        <v>-0.0163763441791141+0.103196427918649i</v>
      </c>
      <c r="BG388" s="50">
        <f t="shared" si="363"/>
        <v>-19.61869345404325</v>
      </c>
      <c r="BH388" s="61">
        <f t="shared" si="364"/>
        <v>99.017133839067569</v>
      </c>
      <c r="BI388" s="59" t="str">
        <f t="shared" si="365"/>
        <v>0.0178538076104901-0.0380484707627305i</v>
      </c>
      <c r="BJ388" s="64">
        <f t="shared" si="366"/>
        <v>-27.528999850439003</v>
      </c>
      <c r="BK388" s="61">
        <f t="shared" si="367"/>
        <v>-64.862222161490081</v>
      </c>
      <c r="BL388" s="59" t="str">
        <f t="shared" si="371"/>
        <v>0.069057270880805-0.0393440038764139i</v>
      </c>
      <c r="BM388" s="64">
        <f t="shared" si="368"/>
        <v>-21.994989336838881</v>
      </c>
      <c r="BN388" s="61">
        <f t="shared" si="372"/>
        <v>-29.671465667898008</v>
      </c>
      <c r="BO388" s="50">
        <f t="shared" si="369"/>
        <v>-27.528999850439003</v>
      </c>
      <c r="BP388" s="61">
        <f t="shared" si="370"/>
        <v>-64.862222161490081</v>
      </c>
    </row>
    <row r="389" spans="14:68" x14ac:dyDescent="0.25">
      <c r="N389" s="11">
        <v>71</v>
      </c>
      <c r="O389" s="51">
        <f t="shared" si="373"/>
        <v>51286.138399136544</v>
      </c>
      <c r="P389" s="49" t="str">
        <f t="shared" si="321"/>
        <v>25.6231073841137</v>
      </c>
      <c r="Q389" s="18" t="str">
        <f t="shared" si="322"/>
        <v>1+278.666935830642i</v>
      </c>
      <c r="R389" s="18">
        <f t="shared" si="334"/>
        <v>278.66873008150583</v>
      </c>
      <c r="S389" s="18">
        <f t="shared" si="335"/>
        <v>1.5672078289181157</v>
      </c>
      <c r="T389" s="18" t="str">
        <f t="shared" si="323"/>
        <v>1+0.290016280126291i</v>
      </c>
      <c r="U389" s="18">
        <f t="shared" si="336"/>
        <v>1.0412057638806516</v>
      </c>
      <c r="V389" s="18">
        <f t="shared" si="337"/>
        <v>0.28227243909743099</v>
      </c>
      <c r="W389" s="32" t="str">
        <f t="shared" si="324"/>
        <v>1-6.49851294357059i</v>
      </c>
      <c r="X389" s="18">
        <f t="shared" si="338"/>
        <v>6.5750034583834642</v>
      </c>
      <c r="Y389" s="18">
        <f t="shared" si="339"/>
        <v>-1.4181126079061575</v>
      </c>
      <c r="Z389" s="32" t="str">
        <f t="shared" si="325"/>
        <v>0.934243300202615+0.514510363631456i</v>
      </c>
      <c r="AA389" s="18">
        <f t="shared" si="340"/>
        <v>1.0665511981417708</v>
      </c>
      <c r="AB389" s="18">
        <f t="shared" si="341"/>
        <v>0.50339902353937549</v>
      </c>
      <c r="AC389" s="32" t="str">
        <f>IMDIV(IMSUM(COMPLEX(0,2*PI()*O389*Constants!$B$71*Constants!$B$72),COMPLEX(1,0)),IMSUM(COMPLEX(0,2*PI()*O389*Constants!$B$71*Constants!$B$72),COMPLEX(2,0)))</f>
        <v>0.646731806765858+0.227674505086002i</v>
      </c>
      <c r="AD389" s="18">
        <f t="shared" si="342"/>
        <v>0.68563671878684196</v>
      </c>
      <c r="AE389" s="18">
        <f t="shared" si="343"/>
        <v>0.33848971312807236</v>
      </c>
      <c r="AF389" s="66" t="str">
        <f t="shared" si="344"/>
        <v>-0.389602948129156-0.109352154137328i</v>
      </c>
      <c r="AG389" s="64">
        <f t="shared" si="345"/>
        <v>-7.8582306531919937</v>
      </c>
      <c r="AH389" s="61">
        <f t="shared" si="346"/>
        <v>-164.32184958001631</v>
      </c>
      <c r="AI389" s="50" t="str">
        <f t="shared" si="326"/>
        <v>108.866083054159</v>
      </c>
      <c r="AJ389" s="50" t="str">
        <f t="shared" si="327"/>
        <v>1+263.651163751174i</v>
      </c>
      <c r="AK389" s="50">
        <f t="shared" si="347"/>
        <v>263.65306018961428</v>
      </c>
      <c r="AL389" s="50">
        <f t="shared" si="348"/>
        <v>1.5670034544613398</v>
      </c>
      <c r="AM389" s="50" t="str">
        <f t="shared" si="328"/>
        <v>1+0.290016280126291i</v>
      </c>
      <c r="AN389" s="50">
        <f t="shared" si="349"/>
        <v>1.0412057638806516</v>
      </c>
      <c r="AO389" s="50">
        <f t="shared" si="350"/>
        <v>0.28227243909743099</v>
      </c>
      <c r="AP389" s="50" t="str">
        <f t="shared" si="329"/>
        <v>1-1.44709461805635i</v>
      </c>
      <c r="AQ389" s="50">
        <f t="shared" si="351"/>
        <v>1.7590005212073283</v>
      </c>
      <c r="AR389" s="50">
        <f t="shared" si="352"/>
        <v>-0.9661092555739258</v>
      </c>
      <c r="AS389" s="59" t="str">
        <f t="shared" si="353"/>
        <v>-0.475547197839898-0.588014308163036i</v>
      </c>
      <c r="AT389" s="50">
        <f t="shared" si="354"/>
        <v>-2.4267537449868914</v>
      </c>
      <c r="AU389" s="61">
        <f t="shared" si="355"/>
        <v>-128.96364788282071</v>
      </c>
      <c r="AV389" s="32" t="str">
        <f t="shared" si="330"/>
        <v>-0.0000333333333333333</v>
      </c>
      <c r="AW389" s="32" t="str">
        <f t="shared" si="331"/>
        <v>0.0154675349400688i</v>
      </c>
      <c r="AX389" s="32">
        <f t="shared" si="356"/>
        <v>1.54675349400688E-2</v>
      </c>
      <c r="AY389" s="32">
        <f t="shared" si="357"/>
        <v>1.5707963267948966</v>
      </c>
      <c r="AZ389" s="32" t="str">
        <f t="shared" si="332"/>
        <v>1+6.31053942867392i</v>
      </c>
      <c r="BA389" s="32">
        <f t="shared" si="358"/>
        <v>6.3892807013660118</v>
      </c>
      <c r="BB389" s="32">
        <f t="shared" si="359"/>
        <v>1.4136380497453671</v>
      </c>
      <c r="BC389" s="32" t="str">
        <f t="shared" si="333"/>
        <v>1+302.905892576349i</v>
      </c>
      <c r="BD389" s="32">
        <f t="shared" si="360"/>
        <v>302.90754324954452</v>
      </c>
      <c r="BE389" s="32">
        <f t="shared" si="361"/>
        <v>1.5674949834022809</v>
      </c>
      <c r="BF389" s="59" t="str">
        <f t="shared" si="362"/>
        <v>-0.0156573422600454+0.100961327112985i</v>
      </c>
      <c r="BG389" s="50">
        <f t="shared" si="363"/>
        <v>-19.813684806348004</v>
      </c>
      <c r="BH389" s="61">
        <f t="shared" si="364"/>
        <v>98.815352947365454</v>
      </c>
      <c r="BI389" s="59" t="str">
        <f t="shared" si="365"/>
        <v>0.0171404853087492-0.0376226665860497i</v>
      </c>
      <c r="BJ389" s="64">
        <f t="shared" si="366"/>
        <v>-27.671915459539992</v>
      </c>
      <c r="BK389" s="61">
        <f t="shared" si="367"/>
        <v>-65.506496632650908</v>
      </c>
      <c r="BL389" s="59" t="str">
        <f t="shared" si="371"/>
        <v>0.0668125101509486-0.0388051349220649i</v>
      </c>
      <c r="BM389" s="64">
        <f t="shared" si="368"/>
        <v>-22.240438551334897</v>
      </c>
      <c r="BN389" s="61">
        <f t="shared" si="372"/>
        <v>-30.14829493545529</v>
      </c>
      <c r="BO389" s="50">
        <f t="shared" si="369"/>
        <v>-27.671915459539992</v>
      </c>
      <c r="BP389" s="61">
        <f t="shared" si="370"/>
        <v>-65.506496632650908</v>
      </c>
    </row>
    <row r="390" spans="14:68" x14ac:dyDescent="0.25">
      <c r="N390" s="11">
        <v>72</v>
      </c>
      <c r="O390" s="51">
        <f t="shared" si="373"/>
        <v>52480.746024977314</v>
      </c>
      <c r="P390" s="49" t="str">
        <f t="shared" si="321"/>
        <v>25.6231073841137</v>
      </c>
      <c r="Q390" s="18" t="str">
        <f t="shared" si="322"/>
        <v>1+285.157922615846i</v>
      </c>
      <c r="R390" s="18">
        <f t="shared" si="334"/>
        <v>285.15967602482795</v>
      </c>
      <c r="S390" s="18">
        <f t="shared" si="335"/>
        <v>1.5672895124249</v>
      </c>
      <c r="T390" s="18" t="str">
        <f t="shared" si="323"/>
        <v>1+0.296771627100565i</v>
      </c>
      <c r="U390" s="18">
        <f t="shared" si="336"/>
        <v>1.0431075681117057</v>
      </c>
      <c r="V390" s="18">
        <f t="shared" si="337"/>
        <v>0.28849235912611748</v>
      </c>
      <c r="W390" s="32" t="str">
        <f t="shared" si="324"/>
        <v>1-6.64988275540155i</v>
      </c>
      <c r="X390" s="18">
        <f t="shared" si="338"/>
        <v>6.724651712957848</v>
      </c>
      <c r="Y390" s="18">
        <f t="shared" si="339"/>
        <v>-1.4215361394819672</v>
      </c>
      <c r="Z390" s="32" t="str">
        <f t="shared" si="325"/>
        <v>0.931144282416546+0.526494849559891i</v>
      </c>
      <c r="AA390" s="18">
        <f t="shared" si="340"/>
        <v>1.0696852346789296</v>
      </c>
      <c r="AB390" s="18">
        <f t="shared" si="341"/>
        <v>0.51461075214605478</v>
      </c>
      <c r="AC390" s="32" t="str">
        <f>IMDIV(IMSUM(COMPLEX(0,2*PI()*O390*Constants!$B$71*Constants!$B$72),COMPLEX(1,0)),IMSUM(COMPLEX(0,2*PI()*O390*Constants!$B$71*Constants!$B$72),COMPLEX(2,0)))</f>
        <v>0.651551035057791+0.229799480638681i</v>
      </c>
      <c r="AD390" s="18">
        <f t="shared" si="342"/>
        <v>0.69088823451169457</v>
      </c>
      <c r="AE390" s="18">
        <f t="shared" si="343"/>
        <v>0.33907462942056199</v>
      </c>
      <c r="AF390" s="66" t="str">
        <f t="shared" si="344"/>
        <v>-0.392805853141652-0.10690573086255i</v>
      </c>
      <c r="AG390" s="64">
        <f t="shared" si="345"/>
        <v>-7.8061125544381795</v>
      </c>
      <c r="AH390" s="61">
        <f t="shared" si="346"/>
        <v>-164.77517993926253</v>
      </c>
      <c r="AI390" s="50" t="str">
        <f t="shared" si="326"/>
        <v>108.866083054159</v>
      </c>
      <c r="AJ390" s="50" t="str">
        <f t="shared" si="327"/>
        <v>1+269.792388273241i</v>
      </c>
      <c r="AK390" s="50">
        <f t="shared" si="347"/>
        <v>269.7942415437721</v>
      </c>
      <c r="AL390" s="50">
        <f t="shared" si="348"/>
        <v>1.5670897899762548</v>
      </c>
      <c r="AM390" s="50" t="str">
        <f t="shared" si="328"/>
        <v>1+0.296771627100565i</v>
      </c>
      <c r="AN390" s="50">
        <f t="shared" si="349"/>
        <v>1.0431075681117057</v>
      </c>
      <c r="AO390" s="50">
        <f t="shared" si="350"/>
        <v>0.28849235912611748</v>
      </c>
      <c r="AP390" s="50" t="str">
        <f t="shared" si="329"/>
        <v>1-1.48080178182425i</v>
      </c>
      <c r="AQ390" s="50">
        <f t="shared" si="351"/>
        <v>1.7868334888998119</v>
      </c>
      <c r="AR390" s="50">
        <f t="shared" si="352"/>
        <v>-0.97683384030376685</v>
      </c>
      <c r="AS390" s="59" t="str">
        <f t="shared" si="353"/>
        <v>-0.475617993111638-0.582610895462252i</v>
      </c>
      <c r="AT390" s="50">
        <f t="shared" si="354"/>
        <v>-2.4745379716734845</v>
      </c>
      <c r="AU390" s="61">
        <f t="shared" si="355"/>
        <v>-129.22669281894497</v>
      </c>
      <c r="AV390" s="32" t="str">
        <f t="shared" si="330"/>
        <v>-0.0000333333333333333</v>
      </c>
      <c r="AW390" s="32" t="str">
        <f t="shared" si="331"/>
        <v>0.0158278201120301i</v>
      </c>
      <c r="AX390" s="32">
        <f t="shared" si="356"/>
        <v>1.58278201120301E-2</v>
      </c>
      <c r="AY390" s="32">
        <f t="shared" si="357"/>
        <v>1.5707963267948966</v>
      </c>
      <c r="AZ390" s="32" t="str">
        <f t="shared" si="332"/>
        <v>1+6.45753077487341i</v>
      </c>
      <c r="BA390" s="32">
        <f t="shared" si="358"/>
        <v>6.5345010297984638</v>
      </c>
      <c r="BB390" s="32">
        <f t="shared" si="359"/>
        <v>1.4171587436251805</v>
      </c>
      <c r="BC390" s="32" t="str">
        <f t="shared" si="333"/>
        <v>1+309.961477193924i</v>
      </c>
      <c r="BD390" s="32">
        <f t="shared" si="360"/>
        <v>309.96309029340813</v>
      </c>
      <c r="BE390" s="32">
        <f t="shared" si="361"/>
        <v>1.5675701306249619</v>
      </c>
      <c r="BF390" s="59" t="str">
        <f t="shared" si="362"/>
        <v>-0.0149691493202198+0.0987697388821289i</v>
      </c>
      <c r="BG390" s="50">
        <f t="shared" si="363"/>
        <v>-20.008896181810513</v>
      </c>
      <c r="BH390" s="61">
        <f t="shared" si="364"/>
        <v>98.617937665796347</v>
      </c>
      <c r="BI390" s="59" t="str">
        <f t="shared" si="365"/>
        <v>0.0164390205918309-0.0371970436977041i</v>
      </c>
      <c r="BJ390" s="64">
        <f t="shared" si="366"/>
        <v>-27.815008736248693</v>
      </c>
      <c r="BK390" s="61">
        <f t="shared" si="367"/>
        <v>-66.157242273466224</v>
      </c>
      <c r="BL390" s="59" t="str">
        <f t="shared" si="371"/>
        <v>0.0646639227729613-0.0382554754975172i</v>
      </c>
      <c r="BM390" s="64">
        <f t="shared" si="368"/>
        <v>-22.483434153483998</v>
      </c>
      <c r="BN390" s="61">
        <f t="shared" si="372"/>
        <v>-30.608755153148579</v>
      </c>
      <c r="BO390" s="50">
        <f t="shared" si="369"/>
        <v>-27.815008736248693</v>
      </c>
      <c r="BP390" s="61">
        <f t="shared" si="370"/>
        <v>-66.157242273466224</v>
      </c>
    </row>
    <row r="391" spans="14:68" x14ac:dyDescent="0.25">
      <c r="N391" s="11">
        <v>73</v>
      </c>
      <c r="O391" s="51">
        <f t="shared" si="373"/>
        <v>53703.179637025423</v>
      </c>
      <c r="P391" s="49" t="str">
        <f t="shared" si="321"/>
        <v>25.6231073841137</v>
      </c>
      <c r="Q391" s="18" t="str">
        <f t="shared" si="322"/>
        <v>1+291.800103906133i</v>
      </c>
      <c r="R391" s="18">
        <f t="shared" si="334"/>
        <v>291.80181740289078</v>
      </c>
      <c r="S391" s="18">
        <f t="shared" si="335"/>
        <v>1.5673693366332866</v>
      </c>
      <c r="T391" s="18" t="str">
        <f t="shared" si="323"/>
        <v>1+0.303684326319766i</v>
      </c>
      <c r="U391" s="18">
        <f t="shared" si="336"/>
        <v>1.0450952923309387</v>
      </c>
      <c r="V391" s="18">
        <f t="shared" si="337"/>
        <v>0.29483347345102573</v>
      </c>
      <c r="W391" s="32" t="str">
        <f t="shared" si="324"/>
        <v>1-6.80477842309105i</v>
      </c>
      <c r="X391" s="18">
        <f t="shared" si="338"/>
        <v>6.8778637226514974</v>
      </c>
      <c r="Y391" s="18">
        <f t="shared" si="339"/>
        <v>-1.4248851516105523</v>
      </c>
      <c r="Z391" s="32" t="str">
        <f t="shared" si="325"/>
        <v>0.927899212421835+0.538758490026547i</v>
      </c>
      <c r="AA391" s="18">
        <f t="shared" si="340"/>
        <v>1.0729667557705347</v>
      </c>
      <c r="AB391" s="18">
        <f t="shared" si="341"/>
        <v>0.52604893099485905</v>
      </c>
      <c r="AC391" s="32" t="str">
        <f>IMDIV(IMSUM(COMPLEX(0,2*PI()*O391*Constants!$B$71*Constants!$B$72),COMPLEX(1,0)),IMSUM(COMPLEX(0,2*PI()*O391*Constants!$B$71*Constants!$B$72),COMPLEX(2,0)))</f>
        <v>0.656458443900152+0.231840413393392i</v>
      </c>
      <c r="AD391" s="18">
        <f t="shared" si="342"/>
        <v>0.69619513489410989</v>
      </c>
      <c r="AE391" s="18">
        <f t="shared" si="343"/>
        <v>0.33949470172909441</v>
      </c>
      <c r="AF391" s="66" t="str">
        <f t="shared" si="344"/>
        <v>-0.396026586847151-0.104341898093328i</v>
      </c>
      <c r="AG391" s="64">
        <f t="shared" si="345"/>
        <v>-7.7540403998028387</v>
      </c>
      <c r="AH391" s="61">
        <f t="shared" si="346"/>
        <v>-165.23960970476816</v>
      </c>
      <c r="AI391" s="50" t="str">
        <f t="shared" si="326"/>
        <v>108.866083054159</v>
      </c>
      <c r="AJ391" s="50" t="str">
        <f t="shared" si="327"/>
        <v>1+276.076660290697i</v>
      </c>
      <c r="AK391" s="50">
        <f t="shared" si="347"/>
        <v>276.07847137592046</v>
      </c>
      <c r="AL391" s="50">
        <f t="shared" si="348"/>
        <v>1.5671741603083134</v>
      </c>
      <c r="AM391" s="50" t="str">
        <f t="shared" si="328"/>
        <v>1+0.303684326319766i</v>
      </c>
      <c r="AN391" s="50">
        <f t="shared" si="349"/>
        <v>1.0450952923309387</v>
      </c>
      <c r="AO391" s="50">
        <f t="shared" si="350"/>
        <v>0.29483347345102573</v>
      </c>
      <c r="AP391" s="50" t="str">
        <f t="shared" si="329"/>
        <v>1-1.51529408629762i</v>
      </c>
      <c r="AQ391" s="50">
        <f t="shared" si="351"/>
        <v>1.8155209081606689</v>
      </c>
      <c r="AR391" s="50">
        <f t="shared" si="352"/>
        <v>-0.98746657692060136</v>
      </c>
      <c r="AS391" s="59" t="str">
        <f t="shared" si="353"/>
        <v>-0.475685602156861-0.577516367143577i</v>
      </c>
      <c r="AT391" s="50">
        <f t="shared" si="354"/>
        <v>-2.519655958356493</v>
      </c>
      <c r="AU391" s="61">
        <f t="shared" si="355"/>
        <v>-129.47741872747991</v>
      </c>
      <c r="AV391" s="32" t="str">
        <f t="shared" si="330"/>
        <v>-0.0000333333333333333</v>
      </c>
      <c r="AW391" s="32" t="str">
        <f t="shared" si="331"/>
        <v>0.0161964974037208i</v>
      </c>
      <c r="AX391" s="32">
        <f t="shared" si="356"/>
        <v>1.6196497403720801E-2</v>
      </c>
      <c r="AY391" s="32">
        <f t="shared" si="357"/>
        <v>1.5707963267948966</v>
      </c>
      <c r="AZ391" s="32" t="str">
        <f t="shared" si="332"/>
        <v>1+6.60794598936528i</v>
      </c>
      <c r="BA391" s="32">
        <f t="shared" si="358"/>
        <v>6.6831841362009987</v>
      </c>
      <c r="BB391" s="32">
        <f t="shared" si="359"/>
        <v>1.4206030102887819</v>
      </c>
      <c r="BC391" s="32" t="str">
        <f t="shared" si="333"/>
        <v>1+317.181407489534i</v>
      </c>
      <c r="BD391" s="32">
        <f t="shared" si="360"/>
        <v>317.18298387057564</v>
      </c>
      <c r="BE391" s="32">
        <f t="shared" si="361"/>
        <v>1.5676435673232263</v>
      </c>
      <c r="BF391" s="59" t="str">
        <f t="shared" si="362"/>
        <v>-0.0143105105435467+0.0966211388927472i</v>
      </c>
      <c r="BG391" s="50">
        <f t="shared" si="363"/>
        <v>-20.20431814228262</v>
      </c>
      <c r="BH391" s="61">
        <f t="shared" si="364"/>
        <v>98.424803335326317</v>
      </c>
      <c r="BI391" s="59" t="str">
        <f t="shared" si="365"/>
        <v>0.0157489756746093-0.0367713540201809i</v>
      </c>
      <c r="BJ391" s="64">
        <f t="shared" si="366"/>
        <v>-27.958358542085463</v>
      </c>
      <c r="BK391" s="61">
        <f t="shared" si="367"/>
        <v>-66.814806369441783</v>
      </c>
      <c r="BL391" s="59" t="str">
        <f t="shared" si="371"/>
        <v>0.0626075929476935-0.0376967305741992i</v>
      </c>
      <c r="BM391" s="64">
        <f t="shared" si="368"/>
        <v>-22.723974100639104</v>
      </c>
      <c r="BN391" s="61">
        <f t="shared" si="372"/>
        <v>-31.05261539215358</v>
      </c>
      <c r="BO391" s="50">
        <f t="shared" si="369"/>
        <v>-27.958358542085463</v>
      </c>
      <c r="BP391" s="61">
        <f t="shared" si="370"/>
        <v>-66.814806369441783</v>
      </c>
    </row>
    <row r="392" spans="14:68" x14ac:dyDescent="0.25">
      <c r="N392" s="11">
        <v>74</v>
      </c>
      <c r="O392" s="51">
        <f t="shared" si="373"/>
        <v>54954.087385762505</v>
      </c>
      <c r="P392" s="49" t="str">
        <f t="shared" si="321"/>
        <v>25.6231073841137</v>
      </c>
      <c r="Q392" s="18" t="str">
        <f t="shared" si="322"/>
        <v>1+298.597001473941i</v>
      </c>
      <c r="R392" s="18">
        <f t="shared" si="334"/>
        <v>298.598675966972</v>
      </c>
      <c r="S392" s="18">
        <f t="shared" si="335"/>
        <v>1.5674473438630561</v>
      </c>
      <c r="T392" s="18" t="str">
        <f t="shared" si="323"/>
        <v>1+0.310758042988518i</v>
      </c>
      <c r="U392" s="18">
        <f t="shared" si="336"/>
        <v>1.0471726511335433</v>
      </c>
      <c r="V392" s="18">
        <f t="shared" si="337"/>
        <v>0.30129710365742229</v>
      </c>
      <c r="W392" s="32" t="str">
        <f t="shared" si="324"/>
        <v>1-6.96328207437234i</v>
      </c>
      <c r="X392" s="18">
        <f t="shared" si="338"/>
        <v>7.0347208364849232</v>
      </c>
      <c r="Y392" s="18">
        <f t="shared" si="339"/>
        <v>-1.4281611193296966</v>
      </c>
      <c r="Z392" s="32" t="str">
        <f t="shared" si="325"/>
        <v>0.924501206989949+0.551307787375925i</v>
      </c>
      <c r="AA392" s="18">
        <f t="shared" si="340"/>
        <v>1.0764026933017266</v>
      </c>
      <c r="AB392" s="18">
        <f t="shared" si="341"/>
        <v>0.53771658724412397</v>
      </c>
      <c r="AC392" s="32" t="str">
        <f>IMDIV(IMSUM(COMPLEX(0,2*PI()*O392*Constants!$B$71*Constants!$B$72),COMPLEX(1,0)),IMSUM(COMPLEX(0,2*PI()*O392*Constants!$B$71*Constants!$B$72),COMPLEX(2,0)))</f>
        <v>0.661451131913611+0.23379285267223i</v>
      </c>
      <c r="AD392" s="18">
        <f t="shared" si="342"/>
        <v>0.70155306133635842</v>
      </c>
      <c r="AE392" s="18">
        <f t="shared" si="343"/>
        <v>0.33974896844907432</v>
      </c>
      <c r="AF392" s="66" t="str">
        <f t="shared" si="344"/>
        <v>-0.399259584173461-0.10165587257713i</v>
      </c>
      <c r="AG392" s="64">
        <f t="shared" si="345"/>
        <v>-7.7021034732857991</v>
      </c>
      <c r="AH392" s="61">
        <f t="shared" si="346"/>
        <v>-165.71537863274037</v>
      </c>
      <c r="AI392" s="50" t="str">
        <f t="shared" si="326"/>
        <v>108.866083054159</v>
      </c>
      <c r="AJ392" s="50" t="str">
        <f t="shared" si="327"/>
        <v>1+282.507311807744i</v>
      </c>
      <c r="AK392" s="50">
        <f t="shared" si="347"/>
        <v>282.50908166789588</v>
      </c>
      <c r="AL392" s="50">
        <f t="shared" si="348"/>
        <v>1.5672566101869745</v>
      </c>
      <c r="AM392" s="50" t="str">
        <f t="shared" si="328"/>
        <v>1+0.310758042988518i</v>
      </c>
      <c r="AN392" s="50">
        <f t="shared" si="349"/>
        <v>1.0471726511335433</v>
      </c>
      <c r="AO392" s="50">
        <f t="shared" si="350"/>
        <v>0.30129710365742229</v>
      </c>
      <c r="AP392" s="50" t="str">
        <f t="shared" si="329"/>
        <v>1-1.55058981975282i</v>
      </c>
      <c r="AQ392" s="50">
        <f t="shared" si="351"/>
        <v>1.8450823258383575</v>
      </c>
      <c r="AR392" s="50">
        <f t="shared" si="352"/>
        <v>-0.99800348627512991</v>
      </c>
      <c r="AS392" s="59" t="str">
        <f t="shared" si="353"/>
        <v>-0.475750168371841-0.572728023597595i</v>
      </c>
      <c r="AT392" s="50">
        <f t="shared" si="354"/>
        <v>-2.562115517672976</v>
      </c>
      <c r="AU392" s="61">
        <f t="shared" si="355"/>
        <v>-129.71552446151503</v>
      </c>
      <c r="AV392" s="32" t="str">
        <f t="shared" si="330"/>
        <v>-0.0000333333333333333</v>
      </c>
      <c r="AW392" s="32" t="str">
        <f t="shared" si="331"/>
        <v>0.0165737622927209i</v>
      </c>
      <c r="AX392" s="32">
        <f t="shared" si="356"/>
        <v>1.6573762292720898E-2</v>
      </c>
      <c r="AY392" s="32">
        <f t="shared" si="357"/>
        <v>1.5707963267948966</v>
      </c>
      <c r="AZ392" s="32" t="str">
        <f t="shared" si="332"/>
        <v>1+6.76186482428719i</v>
      </c>
      <c r="BA392" s="32">
        <f t="shared" si="358"/>
        <v>6.8354089783956908</v>
      </c>
      <c r="BB392" s="32">
        <f t="shared" si="359"/>
        <v>1.4239723488896261</v>
      </c>
      <c r="BC392" s="32" t="str">
        <f t="shared" si="333"/>
        <v>1+324.569511565786i</v>
      </c>
      <c r="BD392" s="32">
        <f t="shared" si="360"/>
        <v>324.57105206418652</v>
      </c>
      <c r="BE392" s="32">
        <f t="shared" si="361"/>
        <v>1.5677153324310131</v>
      </c>
      <c r="BF392" s="59" t="str">
        <f t="shared" si="362"/>
        <v>-0.0136802165794615+0.0945149862953212i</v>
      </c>
      <c r="BG392" s="50">
        <f t="shared" si="363"/>
        <v>-20.399941634904412</v>
      </c>
      <c r="BH392" s="61">
        <f t="shared" si="364"/>
        <v>98.235866291539949</v>
      </c>
      <c r="BI392" s="59" t="str">
        <f t="shared" si="365"/>
        <v>0.015069960986385-0.036345339773001i</v>
      </c>
      <c r="BJ392" s="64">
        <f t="shared" si="366"/>
        <v>-28.102045108190225</v>
      </c>
      <c r="BK392" s="61">
        <f t="shared" si="367"/>
        <v>-67.479512341200476</v>
      </c>
      <c r="BL392" s="59" t="str">
        <f t="shared" si="371"/>
        <v>0.0606397466423151-0.0371304772397193i</v>
      </c>
      <c r="BM392" s="64">
        <f t="shared" si="368"/>
        <v>-22.962057152577387</v>
      </c>
      <c r="BN392" s="61">
        <f t="shared" si="372"/>
        <v>-31.479658169975117</v>
      </c>
      <c r="BO392" s="50">
        <f t="shared" si="369"/>
        <v>-28.102045108190225</v>
      </c>
      <c r="BP392" s="61">
        <f t="shared" si="370"/>
        <v>-67.479512341200476</v>
      </c>
    </row>
    <row r="393" spans="14:68" x14ac:dyDescent="0.25">
      <c r="N393" s="11">
        <v>75</v>
      </c>
      <c r="O393" s="51">
        <f t="shared" si="373"/>
        <v>56234.132519034953</v>
      </c>
      <c r="P393" s="49" t="str">
        <f t="shared" si="321"/>
        <v>25.6231073841137</v>
      </c>
      <c r="Q393" s="18" t="str">
        <f t="shared" si="322"/>
        <v>1+305.55221912433i</v>
      </c>
      <c r="R393" s="18">
        <f t="shared" si="334"/>
        <v>305.55385550145257</v>
      </c>
      <c r="S393" s="18">
        <f t="shared" si="335"/>
        <v>1.5675235754708745</v>
      </c>
      <c r="T393" s="18" t="str">
        <f t="shared" si="323"/>
        <v>1+0.317996527685031i</v>
      </c>
      <c r="U393" s="18">
        <f t="shared" si="336"/>
        <v>1.049343505063874</v>
      </c>
      <c r="V393" s="18">
        <f t="shared" si="337"/>
        <v>0.30788451573108522</v>
      </c>
      <c r="W393" s="32" t="str">
        <f t="shared" si="324"/>
        <v>1-7.1254777499794i</v>
      </c>
      <c r="X393" s="18">
        <f t="shared" si="338"/>
        <v>7.1953063288126575</v>
      </c>
      <c r="Y393" s="18">
        <f t="shared" si="339"/>
        <v>-1.4313654981938146</v>
      </c>
      <c r="Z393" s="32" t="str">
        <f t="shared" si="325"/>
        <v>0.92094305849579+0.564149395411592i</v>
      </c>
      <c r="AA393" s="18">
        <f t="shared" si="340"/>
        <v>1.0800003043216446</v>
      </c>
      <c r="AB393" s="18">
        <f t="shared" si="341"/>
        <v>0.5496166838443054</v>
      </c>
      <c r="AC393" s="32" t="str">
        <f>IMDIV(IMSUM(COMPLEX(0,2*PI()*O393*Constants!$B$71*Constants!$B$72),COMPLEX(1,0)),IMSUM(COMPLEX(0,2*PI()*O393*Constants!$B$71*Constants!$B$72),COMPLEX(2,0)))</f>
        <v>0.66652591218878+0.235652448882002i</v>
      </c>
      <c r="AD393" s="18">
        <f t="shared" si="342"/>
        <v>0.7069574727543162</v>
      </c>
      <c r="AE393" s="18">
        <f t="shared" si="343"/>
        <v>0.33983684638665057</v>
      </c>
      <c r="AF393" s="66" t="str">
        <f t="shared" si="344"/>
        <v>-0.402498924025701-0.0988430832606485i</v>
      </c>
      <c r="AG393" s="64">
        <f t="shared" si="345"/>
        <v>-7.6503918582819654</v>
      </c>
      <c r="AH393" s="61">
        <f t="shared" si="346"/>
        <v>-166.20270313332733</v>
      </c>
      <c r="AI393" s="50" t="str">
        <f t="shared" si="326"/>
        <v>108.866083054159</v>
      </c>
      <c r="AJ393" s="50" t="str">
        <f t="shared" si="327"/>
        <v>1+289.087752440938i</v>
      </c>
      <c r="AK393" s="50">
        <f t="shared" si="347"/>
        <v>289.08948201439819</v>
      </c>
      <c r="AL393" s="50">
        <f t="shared" si="348"/>
        <v>1.5673371833237693</v>
      </c>
      <c r="AM393" s="50" t="str">
        <f t="shared" si="328"/>
        <v>1+0.317996527685031i</v>
      </c>
      <c r="AN393" s="50">
        <f t="shared" si="349"/>
        <v>1.049343505063874</v>
      </c>
      <c r="AO393" s="50">
        <f t="shared" si="350"/>
        <v>0.30788451573108522</v>
      </c>
      <c r="AP393" s="50" t="str">
        <f t="shared" si="329"/>
        <v>1-1.58670769645493i</v>
      </c>
      <c r="AQ393" s="50">
        <f t="shared" si="351"/>
        <v>1.8755376066582377</v>
      </c>
      <c r="AR393" s="50">
        <f t="shared" si="352"/>
        <v>-1.0084407959905592</v>
      </c>
      <c r="AS393" s="59" t="str">
        <f t="shared" si="353"/>
        <v>-0.475811828699635-0.56824332745284i</v>
      </c>
      <c r="AT393" s="50">
        <f t="shared" si="354"/>
        <v>-2.601924759789342</v>
      </c>
      <c r="AU393" s="61">
        <f t="shared" si="355"/>
        <v>-129.94072384862611</v>
      </c>
      <c r="AV393" s="32" t="str">
        <f t="shared" si="330"/>
        <v>-0.0000333333333333333</v>
      </c>
      <c r="AW393" s="32" t="str">
        <f t="shared" si="331"/>
        <v>0.0169598148098683i</v>
      </c>
      <c r="AX393" s="32">
        <f t="shared" si="356"/>
        <v>1.6959814809868301E-2</v>
      </c>
      <c r="AY393" s="32">
        <f t="shared" si="357"/>
        <v>1.5707963267948966</v>
      </c>
      <c r="AZ393" s="32" t="str">
        <f t="shared" si="332"/>
        <v>1+6.91936888944281i</v>
      </c>
      <c r="BA393" s="32">
        <f t="shared" si="358"/>
        <v>6.9912563840978557</v>
      </c>
      <c r="BB393" s="32">
        <f t="shared" si="359"/>
        <v>1.4272682397354395</v>
      </c>
      <c r="BC393" s="32" t="str">
        <f t="shared" si="333"/>
        <v>1+332.129706693255i</v>
      </c>
      <c r="BD393" s="32">
        <f t="shared" si="360"/>
        <v>332.13121212579165</v>
      </c>
      <c r="BE393" s="32">
        <f t="shared" si="361"/>
        <v>1.5677854639961744</v>
      </c>
      <c r="BF393" s="59" t="str">
        <f t="shared" si="362"/>
        <v>-0.0130771023924819+0.0924507257246129i</v>
      </c>
      <c r="BG393" s="50">
        <f t="shared" si="363"/>
        <v>-20.595757978066178</v>
      </c>
      <c r="BH393" s="61">
        <f t="shared" si="364"/>
        <v>98.051043899033402</v>
      </c>
      <c r="BI393" s="59" t="str">
        <f t="shared" si="365"/>
        <v>0.0144016344226532-0.0359187365089638i</v>
      </c>
      <c r="BJ393" s="64">
        <f t="shared" si="366"/>
        <v>-28.246149836348135</v>
      </c>
      <c r="BK393" s="61">
        <f t="shared" si="367"/>
        <v>-68.151659234293902</v>
      </c>
      <c r="BL393" s="59" t="str">
        <f t="shared" si="371"/>
        <v>0.0587567480146431-0.036558172694691i</v>
      </c>
      <c r="BM393" s="64">
        <f t="shared" si="368"/>
        <v>-23.197682737855523</v>
      </c>
      <c r="BN393" s="61">
        <f t="shared" si="372"/>
        <v>-31.889679949592658</v>
      </c>
      <c r="BO393" s="50">
        <f t="shared" si="369"/>
        <v>-28.246149836348135</v>
      </c>
      <c r="BP393" s="61">
        <f t="shared" si="370"/>
        <v>-68.151659234293902</v>
      </c>
    </row>
    <row r="394" spans="14:68" x14ac:dyDescent="0.25">
      <c r="N394" s="11">
        <v>76</v>
      </c>
      <c r="O394" s="51">
        <f t="shared" si="373"/>
        <v>57543.993733715732</v>
      </c>
      <c r="P394" s="49" t="str">
        <f t="shared" si="321"/>
        <v>25.6231073841137</v>
      </c>
      <c r="Q394" s="18" t="str">
        <f t="shared" si="322"/>
        <v>1+312.669444605761i</v>
      </c>
      <c r="R394" s="18">
        <f t="shared" si="334"/>
        <v>312.67104373458545</v>
      </c>
      <c r="S394" s="18">
        <f t="shared" si="335"/>
        <v>1.5675980718722033</v>
      </c>
      <c r="T394" s="18" t="str">
        <f t="shared" si="323"/>
        <v>1+0.325403618349706i</v>
      </c>
      <c r="U394" s="18">
        <f t="shared" si="336"/>
        <v>1.0516118651075981</v>
      </c>
      <c r="V394" s="18">
        <f t="shared" si="337"/>
        <v>0.31459691475465884</v>
      </c>
      <c r="W394" s="32" t="str">
        <f t="shared" si="324"/>
        <v>1-7.29145144820636i</v>
      </c>
      <c r="X394" s="18">
        <f t="shared" si="338"/>
        <v>7.3597054439393581</v>
      </c>
      <c r="Y394" s="18">
        <f t="shared" si="339"/>
        <v>-1.4344997238476769</v>
      </c>
      <c r="Z394" s="32" t="str">
        <f t="shared" si="325"/>
        <v>0.917217219629352+0.577290122924107i</v>
      </c>
      <c r="AA394" s="18">
        <f t="shared" si="340"/>
        <v>1.0837671862583447</v>
      </c>
      <c r="AB394" s="18">
        <f t="shared" si="341"/>
        <v>0.56175211117126489</v>
      </c>
      <c r="AC394" s="32" t="str">
        <f>IMDIV(IMSUM(COMPLEX(0,2*PI()*O394*Constants!$B$71*Constants!$B$72),COMPLEX(1,0)),IMSUM(COMPLEX(0,2*PI()*O394*Constants!$B$71*Constants!$B$72),COMPLEX(2,0)))</f>
        <v>0.671679315376479+0.237414975012325i</v>
      </c>
      <c r="AD394" s="18">
        <f t="shared" si="342"/>
        <v>0.71240365879515144</v>
      </c>
      <c r="AE394" s="18">
        <f t="shared" si="343"/>
        <v>0.3397581337821296</v>
      </c>
      <c r="AF394" s="66" t="str">
        <f t="shared" si="344"/>
        <v>-0.405738333841216-0.0958991992135619i</v>
      </c>
      <c r="AG394" s="64">
        <f t="shared" si="345"/>
        <v>-7.5989962488831182</v>
      </c>
      <c r="AH394" s="61">
        <f t="shared" si="346"/>
        <v>-166.70177589871781</v>
      </c>
      <c r="AI394" s="50" t="str">
        <f t="shared" si="326"/>
        <v>108.866083054159</v>
      </c>
      <c r="AJ394" s="50" t="str">
        <f t="shared" si="327"/>
        <v>1+295.821471227005i</v>
      </c>
      <c r="AK394" s="50">
        <f t="shared" si="347"/>
        <v>295.82316143079424</v>
      </c>
      <c r="AL394" s="50">
        <f t="shared" si="348"/>
        <v>1.5674159224354538</v>
      </c>
      <c r="AM394" s="50" t="str">
        <f t="shared" si="328"/>
        <v>1+0.325403618349706i</v>
      </c>
      <c r="AN394" s="50">
        <f t="shared" si="349"/>
        <v>1.0516118651075981</v>
      </c>
      <c r="AO394" s="50">
        <f t="shared" si="350"/>
        <v>0.31459691475465884</v>
      </c>
      <c r="AP394" s="50" t="str">
        <f t="shared" si="329"/>
        <v>1-1.62366686658027i</v>
      </c>
      <c r="AQ394" s="50">
        <f t="shared" si="351"/>
        <v>1.906906944145569</v>
      </c>
      <c r="AR394" s="50">
        <f t="shared" si="352"/>
        <v>-1.018774943687063</v>
      </c>
      <c r="AS394" s="59" t="str">
        <f t="shared" si="353"/>
        <v>-0.475870713920452-0.564059902237512i</v>
      </c>
      <c r="AT394" s="50">
        <f t="shared" si="354"/>
        <v>-2.6390919745444248</v>
      </c>
      <c r="AU394" s="61">
        <f t="shared" si="355"/>
        <v>-130.15274618082415</v>
      </c>
      <c r="AV394" s="32" t="str">
        <f t="shared" si="330"/>
        <v>-0.0000333333333333333</v>
      </c>
      <c r="AW394" s="32" t="str">
        <f t="shared" si="331"/>
        <v>0.0173548596453176i</v>
      </c>
      <c r="AX394" s="32">
        <f t="shared" si="356"/>
        <v>1.7354859645317602E-2</v>
      </c>
      <c r="AY394" s="32">
        <f t="shared" si="357"/>
        <v>1.5707963267948966</v>
      </c>
      <c r="AZ394" s="32" t="str">
        <f t="shared" si="332"/>
        <v>1+7.0805416955723i</v>
      </c>
      <c r="BA394" s="32">
        <f t="shared" si="358"/>
        <v>7.1508090942730291</v>
      </c>
      <c r="BB394" s="32">
        <f t="shared" si="359"/>
        <v>1.4304921437788263</v>
      </c>
      <c r="BC394" s="32" t="str">
        <f t="shared" si="333"/>
        <v>1+339.866001387471i</v>
      </c>
      <c r="BD394" s="32">
        <f t="shared" si="360"/>
        <v>339.8674725523295</v>
      </c>
      <c r="BE394" s="32">
        <f t="shared" si="361"/>
        <v>1.5678539992006328</v>
      </c>
      <c r="BF394" s="59" t="str">
        <f t="shared" si="362"/>
        <v>-0.0125000460936611+0.0904277891738859i</v>
      </c>
      <c r="BG394" s="50">
        <f t="shared" si="363"/>
        <v>-20.791758847733384</v>
      </c>
      <c r="BH394" s="61">
        <f t="shared" si="364"/>
        <v>97.870254581755773</v>
      </c>
      <c r="BI394" s="59" t="str">
        <f t="shared" si="365"/>
        <v>0.0137437004434089-0.0354912761018425i</v>
      </c>
      <c r="BJ394" s="64">
        <f t="shared" si="366"/>
        <v>-28.390755096616502</v>
      </c>
      <c r="BK394" s="61">
        <f t="shared" si="367"/>
        <v>-68.831521316962082</v>
      </c>
      <c r="BL394" s="59" t="str">
        <f t="shared" si="371"/>
        <v>0.0569550957796055-0.0359811618148703i</v>
      </c>
      <c r="BM394" s="64">
        <f t="shared" si="368"/>
        <v>-23.430850822277808</v>
      </c>
      <c r="BN394" s="61">
        <f t="shared" si="372"/>
        <v>-32.282491599068386</v>
      </c>
      <c r="BO394" s="50">
        <f t="shared" si="369"/>
        <v>-28.390755096616502</v>
      </c>
      <c r="BP394" s="61">
        <f t="shared" si="370"/>
        <v>-68.831521316962082</v>
      </c>
    </row>
    <row r="395" spans="14:68" x14ac:dyDescent="0.25">
      <c r="N395" s="11">
        <v>77</v>
      </c>
      <c r="O395" s="51">
        <f t="shared" si="373"/>
        <v>58884.365535558936</v>
      </c>
      <c r="P395" s="49" t="str">
        <f t="shared" si="321"/>
        <v>25.6231073841137</v>
      </c>
      <c r="Q395" s="18" t="str">
        <f t="shared" si="322"/>
        <v>1+319.95245156539i</v>
      </c>
      <c r="R395" s="18">
        <f t="shared" si="334"/>
        <v>319.95401429377824</v>
      </c>
      <c r="S395" s="18">
        <f t="shared" si="335"/>
        <v>1.5676708725627111</v>
      </c>
      <c r="T395" s="18" t="str">
        <f t="shared" si="323"/>
        <v>1+0.332983242320055i</v>
      </c>
      <c r="U395" s="18">
        <f t="shared" si="336"/>
        <v>1.0539818972192911</v>
      </c>
      <c r="V395" s="18">
        <f t="shared" si="337"/>
        <v>0.32143543939944202</v>
      </c>
      <c r="W395" s="32" t="str">
        <f t="shared" si="324"/>
        <v>1-7.46129117050493i</v>
      </c>
      <c r="X395" s="18">
        <f t="shared" si="338"/>
        <v>7.5280054417524713</v>
      </c>
      <c r="Y395" s="18">
        <f t="shared" si="339"/>
        <v>-1.4375652116605369</v>
      </c>
      <c r="Z395" s="32" t="str">
        <f t="shared" si="325"/>
        <v>0.913315787386867+0.590736937301134i</v>
      </c>
      <c r="AA395" s="18">
        <f t="shared" si="340"/>
        <v>1.0877112928447588</v>
      </c>
      <c r="AB395" s="18">
        <f t="shared" si="341"/>
        <v>0.57412567824719707</v>
      </c>
      <c r="AC395" s="32" t="str">
        <f>IMDIV(IMSUM(COMPLEX(0,2*PI()*O395*Constants!$B$71*Constants!$B$72),COMPLEX(1,0)),IMSUM(COMPLEX(0,2*PI()*O395*Constants!$B$71*Constants!$B$72),COMPLEX(2,0)))</f>
        <v>0.676907594653404+0.239076348225099i</v>
      </c>
      <c r="AD395" s="18">
        <f t="shared" si="342"/>
        <v>0.71788675428656978</v>
      </c>
      <c r="AE395" s="18">
        <f t="shared" si="343"/>
        <v>0.33951301135724238</v>
      </c>
      <c r="AF395" s="66" t="str">
        <f t="shared" si="344"/>
        <v>-0.408971196420553-0.0928201578756616i</v>
      </c>
      <c r="AG395" s="64">
        <f t="shared" si="345"/>
        <v>-7.54800775882903</v>
      </c>
      <c r="AH395" s="61">
        <f t="shared" si="346"/>
        <v>-167.21276563599616</v>
      </c>
      <c r="AI395" s="50" t="str">
        <f t="shared" si="326"/>
        <v>108.866083054159</v>
      </c>
      <c r="AJ395" s="50" t="str">
        <f t="shared" si="327"/>
        <v>1+302.712038472777i</v>
      </c>
      <c r="AK395" s="50">
        <f t="shared" si="347"/>
        <v>302.71369020304326</v>
      </c>
      <c r="AL395" s="50">
        <f t="shared" si="348"/>
        <v>1.5674928692666399</v>
      </c>
      <c r="AM395" s="50" t="str">
        <f t="shared" si="328"/>
        <v>1+0.332983242320055i</v>
      </c>
      <c r="AN395" s="50">
        <f t="shared" si="349"/>
        <v>1.0539818972192911</v>
      </c>
      <c r="AO395" s="50">
        <f t="shared" si="350"/>
        <v>0.32143543939944202</v>
      </c>
      <c r="AP395" s="50" t="str">
        <f t="shared" si="329"/>
        <v>1-1.66148692637004i</v>
      </c>
      <c r="AQ395" s="50">
        <f t="shared" si="351"/>
        <v>1.9392108721071473</v>
      </c>
      <c r="AR395" s="50">
        <f t="shared" si="352"/>
        <v>-1.0290025792601381</v>
      </c>
      <c r="AS395" s="59" t="str">
        <f t="shared" si="353"/>
        <v>-0.475926948928964-0.56017553112596i</v>
      </c>
      <c r="AT395" s="50">
        <f t="shared" si="354"/>
        <v>-2.6736255162067888</v>
      </c>
      <c r="AU395" s="61">
        <f t="shared" si="355"/>
        <v>-130.35133666199087</v>
      </c>
      <c r="AV395" s="32" t="str">
        <f t="shared" si="330"/>
        <v>-0.0000333333333333333</v>
      </c>
      <c r="AW395" s="32" t="str">
        <f t="shared" si="331"/>
        <v>0.0177591062570696i</v>
      </c>
      <c r="AX395" s="32">
        <f t="shared" si="356"/>
        <v>1.7759106257069598E-2</v>
      </c>
      <c r="AY395" s="32">
        <f t="shared" si="357"/>
        <v>1.5707963267948966</v>
      </c>
      <c r="AZ395" s="32" t="str">
        <f t="shared" si="332"/>
        <v>1+7.24546869863082i</v>
      </c>
      <c r="BA395" s="32">
        <f t="shared" si="358"/>
        <v>7.3141518074783622</v>
      </c>
      <c r="BB395" s="32">
        <f t="shared" si="359"/>
        <v>1.4336455021736729</v>
      </c>
      <c r="BC395" s="32" t="str">
        <f t="shared" si="333"/>
        <v>1+347.78249753428i</v>
      </c>
      <c r="BD395" s="32">
        <f t="shared" si="360"/>
        <v>347.78393521147797</v>
      </c>
      <c r="BE395" s="32">
        <f t="shared" si="361"/>
        <v>1.5679209743800844</v>
      </c>
      <c r="BF395" s="59" t="str">
        <f t="shared" si="362"/>
        <v>-0.0119479677598225+0.0884455977484316i</v>
      </c>
      <c r="BG395" s="50">
        <f t="shared" si="363"/>
        <v>-20.987936264139115</v>
      </c>
      <c r="BH395" s="61">
        <f t="shared" si="364"/>
        <v>97.693417849553512</v>
      </c>
      <c r="BI395" s="59" t="str">
        <f t="shared" si="365"/>
        <v>0.0130959090159455-0.035062689675547i</v>
      </c>
      <c r="BJ395" s="64">
        <f t="shared" si="366"/>
        <v>-28.535944022968145</v>
      </c>
      <c r="BK395" s="61">
        <f t="shared" si="367"/>
        <v>-69.519347786442623</v>
      </c>
      <c r="BL395" s="59" t="str">
        <f t="shared" si="371"/>
        <v>0.0552314195363146-0.0354006842968751i</v>
      </c>
      <c r="BM395" s="64">
        <f t="shared" si="368"/>
        <v>-23.661561780345906</v>
      </c>
      <c r="BN395" s="61">
        <f t="shared" si="372"/>
        <v>-32.657918812437408</v>
      </c>
      <c r="BO395" s="50">
        <f t="shared" si="369"/>
        <v>-28.535944022968145</v>
      </c>
      <c r="BP395" s="61">
        <f t="shared" si="370"/>
        <v>-69.519347786442623</v>
      </c>
    </row>
    <row r="396" spans="14:68" x14ac:dyDescent="0.25">
      <c r="N396" s="11">
        <v>78</v>
      </c>
      <c r="O396" s="51">
        <f t="shared" si="373"/>
        <v>60255.95860743591</v>
      </c>
      <c r="P396" s="49" t="str">
        <f t="shared" si="321"/>
        <v>25.6231073841137</v>
      </c>
      <c r="Q396" s="18" t="str">
        <f t="shared" si="322"/>
        <v>1+327.405101549912i</v>
      </c>
      <c r="R396" s="18">
        <f t="shared" si="334"/>
        <v>327.40662870642706</v>
      </c>
      <c r="S396" s="18">
        <f t="shared" si="335"/>
        <v>1.5677420161391993</v>
      </c>
      <c r="T396" s="18" t="str">
        <f t="shared" si="323"/>
        <v>1+0.340739418413037i</v>
      </c>
      <c r="U396" s="18">
        <f t="shared" si="336"/>
        <v>1.0564579268766243</v>
      </c>
      <c r="V396" s="18">
        <f t="shared" si="337"/>
        <v>0.32840115621874394</v>
      </c>
      <c r="W396" s="32" t="str">
        <f t="shared" si="324"/>
        <v>1-7.63508696814398i</v>
      </c>
      <c r="X396" s="18">
        <f t="shared" si="338"/>
        <v>7.7002956443971717</v>
      </c>
      <c r="Y396" s="18">
        <f t="shared" si="339"/>
        <v>-1.4405633564166527</v>
      </c>
      <c r="Z396" s="32" t="str">
        <f t="shared" si="325"/>
        <v>0.909230486307474+0.604496968221647i</v>
      </c>
      <c r="AA396" s="18">
        <f t="shared" si="340"/>
        <v>1.0918409507891196</v>
      </c>
      <c r="AB396" s="18">
        <f t="shared" si="341"/>
        <v>0.5867401035481391</v>
      </c>
      <c r="AC396" s="32" t="str">
        <f>IMDIV(IMSUM(COMPLEX(0,2*PI()*O396*Constants!$B$71*Constants!$B$72),COMPLEX(1,0)),IMSUM(COMPLEX(0,2*PI()*O396*Constants!$B$71*Constants!$B$72),COMPLEX(2,0)))</f>
        <v>0.682206732605178+0.240632651350423i</v>
      </c>
      <c r="AD396" s="18">
        <f t="shared" si="342"/>
        <v>0.72340175484150371</v>
      </c>
      <c r="AE396" s="18">
        <f t="shared" si="343"/>
        <v>0.33910204137705108</v>
      </c>
      <c r="AF396" s="66" t="str">
        <f t="shared" si="344"/>
        <v>-0.412190559110907-0.0896021934297057i</v>
      </c>
      <c r="AG396" s="64">
        <f t="shared" si="345"/>
        <v>-7.497517729527269</v>
      </c>
      <c r="AH396" s="61">
        <f t="shared" si="346"/>
        <v>-167.73581690463237</v>
      </c>
      <c r="AI396" s="50" t="str">
        <f t="shared" si="326"/>
        <v>108.866083054159</v>
      </c>
      <c r="AJ396" s="50" t="str">
        <f t="shared" si="327"/>
        <v>1+309.763107648216i</v>
      </c>
      <c r="AK396" s="50">
        <f t="shared" si="347"/>
        <v>309.76472178070935</v>
      </c>
      <c r="AL396" s="50">
        <f t="shared" si="348"/>
        <v>1.5675680646119095</v>
      </c>
      <c r="AM396" s="50" t="str">
        <f t="shared" si="328"/>
        <v>1+0.340739418413037i</v>
      </c>
      <c r="AN396" s="50">
        <f t="shared" si="349"/>
        <v>1.0564579268766243</v>
      </c>
      <c r="AO396" s="50">
        <f t="shared" si="350"/>
        <v>0.32840115621874394</v>
      </c>
      <c r="AP396" s="50" t="str">
        <f t="shared" si="329"/>
        <v>1-1.70018792852056i</v>
      </c>
      <c r="AQ396" s="50">
        <f t="shared" si="351"/>
        <v>1.9724702766548936</v>
      </c>
      <c r="AR396" s="50">
        <f t="shared" si="352"/>
        <v>-1.039120566242379</v>
      </c>
      <c r="AS396" s="59" t="str">
        <f t="shared" si="353"/>
        <v>-0.475980652999165-0.55658815576944i</v>
      </c>
      <c r="AT396" s="50">
        <f t="shared" si="354"/>
        <v>-2.7055336916755546</v>
      </c>
      <c r="AU396" s="61">
        <f t="shared" si="355"/>
        <v>-130.53625681413521</v>
      </c>
      <c r="AV396" s="32" t="str">
        <f t="shared" si="330"/>
        <v>-0.0000333333333333333</v>
      </c>
      <c r="AW396" s="32" t="str">
        <f t="shared" si="331"/>
        <v>0.0181727689820286i</v>
      </c>
      <c r="AX396" s="32">
        <f t="shared" si="356"/>
        <v>1.81727689820286E-2</v>
      </c>
      <c r="AY396" s="32">
        <f t="shared" si="357"/>
        <v>1.5707963267948966</v>
      </c>
      <c r="AZ396" s="32" t="str">
        <f t="shared" si="332"/>
        <v>1+7.41423734509849i</v>
      </c>
      <c r="BA396" s="32">
        <f t="shared" si="358"/>
        <v>7.4813712252135387</v>
      </c>
      <c r="BB396" s="32">
        <f t="shared" si="359"/>
        <v>1.4367297358930895</v>
      </c>
      <c r="BC396" s="32" t="str">
        <f t="shared" si="333"/>
        <v>1+355.883392564728i</v>
      </c>
      <c r="BD396" s="32">
        <f t="shared" si="360"/>
        <v>355.88479751652824</v>
      </c>
      <c r="BE396" s="32">
        <f t="shared" si="361"/>
        <v>1.5679864250432507</v>
      </c>
      <c r="BF396" s="59" t="str">
        <f t="shared" si="362"/>
        <v>-0.011419828245882+0.0865035633039043i</v>
      </c>
      <c r="BG396" s="50">
        <f t="shared" si="363"/>
        <v>-21.184282578846055</v>
      </c>
      <c r="BH396" s="61">
        <f t="shared" si="364"/>
        <v>97.520454321164834</v>
      </c>
      <c r="BI396" s="59" t="str">
        <f t="shared" si="365"/>
        <v>0.0124580544011359-0.0346327104639005i</v>
      </c>
      <c r="BJ396" s="64">
        <f t="shared" si="366"/>
        <v>-28.681800308373326</v>
      </c>
      <c r="BK396" s="61">
        <f t="shared" si="367"/>
        <v>-70.215362583467467</v>
      </c>
      <c r="BL396" s="59" t="str">
        <f t="shared" si="371"/>
        <v>0.0535824760724183-0.0348178814055677i</v>
      </c>
      <c r="BM396" s="64">
        <f t="shared" si="368"/>
        <v>-23.889816270521614</v>
      </c>
      <c r="BN396" s="61">
        <f t="shared" si="372"/>
        <v>-33.015802492970352</v>
      </c>
      <c r="BO396" s="50">
        <f t="shared" si="369"/>
        <v>-28.681800308373326</v>
      </c>
      <c r="BP396" s="61">
        <f t="shared" si="370"/>
        <v>-70.215362583467467</v>
      </c>
    </row>
    <row r="397" spans="14:68" x14ac:dyDescent="0.25">
      <c r="N397" s="11">
        <v>79</v>
      </c>
      <c r="O397" s="51">
        <f t="shared" si="373"/>
        <v>61659.500186148245</v>
      </c>
      <c r="P397" s="49" t="str">
        <f t="shared" si="321"/>
        <v>25.6231073841137</v>
      </c>
      <c r="Q397" s="18" t="str">
        <f t="shared" si="322"/>
        <v>1+335.031346052993i</v>
      </c>
      <c r="R397" s="18">
        <f t="shared" si="334"/>
        <v>335.03283844733841</v>
      </c>
      <c r="S397" s="18">
        <f t="shared" si="335"/>
        <v>1.5678115403200514</v>
      </c>
      <c r="T397" s="18" t="str">
        <f t="shared" si="323"/>
        <v>1+0.34867625905588i</v>
      </c>
      <c r="U397" s="18">
        <f t="shared" si="336"/>
        <v>1.0590444436515416</v>
      </c>
      <c r="V397" s="18">
        <f t="shared" si="337"/>
        <v>0.3354950537507374</v>
      </c>
      <c r="W397" s="32" t="str">
        <f t="shared" si="324"/>
        <v>1-7.81293098995583i</v>
      </c>
      <c r="X397" s="18">
        <f t="shared" si="338"/>
        <v>7.8766674840196345</v>
      </c>
      <c r="Y397" s="18">
        <f t="shared" si="339"/>
        <v>-1.4434955320583791</v>
      </c>
      <c r="Z397" s="32" t="str">
        <f t="shared" si="325"/>
        <v>0.90495265091986+0.618577511436172i</v>
      </c>
      <c r="AA397" s="18">
        <f t="shared" si="340"/>
        <v>1.096164877224886</v>
      </c>
      <c r="AB397" s="18">
        <f t="shared" si="341"/>
        <v>0.59959800539924624</v>
      </c>
      <c r="AC397" s="32" t="str">
        <f>IMDIV(IMSUM(COMPLEX(0,2*PI()*O397*Constants!$B$71*Constants!$B$72),COMPLEX(1,0)),IMSUM(COMPLEX(0,2*PI()*O397*Constants!$B$71*Constants!$B$72),COMPLEX(2,0)))</f>
        <v>0.687572450048428+0.242080154095795i</v>
      </c>
      <c r="AD397" s="18">
        <f t="shared" si="342"/>
        <v>0.7289435335282437</v>
      </c>
      <c r="AE397" s="18">
        <f t="shared" si="343"/>
        <v>0.33852616473473612</v>
      </c>
      <c r="AF397" s="66" t="str">
        <f t="shared" si="344"/>
        <v>-0.415389145399199-0.0862418650909005i</v>
      </c>
      <c r="AG397" s="64">
        <f t="shared" si="345"/>
        <v>-7.4476175385545806</v>
      </c>
      <c r="AH397" s="61">
        <f t="shared" si="346"/>
        <v>-168.27105005753648</v>
      </c>
      <c r="AI397" s="50" t="str">
        <f t="shared" si="326"/>
        <v>108.866083054159</v>
      </c>
      <c r="AJ397" s="50" t="str">
        <f t="shared" si="327"/>
        <v>1+316.978417323527i</v>
      </c>
      <c r="AK397" s="50">
        <f t="shared" si="347"/>
        <v>316.97999471406399</v>
      </c>
      <c r="AL397" s="50">
        <f t="shared" si="348"/>
        <v>1.567641548337426</v>
      </c>
      <c r="AM397" s="50" t="str">
        <f t="shared" si="328"/>
        <v>1+0.34867625905588i</v>
      </c>
      <c r="AN397" s="50">
        <f t="shared" si="349"/>
        <v>1.0590444436515416</v>
      </c>
      <c r="AO397" s="50">
        <f t="shared" si="350"/>
        <v>0.3354950537507374</v>
      </c>
      <c r="AP397" s="50" t="str">
        <f t="shared" si="329"/>
        <v>1-1.73979039281542i</v>
      </c>
      <c r="AQ397" s="50">
        <f t="shared" si="351"/>
        <v>2.0067064087536157</v>
      </c>
      <c r="AR397" s="50">
        <f t="shared" si="352"/>
        <v>-1.0491259822839352</v>
      </c>
      <c r="AS397" s="59" t="str">
        <f t="shared" si="353"/>
        <v>-0.476031940037297-0.553295875210447i</v>
      </c>
      <c r="AT397" s="50">
        <f t="shared" si="354"/>
        <v>-2.7348246529184679</v>
      </c>
      <c r="AU397" s="61">
        <f t="shared" si="355"/>
        <v>-130.70728484404248</v>
      </c>
      <c r="AV397" s="32" t="str">
        <f t="shared" si="330"/>
        <v>-0.0000333333333333333</v>
      </c>
      <c r="AW397" s="32" t="str">
        <f t="shared" si="331"/>
        <v>0.0185960671496469i</v>
      </c>
      <c r="AX397" s="32">
        <f t="shared" si="356"/>
        <v>1.85960671496469E-2</v>
      </c>
      <c r="AY397" s="32">
        <f t="shared" si="357"/>
        <v>1.5707963267948966</v>
      </c>
      <c r="AZ397" s="32" t="str">
        <f t="shared" si="332"/>
        <v>1+7.58693711834553i</v>
      </c>
      <c r="BA397" s="32">
        <f t="shared" si="358"/>
        <v>7.6525560983065759</v>
      </c>
      <c r="BB397" s="32">
        <f t="shared" si="359"/>
        <v>1.4397462454048218</v>
      </c>
      <c r="BC397" s="32" t="str">
        <f t="shared" si="333"/>
        <v>1+364.172981680586i</v>
      </c>
      <c r="BD397" s="32">
        <f t="shared" si="360"/>
        <v>364.17435465190084</v>
      </c>
      <c r="BE397" s="32">
        <f t="shared" si="361"/>
        <v>1.5680503858906956</v>
      </c>
      <c r="BF397" s="59" t="str">
        <f t="shared" si="362"/>
        <v>-0.0109146279950078+0.0846010899748619i</v>
      </c>
      <c r="BG397" s="50">
        <f t="shared" si="363"/>
        <v>-21.380790462181395</v>
      </c>
      <c r="BH397" s="61">
        <f t="shared" si="364"/>
        <v>97.351285743894195</v>
      </c>
      <c r="BI397" s="59" t="str">
        <f t="shared" si="365"/>
        <v>0.0118299737833516-0.0342010765894358i</v>
      </c>
      <c r="BJ397" s="64">
        <f t="shared" si="366"/>
        <v>-28.828408000735976</v>
      </c>
      <c r="BK397" s="61">
        <f t="shared" si="367"/>
        <v>-70.919764313642375</v>
      </c>
      <c r="BL397" s="59" t="str">
        <f t="shared" si="371"/>
        <v>0.0520051456606479-0.0342338023409091i</v>
      </c>
      <c r="BM397" s="64">
        <f t="shared" si="368"/>
        <v>-24.115615115099871</v>
      </c>
      <c r="BN397" s="61">
        <f t="shared" si="372"/>
        <v>-33.355999100148303</v>
      </c>
      <c r="BO397" s="50">
        <f t="shared" si="369"/>
        <v>-28.828408000735976</v>
      </c>
      <c r="BP397" s="61">
        <f t="shared" si="370"/>
        <v>-70.919764313642375</v>
      </c>
    </row>
    <row r="398" spans="14:68" x14ac:dyDescent="0.25">
      <c r="N398" s="11">
        <v>80</v>
      </c>
      <c r="O398" s="51">
        <f t="shared" si="373"/>
        <v>63095.734448019342</v>
      </c>
      <c r="P398" s="49" t="str">
        <f t="shared" si="321"/>
        <v>25.6231073841137</v>
      </c>
      <c r="Q398" s="18" t="str">
        <f t="shared" si="322"/>
        <v>1+342.835228610416i</v>
      </c>
      <c r="R398" s="18">
        <f t="shared" si="334"/>
        <v>342.83668703386485</v>
      </c>
      <c r="S398" s="18">
        <f t="shared" si="335"/>
        <v>1.5678794819652184</v>
      </c>
      <c r="T398" s="18" t="str">
        <f t="shared" si="323"/>
        <v>1+0.35679797246655i</v>
      </c>
      <c r="U398" s="18">
        <f t="shared" si="336"/>
        <v>1.0617461057881215</v>
      </c>
      <c r="V398" s="18">
        <f t="shared" si="337"/>
        <v>0.3427180364407969</v>
      </c>
      <c r="W398" s="32" t="str">
        <f t="shared" si="324"/>
        <v>1-7.99491753119492i</v>
      </c>
      <c r="X398" s="18">
        <f t="shared" si="338"/>
        <v>8.057214551605778</v>
      </c>
      <c r="Y398" s="18">
        <f t="shared" si="339"/>
        <v>-1.4463630914782137</v>
      </c>
      <c r="Z398" s="32" t="str">
        <f t="shared" si="325"/>
        <v>0.900473207361626+0.632986032635102i</v>
      </c>
      <c r="AA398" s="18">
        <f t="shared" si="340"/>
        <v>1.1006921979769186</v>
      </c>
      <c r="AB398" s="18">
        <f t="shared" si="341"/>
        <v>0.61270189196155667</v>
      </c>
      <c r="AC398" s="32" t="str">
        <f>IMDIV(IMSUM(COMPLEX(0,2*PI()*O398*Constants!$B$71*Constants!$B$72),COMPLEX(1,0)),IMSUM(COMPLEX(0,2*PI()*O398*Constants!$B$71*Constants!$B$72),COMPLEX(2,0)))</f>
        <v>0.693000216791773+0.243415333769701i</v>
      </c>
      <c r="AD398" s="18">
        <f t="shared" si="342"/>
        <v>0.73450685850280495</v>
      </c>
      <c r="AE398" s="18">
        <f t="shared" si="343"/>
        <v>0.33778669608487188</v>
      </c>
      <c r="AF398" s="66" t="str">
        <f t="shared" si="344"/>
        <v>-0.418559368951213-0.0827360850948426i</v>
      </c>
      <c r="AG398" s="64">
        <f t="shared" si="345"/>
        <v>-7.3983984100256803</v>
      </c>
      <c r="AH398" s="61">
        <f t="shared" si="346"/>
        <v>-168.8185612836389</v>
      </c>
      <c r="AI398" s="50" t="str">
        <f t="shared" si="326"/>
        <v>108.866083054159</v>
      </c>
      <c r="AJ398" s="50" t="str">
        <f t="shared" si="327"/>
        <v>1+324.36179315141i</v>
      </c>
      <c r="AK398" s="50">
        <f t="shared" si="347"/>
        <v>324.36333463632729</v>
      </c>
      <c r="AL398" s="50">
        <f t="shared" si="348"/>
        <v>1.5677133594020574</v>
      </c>
      <c r="AM398" s="50" t="str">
        <f t="shared" si="328"/>
        <v>1+0.35679797246655i</v>
      </c>
      <c r="AN398" s="50">
        <f t="shared" si="349"/>
        <v>1.0617461057881215</v>
      </c>
      <c r="AO398" s="50">
        <f t="shared" si="350"/>
        <v>0.3427180364407969</v>
      </c>
      <c r="AP398" s="50" t="str">
        <f t="shared" si="329"/>
        <v>1-1.78031531700539i</v>
      </c>
      <c r="AQ398" s="50">
        <f t="shared" si="351"/>
        <v>2.0419408972749435</v>
      </c>
      <c r="AR398" s="50">
        <f t="shared" si="352"/>
        <v>-1.0590161187920826</v>
      </c>
      <c r="AS398" s="59" t="str">
        <f t="shared" si="353"/>
        <v>-0.476080918823375-0.55029694488012i</v>
      </c>
      <c r="AT398" s="50">
        <f t="shared" si="354"/>
        <v>-2.7615062943963902</v>
      </c>
      <c r="AU398" s="61">
        <f t="shared" si="355"/>
        <v>-130.86421597205674</v>
      </c>
      <c r="AV398" s="32" t="str">
        <f t="shared" si="330"/>
        <v>-0.0000333333333333333</v>
      </c>
      <c r="AW398" s="32" t="str">
        <f t="shared" si="331"/>
        <v>0.019029225198216i</v>
      </c>
      <c r="AX398" s="32">
        <f t="shared" si="356"/>
        <v>1.9029225198215999E-2</v>
      </c>
      <c r="AY398" s="32">
        <f t="shared" si="357"/>
        <v>1.5707963267948966</v>
      </c>
      <c r="AZ398" s="32" t="str">
        <f t="shared" si="332"/>
        <v>1+7.76365958607772i</v>
      </c>
      <c r="BA398" s="32">
        <f t="shared" si="358"/>
        <v>7.827797274361191</v>
      </c>
      <c r="BB398" s="32">
        <f t="shared" si="359"/>
        <v>1.4426964104002737</v>
      </c>
      <c r="BC398" s="32" t="str">
        <f t="shared" si="333"/>
        <v>1+372.655660131731i</v>
      </c>
      <c r="BD398" s="32">
        <f t="shared" si="360"/>
        <v>372.65700185051696</v>
      </c>
      <c r="BE398" s="32">
        <f t="shared" si="361"/>
        <v>1.5681128908332125</v>
      </c>
      <c r="BF398" s="59" t="str">
        <f t="shared" si="362"/>
        <v>-0.0104314058508779+0.0827375755988579i</v>
      </c>
      <c r="BG398" s="50">
        <f t="shared" si="363"/>
        <v>-21.577452891042167</v>
      </c>
      <c r="BH398" s="61">
        <f t="shared" si="364"/>
        <v>97.185835010192491</v>
      </c>
      <c r="BI398" s="59" t="str">
        <f t="shared" si="365"/>
        <v>0.0112115457455055-0.0337675337490742i</v>
      </c>
      <c r="BJ398" s="64">
        <f t="shared" si="366"/>
        <v>-28.975851301067841</v>
      </c>
      <c r="BK398" s="61">
        <f t="shared" si="367"/>
        <v>-71.63272627344648</v>
      </c>
      <c r="BL398" s="59" t="str">
        <f t="shared" si="371"/>
        <v>0.050496428360945-0.03364941024178i</v>
      </c>
      <c r="BM398" s="64">
        <f t="shared" si="368"/>
        <v>-24.338959185438554</v>
      </c>
      <c r="BN398" s="61">
        <f t="shared" si="372"/>
        <v>-33.678380961864235</v>
      </c>
      <c r="BO398" s="50">
        <f t="shared" si="369"/>
        <v>-28.975851301067841</v>
      </c>
      <c r="BP398" s="61">
        <f t="shared" si="370"/>
        <v>-71.63272627344648</v>
      </c>
    </row>
    <row r="399" spans="14:68" x14ac:dyDescent="0.25">
      <c r="N399" s="11">
        <v>81</v>
      </c>
      <c r="O399" s="51">
        <f t="shared" si="373"/>
        <v>64565.422903465682</v>
      </c>
      <c r="P399" s="49" t="str">
        <f t="shared" si="321"/>
        <v>25.6231073841137</v>
      </c>
      <c r="Q399" s="18" t="str">
        <f t="shared" si="322"/>
        <v>1+350.820886944009i</v>
      </c>
      <c r="R399" s="18">
        <f t="shared" si="334"/>
        <v>350.82231216982353</v>
      </c>
      <c r="S399" s="18">
        <f t="shared" si="335"/>
        <v>1.5679458770957495</v>
      </c>
      <c r="T399" s="18" t="str">
        <f t="shared" si="323"/>
        <v>1+0.365108864885003i</v>
      </c>
      <c r="U399" s="18">
        <f t="shared" si="336"/>
        <v>1.0645677447760735</v>
      </c>
      <c r="V399" s="18">
        <f t="shared" si="337"/>
        <v>0.3500709183954096</v>
      </c>
      <c r="W399" s="32" t="str">
        <f t="shared" si="324"/>
        <v>1-8.18114308353433i</v>
      </c>
      <c r="X399" s="18">
        <f t="shared" si="338"/>
        <v>8.2420326469422349</v>
      </c>
      <c r="Y399" s="18">
        <f t="shared" si="339"/>
        <v>-1.4491673663563418</v>
      </c>
      <c r="Z399" s="32" t="str">
        <f t="shared" si="325"/>
        <v>0.895782654132416+0.647730171407098i</v>
      </c>
      <c r="AA399" s="18">
        <f t="shared" si="340"/>
        <v>1.105432466682422</v>
      </c>
      <c r="AB399" s="18">
        <f t="shared" si="341"/>
        <v>0.62605415081666627</v>
      </c>
      <c r="AC399" s="32" t="str">
        <f>IMDIV(IMSUM(COMPLEX(0,2*PI()*O399*Constants!$B$71*Constants!$B$72),COMPLEX(1,0)),IMSUM(COMPLEX(0,2*PI()*O399*Constants!$B$71*Constants!$B$72),COMPLEX(2,0)))</f>
        <v>0.69848526431261+0.244634895317611i</v>
      </c>
      <c r="AD399" s="18">
        <f t="shared" si="342"/>
        <v>0.74008641148781762</v>
      </c>
      <c r="AE399" s="18">
        <f t="shared" si="343"/>
        <v>0.33688531706779684</v>
      </c>
      <c r="AF399" s="66" t="str">
        <f t="shared" si="344"/>
        <v>-0.421693350110933-0.0790821461589175i</v>
      </c>
      <c r="AG399" s="64">
        <f t="shared" si="345"/>
        <v>-7.3499512281770976</v>
      </c>
      <c r="AH399" s="61">
        <f t="shared" si="346"/>
        <v>-169.37842274903645</v>
      </c>
      <c r="AI399" s="50" t="str">
        <f t="shared" si="326"/>
        <v>108.866083054159</v>
      </c>
      <c r="AJ399" s="50" t="str">
        <f t="shared" si="327"/>
        <v>1+331.917149895458i</v>
      </c>
      <c r="AK399" s="50">
        <f t="shared" si="347"/>
        <v>331.91865629205591</v>
      </c>
      <c r="AL399" s="50">
        <f t="shared" si="348"/>
        <v>1.5677835358780163</v>
      </c>
      <c r="AM399" s="50" t="str">
        <f t="shared" si="328"/>
        <v>1+0.365108864885003i</v>
      </c>
      <c r="AN399" s="50">
        <f t="shared" si="349"/>
        <v>1.0645677447760735</v>
      </c>
      <c r="AO399" s="50">
        <f t="shared" si="350"/>
        <v>0.3500709183954096</v>
      </c>
      <c r="AP399" s="50" t="str">
        <f t="shared" si="329"/>
        <v>1-1.82178418794171i</v>
      </c>
      <c r="AQ399" s="50">
        <f t="shared" si="351"/>
        <v>2.0781957625388512</v>
      </c>
      <c r="AR399" s="50">
        <f t="shared" si="352"/>
        <v>-1.0687884797745704</v>
      </c>
      <c r="AS399" s="59" t="str">
        <f t="shared" si="353"/>
        <v>-0.476127693241919-0.54758977567825i</v>
      </c>
      <c r="AT399" s="50">
        <f t="shared" si="354"/>
        <v>-2.7855861561759188</v>
      </c>
      <c r="AU399" s="61">
        <f t="shared" si="355"/>
        <v>-131.00686272486797</v>
      </c>
      <c r="AV399" s="32" t="str">
        <f t="shared" si="330"/>
        <v>-0.0000333333333333333</v>
      </c>
      <c r="AW399" s="32" t="str">
        <f t="shared" si="331"/>
        <v>0.0194724727938668i</v>
      </c>
      <c r="AX399" s="32">
        <f t="shared" si="356"/>
        <v>1.94724727938668E-2</v>
      </c>
      <c r="AY399" s="32">
        <f t="shared" si="357"/>
        <v>1.5707963267948966</v>
      </c>
      <c r="AZ399" s="32" t="str">
        <f t="shared" si="332"/>
        <v>1+7.94449844888664i</v>
      </c>
      <c r="BA399" s="32">
        <f t="shared" si="358"/>
        <v>8.0071877462915921</v>
      </c>
      <c r="BB399" s="32">
        <f t="shared" si="359"/>
        <v>1.4455815895734492</v>
      </c>
      <c r="BC399" s="32" t="str">
        <f t="shared" si="333"/>
        <v>1+381.335925546559i</v>
      </c>
      <c r="BD399" s="32">
        <f t="shared" si="360"/>
        <v>381.33723672420291</v>
      </c>
      <c r="BE399" s="32">
        <f t="shared" si="361"/>
        <v>1.5681739730097943</v>
      </c>
      <c r="BF399" s="59" t="str">
        <f t="shared" si="362"/>
        <v>-0.00996923787581109+0.0809124130412603i</v>
      </c>
      <c r="BG399" s="50">
        <f t="shared" si="363"/>
        <v>-21.774263137072282</v>
      </c>
      <c r="BH399" s="61">
        <f t="shared" si="364"/>
        <v>97.024026171352077</v>
      </c>
      <c r="BI399" s="59" t="str">
        <f t="shared" si="365"/>
        <v>0.0106026885921032-0.0333318377941407i</v>
      </c>
      <c r="BJ399" s="64">
        <f t="shared" si="366"/>
        <v>-29.124214365249379</v>
      </c>
      <c r="BK399" s="61">
        <f t="shared" si="367"/>
        <v>-72.354396577684412</v>
      </c>
      <c r="BL399" s="59" t="str">
        <f t="shared" si="371"/>
        <v>0.0490534403400395-0.0330655878438741i</v>
      </c>
      <c r="BM399" s="64">
        <f t="shared" si="368"/>
        <v>-24.559849293248206</v>
      </c>
      <c r="BN399" s="61">
        <f t="shared" si="372"/>
        <v>-33.982836553515888</v>
      </c>
      <c r="BO399" s="50">
        <f t="shared" si="369"/>
        <v>-29.124214365249379</v>
      </c>
      <c r="BP399" s="61">
        <f t="shared" si="370"/>
        <v>-72.354396577684412</v>
      </c>
    </row>
    <row r="400" spans="14:68" x14ac:dyDescent="0.25">
      <c r="N400" s="11">
        <v>82</v>
      </c>
      <c r="O400" s="51">
        <f t="shared" si="373"/>
        <v>66069.344800759733</v>
      </c>
      <c r="P400" s="49" t="str">
        <f t="shared" si="321"/>
        <v>25.6231073841137</v>
      </c>
      <c r="Q400" s="18" t="str">
        <f t="shared" si="322"/>
        <v>1+358.992555155524i</v>
      </c>
      <c r="R400" s="18">
        <f t="shared" si="334"/>
        <v>358.99394793936563</v>
      </c>
      <c r="S400" s="18">
        <f t="shared" si="335"/>
        <v>1.5680107609128791</v>
      </c>
      <c r="T400" s="18" t="str">
        <f t="shared" si="323"/>
        <v>1+0.373613342856405i</v>
      </c>
      <c r="U400" s="18">
        <f t="shared" si="336"/>
        <v>1.0675143699081233</v>
      </c>
      <c r="V400" s="18">
        <f t="shared" si="337"/>
        <v>0.35755441698205603</v>
      </c>
      <c r="W400" s="32" t="str">
        <f t="shared" si="324"/>
        <v>1-8.37170638622685i</v>
      </c>
      <c r="X400" s="18">
        <f t="shared" si="338"/>
        <v>8.4312198297275707</v>
      </c>
      <c r="Y400" s="18">
        <f t="shared" si="339"/>
        <v>-1.4519096670404203</v>
      </c>
      <c r="Z400" s="32" t="str">
        <f t="shared" si="325"/>
        <v>0.890871041939958+0.662817745289695i</v>
      </c>
      <c r="AA400" s="18">
        <f t="shared" si="340"/>
        <v>1.1103956848070426</v>
      </c>
      <c r="AB400" s="18">
        <f t="shared" si="341"/>
        <v>0.63965703815884045</v>
      </c>
      <c r="AC400" s="32" t="str">
        <f>IMDIV(IMSUM(COMPLEX(0,2*PI()*O400*Constants!$B$71*Constants!$B$72),COMPLEX(1,0)),IMSUM(COMPLEX(0,2*PI()*O400*Constants!$B$71*Constants!$B$72),COMPLEX(2,0)))</f>
        <v>0.704022600302971+0.24573579046834i</v>
      </c>
      <c r="AD400" s="18">
        <f t="shared" si="342"/>
        <v>0.74567680697099381</v>
      </c>
      <c r="AE400" s="18">
        <f t="shared" si="343"/>
        <v>0.33582406768422557</v>
      </c>
      <c r="AF400" s="66" t="str">
        <f t="shared" si="344"/>
        <v>-0.424782934851232-0.0752777481880567i</v>
      </c>
      <c r="AG400" s="64">
        <f t="shared" si="345"/>
        <v>-7.302366355453219</v>
      </c>
      <c r="AH400" s="61">
        <f t="shared" si="346"/>
        <v>-169.95068283285144</v>
      </c>
      <c r="AI400" s="50" t="str">
        <f t="shared" si="326"/>
        <v>108.866083054159</v>
      </c>
      <c r="AJ400" s="50" t="str">
        <f t="shared" si="327"/>
        <v>1+339.648493505823i</v>
      </c>
      <c r="AK400" s="50">
        <f t="shared" si="347"/>
        <v>339.64996561279838</v>
      </c>
      <c r="AL400" s="50">
        <f t="shared" si="348"/>
        <v>1.5678521149710332</v>
      </c>
      <c r="AM400" s="50" t="str">
        <f t="shared" si="328"/>
        <v>1+0.373613342856405i</v>
      </c>
      <c r="AN400" s="50">
        <f t="shared" si="349"/>
        <v>1.0675143699081233</v>
      </c>
      <c r="AO400" s="50">
        <f t="shared" si="350"/>
        <v>0.35755441698205603</v>
      </c>
      <c r="AP400" s="50" t="str">
        <f t="shared" si="329"/>
        <v>1-1.86421899296864i</v>
      </c>
      <c r="AQ400" s="50">
        <f t="shared" si="351"/>
        <v>2.1154934303242379</v>
      </c>
      <c r="AR400" s="50">
        <f t="shared" si="352"/>
        <v>-1.0784407799349875</v>
      </c>
      <c r="AS400" s="59" t="str">
        <f t="shared" si="353"/>
        <v>-0.476172362502202-0.545172933135335i</v>
      </c>
      <c r="AT400" s="50">
        <f t="shared" si="354"/>
        <v>-2.8070713333851622</v>
      </c>
      <c r="AU400" s="61">
        <f t="shared" si="355"/>
        <v>-131.13505519423902</v>
      </c>
      <c r="AV400" s="32" t="str">
        <f t="shared" si="330"/>
        <v>-0.0000333333333333333</v>
      </c>
      <c r="AW400" s="32" t="str">
        <f t="shared" si="331"/>
        <v>0.0199260449523415i</v>
      </c>
      <c r="AX400" s="32">
        <f t="shared" si="356"/>
        <v>1.9926044952341501E-2</v>
      </c>
      <c r="AY400" s="32">
        <f t="shared" si="357"/>
        <v>1.5707963267948966</v>
      </c>
      <c r="AZ400" s="32" t="str">
        <f t="shared" si="332"/>
        <v>1+8.12954958993103i</v>
      </c>
      <c r="BA400" s="32">
        <f t="shared" si="358"/>
        <v>8.1908227019724809</v>
      </c>
      <c r="BB400" s="32">
        <f t="shared" si="359"/>
        <v>1.4484031204463308</v>
      </c>
      <c r="BC400" s="32" t="str">
        <f t="shared" si="333"/>
        <v>1+390.21838031669i</v>
      </c>
      <c r="BD400" s="32">
        <f t="shared" si="360"/>
        <v>390.21966164838608</v>
      </c>
      <c r="BE400" s="32">
        <f t="shared" si="361"/>
        <v>1.5682336648051958</v>
      </c>
      <c r="BF400" s="59" t="str">
        <f t="shared" si="362"/>
        <v>-0.00952723617812499+0.0791249914258919i</v>
      </c>
      <c r="BG400" s="50">
        <f t="shared" si="363"/>
        <v>-21.971214755206503</v>
      </c>
      <c r="BH400" s="61">
        <f t="shared" si="364"/>
        <v>96.86578444851817</v>
      </c>
      <c r="BI400" s="59" t="str">
        <f t="shared" si="365"/>
        <v>0.0100033585247052-0.0328937571920239i</v>
      </c>
      <c r="BJ400" s="64">
        <f t="shared" si="366"/>
        <v>-29.273581110659723</v>
      </c>
      <c r="BK400" s="61">
        <f t="shared" si="367"/>
        <v>-73.084898384333272</v>
      </c>
      <c r="BL400" s="59" t="str">
        <f t="shared" si="371"/>
        <v>0.0476734102190159-0.0324831428083319i</v>
      </c>
      <c r="BM400" s="64">
        <f t="shared" si="368"/>
        <v>-24.778286088591678</v>
      </c>
      <c r="BN400" s="61">
        <f t="shared" si="372"/>
        <v>-34.269270745720824</v>
      </c>
      <c r="BO400" s="50">
        <f t="shared" si="369"/>
        <v>-29.273581110659723</v>
      </c>
      <c r="BP400" s="61">
        <f t="shared" si="370"/>
        <v>-73.084898384333272</v>
      </c>
    </row>
    <row r="401" spans="14:68" x14ac:dyDescent="0.25">
      <c r="N401" s="11">
        <v>83</v>
      </c>
      <c r="O401" s="51">
        <f t="shared" si="373"/>
        <v>67608.297539198305</v>
      </c>
      <c r="P401" s="49" t="str">
        <f t="shared" si="321"/>
        <v>25.6231073841137</v>
      </c>
      <c r="Q401" s="18" t="str">
        <f t="shared" si="322"/>
        <v>1+367.354565971609i</v>
      </c>
      <c r="R401" s="18">
        <f t="shared" si="334"/>
        <v>367.35592705193858</v>
      </c>
      <c r="S401" s="18">
        <f t="shared" si="335"/>
        <v>1.5680741678166787</v>
      </c>
      <c r="T401" s="18" t="str">
        <f t="shared" si="323"/>
        <v>1+0.382315915567546i</v>
      </c>
      <c r="U401" s="18">
        <f t="shared" si="336"/>
        <v>1.0705911728088602</v>
      </c>
      <c r="V401" s="18">
        <f t="shared" si="337"/>
        <v>0.36516914629190211</v>
      </c>
      <c r="W401" s="32" t="str">
        <f t="shared" si="324"/>
        <v>1-8.56670847845797i</v>
      </c>
      <c r="X401" s="18">
        <f t="shared" si="338"/>
        <v>8.6248764718622883</v>
      </c>
      <c r="Y401" s="18">
        <f t="shared" si="339"/>
        <v>-1.4545912824645146</v>
      </c>
      <c r="Z401" s="32" t="str">
        <f t="shared" si="325"/>
        <v>0.88572795259628+0.678256753914275i</v>
      </c>
      <c r="AA401" s="18">
        <f t="shared" si="340"/>
        <v>1.1155923225985052</v>
      </c>
      <c r="AB401" s="18">
        <f t="shared" si="341"/>
        <v>0.65351266760739257</v>
      </c>
      <c r="AC401" s="32" t="str">
        <f>IMDIV(IMSUM(COMPLEX(0,2*PI()*O401*Constants!$B$71*Constants!$B$72),COMPLEX(1,0)),IMSUM(COMPLEX(0,2*PI()*O401*Constants!$B$71*Constants!$B$72),COMPLEX(2,0)))</f>
        <v>0.709607025013708+0.246715235791705i</v>
      </c>
      <c r="AD401" s="18">
        <f t="shared" si="342"/>
        <v>0.75127261198619621</v>
      </c>
      <c r="AE401" s="18">
        <f t="shared" si="343"/>
        <v>0.33460533589501501</v>
      </c>
      <c r="AF401" s="66" t="str">
        <f t="shared" si="344"/>
        <v>-0.427819716143227-0.0713210239944475i</v>
      </c>
      <c r="AG401" s="64">
        <f t="shared" si="345"/>
        <v>-7.2557334563102573</v>
      </c>
      <c r="AH401" s="61">
        <f t="shared" si="346"/>
        <v>-170.53536645309947</v>
      </c>
      <c r="AI401" s="50" t="str">
        <f t="shared" si="326"/>
        <v>108.866083054159</v>
      </c>
      <c r="AJ401" s="50" t="str">
        <f t="shared" si="327"/>
        <v>1+347.559923243224i</v>
      </c>
      <c r="AK401" s="50">
        <f t="shared" si="347"/>
        <v>347.5613618410938</v>
      </c>
      <c r="AL401" s="50">
        <f t="shared" si="348"/>
        <v>1.5679191330400688</v>
      </c>
      <c r="AM401" s="50" t="str">
        <f t="shared" si="328"/>
        <v>1+0.382315915567546i</v>
      </c>
      <c r="AN401" s="50">
        <f t="shared" si="349"/>
        <v>1.0705911728088602</v>
      </c>
      <c r="AO401" s="50">
        <f t="shared" si="350"/>
        <v>0.36516914629190211</v>
      </c>
      <c r="AP401" s="50" t="str">
        <f t="shared" si="329"/>
        <v>1-1.90764223158149i</v>
      </c>
      <c r="AQ401" s="50">
        <f t="shared" si="351"/>
        <v>2.1538567463304532</v>
      </c>
      <c r="AR401" s="50">
        <f t="shared" si="352"/>
        <v>-1.0879709420712593</v>
      </c>
      <c r="AS401" s="59" t="str">
        <f t="shared" si="353"/>
        <v>-0.476215021348663-0.543045136656337i</v>
      </c>
      <c r="AT401" s="50">
        <f t="shared" si="354"/>
        <v>-2.8259683926107408</v>
      </c>
      <c r="AU401" s="61">
        <f t="shared" si="355"/>
        <v>-131.24864126364093</v>
      </c>
      <c r="AV401" s="32" t="str">
        <f t="shared" si="330"/>
        <v>-0.0000333333333333333</v>
      </c>
      <c r="AW401" s="32" t="str">
        <f t="shared" si="331"/>
        <v>0.0203901821636024i</v>
      </c>
      <c r="AX401" s="32">
        <f t="shared" si="356"/>
        <v>2.0390182163602399E-2</v>
      </c>
      <c r="AY401" s="32">
        <f t="shared" si="357"/>
        <v>1.5707963267948966</v>
      </c>
      <c r="AZ401" s="32" t="str">
        <f t="shared" si="332"/>
        <v>1+8.3189111257753i</v>
      </c>
      <c r="BA401" s="32">
        <f t="shared" si="358"/>
        <v>8.3787995750315005</v>
      </c>
      <c r="BB401" s="32">
        <f t="shared" si="359"/>
        <v>1.4511623192373753</v>
      </c>
      <c r="BC401" s="32" t="str">
        <f t="shared" si="333"/>
        <v>1+399.307734037215i</v>
      </c>
      <c r="BD401" s="32">
        <f t="shared" si="360"/>
        <v>399.3089862023333</v>
      </c>
      <c r="BE401" s="32">
        <f t="shared" si="361"/>
        <v>1.5682919978670942</v>
      </c>
      <c r="BF401" s="59" t="str">
        <f t="shared" si="362"/>
        <v>-0.00910454775166716+0.0773746972763966i</v>
      </c>
      <c r="BG401" s="50">
        <f t="shared" si="363"/>
        <v>-22.168301572580418</v>
      </c>
      <c r="BH401" s="61">
        <f t="shared" si="364"/>
        <v>96.711036241206571</v>
      </c>
      <c r="BI401" s="59" t="str">
        <f t="shared" si="365"/>
        <v>0.00941354767574369-0.0324530753568009i</v>
      </c>
      <c r="BJ401" s="64">
        <f t="shared" si="366"/>
        <v>-29.424035028890671</v>
      </c>
      <c r="BK401" s="61">
        <f t="shared" si="367"/>
        <v>-73.824330211892928</v>
      </c>
      <c r="BL401" s="59" t="str">
        <f t="shared" si="371"/>
        <v>0.0463536754581336-0.0319028127373273i</v>
      </c>
      <c r="BM401" s="64">
        <f t="shared" si="368"/>
        <v>-24.994269965191162</v>
      </c>
      <c r="BN401" s="61">
        <f t="shared" si="372"/>
        <v>-34.537605022434377</v>
      </c>
      <c r="BO401" s="50">
        <f t="shared" si="369"/>
        <v>-29.424035028890671</v>
      </c>
      <c r="BP401" s="61">
        <f t="shared" si="370"/>
        <v>-73.824330211892928</v>
      </c>
    </row>
    <row r="402" spans="14:68" x14ac:dyDescent="0.25">
      <c r="N402" s="11">
        <v>84</v>
      </c>
      <c r="O402" s="51">
        <f t="shared" si="373"/>
        <v>69183.097091893651</v>
      </c>
      <c r="P402" s="49" t="str">
        <f t="shared" si="321"/>
        <v>25.6231073841137</v>
      </c>
      <c r="Q402" s="18" t="str">
        <f t="shared" si="322"/>
        <v>1+375.911353041085i</v>
      </c>
      <c r="R402" s="18">
        <f t="shared" si="334"/>
        <v>375.9126831395547</v>
      </c>
      <c r="S402" s="18">
        <f t="shared" si="335"/>
        <v>1.5681361314242881</v>
      </c>
      <c r="T402" s="18" t="str">
        <f t="shared" si="323"/>
        <v>1+0.391221197237669i</v>
      </c>
      <c r="U402" s="18">
        <f t="shared" si="336"/>
        <v>1.0738035319219597</v>
      </c>
      <c r="V402" s="18">
        <f t="shared" si="337"/>
        <v>0.37291561048466887</v>
      </c>
      <c r="W402" s="32" t="str">
        <f t="shared" si="324"/>
        <v>1-8.76625275291813i</v>
      </c>
      <c r="X402" s="18">
        <f t="shared" si="338"/>
        <v>8.8231053109460671</v>
      </c>
      <c r="Y402" s="18">
        <f t="shared" si="339"/>
        <v>-1.4572134801042547</v>
      </c>
      <c r="Z402" s="32" t="str">
        <f t="shared" si="325"/>
        <v>0.88034247691934+0.694055383247568i</v>
      </c>
      <c r="AA402" s="18">
        <f t="shared" si="340"/>
        <v>1.1210333410222051</v>
      </c>
      <c r="AB402" s="18">
        <f t="shared" si="341"/>
        <v>0.66762299865571106</v>
      </c>
      <c r="AC402" s="32" t="str">
        <f>IMDIV(IMSUM(COMPLEX(0,2*PI()*O402*Constants!$B$71*Constants!$B$72),COMPLEX(1,0)),IMSUM(COMPLEX(0,2*PI()*O402*Constants!$B$71*Constants!$B$72),COMPLEX(2,0)))</f>
        <v>0.71523314930231+0.247570729474557i</v>
      </c>
      <c r="AD402" s="18">
        <f t="shared" si="342"/>
        <v>0.75686836633159982</v>
      </c>
      <c r="AE402" s="18">
        <f t="shared" si="343"/>
        <v>0.33323184553586971</v>
      </c>
      <c r="AF402" s="66" t="str">
        <f t="shared" si="344"/>
        <v>-0.430795057687541-0.0672105638022021i</v>
      </c>
      <c r="AG402" s="64">
        <f t="shared" si="345"/>
        <v>-7.2101413278688034</v>
      </c>
      <c r="AH402" s="61">
        <f t="shared" si="346"/>
        <v>-171.13247547709219</v>
      </c>
      <c r="AI402" s="50" t="str">
        <f t="shared" si="326"/>
        <v>108.866083054159</v>
      </c>
      <c r="AJ402" s="50" t="str">
        <f t="shared" si="327"/>
        <v>1+355.655633852427i</v>
      </c>
      <c r="AK402" s="50">
        <f t="shared" si="347"/>
        <v>355.65703970394236</v>
      </c>
      <c r="AL402" s="50">
        <f t="shared" si="348"/>
        <v>1.567984625616581</v>
      </c>
      <c r="AM402" s="50" t="str">
        <f t="shared" si="328"/>
        <v>1+0.391221197237669i</v>
      </c>
      <c r="AN402" s="50">
        <f t="shared" si="349"/>
        <v>1.0738035319219597</v>
      </c>
      <c r="AO402" s="50">
        <f t="shared" si="350"/>
        <v>0.37291561048466887</v>
      </c>
      <c r="AP402" s="50" t="str">
        <f t="shared" si="329"/>
        <v>1-1.95207692735616i</v>
      </c>
      <c r="AQ402" s="50">
        <f t="shared" si="351"/>
        <v>2.1933089910717705</v>
      </c>
      <c r="AR402" s="50">
        <f t="shared" si="352"/>
        <v>-1.0973770938303795</v>
      </c>
      <c r="AS402" s="59" t="str">
        <f t="shared" si="353"/>
        <v>-0.47625576026184-0.541205258845761i</v>
      </c>
      <c r="AT402" s="50">
        <f t="shared" si="354"/>
        <v>-2.8422832957822881</v>
      </c>
      <c r="AU402" s="61">
        <f t="shared" si="355"/>
        <v>-131.34748680472694</v>
      </c>
      <c r="AV402" s="32" t="str">
        <f t="shared" si="330"/>
        <v>-0.0000333333333333333</v>
      </c>
      <c r="AW402" s="32" t="str">
        <f t="shared" si="331"/>
        <v>0.0208651305193423i</v>
      </c>
      <c r="AX402" s="32">
        <f t="shared" si="356"/>
        <v>2.0865130519342301E-2</v>
      </c>
      <c r="AY402" s="32">
        <f t="shared" si="357"/>
        <v>1.5707963267948966</v>
      </c>
      <c r="AZ402" s="32" t="str">
        <f t="shared" si="332"/>
        <v>1+8.51268345841224i</v>
      </c>
      <c r="BA402" s="32">
        <f t="shared" si="358"/>
        <v>8.5712180968124585</v>
      </c>
      <c r="BB402" s="32">
        <f t="shared" si="359"/>
        <v>1.45386048076999</v>
      </c>
      <c r="BC402" s="32" t="str">
        <f t="shared" si="333"/>
        <v>1+408.608806003788i</v>
      </c>
      <c r="BD402" s="32">
        <f t="shared" si="360"/>
        <v>408.61002966623477</v>
      </c>
      <c r="BE402" s="32">
        <f t="shared" si="361"/>
        <v>1.5683490031228622</v>
      </c>
      <c r="BF402" s="59" t="str">
        <f t="shared" si="362"/>
        <v>-0.00870035333010372+0.0756609155731259i</v>
      </c>
      <c r="BG402" s="50">
        <f t="shared" si="363"/>
        <v>-22.365517677799957</v>
      </c>
      <c r="BH402" s="61">
        <f t="shared" si="364"/>
        <v>96.559709133508747</v>
      </c>
      <c r="BI402" s="59" t="str">
        <f t="shared" si="365"/>
        <v>0.00883328200820463-0.0320095928364223i</v>
      </c>
      <c r="BJ402" s="64">
        <f t="shared" si="366"/>
        <v>-29.575659005668761</v>
      </c>
      <c r="BK402" s="61">
        <f t="shared" si="367"/>
        <v>-74.572766343583439</v>
      </c>
      <c r="BL402" s="59" t="str">
        <f t="shared" si="371"/>
        <v>0.0450916787870361-0.0313252698923176i</v>
      </c>
      <c r="BM402" s="64">
        <f t="shared" si="368"/>
        <v>-25.207800973582234</v>
      </c>
      <c r="BN402" s="61">
        <f t="shared" si="372"/>
        <v>-34.787777671218166</v>
      </c>
      <c r="BO402" s="50">
        <f t="shared" si="369"/>
        <v>-29.575659005668761</v>
      </c>
      <c r="BP402" s="61">
        <f t="shared" si="370"/>
        <v>-74.572766343583439</v>
      </c>
    </row>
    <row r="403" spans="14:68" x14ac:dyDescent="0.25">
      <c r="N403" s="11">
        <v>85</v>
      </c>
      <c r="O403" s="51">
        <f t="shared" si="373"/>
        <v>70794.578438413781</v>
      </c>
      <c r="P403" s="49" t="str">
        <f t="shared" ref="P403:P466" si="374">COMPLEX(Adc,0)</f>
        <v>25.6231073841137</v>
      </c>
      <c r="Q403" s="18" t="str">
        <f t="shared" ref="Q403:Q466" si="375">IMSUM(COMPLEX(1,0),IMDIV(COMPLEX(0,2*PI()*O403),COMPLEX(wp_lf,0)))</f>
        <v>1+384.667453285718i</v>
      </c>
      <c r="R403" s="18">
        <f t="shared" si="334"/>
        <v>384.6687531075537</v>
      </c>
      <c r="S403" s="18">
        <f t="shared" si="335"/>
        <v>1.5681966845877275</v>
      </c>
      <c r="T403" s="18" t="str">
        <f t="shared" ref="T403:T466" si="376">IMSUM(COMPLEX(1,0),IMDIV(COMPLEX(0,2*PI()*O403),COMPLEX(wz_esr,0)))</f>
        <v>1+0.400333909564993i</v>
      </c>
      <c r="U403" s="18">
        <f t="shared" si="336"/>
        <v>1.0771570169420945</v>
      </c>
      <c r="V403" s="18">
        <f t="shared" si="337"/>
        <v>0.38079419703774608</v>
      </c>
      <c r="W403" s="32" t="str">
        <f t="shared" ref="W403:W466" si="377">IMSUB(COMPLEX(1,0),IMDIV(COMPLEX(0,2*PI()*O403),COMPLEX(wz_rhp,0)))</f>
        <v>1-8.97044501062299i</v>
      </c>
      <c r="X403" s="18">
        <f t="shared" si="338"/>
        <v>9.0260115050121055</v>
      </c>
      <c r="Y403" s="18">
        <f t="shared" si="339"/>
        <v>-1.4597775059654563</v>
      </c>
      <c r="Z403" s="32" t="str">
        <f t="shared" ref="Z403:Z466" si="378">IMSUM(COMPLEX(1,0),IMDIV(COMPLEX(0,2*PI()*O403),COMPLEX(Q*(wsl/2),0)),IMDIV(IMPOWER(COMPLEX(0,2*PI()*O403),2),IMPOWER(COMPLEX(wsl/2,0),2)))</f>
        <v>0.874703191593182+0.710222009931969i</v>
      </c>
      <c r="AA403" s="18">
        <f t="shared" si="340"/>
        <v>1.1267302147253817</v>
      </c>
      <c r="AB403" s="18">
        <f t="shared" si="341"/>
        <v>0.6819898247772711</v>
      </c>
      <c r="AC403" s="32" t="str">
        <f>IMDIV(IMSUM(COMPLEX(0,2*PI()*O403*Constants!$B$71*Constants!$B$72),COMPLEX(1,0)),IMSUM(COMPLEX(0,2*PI()*O403*Constants!$B$71*Constants!$B$72),COMPLEX(2,0)))</f>
        <v>0.720895414266429+0.248300066631641i</v>
      </c>
      <c r="AD403" s="18">
        <f t="shared" si="342"/>
        <v>0.76245860307274627</v>
      </c>
      <c r="AE403" s="18">
        <f t="shared" si="343"/>
        <v>0.33170664265051897</v>
      </c>
      <c r="AF403" s="66" t="str">
        <f t="shared" si="344"/>
        <v>-0.433700119927061-0.0629454383125318i</v>
      </c>
      <c r="AG403" s="64">
        <f t="shared" si="345"/>
        <v>-7.1656777384417003</v>
      </c>
      <c r="AH403" s="61">
        <f t="shared" si="346"/>
        <v>-171.74198921017839</v>
      </c>
      <c r="AI403" s="50" t="str">
        <f t="shared" ref="AI403:AI466" si="379">COMPLEX($B$72,0)</f>
        <v>108.866083054159</v>
      </c>
      <c r="AJ403" s="50" t="str">
        <f t="shared" ref="AJ403:AJ466" si="380">IMSUM(COMPLEX(1,0),IMDIV(COMPLEX(0,2*PI()*O403),COMPLEX(wp_lf_DCM,0)))</f>
        <v>1+363.939917786358i</v>
      </c>
      <c r="AK403" s="50">
        <f t="shared" si="347"/>
        <v>363.94129163690815</v>
      </c>
      <c r="AL403" s="50">
        <f t="shared" si="348"/>
        <v>1.5680486274233523</v>
      </c>
      <c r="AM403" s="50" t="str">
        <f t="shared" ref="AM403:AM466" si="381">IMSUM(COMPLEX(1,0),IMDIV(COMPLEX(0,2*PI()*O403),COMPLEX(wz1_dcm,0)))</f>
        <v>1+0.400333909564993i</v>
      </c>
      <c r="AN403" s="50">
        <f t="shared" si="349"/>
        <v>1.0771570169420945</v>
      </c>
      <c r="AO403" s="50">
        <f t="shared" si="350"/>
        <v>0.38079419703774608</v>
      </c>
      <c r="AP403" s="50" t="str">
        <f t="shared" ref="AP403:AP466" si="382">IMSUB(COMPLEX(1,0),IMDIV(COMPLEX(0,2*PI()*O403),COMPLEX(wz2_dcm,0)))</f>
        <v>1-1.9975466401565i</v>
      </c>
      <c r="AQ403" s="50">
        <f t="shared" si="351"/>
        <v>2.2338738951875778</v>
      </c>
      <c r="AR403" s="50">
        <f t="shared" si="352"/>
        <v>-1.106657563873924</v>
      </c>
      <c r="AS403" s="59" t="str">
        <f t="shared" si="353"/>
        <v>-0.476294665650218-0.539652324913629i</v>
      </c>
      <c r="AT403" s="50">
        <f t="shared" si="354"/>
        <v>-2.8560213320348833</v>
      </c>
      <c r="AU403" s="61">
        <f t="shared" si="355"/>
        <v>-131.43147584550897</v>
      </c>
      <c r="AV403" s="32" t="str">
        <f t="shared" ref="AV403:AV466" si="383">COMPLEX(Adc_ea,0)</f>
        <v>-0.0000333333333333333</v>
      </c>
      <c r="AW403" s="32" t="str">
        <f t="shared" ref="AW403:AW466" si="384">COMPLEX(0,2*PI()*O403*wp0_ea)</f>
        <v>0.0213511418434663i</v>
      </c>
      <c r="AX403" s="32">
        <f t="shared" si="356"/>
        <v>2.1351141843466301E-2</v>
      </c>
      <c r="AY403" s="32">
        <f t="shared" si="357"/>
        <v>1.5707963267948966</v>
      </c>
      <c r="AZ403" s="32" t="str">
        <f t="shared" ref="AZ403:AZ466" si="385">IMSUM(COMPLEX(1,0),IMDIV(COMPLEX(0,2*PI()*O403),COMPLEX(wp1_ea,0)))</f>
        <v>1+8.71096932849753i</v>
      </c>
      <c r="BA403" s="32">
        <f t="shared" si="358"/>
        <v>8.7681803495380226</v>
      </c>
      <c r="BB403" s="32">
        <f t="shared" si="359"/>
        <v>1.4564988784180195</v>
      </c>
      <c r="BC403" s="32" t="str">
        <f t="shared" ref="BC403:BC466" si="386">IMSUM(COMPLEX(1,0),IMDIV(COMPLEX(0,2*PI()*O403),COMPLEX(wz_ea,0)))</f>
        <v>1+418.126527767882i</v>
      </c>
      <c r="BD403" s="32">
        <f t="shared" si="360"/>
        <v>418.1277235764515</v>
      </c>
      <c r="BE403" s="32">
        <f t="shared" si="361"/>
        <v>1.5684047107959582</v>
      </c>
      <c r="BF403" s="59" t="str">
        <f t="shared" si="362"/>
        <v>-0.00831386625820633+0.0739830307301436i</v>
      </c>
      <c r="BG403" s="50">
        <f t="shared" si="363"/>
        <v>-22.562857410567272</v>
      </c>
      <c r="BH403" s="61">
        <f t="shared" si="364"/>
        <v>96.411731898154329</v>
      </c>
      <c r="BI403" s="59" t="str">
        <f t="shared" si="365"/>
        <v>0.00826261909024003-0.0315631293445362i</v>
      </c>
      <c r="BJ403" s="64">
        <f t="shared" si="366"/>
        <v>-29.728535149008959</v>
      </c>
      <c r="BK403" s="61">
        <f t="shared" si="367"/>
        <v>-75.330257312024088</v>
      </c>
      <c r="BL403" s="59" t="str">
        <f t="shared" si="371"/>
        <v>0.0438849646873915-0.0307511256301415i</v>
      </c>
      <c r="BM403" s="64">
        <f t="shared" si="368"/>
        <v>-25.41887874260215</v>
      </c>
      <c r="BN403" s="61">
        <f t="shared" si="372"/>
        <v>-35.019743947354577</v>
      </c>
      <c r="BO403" s="50">
        <f t="shared" si="369"/>
        <v>-29.728535149008959</v>
      </c>
      <c r="BP403" s="61">
        <f t="shared" si="370"/>
        <v>-75.330257312024088</v>
      </c>
    </row>
    <row r="404" spans="14:68" x14ac:dyDescent="0.25">
      <c r="N404" s="11">
        <v>86</v>
      </c>
      <c r="O404" s="51">
        <f t="shared" si="373"/>
        <v>72443.596007499116</v>
      </c>
      <c r="P404" s="49" t="str">
        <f t="shared" si="374"/>
        <v>25.6231073841137</v>
      </c>
      <c r="Q404" s="18" t="str">
        <f t="shared" si="375"/>
        <v>1+393.627509305761i</v>
      </c>
      <c r="R404" s="18">
        <f t="shared" ref="R404:R467" si="387">IMABS(Q404)</f>
        <v>393.62877954013595</v>
      </c>
      <c r="S404" s="18">
        <f t="shared" ref="S404:S467" si="388">IMARGUMENT(Q404)</f>
        <v>1.5682558594113087</v>
      </c>
      <c r="T404" s="18" t="str">
        <f t="shared" si="376"/>
        <v>1+0.409658884230215i</v>
      </c>
      <c r="U404" s="18">
        <f t="shared" ref="U404:U467" si="389">IMABS(T404)</f>
        <v>1.080657393177294</v>
      </c>
      <c r="V404" s="18">
        <f t="shared" ref="V404:V467" si="390">IMARGUMENT(T404)</f>
        <v>0.38880516992436881</v>
      </c>
      <c r="W404" s="32" t="str">
        <f t="shared" si="377"/>
        <v>1-9.17939351701038i</v>
      </c>
      <c r="X404" s="18">
        <f t="shared" ref="X404:X467" si="391">IMABS(W404)</f>
        <v>9.2337026885281617</v>
      </c>
      <c r="Y404" s="18">
        <f t="shared" ref="Y404:Y467" si="392">IMARGUMENT(W404)</f>
        <v>-1.4622845846035963</v>
      </c>
      <c r="Z404" s="32" t="str">
        <f t="shared" si="378"/>
        <v>0.868798134937557+0.726765205726937i</v>
      </c>
      <c r="AA404" s="18">
        <f t="shared" ref="AA404:AA467" si="393">IMABS(Z404)</f>
        <v>1.1326949560787734</v>
      </c>
      <c r="AB404" s="18">
        <f t="shared" ref="AB404:AB467" si="394">IMARGUMENT(Z404)</f>
        <v>0.69661476121303167</v>
      </c>
      <c r="AC404" s="32" t="str">
        <f>IMDIV(IMSUM(COMPLEX(0,2*PI()*O404*Constants!$B$71*Constants!$B$72),COMPLEX(1,0)),IMSUM(COMPLEX(0,2*PI()*O404*Constants!$B$71*Constants!$B$72),COMPLEX(2,0)))</f>
        <v>0.726588112322831+0.248901352980235i</v>
      </c>
      <c r="AD404" s="18">
        <f t="shared" ref="AD404:AD467" si="395">IMABS(AC404)</f>
        <v>0.76803786917328909</v>
      </c>
      <c r="AE404" s="18">
        <f t="shared" ref="AE404:AE467" si="396">IMARGUMENT(AC404)</f>
        <v>0.33003308035844486</v>
      </c>
      <c r="AF404" s="66" t="str">
        <f t="shared" ref="AF404:AF467" si="397">(IMDIV(IMPRODUCT(P404,T404,W404,AC404),IMPRODUCT(Q404,Z404)))</f>
        <v>-0.436525888237368-0.0585252201121749i</v>
      </c>
      <c r="AG404" s="64">
        <f t="shared" ref="AG404:AG467" si="398">20*LOG(IMABS(AF404))</f>
        <v>-7.1224292748559446</v>
      </c>
      <c r="AH404" s="61">
        <f t="shared" ref="AH404:AH467" si="399">(180/PI())*IMARGUMENT(AF404)</f>
        <v>-172.363864956003</v>
      </c>
      <c r="AI404" s="50" t="str">
        <f t="shared" si="379"/>
        <v>108.866083054159</v>
      </c>
      <c r="AJ404" s="50" t="str">
        <f t="shared" si="380"/>
        <v>1+372.417167482014i</v>
      </c>
      <c r="AK404" s="50">
        <f t="shared" ref="AK404:AK467" si="400">IMABS(AJ404)</f>
        <v>372.41851006002167</v>
      </c>
      <c r="AL404" s="50">
        <f t="shared" ref="AL404:AL467" si="401">IMARGUMENT(AJ404)</f>
        <v>1.5681111723928893</v>
      </c>
      <c r="AM404" s="50" t="str">
        <f t="shared" si="381"/>
        <v>1+0.409658884230215i</v>
      </c>
      <c r="AN404" s="50">
        <f t="shared" ref="AN404:AN467" si="402">IMABS(AM404)</f>
        <v>1.080657393177294</v>
      </c>
      <c r="AO404" s="50">
        <f t="shared" ref="AO404:AO467" si="403">IMARGUMENT(AM404)</f>
        <v>0.38880516992436881</v>
      </c>
      <c r="AP404" s="50" t="str">
        <f t="shared" si="382"/>
        <v>1-2.04407547862612i</v>
      </c>
      <c r="AQ404" s="50">
        <f t="shared" ref="AQ404:AQ467" si="404">IMABS(AP404)</f>
        <v>2.2755756551520321</v>
      </c>
      <c r="AR404" s="50">
        <f t="shared" ref="AR404:AR467" si="405">IMARGUMENT(AP404)</f>
        <v>-1.1158108775096605</v>
      </c>
      <c r="AS404" s="59" t="str">
        <f t="shared" ref="AS404:AS467" si="406">(IMDIV(IMPRODUCT(AI404,AM404,AP404),IMPRODUCT(AJ404)))</f>
        <v>-0.476331820033525-0.538385512162194i</v>
      </c>
      <c r="AT404" s="50">
        <f t="shared" ref="AT404:AT467" si="407">20*LOG(IMABS(AS404))</f>
        <v>-2.8671870579793168</v>
      </c>
      <c r="AU404" s="61">
        <f t="shared" ref="AU404:AU467" si="408">(180/PI())*IMARGUMENT(AS404)</f>
        <v>-131.50051071198317</v>
      </c>
      <c r="AV404" s="32" t="str">
        <f t="shared" si="383"/>
        <v>-0.0000333333333333333</v>
      </c>
      <c r="AW404" s="32" t="str">
        <f t="shared" si="384"/>
        <v>0.0218484738256115i</v>
      </c>
      <c r="AX404" s="32">
        <f t="shared" ref="AX404:AX467" si="409">IMABS(AW404)</f>
        <v>2.18484738256115E-2</v>
      </c>
      <c r="AY404" s="32">
        <f t="shared" ref="AY404:AY467" si="410">IMARGUMENT(AW404)</f>
        <v>1.5707963267948966</v>
      </c>
      <c r="AZ404" s="32" t="str">
        <f t="shared" si="385"/>
        <v>1+8.91387386982413i</v>
      </c>
      <c r="BA404" s="32">
        <f t="shared" ref="BA404:BA467" si="411">IMABS(AZ404)</f>
        <v>8.9697908207010819</v>
      </c>
      <c r="BB404" s="32">
        <f t="shared" ref="BB404:BB467" si="412">IMARGUMENT(AZ404)</f>
        <v>1.459078764085439</v>
      </c>
      <c r="BC404" s="32" t="str">
        <f t="shared" si="386"/>
        <v>1+427.865945751559i</v>
      </c>
      <c r="BD404" s="32">
        <f t="shared" ref="BD404:BD467" si="413">IMABS(BC404)</f>
        <v>427.86711434027745</v>
      </c>
      <c r="BE404" s="32">
        <f t="shared" ref="BE404:BE467" si="414">IMARGUMENT(BC404)</f>
        <v>1.5684591504219441</v>
      </c>
      <c r="BF404" s="59" t="str">
        <f t="shared" ref="BF404:BF467" si="415">IMPRODUCT(AV404,IMDIV(BC404,IMPRODUCT(AW404,AZ404)))</f>
        <v>-0.00794433138207236+0.0723404274968083i</v>
      </c>
      <c r="BG404" s="50">
        <f t="shared" ref="BG404:BG467" si="416">20*LOG(IMABS(BF404))</f>
        <v>-22.760315351656185</v>
      </c>
      <c r="BH404" s="61">
        <f t="shared" ref="BH404:BH467" si="417">(180/PI())*IMARGUMENT(BF404)</f>
        <v>96.26703449859211</v>
      </c>
      <c r="BI404" s="59" t="str">
        <f t="shared" ref="BI404:BI467" si="418">IMPRODUCT(AF404,BF404)</f>
        <v>0.00770164575527067-0.0311135256257353i</v>
      </c>
      <c r="BJ404" s="64">
        <f t="shared" ref="BJ404:BJ467" si="419">20*LOG(IMABS(BI404))</f>
        <v>-29.882744626512139</v>
      </c>
      <c r="BK404" s="61">
        <f t="shared" ref="BK404:BK467" si="420">(180/PI())*IMARGUMENT(BI404)</f>
        <v>-76.096830457410888</v>
      </c>
      <c r="BL404" s="59" t="str">
        <f t="shared" si="371"/>
        <v>0.0427311759340732-0.0301809345716347i</v>
      </c>
      <c r="BM404" s="64">
        <f t="shared" ref="BM404:BM467" si="421">20*LOG(IMABS(BL404))</f>
        <v>-25.627502409635508</v>
      </c>
      <c r="BN404" s="61">
        <f t="shared" si="372"/>
        <v>-35.233476213391008</v>
      </c>
      <c r="BO404" s="50">
        <f t="shared" ref="BO404:BO467" si="422">IF($B$31=0,BM404,BJ404)</f>
        <v>-29.882744626512139</v>
      </c>
      <c r="BP404" s="61">
        <f t="shared" ref="BP404:BP467" si="423">IF($B$31=0,BN404,BK404)</f>
        <v>-76.096830457410888</v>
      </c>
    </row>
    <row r="405" spans="14:68" x14ac:dyDescent="0.25">
      <c r="N405" s="11">
        <v>87</v>
      </c>
      <c r="O405" s="51">
        <f t="shared" si="373"/>
        <v>74131.024130091857</v>
      </c>
      <c r="P405" s="49" t="str">
        <f t="shared" si="374"/>
        <v>25.6231073841137</v>
      </c>
      <c r="Q405" s="18" t="str">
        <f t="shared" si="375"/>
        <v>1+402.796271841513i</v>
      </c>
      <c r="R405" s="18">
        <f t="shared" si="387"/>
        <v>402.79751316191368</v>
      </c>
      <c r="S405" s="18">
        <f t="shared" si="388"/>
        <v>1.5683136872686476</v>
      </c>
      <c r="T405" s="18" t="str">
        <f t="shared" si="376"/>
        <v>1+0.419201065458332i</v>
      </c>
      <c r="U405" s="18">
        <f t="shared" si="389"/>
        <v>1.0843106258270279</v>
      </c>
      <c r="V405" s="18">
        <f t="shared" si="390"/>
        <v>0.39694866274854729</v>
      </c>
      <c r="W405" s="32" t="str">
        <f t="shared" si="377"/>
        <v>1-9.39320905934411i</v>
      </c>
      <c r="X405" s="18">
        <f t="shared" si="391"/>
        <v>9.4462890296954338</v>
      </c>
      <c r="Y405" s="18">
        <f t="shared" si="392"/>
        <v>-1.4647359191716893</v>
      </c>
      <c r="Z405" s="32" t="str">
        <f t="shared" si="378"/>
        <v>0.862614781535594+0.743693742053856i</v>
      </c>
      <c r="AA405" s="18">
        <f t="shared" si="393"/>
        <v>1.1389401403470543</v>
      </c>
      <c r="AB405" s="18">
        <f t="shared" si="394"/>
        <v>0.7114992324690993</v>
      </c>
      <c r="AC405" s="32" t="str">
        <f>IMDIV(IMSUM(COMPLEX(0,2*PI()*O405*Constants!$B$71*Constants!$B$72),COMPLEX(1,0)),IMSUM(COMPLEX(0,2*PI()*O405*Constants!$B$71*Constants!$B$72),COMPLEX(2,0)))</f>
        <v>0.732305409570778+0.249373016723025i</v>
      </c>
      <c r="AD405" s="18">
        <f t="shared" si="395"/>
        <v>0.77360074609333662</v>
      </c>
      <c r="AE405" s="18">
        <f t="shared" si="396"/>
        <v>0.32821480238433021</v>
      </c>
      <c r="AF405" s="66" t="str">
        <f t="shared" si="397"/>
        <v>-0.439263203168921-0.0539500032178503i</v>
      </c>
      <c r="AG405" s="64">
        <f t="shared" si="398"/>
        <v>-7.0804811993623975</v>
      </c>
      <c r="AH405" s="61">
        <f t="shared" si="399"/>
        <v>-172.9980386409274</v>
      </c>
      <c r="AI405" s="50" t="str">
        <f t="shared" si="379"/>
        <v>108.866083054159</v>
      </c>
      <c r="AJ405" s="50" t="str">
        <f t="shared" si="380"/>
        <v>1+381.091877689394i</v>
      </c>
      <c r="AK405" s="50">
        <f t="shared" si="400"/>
        <v>381.09318970670154</v>
      </c>
      <c r="AL405" s="50">
        <f t="shared" si="401"/>
        <v>1.5681722936854039</v>
      </c>
      <c r="AM405" s="50" t="str">
        <f t="shared" si="381"/>
        <v>1+0.419201065458332i</v>
      </c>
      <c r="AN405" s="50">
        <f t="shared" si="402"/>
        <v>1.0843106258270279</v>
      </c>
      <c r="AO405" s="50">
        <f t="shared" si="403"/>
        <v>0.39694866274854729</v>
      </c>
      <c r="AP405" s="50" t="str">
        <f t="shared" si="382"/>
        <v>1-2.09168811297103i</v>
      </c>
      <c r="AQ405" s="50">
        <f t="shared" si="404"/>
        <v>2.3184389493675064</v>
      </c>
      <c r="AR405" s="50">
        <f t="shared" si="405"/>
        <v>-1.1248357518446248</v>
      </c>
      <c r="AS405" s="59" t="str">
        <f t="shared" si="406"/>
        <v>-0.476367302217689-0.537404149552984i</v>
      </c>
      <c r="AT405" s="50">
        <f t="shared" si="407"/>
        <v>-2.8757842467570249</v>
      </c>
      <c r="AU405" s="61">
        <f t="shared" si="408"/>
        <v>-131.55451214479172</v>
      </c>
      <c r="AV405" s="32" t="str">
        <f t="shared" si="383"/>
        <v>-0.0000333333333333333</v>
      </c>
      <c r="AW405" s="32" t="str">
        <f t="shared" si="384"/>
        <v>0.0223573901577777i</v>
      </c>
      <c r="AX405" s="32">
        <f t="shared" si="409"/>
        <v>2.2357390157777698E-2</v>
      </c>
      <c r="AY405" s="32">
        <f t="shared" si="410"/>
        <v>1.5707963267948966</v>
      </c>
      <c r="AZ405" s="32" t="str">
        <f t="shared" si="385"/>
        <v>1+9.12150466506557i</v>
      </c>
      <c r="BA405" s="32">
        <f t="shared" si="411"/>
        <v>9.1761564587147788</v>
      </c>
      <c r="BB405" s="32">
        <f t="shared" si="412"/>
        <v>1.4616013682176023</v>
      </c>
      <c r="BC405" s="32" t="str">
        <f t="shared" si="386"/>
        <v>1+437.832223923148i</v>
      </c>
      <c r="BD405" s="32">
        <f t="shared" si="413"/>
        <v>437.8333659116098</v>
      </c>
      <c r="BE405" s="32">
        <f t="shared" si="414"/>
        <v>1.5685123508641385</v>
      </c>
      <c r="BF405" s="59" t="str">
        <f t="shared" si="415"/>
        <v>-0.00759102395992989+0.0707324917882079i</v>
      </c>
      <c r="BG405" s="50">
        <f t="shared" si="416"/>
        <v>-22.957886313231608</v>
      </c>
      <c r="BH405" s="61">
        <f t="shared" si="417"/>
        <v>96.125548089242926</v>
      </c>
      <c r="BI405" s="59" t="str">
        <f t="shared" si="418"/>
        <v>0.00715047565955122-0.0306606451439426i</v>
      </c>
      <c r="BJ405" s="64">
        <f t="shared" si="419"/>
        <v>-30.038367512594007</v>
      </c>
      <c r="BK405" s="61">
        <f t="shared" si="420"/>
        <v>-76.872490551684464</v>
      </c>
      <c r="BL405" s="59" t="str">
        <f t="shared" si="371"/>
        <v>0.0416280502000669-0.029615198516861i</v>
      </c>
      <c r="BM405" s="64">
        <f t="shared" si="421"/>
        <v>-25.833670559988636</v>
      </c>
      <c r="BN405" s="61">
        <f t="shared" si="372"/>
        <v>-35.428964055548825</v>
      </c>
      <c r="BO405" s="50">
        <f t="shared" si="422"/>
        <v>-30.038367512594007</v>
      </c>
      <c r="BP405" s="61">
        <f t="shared" si="423"/>
        <v>-76.872490551684464</v>
      </c>
    </row>
    <row r="406" spans="14:68" x14ac:dyDescent="0.25">
      <c r="N406" s="11">
        <v>88</v>
      </c>
      <c r="O406" s="51">
        <f t="shared" si="373"/>
        <v>75857.757502918481</v>
      </c>
      <c r="P406" s="49" t="str">
        <f t="shared" si="374"/>
        <v>25.6231073841137</v>
      </c>
      <c r="Q406" s="18" t="str">
        <f t="shared" si="375"/>
        <v>1+412.178602292233i</v>
      </c>
      <c r="R406" s="18">
        <f t="shared" si="387"/>
        <v>412.17981535681582</v>
      </c>
      <c r="S406" s="18">
        <f t="shared" si="388"/>
        <v>1.5683701988192917</v>
      </c>
      <c r="T406" s="18" t="str">
        <f t="shared" si="376"/>
        <v>1+0.428965512640136i</v>
      </c>
      <c r="U406" s="18">
        <f t="shared" si="389"/>
        <v>1.0881228841608905</v>
      </c>
      <c r="V406" s="18">
        <f t="shared" si="390"/>
        <v>0.40522467186733163</v>
      </c>
      <c r="W406" s="32" t="str">
        <f t="shared" si="377"/>
        <v>1-9.61200500545491i</v>
      </c>
      <c r="X406" s="18">
        <f t="shared" si="391"/>
        <v>9.6638832890764057</v>
      </c>
      <c r="Y406" s="18">
        <f t="shared" si="392"/>
        <v>-1.4671326914942515</v>
      </c>
      <c r="Z406" s="32" t="str">
        <f t="shared" si="378"/>
        <v>0.856140015665711+0.76101659464676i</v>
      </c>
      <c r="AA406" s="18">
        <f t="shared" si="393"/>
        <v>1.1454789320418926</v>
      </c>
      <c r="AB406" s="18">
        <f t="shared" si="394"/>
        <v>0.72664445955815926</v>
      </c>
      <c r="AC406" s="32" t="str">
        <f>IMDIV(IMSUM(COMPLEX(0,2*PI()*O406*Constants!$B$71*Constants!$B$72),COMPLEX(1,0)),IMSUM(COMPLEX(0,2*PI()*O406*Constants!$B$71*Constants!$B$72),COMPLEX(2,0)))</f>
        <v>0.738041369260034+0.249713818501951i</v>
      </c>
      <c r="AD406" s="18">
        <f t="shared" si="395"/>
        <v>0.77914187019441539</v>
      </c>
      <c r="AE406" s="18">
        <f t="shared" si="396"/>
        <v>0.32625572538594955</v>
      </c>
      <c r="AF406" s="66" t="str">
        <f t="shared" si="397"/>
        <v>-0.441902792594132-0.0492204205621097i</v>
      </c>
      <c r="AG406" s="64">
        <f t="shared" si="398"/>
        <v>-7.0399173167980802</v>
      </c>
      <c r="AH406" s="61">
        <f t="shared" si="399"/>
        <v>-173.64442549481021</v>
      </c>
      <c r="AI406" s="50" t="str">
        <f t="shared" si="379"/>
        <v>108.866083054159</v>
      </c>
      <c r="AJ406" s="50" t="str">
        <f t="shared" si="380"/>
        <v>1+389.96864785467i</v>
      </c>
      <c r="AK406" s="50">
        <f t="shared" si="400"/>
        <v>389.96993000691685</v>
      </c>
      <c r="AL406" s="50">
        <f t="shared" si="401"/>
        <v>1.5682320237063871</v>
      </c>
      <c r="AM406" s="50" t="str">
        <f t="shared" si="381"/>
        <v>1+0.428965512640136i</v>
      </c>
      <c r="AN406" s="50">
        <f t="shared" si="402"/>
        <v>1.0881228841608905</v>
      </c>
      <c r="AO406" s="50">
        <f t="shared" si="403"/>
        <v>0.40522467186733163</v>
      </c>
      <c r="AP406" s="50" t="str">
        <f t="shared" si="382"/>
        <v>1-2.14040978804021i</v>
      </c>
      <c r="AQ406" s="50">
        <f t="shared" si="404"/>
        <v>2.3624889546277963</v>
      </c>
      <c r="AR406" s="50">
        <f t="shared" si="405"/>
        <v>-1.1337310905147269</v>
      </c>
      <c r="AS406" s="59" t="str">
        <f t="shared" si="406"/>
        <v>-0.476401187461999-0.536707717354111i</v>
      </c>
      <c r="AT406" s="50">
        <f t="shared" si="407"/>
        <v>-2.8818158461926178</v>
      </c>
      <c r="AU406" s="61">
        <f t="shared" si="408"/>
        <v>-131.59341939232237</v>
      </c>
      <c r="AV406" s="32" t="str">
        <f t="shared" si="383"/>
        <v>-0.0000333333333333333</v>
      </c>
      <c r="AW406" s="32" t="str">
        <f t="shared" si="384"/>
        <v>0.0228781606741406i</v>
      </c>
      <c r="AX406" s="32">
        <f t="shared" si="409"/>
        <v>2.2878160674140599E-2</v>
      </c>
      <c r="AY406" s="32">
        <f t="shared" si="410"/>
        <v>1.5707963267948966</v>
      </c>
      <c r="AZ406" s="32" t="str">
        <f t="shared" si="385"/>
        <v>1+9.33397180281779i</v>
      </c>
      <c r="BA406" s="32">
        <f t="shared" si="411"/>
        <v>9.3873867298517943</v>
      </c>
      <c r="BB406" s="32">
        <f t="shared" si="412"/>
        <v>1.4640678998415528</v>
      </c>
      <c r="BC406" s="32" t="str">
        <f t="shared" si="386"/>
        <v>1+448.030646535254i</v>
      </c>
      <c r="BD406" s="32">
        <f t="shared" si="413"/>
        <v>448.03176252895031</v>
      </c>
      <c r="BE406" s="32">
        <f t="shared" si="414"/>
        <v>1.5685643403289151</v>
      </c>
      <c r="BF406" s="59" t="str">
        <f t="shared" si="415"/>
        <v>-0.00725324859491846+0.0691586114485566i</v>
      </c>
      <c r="BG406" s="50">
        <f t="shared" si="416"/>
        <v>-23.155565329506178</v>
      </c>
      <c r="BH406" s="61">
        <f t="shared" si="417"/>
        <v>95.98720501406585</v>
      </c>
      <c r="BI406" s="59" t="str">
        <f t="shared" si="418"/>
        <v>0.00660924675046342-0.0302043755847663i</v>
      </c>
      <c r="BJ406" s="64">
        <f t="shared" si="419"/>
        <v>-30.195482646304246</v>
      </c>
      <c r="BK406" s="61">
        <f t="shared" si="420"/>
        <v>-77.657220480744357</v>
      </c>
      <c r="BL406" s="59" t="str">
        <f t="shared" si="371"/>
        <v>0.0405734167295109-0.0290543701205348i</v>
      </c>
      <c r="BM406" s="64">
        <f t="shared" si="421"/>
        <v>-26.037381175698798</v>
      </c>
      <c r="BN406" s="61">
        <f t="shared" si="372"/>
        <v>-35.606214378256581</v>
      </c>
      <c r="BO406" s="50">
        <f t="shared" si="422"/>
        <v>-30.195482646304246</v>
      </c>
      <c r="BP406" s="61">
        <f t="shared" si="423"/>
        <v>-77.657220480744357</v>
      </c>
    </row>
    <row r="407" spans="14:68" x14ac:dyDescent="0.25">
      <c r="N407" s="11">
        <v>89</v>
      </c>
      <c r="O407" s="51">
        <f t="shared" si="373"/>
        <v>77624.711662869129</v>
      </c>
      <c r="P407" s="49" t="str">
        <f t="shared" si="374"/>
        <v>25.6231073841137</v>
      </c>
      <c r="Q407" s="18" t="str">
        <f t="shared" si="375"/>
        <v>1+421.779475293717i</v>
      </c>
      <c r="R407" s="18">
        <f t="shared" si="387"/>
        <v>421.78066074565726</v>
      </c>
      <c r="S407" s="18">
        <f t="shared" si="388"/>
        <v>1.5684254240249687</v>
      </c>
      <c r="T407" s="18" t="str">
        <f t="shared" si="376"/>
        <v>1+0.438957403014772i</v>
      </c>
      <c r="U407" s="18">
        <f t="shared" si="389"/>
        <v>1.0921005455824446</v>
      </c>
      <c r="V407" s="18">
        <f t="shared" si="390"/>
        <v>0.41363304953392915</v>
      </c>
      <c r="W407" s="32" t="str">
        <f t="shared" si="377"/>
        <v>1-9.83589736384953i</v>
      </c>
      <c r="X407" s="18">
        <f t="shared" si="391"/>
        <v>9.8866008795835434</v>
      </c>
      <c r="Y407" s="18">
        <f t="shared" si="392"/>
        <v>-1.4694760621651752</v>
      </c>
      <c r="Z407" s="32" t="str">
        <f t="shared" si="378"/>
        <v>0.849360103481411+0.778742948311392i</v>
      </c>
      <c r="AA407" s="18">
        <f t="shared" si="393"/>
        <v>1.152325112514117</v>
      </c>
      <c r="AB407" s="18">
        <f t="shared" si="394"/>
        <v>0.74205144702306869</v>
      </c>
      <c r="AC407" s="32" t="str">
        <f>IMDIV(IMSUM(COMPLEX(0,2*PI()*O407*Constants!$B$71*Constants!$B$72),COMPLEX(1,0)),IMSUM(COMPLEX(0,2*PI()*O407*Constants!$B$71*Constants!$B$72),COMPLEX(2,0)))</f>
        <v>0.743789976167244+0.24992285930662i</v>
      </c>
      <c r="AD407" s="18">
        <f t="shared" si="395"/>
        <v>0.78465595279132749</v>
      </c>
      <c r="AE407" s="18">
        <f t="shared" si="396"/>
        <v>0.32416002022523976</v>
      </c>
      <c r="AF407" s="66" t="str">
        <f t="shared" si="397"/>
        <v>-0.444435305593394-0.0443376592408962i</v>
      </c>
      <c r="AG407" s="64">
        <f t="shared" si="398"/>
        <v>-7.0008198525274121</v>
      </c>
      <c r="AH407" s="61">
        <f t="shared" si="399"/>
        <v>-174.3029207800115</v>
      </c>
      <c r="AI407" s="50" t="str">
        <f t="shared" si="379"/>
        <v>108.866083054159</v>
      </c>
      <c r="AJ407" s="50" t="str">
        <f t="shared" si="380"/>
        <v>1+399.052184558884i</v>
      </c>
      <c r="AK407" s="50">
        <f t="shared" si="400"/>
        <v>399.05343752587521</v>
      </c>
      <c r="AL407" s="50">
        <f t="shared" si="401"/>
        <v>1.5682903941237807</v>
      </c>
      <c r="AM407" s="50" t="str">
        <f t="shared" si="381"/>
        <v>1+0.438957403014772i</v>
      </c>
      <c r="AN407" s="50">
        <f t="shared" si="402"/>
        <v>1.0921005455824446</v>
      </c>
      <c r="AO407" s="50">
        <f t="shared" si="403"/>
        <v>0.41363304953392915</v>
      </c>
      <c r="AP407" s="50" t="str">
        <f t="shared" si="382"/>
        <v>1-2.19026633671068i</v>
      </c>
      <c r="AQ407" s="50">
        <f t="shared" si="404"/>
        <v>2.4077513629376317</v>
      </c>
      <c r="AR407" s="50">
        <f t="shared" si="405"/>
        <v>-1.1424959780449013</v>
      </c>
      <c r="AS407" s="59" t="str">
        <f t="shared" si="406"/>
        <v>-0.476433547638698-0.536295846867533i</v>
      </c>
      <c r="AT407" s="50">
        <f t="shared" si="407"/>
        <v>-2.8852839463030371</v>
      </c>
      <c r="AU407" s="61">
        <f t="shared" si="408"/>
        <v>-131.6171902814252</v>
      </c>
      <c r="AV407" s="32" t="str">
        <f t="shared" si="383"/>
        <v>-0.0000333333333333333</v>
      </c>
      <c r="AW407" s="32" t="str">
        <f t="shared" si="384"/>
        <v>0.0234110614941212i</v>
      </c>
      <c r="AX407" s="32">
        <f t="shared" si="409"/>
        <v>2.3411061494121199E-2</v>
      </c>
      <c r="AY407" s="32">
        <f t="shared" si="410"/>
        <v>1.5707963267948966</v>
      </c>
      <c r="AZ407" s="32" t="str">
        <f t="shared" si="385"/>
        <v>1+9.55138793596958i</v>
      </c>
      <c r="BA407" s="32">
        <f t="shared" si="411"/>
        <v>9.6035936765038752</v>
      </c>
      <c r="BB407" s="32">
        <f t="shared" si="412"/>
        <v>1.4664795466330425</v>
      </c>
      <c r="BC407" s="32" t="str">
        <f t="shared" si="386"/>
        <v>1+458.466620926541i</v>
      </c>
      <c r="BD407" s="32">
        <f t="shared" si="413"/>
        <v>458.46771151718048</v>
      </c>
      <c r="BE407" s="32">
        <f t="shared" si="414"/>
        <v>1.5686151463806515</v>
      </c>
      <c r="BF407" s="59" t="str">
        <f t="shared" si="415"/>
        <v>-0.00693033819100709+0.0676181769514956i</v>
      </c>
      <c r="BG407" s="50">
        <f t="shared" si="416"/>
        <v>-23.353347647726785</v>
      </c>
      <c r="BH407" s="61">
        <f t="shared" si="417"/>
        <v>95.851938803575436</v>
      </c>
      <c r="BI407" s="59" t="str">
        <f t="shared" si="418"/>
        <v>0.00607811865995184-0.0297446301639691i</v>
      </c>
      <c r="BJ407" s="64">
        <f t="shared" si="419"/>
        <v>-30.354167500254196</v>
      </c>
      <c r="BK407" s="61">
        <f t="shared" si="420"/>
        <v>-78.450981976436083</v>
      </c>
      <c r="BL407" s="59" t="str">
        <f t="shared" si="371"/>
        <v>0.0395651930825185-0.0284988563406377i</v>
      </c>
      <c r="BM407" s="64">
        <f t="shared" si="421"/>
        <v>-26.238631594029826</v>
      </c>
      <c r="BN407" s="61">
        <f t="shared" si="372"/>
        <v>-35.765251477849723</v>
      </c>
      <c r="BO407" s="50">
        <f t="shared" si="422"/>
        <v>-30.354167500254196</v>
      </c>
      <c r="BP407" s="61">
        <f t="shared" si="423"/>
        <v>-78.450981976436083</v>
      </c>
    </row>
    <row r="408" spans="14:68" x14ac:dyDescent="0.25">
      <c r="N408" s="11">
        <v>90</v>
      </c>
      <c r="O408" s="51">
        <f t="shared" si="373"/>
        <v>79432.823472428237</v>
      </c>
      <c r="P408" s="49" t="str">
        <f t="shared" si="374"/>
        <v>25.6231073841137</v>
      </c>
      <c r="Q408" s="18" t="str">
        <f t="shared" si="375"/>
        <v>1+431.603981355915i</v>
      </c>
      <c r="R408" s="18">
        <f t="shared" si="387"/>
        <v>431.60513982374795</v>
      </c>
      <c r="S408" s="18">
        <f t="shared" si="388"/>
        <v>1.5684793921654652</v>
      </c>
      <c r="T408" s="18" t="str">
        <f t="shared" si="376"/>
        <v>1+0.449182034414776i</v>
      </c>
      <c r="U408" s="18">
        <f t="shared" si="389"/>
        <v>1.0962501995625802</v>
      </c>
      <c r="V408" s="18">
        <f t="shared" si="390"/>
        <v>0.42217349709811391</v>
      </c>
      <c r="W408" s="32" t="str">
        <f t="shared" si="377"/>
        <v>1-10.06500484522i</v>
      </c>
      <c r="X408" s="18">
        <f t="shared" si="391"/>
        <v>10.114559927861523</v>
      </c>
      <c r="Y408" s="18">
        <f t="shared" si="392"/>
        <v>-1.4717671706674693</v>
      </c>
      <c r="Z408" s="32" t="str">
        <f t="shared" si="378"/>
        <v>0.842260663879952+0.796882201795103i</v>
      </c>
      <c r="AA408" s="18">
        <f t="shared" si="393"/>
        <v>1.1594931088442522</v>
      </c>
      <c r="AB408" s="18">
        <f t="shared" si="394"/>
        <v>0.75772096978607939</v>
      </c>
      <c r="AC408" s="32" t="str">
        <f>IMDIV(IMSUM(COMPLEX(0,2*PI()*O408*Constants!$B$71*Constants!$B$72),COMPLEX(1,0)),IMSUM(COMPLEX(0,2*PI()*O408*Constants!$B$71*Constants!$B$72),COMPLEX(2,0)))</f>
        <v>0.749545161670806+0.249999586243846i</v>
      </c>
      <c r="AD408" s="18">
        <f t="shared" si="395"/>
        <v>0.79013779969459053</v>
      </c>
      <c r="AE408" s="18">
        <f t="shared" si="396"/>
        <v>0.32193209233348108</v>
      </c>
      <c r="AF408" s="66" t="str">
        <f t="shared" si="397"/>
        <v>-0.446851347896963-0.0393034733600299i</v>
      </c>
      <c r="AG408" s="64">
        <f t="shared" si="398"/>
        <v>-6.9632693415479086</v>
      </c>
      <c r="AH408" s="61">
        <f t="shared" si="399"/>
        <v>-174.97340056025959</v>
      </c>
      <c r="AI408" s="50" t="str">
        <f t="shared" si="379"/>
        <v>108.866083054159</v>
      </c>
      <c r="AJ408" s="50" t="str">
        <f t="shared" si="380"/>
        <v>1+408.347304013433i</v>
      </c>
      <c r="AK408" s="50">
        <f t="shared" si="400"/>
        <v>408.34852845950002</v>
      </c>
      <c r="AL408" s="50">
        <f t="shared" si="401"/>
        <v>1.5683474358847609</v>
      </c>
      <c r="AM408" s="50" t="str">
        <f t="shared" si="381"/>
        <v>1+0.449182034414776i</v>
      </c>
      <c r="AN408" s="50">
        <f t="shared" si="402"/>
        <v>1.0962501995625802</v>
      </c>
      <c r="AO408" s="50">
        <f t="shared" si="403"/>
        <v>0.42217349709811391</v>
      </c>
      <c r="AP408" s="50" t="str">
        <f t="shared" si="382"/>
        <v>1-2.24128419358448i</v>
      </c>
      <c r="AQ408" s="50">
        <f t="shared" si="404"/>
        <v>2.4542523986769642</v>
      </c>
      <c r="AR408" s="50">
        <f t="shared" si="405"/>
        <v>-1.1511296738925894</v>
      </c>
      <c r="AS408" s="59" t="str">
        <f t="shared" si="406"/>
        <v>-0.476464451385408-0.536168320236249i</v>
      </c>
      <c r="AT408" s="50">
        <f t="shared" si="407"/>
        <v>-2.8861897563596934</v>
      </c>
      <c r="AU408" s="61">
        <f t="shared" si="408"/>
        <v>-131.62580126667703</v>
      </c>
      <c r="AV408" s="32" t="str">
        <f t="shared" si="383"/>
        <v>-0.0000333333333333333</v>
      </c>
      <c r="AW408" s="32" t="str">
        <f t="shared" si="384"/>
        <v>0.023956375168788i</v>
      </c>
      <c r="AX408" s="32">
        <f t="shared" si="409"/>
        <v>2.3956375168787999E-2</v>
      </c>
      <c r="AY408" s="32">
        <f t="shared" si="410"/>
        <v>1.5707963267948966</v>
      </c>
      <c r="AZ408" s="32" t="str">
        <f t="shared" si="385"/>
        <v>1+9.77386834143263i</v>
      </c>
      <c r="BA408" s="32">
        <f t="shared" si="411"/>
        <v>9.8248919767933849</v>
      </c>
      <c r="BB408" s="32">
        <f t="shared" si="412"/>
        <v>1.4688374750080455</v>
      </c>
      <c r="BC408" s="32" t="str">
        <f t="shared" si="386"/>
        <v>1+469.145680388767i</v>
      </c>
      <c r="BD408" s="32">
        <f t="shared" si="413"/>
        <v>469.14674615458983</v>
      </c>
      <c r="BE408" s="32">
        <f t="shared" si="414"/>
        <v>1.5686647959563385</v>
      </c>
      <c r="BF408" s="59" t="str">
        <f t="shared" si="415"/>
        <v>-0.00662165293299269+0.0661105820410586i</v>
      </c>
      <c r="BG408" s="50">
        <f t="shared" si="416"/>
        <v>-23.551228719484296</v>
      </c>
      <c r="BH408" s="61">
        <f t="shared" si="417"/>
        <v>95.719684170435087</v>
      </c>
      <c r="BI408" s="59" t="str">
        <f t="shared" si="418"/>
        <v>0.00555727003848048-0.0292813487356486i</v>
      </c>
      <c r="BJ408" s="64">
        <f t="shared" si="419"/>
        <v>-30.514498061032185</v>
      </c>
      <c r="BK408" s="61">
        <f t="shared" si="420"/>
        <v>-79.253716389824518</v>
      </c>
      <c r="BL408" s="59" t="str">
        <f t="shared" si="371"/>
        <v>0.0386013819547781-0.0279490216726929i</v>
      </c>
      <c r="BM408" s="64">
        <f t="shared" si="421"/>
        <v>-26.43741847584398</v>
      </c>
      <c r="BN408" s="61">
        <f t="shared" si="372"/>
        <v>-35.906117096241964</v>
      </c>
      <c r="BO408" s="50">
        <f t="shared" si="422"/>
        <v>-30.514498061032185</v>
      </c>
      <c r="BP408" s="61">
        <f t="shared" si="423"/>
        <v>-79.253716389824518</v>
      </c>
    </row>
    <row r="409" spans="14:68" x14ac:dyDescent="0.25">
      <c r="N409" s="11">
        <v>91</v>
      </c>
      <c r="O409" s="51">
        <f t="shared" si="373"/>
        <v>81283.051616410012</v>
      </c>
      <c r="P409" s="49" t="str">
        <f t="shared" si="374"/>
        <v>25.6231073841137</v>
      </c>
      <c r="Q409" s="18" t="str">
        <f t="shared" si="375"/>
        <v>1+441.657329561981i</v>
      </c>
      <c r="R409" s="18">
        <f t="shared" si="387"/>
        <v>441.65846165993509</v>
      </c>
      <c r="S409" s="18">
        <f t="shared" si="388"/>
        <v>1.5685321318541456</v>
      </c>
      <c r="T409" s="18" t="str">
        <f t="shared" si="376"/>
        <v>1+0.459644828075053i</v>
      </c>
      <c r="U409" s="18">
        <f t="shared" si="389"/>
        <v>1.1005786514266689</v>
      </c>
      <c r="V409" s="18">
        <f t="shared" si="390"/>
        <v>0.43084555830326093</v>
      </c>
      <c r="W409" s="32" t="str">
        <f t="shared" si="377"/>
        <v>1-10.2994489253854i</v>
      </c>
      <c r="X409" s="18">
        <f t="shared" si="391"/>
        <v>10.347881337096135</v>
      </c>
      <c r="Y409" s="18">
        <f t="shared" si="392"/>
        <v>-1.4740071355129467</v>
      </c>
      <c r="Z409" s="32" t="str">
        <f t="shared" si="378"/>
        <v>0.834826637998101+0.815443972770186i</v>
      </c>
      <c r="AA409" s="18">
        <f t="shared" si="393"/>
        <v>1.1669980240936297</v>
      </c>
      <c r="AB409" s="18">
        <f t="shared" si="394"/>
        <v>0.77365355987242168</v>
      </c>
      <c r="AC409" s="32" t="str">
        <f>IMDIV(IMSUM(COMPLEX(0,2*PI()*O409*Constants!$B$71*Constants!$B$72),COMPLEX(1,0)),IMSUM(COMPLEX(0,2*PI()*O409*Constants!$B$71*Constants!$B$72),COMPLEX(2,0)))</f>
        <v>0.755300829303646+0.24994379609963i</v>
      </c>
      <c r="AD409" s="18">
        <f t="shared" si="395"/>
        <v>0.79558233009253587</v>
      </c>
      <c r="AE409" s="18">
        <f t="shared" si="396"/>
        <v>0.31957656132605072</v>
      </c>
      <c r="AF409" s="66" t="str">
        <f t="shared" si="397"/>
        <v>-0.449141518684877-0.0341201943365289i</v>
      </c>
      <c r="AG409" s="64">
        <f t="shared" si="398"/>
        <v>-6.9273445289989457</v>
      </c>
      <c r="AH409" s="61">
        <f t="shared" si="399"/>
        <v>-175.65572250090062</v>
      </c>
      <c r="AI409" s="50" t="str">
        <f t="shared" si="379"/>
        <v>108.866083054159</v>
      </c>
      <c r="AJ409" s="50" t="str">
        <f t="shared" si="380"/>
        <v>1+417.858934613685i</v>
      </c>
      <c r="AK409" s="50">
        <f t="shared" si="400"/>
        <v>417.86013118803749</v>
      </c>
      <c r="AL409" s="50">
        <f t="shared" si="401"/>
        <v>1.5684031792321382</v>
      </c>
      <c r="AM409" s="50" t="str">
        <f t="shared" si="381"/>
        <v>1+0.459644828075053i</v>
      </c>
      <c r="AN409" s="50">
        <f t="shared" si="402"/>
        <v>1.1005786514266689</v>
      </c>
      <c r="AO409" s="50">
        <f t="shared" si="403"/>
        <v>0.43084555830326093</v>
      </c>
      <c r="AP409" s="50" t="str">
        <f t="shared" si="382"/>
        <v>1-2.29349040900462i</v>
      </c>
      <c r="AQ409" s="50">
        <f t="shared" si="404"/>
        <v>2.5020188360993965</v>
      </c>
      <c r="AR409" s="50">
        <f t="shared" si="405"/>
        <v>-1.1596316062254965</v>
      </c>
      <c r="AS409" s="59" t="str">
        <f t="shared" si="406"/>
        <v>-0.476493964250702-0.536325070331288i</v>
      </c>
      <c r="AT409" s="50">
        <f t="shared" si="407"/>
        <v>-2.8845335916429722</v>
      </c>
      <c r="AU409" s="61">
        <f t="shared" si="408"/>
        <v>-131.619247458865</v>
      </c>
      <c r="AV409" s="32" t="str">
        <f t="shared" si="383"/>
        <v>-0.0000333333333333333</v>
      </c>
      <c r="AW409" s="32" t="str">
        <f t="shared" si="384"/>
        <v>0.0245143908306695i</v>
      </c>
      <c r="AX409" s="32">
        <f t="shared" si="409"/>
        <v>2.4514390830669499E-2</v>
      </c>
      <c r="AY409" s="32">
        <f t="shared" si="410"/>
        <v>1.5707963267948966</v>
      </c>
      <c r="AZ409" s="32" t="str">
        <f t="shared" si="385"/>
        <v>1+10.0015309812627i</v>
      </c>
      <c r="BA409" s="32">
        <f t="shared" si="411"/>
        <v>10.051399005569206</v>
      </c>
      <c r="BB409" s="32">
        <f t="shared" si="412"/>
        <v>1.471142830236686</v>
      </c>
      <c r="BC409" s="32" t="str">
        <f t="shared" si="386"/>
        <v>1+480.073487100611i</v>
      </c>
      <c r="BD409" s="32">
        <f t="shared" si="413"/>
        <v>480.07452860669514</v>
      </c>
      <c r="BE409" s="32">
        <f t="shared" si="414"/>
        <v>1.5687133153798591</v>
      </c>
      <c r="BF409" s="59" t="str">
        <f t="shared" si="415"/>
        <v>-0.00632657929133473+0.0646352243169103i</v>
      </c>
      <c r="BG409" s="50">
        <f t="shared" si="416"/>
        <v>-23.749204192337778</v>
      </c>
      <c r="BH409" s="61">
        <f t="shared" si="417"/>
        <v>95.590377003747719</v>
      </c>
      <c r="BI409" s="59" t="str">
        <f t="shared" si="418"/>
        <v>0.00504689584566849-0.028814498695329i</v>
      </c>
      <c r="BJ409" s="64">
        <f t="shared" si="419"/>
        <v>-30.676548721336715</v>
      </c>
      <c r="BK409" s="61">
        <f t="shared" si="420"/>
        <v>-80.06534549715289</v>
      </c>
      <c r="BL409" s="59" t="str">
        <f t="shared" si="371"/>
        <v>0.03768006807432-0.0274051911816164i</v>
      </c>
      <c r="BM409" s="64">
        <f t="shared" si="421"/>
        <v>-26.633737783980745</v>
      </c>
      <c r="BN409" s="61">
        <f t="shared" si="372"/>
        <v>-36.028870455117278</v>
      </c>
      <c r="BO409" s="50">
        <f t="shared" si="422"/>
        <v>-30.676548721336715</v>
      </c>
      <c r="BP409" s="61">
        <f t="shared" si="423"/>
        <v>-80.06534549715289</v>
      </c>
    </row>
    <row r="410" spans="14:68" x14ac:dyDescent="0.25">
      <c r="N410" s="11">
        <v>92</v>
      </c>
      <c r="O410" s="51">
        <f t="shared" si="373"/>
        <v>83176.377110267174</v>
      </c>
      <c r="P410" s="49" t="str">
        <f t="shared" si="374"/>
        <v>25.6231073841137</v>
      </c>
      <c r="Q410" s="18" t="str">
        <f t="shared" si="375"/>
        <v>1+451.944850330207i</v>
      </c>
      <c r="R410" s="18">
        <f t="shared" si="387"/>
        <v>451.94595665852921</v>
      </c>
      <c r="S410" s="18">
        <f t="shared" si="388"/>
        <v>1.5685836710531167</v>
      </c>
      <c r="T410" s="18" t="str">
        <f t="shared" si="376"/>
        <v>1+0.470351331507294i</v>
      </c>
      <c r="U410" s="18">
        <f t="shared" si="389"/>
        <v>1.1050929259798401</v>
      </c>
      <c r="V410" s="18">
        <f t="shared" si="390"/>
        <v>0.43964861272214034</v>
      </c>
      <c r="W410" s="32" t="str">
        <f t="shared" si="377"/>
        <v>1-10.5393539097005i</v>
      </c>
      <c r="X410" s="18">
        <f t="shared" si="391"/>
        <v>10.586688851284864</v>
      </c>
      <c r="Y410" s="18">
        <f t="shared" si="392"/>
        <v>-1.4761970544000649</v>
      </c>
      <c r="Z410" s="32" t="str">
        <f t="shared" si="378"/>
        <v>0.827042257270266+0.834438102933309i</v>
      </c>
      <c r="AA410" s="18">
        <f t="shared" si="393"/>
        <v>1.174855668981359</v>
      </c>
      <c r="AB410" s="18">
        <f t="shared" si="394"/>
        <v>0.78984949306236785</v>
      </c>
      <c r="AC410" s="32" t="str">
        <f>IMDIV(IMSUM(COMPLEX(0,2*PI()*O410*Constants!$B$71*Constants!$B$72),COMPLEX(1,0)),IMSUM(COMPLEX(0,2*PI()*O410*Constants!$B$71*Constants!$B$72),COMPLEX(2,0)))</f>
        <v>0.761050880556087+0.249755636650977i</v>
      </c>
      <c r="AD410" s="18">
        <f t="shared" si="395"/>
        <v>0.80098459462971583</v>
      </c>
      <c r="AE410" s="18">
        <f t="shared" si="396"/>
        <v>0.31709824002491177</v>
      </c>
      <c r="AF410" s="66" t="str">
        <f t="shared" si="397"/>
        <v>-0.451296448534628-0.0287907385305836i</v>
      </c>
      <c r="AG410" s="64">
        <f t="shared" si="398"/>
        <v>-6.8931222821688509</v>
      </c>
      <c r="AH410" s="61">
        <f t="shared" si="399"/>
        <v>-176.34972669205567</v>
      </c>
      <c r="AI410" s="50" t="str">
        <f t="shared" si="379"/>
        <v>108.866083054159</v>
      </c>
      <c r="AJ410" s="50" t="str">
        <f t="shared" si="380"/>
        <v>1+427.592119552085i</v>
      </c>
      <c r="AK410" s="50">
        <f t="shared" si="400"/>
        <v>427.59328888915519</v>
      </c>
      <c r="AL410" s="50">
        <f t="shared" si="401"/>
        <v>1.5684576537203876</v>
      </c>
      <c r="AM410" s="50" t="str">
        <f t="shared" si="381"/>
        <v>1+0.470351331507294i</v>
      </c>
      <c r="AN410" s="50">
        <f t="shared" si="402"/>
        <v>1.1050929259798401</v>
      </c>
      <c r="AO410" s="50">
        <f t="shared" si="403"/>
        <v>0.43964861272214034</v>
      </c>
      <c r="AP410" s="50" t="str">
        <f t="shared" si="382"/>
        <v>1-2.34691266339755i</v>
      </c>
      <c r="AQ410" s="50">
        <f t="shared" si="404"/>
        <v>2.5510780171558416</v>
      </c>
      <c r="AR410" s="50">
        <f t="shared" si="405"/>
        <v>-1.1680013654825712</v>
      </c>
      <c r="AS410" s="59" t="str">
        <f t="shared" si="406"/>
        <v>-0.476522148833124-0.53676618071843i</v>
      </c>
      <c r="AT410" s="50">
        <f t="shared" si="407"/>
        <v>-2.8803148699691339</v>
      </c>
      <c r="AU410" s="61">
        <f t="shared" si="408"/>
        <v>-131.59754263307804</v>
      </c>
      <c r="AV410" s="32" t="str">
        <f t="shared" si="383"/>
        <v>-0.0000333333333333333</v>
      </c>
      <c r="AW410" s="32" t="str">
        <f t="shared" si="384"/>
        <v>0.0250854043470556i</v>
      </c>
      <c r="AX410" s="32">
        <f t="shared" si="409"/>
        <v>2.5085404347055602E-2</v>
      </c>
      <c r="AY410" s="32">
        <f t="shared" si="410"/>
        <v>1.5707963267948966</v>
      </c>
      <c r="AZ410" s="32" t="str">
        <f t="shared" si="385"/>
        <v>1+10.234496565205i</v>
      </c>
      <c r="BA410" s="32">
        <f t="shared" si="411"/>
        <v>10.283234896820794</v>
      </c>
      <c r="BB410" s="32">
        <f t="shared" si="412"/>
        <v>1.4733967365776335</v>
      </c>
      <c r="BC410" s="32" t="str">
        <f t="shared" si="386"/>
        <v>1+491.255835129841i</v>
      </c>
      <c r="BD410" s="32">
        <f t="shared" si="413"/>
        <v>491.25685292840194</v>
      </c>
      <c r="BE410" s="32">
        <f t="shared" si="414"/>
        <v>1.5687607303759397</v>
      </c>
      <c r="BF410" s="59" t="str">
        <f t="shared" si="415"/>
        <v>-0.00604452905240379+0.0631915057672816i</v>
      </c>
      <c r="BG410" s="50">
        <f t="shared" si="416"/>
        <v>-23.947269901746353</v>
      </c>
      <c r="BH410" s="61">
        <f t="shared" si="417"/>
        <v>95.463954362154695</v>
      </c>
      <c r="BI410" s="59" t="str">
        <f t="shared" si="418"/>
        <v>0.00454720461431388-0.0283440756748414i</v>
      </c>
      <c r="BJ410" s="64">
        <f t="shared" si="419"/>
        <v>-30.840392183915192</v>
      </c>
      <c r="BK410" s="61">
        <f t="shared" si="420"/>
        <v>-80.885772329900973</v>
      </c>
      <c r="BL410" s="59" t="str">
        <f t="shared" si="371"/>
        <v>0.0367994151772861-0.0268676533425254i</v>
      </c>
      <c r="BM410" s="64">
        <f t="shared" si="421"/>
        <v>-26.827584771715483</v>
      </c>
      <c r="BN410" s="61">
        <f t="shared" si="372"/>
        <v>-36.13358827092334</v>
      </c>
      <c r="BO410" s="50">
        <f t="shared" si="422"/>
        <v>-30.840392183915192</v>
      </c>
      <c r="BP410" s="61">
        <f t="shared" si="423"/>
        <v>-80.885772329900973</v>
      </c>
    </row>
    <row r="411" spans="14:68" x14ac:dyDescent="0.25">
      <c r="N411" s="11">
        <v>93</v>
      </c>
      <c r="O411" s="51">
        <f t="shared" si="373"/>
        <v>85113.803820237721</v>
      </c>
      <c r="P411" s="49" t="str">
        <f t="shared" si="374"/>
        <v>25.6231073841137</v>
      </c>
      <c r="Q411" s="18" t="str">
        <f t="shared" si="375"/>
        <v>1+462.471998240275i</v>
      </c>
      <c r="R411" s="18">
        <f t="shared" si="387"/>
        <v>462.47307938554962</v>
      </c>
      <c r="S411" s="18">
        <f t="shared" si="388"/>
        <v>1.568634037088048</v>
      </c>
      <c r="T411" s="18" t="str">
        <f t="shared" si="376"/>
        <v>1+0.481307221441335i</v>
      </c>
      <c r="U411" s="18">
        <f t="shared" si="389"/>
        <v>1.109800270954904</v>
      </c>
      <c r="V411" s="18">
        <f t="shared" si="390"/>
        <v>0.44858186937625111</v>
      </c>
      <c r="W411" s="32" t="str">
        <f t="shared" si="377"/>
        <v>1-10.7848469989632i</v>
      </c>
      <c r="X411" s="18">
        <f t="shared" si="391"/>
        <v>10.831109121001669</v>
      </c>
      <c r="Y411" s="18">
        <f t="shared" si="392"/>
        <v>-1.4783380043882144</v>
      </c>
      <c r="Z411" s="32" t="str">
        <f t="shared" si="378"/>
        <v>0.818891009981253+0.853874663223702i</v>
      </c>
      <c r="AA411" s="18">
        <f t="shared" si="393"/>
        <v>1.1830825950556061</v>
      </c>
      <c r="AB411" s="18">
        <f t="shared" si="394"/>
        <v>0.80630877553129632</v>
      </c>
      <c r="AC411" s="32" t="str">
        <f>IMDIV(IMSUM(COMPLEX(0,2*PI()*O411*Constants!$B$71*Constants!$B$72),COMPLEX(1,0)),IMSUM(COMPLEX(0,2*PI()*O411*Constants!$B$71*Constants!$B$72),COMPLEX(2,0)))</f>
        <v>0.766789240697079+0.249435605711806i</v>
      </c>
      <c r="AD411" s="18">
        <f t="shared" si="395"/>
        <v>0.8063397925475454</v>
      </c>
      <c r="AE411" s="18">
        <f t="shared" si="396"/>
        <v>0.31450211304794773</v>
      </c>
      <c r="AF411" s="66" t="str">
        <f t="shared" si="397"/>
        <v>-0.453306838296523-0.0233186121049386i</v>
      </c>
      <c r="AG411" s="64">
        <f t="shared" si="398"/>
        <v>-6.8606775139512397</v>
      </c>
      <c r="AH411" s="61">
        <f t="shared" si="399"/>
        <v>-177.05523648631308</v>
      </c>
      <c r="AI411" s="50" t="str">
        <f t="shared" si="379"/>
        <v>108.866083054159</v>
      </c>
      <c r="AJ411" s="50" t="str">
        <f t="shared" si="380"/>
        <v>1+437.552019492123i</v>
      </c>
      <c r="AK411" s="50">
        <f t="shared" si="400"/>
        <v>437.55316221190219</v>
      </c>
      <c r="AL411" s="50">
        <f t="shared" si="401"/>
        <v>1.568510888231309</v>
      </c>
      <c r="AM411" s="50" t="str">
        <f t="shared" si="381"/>
        <v>1+0.481307221441335i</v>
      </c>
      <c r="AN411" s="50">
        <f t="shared" si="402"/>
        <v>1.109800270954904</v>
      </c>
      <c r="AO411" s="50">
        <f t="shared" si="403"/>
        <v>0.44858186937625111</v>
      </c>
      <c r="AP411" s="50" t="str">
        <f t="shared" si="382"/>
        <v>1-2.40157928194967i</v>
      </c>
      <c r="AQ411" s="50">
        <f t="shared" si="404"/>
        <v>2.6014578696357726</v>
      </c>
      <c r="AR411" s="50">
        <f t="shared" si="405"/>
        <v>-1.1762386977647699</v>
      </c>
      <c r="AS411" s="59" t="str">
        <f t="shared" si="406"/>
        <v>-0.476549064913938-0.537491885704693i</v>
      </c>
      <c r="AT411" s="50">
        <f t="shared" si="407"/>
        <v>-2.873532118010242</v>
      </c>
      <c r="AU411" s="61">
        <f t="shared" si="408"/>
        <v>-131.56071921650727</v>
      </c>
      <c r="AV411" s="32" t="str">
        <f t="shared" si="383"/>
        <v>-0.0000333333333333333</v>
      </c>
      <c r="AW411" s="32" t="str">
        <f t="shared" si="384"/>
        <v>0.0256697184768712i</v>
      </c>
      <c r="AX411" s="32">
        <f t="shared" si="409"/>
        <v>2.56697184768712E-2</v>
      </c>
      <c r="AY411" s="32">
        <f t="shared" si="410"/>
        <v>1.5707963267948966</v>
      </c>
      <c r="AZ411" s="32" t="str">
        <f t="shared" si="385"/>
        <v>1+10.4728886146957i</v>
      </c>
      <c r="BA411" s="32">
        <f t="shared" si="411"/>
        <v>10.520522607542974</v>
      </c>
      <c r="BB411" s="32">
        <f t="shared" si="412"/>
        <v>1.4756002974311224</v>
      </c>
      <c r="BC411" s="32" t="str">
        <f t="shared" si="386"/>
        <v>1+502.698653505395i</v>
      </c>
      <c r="BD411" s="32">
        <f t="shared" si="413"/>
        <v>502.69964813607851</v>
      </c>
      <c r="BE411" s="32">
        <f t="shared" si="414"/>
        <v>1.5688070660837852</v>
      </c>
      <c r="BF411" s="59" t="str">
        <f t="shared" si="415"/>
        <v>-0.00577493837456986+0.0617788332528739i</v>
      </c>
      <c r="BG411" s="50">
        <f t="shared" si="416"/>
        <v>-24.1454218633002</v>
      </c>
      <c r="BH411" s="61">
        <f t="shared" si="417"/>
        <v>95.34035446584987</v>
      </c>
      <c r="BI411" s="59" t="str">
        <f t="shared" si="418"/>
        <v>0.00405841570485297-0.0278701040276219i</v>
      </c>
      <c r="BJ411" s="64">
        <f t="shared" si="419"/>
        <v>-31.006099377251424</v>
      </c>
      <c r="BK411" s="61">
        <f t="shared" si="420"/>
        <v>-81.714882020463236</v>
      </c>
      <c r="BL411" s="59" t="str">
        <f t="shared" si="371"/>
        <v>0.0359576630640599-0.0263366627013552i</v>
      </c>
      <c r="BM411" s="64">
        <f t="shared" si="421"/>
        <v>-27.018953981310435</v>
      </c>
      <c r="BN411" s="61">
        <f t="shared" si="372"/>
        <v>-36.220364750657374</v>
      </c>
      <c r="BO411" s="50">
        <f t="shared" si="422"/>
        <v>-31.006099377251424</v>
      </c>
      <c r="BP411" s="61">
        <f t="shared" si="423"/>
        <v>-81.714882020463236</v>
      </c>
    </row>
    <row r="412" spans="14:68" x14ac:dyDescent="0.25">
      <c r="N412" s="11">
        <v>94</v>
      </c>
      <c r="O412" s="51">
        <f t="shared" si="373"/>
        <v>87096.358995608127</v>
      </c>
      <c r="P412" s="49" t="str">
        <f t="shared" si="374"/>
        <v>25.6231073841137</v>
      </c>
      <c r="Q412" s="18" t="str">
        <f t="shared" si="375"/>
        <v>1+473.244354925351i</v>
      </c>
      <c r="R412" s="18">
        <f t="shared" si="387"/>
        <v>473.24541146081026</v>
      </c>
      <c r="S412" s="18">
        <f t="shared" si="388"/>
        <v>1.5686832566626556</v>
      </c>
      <c r="T412" s="18" t="str">
        <f t="shared" si="376"/>
        <v>1+0.49251830683504i</v>
      </c>
      <c r="U412" s="18">
        <f t="shared" si="389"/>
        <v>1.1147081602678142</v>
      </c>
      <c r="V412" s="18">
        <f t="shared" si="390"/>
        <v>0.45764436058600494</v>
      </c>
      <c r="W412" s="32" t="str">
        <f t="shared" si="377"/>
        <v>1-11.0360583568592i</v>
      </c>
      <c r="X412" s="18">
        <f t="shared" si="391"/>
        <v>11.081271770694995</v>
      </c>
      <c r="Y412" s="18">
        <f t="shared" si="392"/>
        <v>-1.480431042086906</v>
      </c>
      <c r="Z412" s="32" t="str">
        <f t="shared" si="378"/>
        <v>0.810355606242704+0.873763959162904i</v>
      </c>
      <c r="AA412" s="18">
        <f t="shared" si="393"/>
        <v>1.1916961294310782</v>
      </c>
      <c r="AB412" s="18">
        <f t="shared" si="394"/>
        <v>0.82303113054281074</v>
      </c>
      <c r="AC412" s="32" t="str">
        <f>IMDIV(IMSUM(COMPLEX(0,2*PI()*O412*Constants!$B$71*Constants!$B$72),COMPLEX(1,0)),IMSUM(COMPLEX(0,2*PI()*O412*Constants!$B$71*Constants!$B$72),COMPLEX(2,0)))</f>
        <v>0.772509884381806+0.2489845479244i</v>
      </c>
      <c r="AD412" s="18">
        <f t="shared" si="395"/>
        <v>0.8116432877642179</v>
      </c>
      <c r="AE412" s="18">
        <f t="shared" si="396"/>
        <v>0.31179331512344288</v>
      </c>
      <c r="AF412" s="66" t="str">
        <f t="shared" si="397"/>
        <v>-0.455163498669615-0.0177079130297419i</v>
      </c>
      <c r="AG412" s="64">
        <f t="shared" si="398"/>
        <v>-6.830083117558722</v>
      </c>
      <c r="AH412" s="61">
        <f t="shared" si="399"/>
        <v>-177.77205934281818</v>
      </c>
      <c r="AI412" s="50" t="str">
        <f t="shared" si="379"/>
        <v>108.866083054159</v>
      </c>
      <c r="AJ412" s="50" t="str">
        <f t="shared" si="380"/>
        <v>1+447.743915304582i</v>
      </c>
      <c r="AK412" s="50">
        <f t="shared" si="400"/>
        <v>447.74503201294897</v>
      </c>
      <c r="AL412" s="50">
        <f t="shared" si="401"/>
        <v>1.5685629109893378</v>
      </c>
      <c r="AM412" s="50" t="str">
        <f t="shared" si="381"/>
        <v>1+0.49251830683504i</v>
      </c>
      <c r="AN412" s="50">
        <f t="shared" si="402"/>
        <v>1.1147081602678142</v>
      </c>
      <c r="AO412" s="50">
        <f t="shared" si="403"/>
        <v>0.45764436058600494</v>
      </c>
      <c r="AP412" s="50" t="str">
        <f t="shared" si="382"/>
        <v>1-2.45751924962574i</v>
      </c>
      <c r="AQ412" s="50">
        <f t="shared" si="404"/>
        <v>2.6531869256200289</v>
      </c>
      <c r="AR412" s="50">
        <f t="shared" si="405"/>
        <v>-1.184343498099657</v>
      </c>
      <c r="AS412" s="59" t="str">
        <f t="shared" si="406"/>
        <v>-0.476574769583931-0.538502570464585i</v>
      </c>
      <c r="AT412" s="50">
        <f t="shared" si="407"/>
        <v>-2.8641829873689733</v>
      </c>
      <c r="AU412" s="61">
        <f t="shared" si="408"/>
        <v>-131.50882825577293</v>
      </c>
      <c r="AV412" s="32" t="str">
        <f t="shared" si="383"/>
        <v>-0.0000333333333333333</v>
      </c>
      <c r="AW412" s="32" t="str">
        <f t="shared" si="384"/>
        <v>0.0262676430312021i</v>
      </c>
      <c r="AX412" s="32">
        <f t="shared" si="409"/>
        <v>2.62676430312021E-2</v>
      </c>
      <c r="AY412" s="32">
        <f t="shared" si="410"/>
        <v>1.5707963267948966</v>
      </c>
      <c r="AZ412" s="32" t="str">
        <f t="shared" si="385"/>
        <v>1+10.716833528355i</v>
      </c>
      <c r="BA412" s="32">
        <f t="shared" si="411"/>
        <v>10.763387983087567</v>
      </c>
      <c r="BB412" s="32">
        <f t="shared" si="412"/>
        <v>1.4777545955088904</v>
      </c>
      <c r="BC412" s="32" t="str">
        <f t="shared" si="386"/>
        <v>1+514.408009361043i</v>
      </c>
      <c r="BD412" s="32">
        <f t="shared" si="413"/>
        <v>514.40898135121131</v>
      </c>
      <c r="BE412" s="32">
        <f t="shared" si="414"/>
        <v>1.568852347070405</v>
      </c>
      <c r="BF412" s="59" t="str">
        <f t="shared" si="415"/>
        <v>-0.00551726687041229+0.0603966189448423i</v>
      </c>
      <c r="BG412" s="50">
        <f t="shared" si="416"/>
        <v>-24.343656265242476</v>
      </c>
      <c r="BH412" s="61">
        <f t="shared" si="417"/>
        <v>95.219516687606088</v>
      </c>
      <c r="BI412" s="59" t="str">
        <f t="shared" si="418"/>
        <v>0.00358075656739654-0.0273926371048468i</v>
      </c>
      <c r="BJ412" s="64">
        <f t="shared" si="419"/>
        <v>-31.173739382801209</v>
      </c>
      <c r="BK412" s="61">
        <f t="shared" si="420"/>
        <v>-82.552542655212108</v>
      </c>
      <c r="BL412" s="59" t="str">
        <f t="shared" si="371"/>
        <v>0.0351531247366674-0.0258124423656306i</v>
      </c>
      <c r="BM412" s="64">
        <f t="shared" si="421"/>
        <v>-27.207839252611453</v>
      </c>
      <c r="BN412" s="61">
        <f t="shared" si="372"/>
        <v>-36.289311568166859</v>
      </c>
      <c r="BO412" s="50">
        <f t="shared" si="422"/>
        <v>-31.173739382801209</v>
      </c>
      <c r="BP412" s="61">
        <f t="shared" si="423"/>
        <v>-82.552542655212108</v>
      </c>
    </row>
    <row r="413" spans="14:68" x14ac:dyDescent="0.25">
      <c r="N413" s="11">
        <v>95</v>
      </c>
      <c r="O413" s="51">
        <f t="shared" si="373"/>
        <v>89125.093813374609</v>
      </c>
      <c r="P413" s="49" t="str">
        <f t="shared" si="374"/>
        <v>25.6231073841137</v>
      </c>
      <c r="Q413" s="18" t="str">
        <f t="shared" si="375"/>
        <v>1+484.267632031538i</v>
      </c>
      <c r="R413" s="18">
        <f t="shared" si="387"/>
        <v>484.26866451736589</v>
      </c>
      <c r="S413" s="18">
        <f t="shared" si="388"/>
        <v>1.5687313558728546</v>
      </c>
      <c r="T413" s="18" t="str">
        <f t="shared" si="376"/>
        <v>1+0.503990531954279i</v>
      </c>
      <c r="U413" s="18">
        <f t="shared" si="389"/>
        <v>1.1198242970660877</v>
      </c>
      <c r="V413" s="18">
        <f t="shared" si="390"/>
        <v>0.46683493610129012</v>
      </c>
      <c r="W413" s="32" t="str">
        <f t="shared" si="377"/>
        <v>1-11.2931211789755i</v>
      </c>
      <c r="X413" s="18">
        <f t="shared" si="391"/>
        <v>11.337309467551151</v>
      </c>
      <c r="Y413" s="18">
        <f t="shared" si="392"/>
        <v>-1.4824772038583476</v>
      </c>
      <c r="Z413" s="32" t="str">
        <f t="shared" si="378"/>
        <v>0.80141794131893+0.894116536318886i</v>
      </c>
      <c r="AA413" s="18">
        <f t="shared" si="393"/>
        <v>1.2007144111680985</v>
      </c>
      <c r="AB413" s="18">
        <f t="shared" si="394"/>
        <v>0.84001598526536991</v>
      </c>
      <c r="AC413" s="32" t="str">
        <f>IMDIV(IMSUM(COMPLEX(0,2*PI()*O413*Constants!$B$71*Constants!$B$72),COMPLEX(1,0)),IMSUM(COMPLEX(0,2*PI()*O413*Constants!$B$71*Constants!$B$72),COMPLEX(2,0)))</f>
        <v>0.778206860816968+0.248403649334812i</v>
      </c>
      <c r="AD413" s="18">
        <f t="shared" si="395"/>
        <v>0.8168906237835345</v>
      </c>
      <c r="AE413" s="18">
        <f t="shared" si="396"/>
        <v>0.30897710928552469</v>
      </c>
      <c r="AF413" s="66" t="str">
        <f t="shared" si="397"/>
        <v>-0.456857390246214-0.0119633301724726i</v>
      </c>
      <c r="AG413" s="64">
        <f t="shared" si="398"/>
        <v>-6.8014099121722076</v>
      </c>
      <c r="AH413" s="61">
        <f t="shared" si="399"/>
        <v>-178.49998766994128</v>
      </c>
      <c r="AI413" s="50" t="str">
        <f t="shared" si="379"/>
        <v>108.866083054159</v>
      </c>
      <c r="AJ413" s="50" t="str">
        <f t="shared" si="380"/>
        <v>1+458.173210867527i</v>
      </c>
      <c r="AK413" s="50">
        <f t="shared" si="400"/>
        <v>458.17430215656947</v>
      </c>
      <c r="AL413" s="50">
        <f t="shared" si="401"/>
        <v>1.5686137495765016</v>
      </c>
      <c r="AM413" s="50" t="str">
        <f t="shared" si="381"/>
        <v>1+0.503990531954279i</v>
      </c>
      <c r="AN413" s="50">
        <f t="shared" si="402"/>
        <v>1.1198242970660877</v>
      </c>
      <c r="AO413" s="50">
        <f t="shared" si="403"/>
        <v>0.46683493610129012</v>
      </c>
      <c r="AP413" s="50" t="str">
        <f t="shared" si="382"/>
        <v>1-2.51476222653708i</v>
      </c>
      <c r="AQ413" s="50">
        <f t="shared" si="404"/>
        <v>2.7062943402404942</v>
      </c>
      <c r="AR413" s="50">
        <f t="shared" si="405"/>
        <v>-1.1923158036211527</v>
      </c>
      <c r="AS413" s="59" t="str">
        <f t="shared" si="406"/>
        <v>-0.476599317364483-0.539798771246227i</v>
      </c>
      <c r="AT413" s="50">
        <f t="shared" si="407"/>
        <v>-2.852264280311374</v>
      </c>
      <c r="AU413" s="61">
        <f t="shared" si="408"/>
        <v>-131.44193936330223</v>
      </c>
      <c r="AV413" s="32" t="str">
        <f t="shared" si="383"/>
        <v>-0.0000333333333333333</v>
      </c>
      <c r="AW413" s="32" t="str">
        <f t="shared" si="384"/>
        <v>0.0268794950375615i</v>
      </c>
      <c r="AX413" s="32">
        <f t="shared" si="409"/>
        <v>2.6879495037561499E-2</v>
      </c>
      <c r="AY413" s="32">
        <f t="shared" si="410"/>
        <v>1.5707963267948966</v>
      </c>
      <c r="AZ413" s="32" t="str">
        <f t="shared" si="385"/>
        <v>1+10.9664606490051i</v>
      </c>
      <c r="BA413" s="32">
        <f t="shared" si="411"/>
        <v>11.011959824035744</v>
      </c>
      <c r="BB413" s="32">
        <f t="shared" si="412"/>
        <v>1.4798606930194176</v>
      </c>
      <c r="BC413" s="32" t="str">
        <f t="shared" si="386"/>
        <v>1+526.390111152247i</v>
      </c>
      <c r="BD413" s="32">
        <f t="shared" si="413"/>
        <v>526.39106101725827</v>
      </c>
      <c r="BE413" s="32">
        <f t="shared" si="414"/>
        <v>1.5688965973436346</v>
      </c>
      <c r="BF413" s="59" t="str">
        <f t="shared" si="415"/>
        <v>-0.00527099671521133+0.0590442807198063i</v>
      </c>
      <c r="BG413" s="50">
        <f t="shared" si="416"/>
        <v>-24.541969461274491</v>
      </c>
      <c r="BH413" s="61">
        <f t="shared" si="417"/>
        <v>95.101381542908229</v>
      </c>
      <c r="BI413" s="59" t="str">
        <f t="shared" si="418"/>
        <v>0.00311446002835502-0.0269117573245735i</v>
      </c>
      <c r="BJ413" s="64">
        <f t="shared" si="419"/>
        <v>-31.343379373446687</v>
      </c>
      <c r="BK413" s="61">
        <f t="shared" si="420"/>
        <v>-83.398606127033062</v>
      </c>
      <c r="BL413" s="59" t="str">
        <f t="shared" si="371"/>
        <v>0.0343841836179689-0.0252951863352226i</v>
      </c>
      <c r="BM413" s="64">
        <f t="shared" si="421"/>
        <v>-27.394233741585865</v>
      </c>
      <c r="BN413" s="61">
        <f t="shared" si="372"/>
        <v>-36.340557820393968</v>
      </c>
      <c r="BO413" s="50">
        <f t="shared" si="422"/>
        <v>-31.343379373446687</v>
      </c>
      <c r="BP413" s="61">
        <f t="shared" si="423"/>
        <v>-83.398606127033062</v>
      </c>
    </row>
    <row r="414" spans="14:68" x14ac:dyDescent="0.25">
      <c r="N414" s="11">
        <v>96</v>
      </c>
      <c r="O414" s="51">
        <f t="shared" si="373"/>
        <v>91201.083935591028</v>
      </c>
      <c r="P414" s="49" t="str">
        <f t="shared" si="374"/>
        <v>25.6231073841137</v>
      </c>
      <c r="Q414" s="18" t="str">
        <f t="shared" si="375"/>
        <v>1+495.547674246267i</v>
      </c>
      <c r="R414" s="18">
        <f t="shared" si="387"/>
        <v>495.54868322989648</v>
      </c>
      <c r="S414" s="18">
        <f t="shared" si="388"/>
        <v>1.5687783602205922</v>
      </c>
      <c r="T414" s="18" t="str">
        <f t="shared" si="376"/>
        <v>1+0.515729979524663i</v>
      </c>
      <c r="U414" s="18">
        <f t="shared" si="389"/>
        <v>1.1251566165563394</v>
      </c>
      <c r="V414" s="18">
        <f t="shared" si="390"/>
        <v>0.4761522575639715</v>
      </c>
      <c r="W414" s="32" t="str">
        <f t="shared" si="377"/>
        <v>1-11.556171763423i</v>
      </c>
      <c r="X414" s="18">
        <f t="shared" si="391"/>
        <v>11.599357991963826</v>
      </c>
      <c r="Y414" s="18">
        <f t="shared" si="392"/>
        <v>-1.4844775060320563</v>
      </c>
      <c r="Z414" s="32" t="str">
        <f t="shared" si="378"/>
        <v>0.792059057224332+0.914943185897457i</v>
      </c>
      <c r="AA414" s="18">
        <f t="shared" si="393"/>
        <v>1.210156429372371</v>
      </c>
      <c r="AB414" s="18">
        <f t="shared" si="394"/>
        <v>0.85726245778823507</v>
      </c>
      <c r="AC414" s="32" t="str">
        <f>IMDIV(IMSUM(COMPLEX(0,2*PI()*O414*Constants!$B$71*Constants!$B$72),COMPLEX(1,0)),IMSUM(COMPLEX(0,2*PI()*O414*Constants!$B$71*Constants!$B$72),COMPLEX(2,0)))</f>
        <v>0.783874318261821+0.247694429816855i</v>
      </c>
      <c r="AD414" s="18">
        <f t="shared" si="395"/>
        <v>0.82207753733618794</v>
      </c>
      <c r="AE414" s="18">
        <f t="shared" si="396"/>
        <v>0.30605886510225311</v>
      </c>
      <c r="AF414" s="66" t="str">
        <f t="shared" si="397"/>
        <v>-0.458379663791107-0.00609013943368354i</v>
      </c>
      <c r="AG414" s="64">
        <f t="shared" si="398"/>
        <v>-6.7747265990715615</v>
      </c>
      <c r="AH414" s="61">
        <f t="shared" si="399"/>
        <v>-179.23879965915015</v>
      </c>
      <c r="AI414" s="50" t="str">
        <f t="shared" si="379"/>
        <v>108.866083054159</v>
      </c>
      <c r="AJ414" s="50" t="str">
        <f t="shared" si="380"/>
        <v>1+468.845435931512i</v>
      </c>
      <c r="AK414" s="50">
        <f t="shared" si="400"/>
        <v>468.84650237984027</v>
      </c>
      <c r="AL414" s="50">
        <f t="shared" si="401"/>
        <v>1.5686634309470404</v>
      </c>
      <c r="AM414" s="50" t="str">
        <f t="shared" si="381"/>
        <v>1+0.515729979524663i</v>
      </c>
      <c r="AN414" s="50">
        <f t="shared" si="402"/>
        <v>1.1251566165563394</v>
      </c>
      <c r="AO414" s="50">
        <f t="shared" si="403"/>
        <v>0.4761522575639715</v>
      </c>
      <c r="AP414" s="50" t="str">
        <f t="shared" si="382"/>
        <v>1-2.57333856366774i</v>
      </c>
      <c r="AQ414" s="50">
        <f t="shared" si="404"/>
        <v>2.7608099107435029</v>
      </c>
      <c r="AR414" s="50">
        <f t="shared" si="405"/>
        <v>-1.2001557867029202</v>
      </c>
      <c r="AS414" s="59" t="str">
        <f t="shared" si="406"/>
        <v>-0.476622760323205-0.541381175657438i</v>
      </c>
      <c r="AT414" s="50">
        <f t="shared" si="407"/>
        <v>-2.8377719850013712</v>
      </c>
      <c r="AU414" s="61">
        <f t="shared" si="408"/>
        <v>-131.36014064201558</v>
      </c>
      <c r="AV414" s="32" t="str">
        <f t="shared" si="383"/>
        <v>-0.0000333333333333333</v>
      </c>
      <c r="AW414" s="32" t="str">
        <f t="shared" si="384"/>
        <v>0.027505598907982i</v>
      </c>
      <c r="AX414" s="32">
        <f t="shared" si="409"/>
        <v>2.7505598907982001E-2</v>
      </c>
      <c r="AY414" s="32">
        <f t="shared" si="410"/>
        <v>1.5707963267948966</v>
      </c>
      <c r="AZ414" s="32" t="str">
        <f t="shared" si="385"/>
        <v>1+11.2219023322496i</v>
      </c>
      <c r="BA414" s="32">
        <f t="shared" si="411"/>
        <v>11.2663699546282</v>
      </c>
      <c r="BB414" s="32">
        <f t="shared" si="412"/>
        <v>1.4819196318669685</v>
      </c>
      <c r="BC414" s="32" t="str">
        <f t="shared" si="386"/>
        <v>1+538.651311947982i</v>
      </c>
      <c r="BD414" s="32">
        <f t="shared" si="413"/>
        <v>538.65224019146353</v>
      </c>
      <c r="BE414" s="32">
        <f t="shared" si="414"/>
        <v>1.5689398403648607</v>
      </c>
      <c r="BF414" s="59" t="str">
        <f t="shared" si="415"/>
        <v>-0.0050356317817672+0.0577212425146959i</v>
      </c>
      <c r="BG414" s="50">
        <f t="shared" si="416"/>
        <v>-24.740357963635017</v>
      </c>
      <c r="BH414" s="61">
        <f t="shared" si="417"/>
        <v>94.985890679277688</v>
      </c>
      <c r="BI414" s="59" t="str">
        <f t="shared" si="418"/>
        <v>0.00265976161830222-0.0264275760378036i</v>
      </c>
      <c r="BJ414" s="64">
        <f t="shared" si="419"/>
        <v>-31.51508456270658</v>
      </c>
      <c r="BK414" s="61">
        <f t="shared" si="420"/>
        <v>-84.252908979872473</v>
      </c>
      <c r="BL414" s="59" t="str">
        <f t="shared" si="371"/>
        <v>0.0336492908528113-0.0247850616824484i</v>
      </c>
      <c r="BM414" s="64">
        <f t="shared" si="421"/>
        <v>-27.578129948636384</v>
      </c>
      <c r="BN414" s="61">
        <f t="shared" si="372"/>
        <v>-36.374249962737906</v>
      </c>
      <c r="BO414" s="50">
        <f t="shared" si="422"/>
        <v>-31.51508456270658</v>
      </c>
      <c r="BP414" s="61">
        <f t="shared" si="423"/>
        <v>-84.252908979872473</v>
      </c>
    </row>
    <row r="415" spans="14:68" x14ac:dyDescent="0.25">
      <c r="N415" s="11">
        <v>97</v>
      </c>
      <c r="O415" s="51">
        <f t="shared" si="373"/>
        <v>93325.430079699145</v>
      </c>
      <c r="P415" s="49" t="str">
        <f t="shared" si="374"/>
        <v>25.6231073841137</v>
      </c>
      <c r="Q415" s="18" t="str">
        <f t="shared" si="375"/>
        <v>1+507.090462397231i</v>
      </c>
      <c r="R415" s="18">
        <f t="shared" si="387"/>
        <v>507.09144841363434</v>
      </c>
      <c r="S415" s="18">
        <f t="shared" si="388"/>
        <v>1.5688242946273645</v>
      </c>
      <c r="T415" s="18" t="str">
        <f t="shared" si="376"/>
        <v>1+0.527742873956684i</v>
      </c>
      <c r="U415" s="18">
        <f t="shared" si="389"/>
        <v>1.1307132885979807</v>
      </c>
      <c r="V415" s="18">
        <f t="shared" si="390"/>
        <v>0.48559479335547046</v>
      </c>
      <c r="W415" s="32" t="str">
        <f t="shared" si="377"/>
        <v>1-11.8253495831035i</v>
      </c>
      <c r="X415" s="18">
        <f t="shared" si="391"/>
        <v>11.867556309645474</v>
      </c>
      <c r="Y415" s="18">
        <f t="shared" si="392"/>
        <v>-1.4864329451302061</v>
      </c>
      <c r="Z415" s="32" t="str">
        <f t="shared" si="378"/>
        <v>0.782259102510979+0.936254950463895i</v>
      </c>
      <c r="AA415" s="18">
        <f t="shared" si="393"/>
        <v>1.2200420630984132</v>
      </c>
      <c r="AB415" s="18">
        <f t="shared" si="394"/>
        <v>0.87476934441764054</v>
      </c>
      <c r="AC415" s="32" t="str">
        <f>IMDIV(IMSUM(COMPLEX(0,2*PI()*O415*Constants!$B$71*Constants!$B$72),COMPLEX(1,0)),IMSUM(COMPLEX(0,2*PI()*O415*Constants!$B$71*Constants!$B$72),COMPLEX(2,0)))</f>
        <v>0.789506527653171+0.246858733434305i</v>
      </c>
      <c r="AD415" s="18">
        <f t="shared" si="395"/>
        <v>0.82719997067199935</v>
      </c>
      <c r="AE415" s="18">
        <f t="shared" si="396"/>
        <v>0.30304403708244237</v>
      </c>
      <c r="AF415" s="66" t="str">
        <f t="shared" si="397"/>
        <v>-0.459721700521514-0.0000941969099441308i</v>
      </c>
      <c r="AG415" s="64">
        <f t="shared" si="398"/>
        <v>-6.7500997276800057</v>
      </c>
      <c r="AH415" s="61">
        <f t="shared" si="399"/>
        <v>-179.98826010322915</v>
      </c>
      <c r="AI415" s="50" t="str">
        <f t="shared" si="379"/>
        <v>108.866083054159</v>
      </c>
      <c r="AJ415" s="50" t="str">
        <f t="shared" si="380"/>
        <v>1+479.766249051532i</v>
      </c>
      <c r="AK415" s="50">
        <f t="shared" si="400"/>
        <v>479.76729122458585</v>
      </c>
      <c r="AL415" s="50">
        <f t="shared" si="401"/>
        <v>1.5687119814416932</v>
      </c>
      <c r="AM415" s="50" t="str">
        <f t="shared" si="381"/>
        <v>1+0.527742873956684i</v>
      </c>
      <c r="AN415" s="50">
        <f t="shared" si="402"/>
        <v>1.1307132885979807</v>
      </c>
      <c r="AO415" s="50">
        <f t="shared" si="403"/>
        <v>0.48559479335547046</v>
      </c>
      <c r="AP415" s="50" t="str">
        <f t="shared" si="382"/>
        <v>1-2.63327931896702i</v>
      </c>
      <c r="AQ415" s="50">
        <f t="shared" si="404"/>
        <v>2.8167640958552802</v>
      </c>
      <c r="AR415" s="50">
        <f t="shared" si="405"/>
        <v>-1.2078637480809984</v>
      </c>
      <c r="AS415" s="59" t="str">
        <f t="shared" si="406"/>
        <v>-0.47664514818436-0.543250623031962i</v>
      </c>
      <c r="AT415" s="50">
        <f t="shared" si="407"/>
        <v>-2.820701320022005</v>
      </c>
      <c r="AU415" s="61">
        <f t="shared" si="408"/>
        <v>-131.26353858731207</v>
      </c>
      <c r="AV415" s="32" t="str">
        <f t="shared" si="383"/>
        <v>-0.0000333333333333333</v>
      </c>
      <c r="AW415" s="32" t="str">
        <f t="shared" si="384"/>
        <v>0.0281462866110231i</v>
      </c>
      <c r="AX415" s="32">
        <f t="shared" si="409"/>
        <v>2.81462866110231E-2</v>
      </c>
      <c r="AY415" s="32">
        <f t="shared" si="410"/>
        <v>1.5707963267948966</v>
      </c>
      <c r="AZ415" s="32" t="str">
        <f t="shared" si="385"/>
        <v>1+11.4832940166501i</v>
      </c>
      <c r="BA415" s="32">
        <f t="shared" si="411"/>
        <v>11.526753292789431</v>
      </c>
      <c r="BB415" s="32">
        <f t="shared" si="412"/>
        <v>1.4839324338630304</v>
      </c>
      <c r="BC415" s="32" t="str">
        <f t="shared" si="386"/>
        <v>1+551.198112799204i</v>
      </c>
      <c r="BD415" s="32">
        <f t="shared" si="413"/>
        <v>551.19901991331949</v>
      </c>
      <c r="BE415" s="32">
        <f t="shared" si="414"/>
        <v>1.5689820990614587</v>
      </c>
      <c r="BF415" s="59" t="str">
        <f t="shared" si="415"/>
        <v>-0.00481069680149566+0.0564269346440813i</v>
      </c>
      <c r="BG415" s="50">
        <f t="shared" si="416"/>
        <v>-24.938818436446528</v>
      </c>
      <c r="BH415" s="61">
        <f t="shared" si="417"/>
        <v>94.872986864870597</v>
      </c>
      <c r="BI415" s="59" t="str">
        <f t="shared" si="418"/>
        <v>0.00221689695715809-0.02594023319702i</v>
      </c>
      <c r="BJ415" s="64">
        <f t="shared" si="419"/>
        <v>-31.688918164126534</v>
      </c>
      <c r="BK415" s="61">
        <f t="shared" si="420"/>
        <v>-85.11527323835854</v>
      </c>
      <c r="BL415" s="59" t="str">
        <f t="shared" si="371"/>
        <v>0.0329469626909999-0.0242822105903869i</v>
      </c>
      <c r="BM415" s="64">
        <f t="shared" si="421"/>
        <v>-27.759519756468535</v>
      </c>
      <c r="BN415" s="61">
        <f t="shared" si="372"/>
        <v>-36.390551722441408</v>
      </c>
      <c r="BO415" s="50">
        <f t="shared" si="422"/>
        <v>-31.688918164126534</v>
      </c>
      <c r="BP415" s="61">
        <f t="shared" si="423"/>
        <v>-85.11527323835854</v>
      </c>
    </row>
    <row r="416" spans="14:68" x14ac:dyDescent="0.25">
      <c r="N416" s="11">
        <v>98</v>
      </c>
      <c r="O416" s="51">
        <f t="shared" si="373"/>
        <v>95499.258602143804</v>
      </c>
      <c r="P416" s="49" t="str">
        <f t="shared" si="374"/>
        <v>25.6231073841137</v>
      </c>
      <c r="Q416" s="18" t="str">
        <f t="shared" si="375"/>
        <v>1+518.902116623495i</v>
      </c>
      <c r="R416" s="18">
        <f t="shared" si="387"/>
        <v>518.90308019546694</v>
      </c>
      <c r="S416" s="18">
        <f t="shared" si="388"/>
        <v>1.5688691834474264</v>
      </c>
      <c r="T416" s="18" t="str">
        <f t="shared" si="376"/>
        <v>1+0.540035584645981i</v>
      </c>
      <c r="U416" s="18">
        <f t="shared" si="389"/>
        <v>1.1365027200512661</v>
      </c>
      <c r="V416" s="18">
        <f t="shared" si="390"/>
        <v>0.49516081388383554</v>
      </c>
      <c r="W416" s="32" t="str">
        <f t="shared" si="377"/>
        <v>1-12.1007973596599i</v>
      </c>
      <c r="X416" s="18">
        <f t="shared" si="391"/>
        <v>12.142046645419873</v>
      </c>
      <c r="Y416" s="18">
        <f t="shared" si="392"/>
        <v>-1.4883444981025118</v>
      </c>
      <c r="Z416" s="32" t="str">
        <f t="shared" si="378"/>
        <v>0.771997290161022+0.95806312979787i</v>
      </c>
      <c r="AA416" s="18">
        <f t="shared" si="393"/>
        <v>1.2303921231436958</v>
      </c>
      <c r="AB416" s="18">
        <f t="shared" si="394"/>
        <v>0.89253510733902053</v>
      </c>
      <c r="AC416" s="32" t="str">
        <f>IMDIV(IMSUM(COMPLEX(0,2*PI()*O416*Constants!$B$71*Constants!$B$72),COMPLEX(1,0)),IMSUM(COMPLEX(0,2*PI()*O416*Constants!$B$71*Constants!$B$72),COMPLEX(2,0)))</f>
        <v>0.795097905155731+0.245898716854246i</v>
      </c>
      <c r="AD416" s="18">
        <f t="shared" si="395"/>
        <v>0.83225408243732646</v>
      </c>
      <c r="AE416" s="18">
        <f t="shared" si="396"/>
        <v>0.29993814340030034</v>
      </c>
      <c r="AF416" s="66" t="str">
        <f t="shared" si="397"/>
        <v>-0.460875152156087+0.00601807091505766i</v>
      </c>
      <c r="AG416" s="64">
        <f t="shared" si="398"/>
        <v>-6.7275936708461712</v>
      </c>
      <c r="AH416" s="61">
        <f t="shared" si="399"/>
        <v>179.25187880738784</v>
      </c>
      <c r="AI416" s="50" t="str">
        <f t="shared" si="379"/>
        <v>108.866083054159</v>
      </c>
      <c r="AJ416" s="50" t="str">
        <f t="shared" si="380"/>
        <v>1+490.941440587256i</v>
      </c>
      <c r="AK416" s="50">
        <f t="shared" si="400"/>
        <v>490.94245903760475</v>
      </c>
      <c r="AL416" s="50">
        <f t="shared" si="401"/>
        <v>1.5687594268016587</v>
      </c>
      <c r="AM416" s="50" t="str">
        <f t="shared" si="381"/>
        <v>1+0.540035584645981i</v>
      </c>
      <c r="AN416" s="50">
        <f t="shared" si="402"/>
        <v>1.1365027200512661</v>
      </c>
      <c r="AO416" s="50">
        <f t="shared" si="403"/>
        <v>0.49516081388383554</v>
      </c>
      <c r="AP416" s="50" t="str">
        <f t="shared" si="382"/>
        <v>1-2.69461627381679i</v>
      </c>
      <c r="AQ416" s="50">
        <f t="shared" si="404"/>
        <v>2.8741880354490177</v>
      </c>
      <c r="AR416" s="50">
        <f t="shared" si="405"/>
        <v>-1.2154401099983239</v>
      </c>
      <c r="AS416" s="59" t="str">
        <f t="shared" si="406"/>
        <v>-0.476666528434338-0.545408104876034i</v>
      </c>
      <c r="AT416" s="50">
        <f t="shared" si="407"/>
        <v>-2.8010467879091188</v>
      </c>
      <c r="AU416" s="61">
        <f t="shared" si="408"/>
        <v>-131.15225796511109</v>
      </c>
      <c r="AV416" s="32" t="str">
        <f t="shared" si="383"/>
        <v>-0.0000333333333333333</v>
      </c>
      <c r="AW416" s="32" t="str">
        <f t="shared" si="384"/>
        <v>0.0288018978477856i</v>
      </c>
      <c r="AX416" s="32">
        <f t="shared" si="409"/>
        <v>2.8801897847785599E-2</v>
      </c>
      <c r="AY416" s="32">
        <f t="shared" si="410"/>
        <v>1.5707963267948966</v>
      </c>
      <c r="AZ416" s="32" t="str">
        <f t="shared" si="385"/>
        <v>1+11.7507742955376i</v>
      </c>
      <c r="BA416" s="32">
        <f t="shared" si="411"/>
        <v>11.793247921784193</v>
      </c>
      <c r="BB416" s="32">
        <f t="shared" si="412"/>
        <v>1.4859001009488326</v>
      </c>
      <c r="BC416" s="32" t="str">
        <f t="shared" si="386"/>
        <v>1+564.037166185803i</v>
      </c>
      <c r="BD416" s="32">
        <f t="shared" si="413"/>
        <v>564.03805265151323</v>
      </c>
      <c r="BE416" s="32">
        <f t="shared" si="414"/>
        <v>1.5690233958389443</v>
      </c>
      <c r="BF416" s="59" t="str">
        <f t="shared" si="415"/>
        <v>-0.0045957365516606+0.0551607940825029i</v>
      </c>
      <c r="BG416" s="50">
        <f t="shared" si="416"/>
        <v>-25.137347689319625</v>
      </c>
      <c r="BH416" s="61">
        <f t="shared" si="417"/>
        <v>94.762613976424774</v>
      </c>
      <c r="BI416" s="59" t="str">
        <f t="shared" si="418"/>
        <v>0.00178609921199647-0.0254498968342989i</v>
      </c>
      <c r="BJ416" s="64">
        <f t="shared" si="419"/>
        <v>-31.864941360165805</v>
      </c>
      <c r="BK416" s="61">
        <f t="shared" si="420"/>
        <v>-85.985507216187386</v>
      </c>
      <c r="BL416" s="59" t="str">
        <f t="shared" si="371"/>
        <v>0.0322757779516739-0.0237867522578373i</v>
      </c>
      <c r="BM416" s="64">
        <f t="shared" si="421"/>
        <v>-27.938394477228744</v>
      </c>
      <c r="BN416" s="61">
        <f t="shared" si="372"/>
        <v>-36.389643988686316</v>
      </c>
      <c r="BO416" s="50">
        <f t="shared" si="422"/>
        <v>-31.864941360165805</v>
      </c>
      <c r="BP416" s="61">
        <f t="shared" si="423"/>
        <v>-85.985507216187386</v>
      </c>
    </row>
    <row r="417" spans="14:68" x14ac:dyDescent="0.25">
      <c r="N417" s="11">
        <v>99</v>
      </c>
      <c r="O417" s="51">
        <f t="shared" si="373"/>
        <v>97723.722095581266</v>
      </c>
      <c r="P417" s="49" t="str">
        <f t="shared" si="374"/>
        <v>25.6231073841137</v>
      </c>
      <c r="Q417" s="18" t="str">
        <f t="shared" si="375"/>
        <v>1+530.988899620472i</v>
      </c>
      <c r="R417" s="18">
        <f t="shared" si="387"/>
        <v>530.9898412589074</v>
      </c>
      <c r="S417" s="18">
        <f t="shared" si="388"/>
        <v>1.5689130504807001</v>
      </c>
      <c r="T417" s="18" t="str">
        <f t="shared" si="376"/>
        <v>1+0.552614629350472i</v>
      </c>
      <c r="U417" s="18">
        <f t="shared" si="389"/>
        <v>1.1425335568691886</v>
      </c>
      <c r="V417" s="18">
        <f t="shared" si="390"/>
        <v>0.50484838736547133</v>
      </c>
      <c r="W417" s="32" t="str">
        <f t="shared" si="377"/>
        <v>1-12.3826611391495i</v>
      </c>
      <c r="X417" s="18">
        <f t="shared" si="391"/>
        <v>12.422974558736049</v>
      </c>
      <c r="Y417" s="18">
        <f t="shared" si="392"/>
        <v>-1.4902131225695336</v>
      </c>
      <c r="Z417" s="32" t="str">
        <f t="shared" si="378"/>
        <v>0.761251853494641+0.980379286884725i</v>
      </c>
      <c r="AA417" s="18">
        <f t="shared" si="393"/>
        <v>1.2412283958247281</v>
      </c>
      <c r="AB417" s="18">
        <f t="shared" si="394"/>
        <v>0.91055786273557038</v>
      </c>
      <c r="AC417" s="32" t="str">
        <f>IMDIV(IMSUM(COMPLEX(0,2*PI()*O417*Constants!$B$71*Constants!$B$72),COMPLEX(1,0)),IMSUM(COMPLEX(0,2*PI()*O417*Constants!$B$71*Constants!$B$72),COMPLEX(2,0)))</f>
        <v>0.800643033455269+0.244816835945669i</v>
      </c>
      <c r="AD417" s="18">
        <f t="shared" si="395"/>
        <v>0.83723625708810734</v>
      </c>
      <c r="AE417" s="18">
        <f t="shared" si="396"/>
        <v>0.29674674506872128</v>
      </c>
      <c r="AF417" s="66" t="str">
        <f t="shared" si="397"/>
        <v>-0.461831980505169+0.0122396799317332i</v>
      </c>
      <c r="AG417" s="64">
        <f t="shared" si="398"/>
        <v>-6.7072706085942944</v>
      </c>
      <c r="AH417" s="61">
        <f t="shared" si="399"/>
        <v>178.48187671572319</v>
      </c>
      <c r="AI417" s="50" t="str">
        <f t="shared" si="379"/>
        <v>108.866083054159</v>
      </c>
      <c r="AJ417" s="50" t="str">
        <f t="shared" si="380"/>
        <v>1+502.376935773157i</v>
      </c>
      <c r="AK417" s="50">
        <f t="shared" si="400"/>
        <v>502.37793104079202</v>
      </c>
      <c r="AL417" s="50">
        <f t="shared" si="401"/>
        <v>1.5688057921822398</v>
      </c>
      <c r="AM417" s="50" t="str">
        <f t="shared" si="381"/>
        <v>1+0.552614629350472i</v>
      </c>
      <c r="AN417" s="50">
        <f t="shared" si="402"/>
        <v>1.1425335568691886</v>
      </c>
      <c r="AO417" s="50">
        <f t="shared" si="403"/>
        <v>0.50484838736547133</v>
      </c>
      <c r="AP417" s="50" t="str">
        <f t="shared" si="382"/>
        <v>1-2.7573819498824i</v>
      </c>
      <c r="AQ417" s="50">
        <f t="shared" si="404"/>
        <v>2.9331135705146618</v>
      </c>
      <c r="AR417" s="50">
        <f t="shared" si="405"/>
        <v>-1.2228854094008852</v>
      </c>
      <c r="AS417" s="59" t="str">
        <f t="shared" si="406"/>
        <v>-0.476686946422362-0.547854765395518i</v>
      </c>
      <c r="AT417" s="50">
        <f t="shared" si="407"/>
        <v>-2.7788022373652685</v>
      </c>
      <c r="AU417" s="61">
        <f t="shared" si="408"/>
        <v>-131.02644166449139</v>
      </c>
      <c r="AV417" s="32" t="str">
        <f t="shared" si="383"/>
        <v>-0.0000333333333333333</v>
      </c>
      <c r="AW417" s="32" t="str">
        <f t="shared" si="384"/>
        <v>0.0294727802320252i</v>
      </c>
      <c r="AX417" s="32">
        <f t="shared" si="409"/>
        <v>2.9472780232025202E-2</v>
      </c>
      <c r="AY417" s="32">
        <f t="shared" si="410"/>
        <v>1.5707963267948966</v>
      </c>
      <c r="AZ417" s="32" t="str">
        <f t="shared" si="385"/>
        <v>1+12.0244849904964i</v>
      </c>
      <c r="BA417" s="32">
        <f t="shared" si="411"/>
        <v>12.065995163544251</v>
      </c>
      <c r="BB417" s="32">
        <f t="shared" si="412"/>
        <v>1.4878236154277262</v>
      </c>
      <c r="BC417" s="32" t="str">
        <f t="shared" si="386"/>
        <v>1+577.175279543827i</v>
      </c>
      <c r="BD417" s="32">
        <f t="shared" si="413"/>
        <v>577.17614583114471</v>
      </c>
      <c r="BE417" s="32">
        <f t="shared" si="414"/>
        <v>1.5690637525928524</v>
      </c>
      <c r="BF417" s="59" t="str">
        <f t="shared" si="415"/>
        <v>-0.004390315068528+0.0539222647141816i</v>
      </c>
      <c r="BG417" s="50">
        <f t="shared" si="416"/>
        <v>-25.335942671207064</v>
      </c>
      <c r="BH417" s="61">
        <f t="shared" si="417"/>
        <v>94.65471698662563</v>
      </c>
      <c r="BI417" s="59" t="str">
        <f t="shared" si="418"/>
        <v>0.0013675966418442-0.0249567623575127i</v>
      </c>
      <c r="BJ417" s="64">
        <f t="shared" si="419"/>
        <v>-32.043213279801364</v>
      </c>
      <c r="BK417" s="61">
        <f t="shared" si="420"/>
        <v>-86.863406297651181</v>
      </c>
      <c r="BL417" s="59" t="str">
        <f t="shared" si="371"/>
        <v>0.0316343755684317-0.0232987846789007i</v>
      </c>
      <c r="BM417" s="64">
        <f t="shared" si="421"/>
        <v>-28.114744908572327</v>
      </c>
      <c r="BN417" s="61">
        <f t="shared" si="372"/>
        <v>-36.371724677865728</v>
      </c>
      <c r="BO417" s="50">
        <f t="shared" si="422"/>
        <v>-32.043213279801364</v>
      </c>
      <c r="BP417" s="61">
        <f t="shared" si="423"/>
        <v>-86.863406297651181</v>
      </c>
    </row>
    <row r="418" spans="14:68" x14ac:dyDescent="0.25">
      <c r="N418" s="11">
        <v>100</v>
      </c>
      <c r="O418" s="51">
        <f t="shared" si="373"/>
        <v>100000</v>
      </c>
      <c r="P418" s="49" t="str">
        <f t="shared" si="374"/>
        <v>25.6231073841137</v>
      </c>
      <c r="Q418" s="18" t="str">
        <f t="shared" si="375"/>
        <v>1+543.357219960498i</v>
      </c>
      <c r="R418" s="18">
        <f t="shared" si="387"/>
        <v>543.35814016466259</v>
      </c>
      <c r="S418" s="18">
        <f t="shared" si="388"/>
        <v>1.5689559189853919</v>
      </c>
      <c r="T418" s="18" t="str">
        <f t="shared" si="376"/>
        <v>1+0.565486677646164i</v>
      </c>
      <c r="U418" s="18">
        <f t="shared" si="389"/>
        <v>1.1488146859242776</v>
      </c>
      <c r="V418" s="18">
        <f t="shared" si="390"/>
        <v>0.51465537615698376</v>
      </c>
      <c r="W418" s="32" t="str">
        <f t="shared" si="377"/>
        <v>1-12.6710903694788i</v>
      </c>
      <c r="X418" s="18">
        <f t="shared" si="391"/>
        <v>12.710489020942443</v>
      </c>
      <c r="Y418" s="18">
        <f t="shared" si="392"/>
        <v>-1.4920397570733543</v>
      </c>
      <c r="Z418" s="32" t="str">
        <f t="shared" si="378"/>
        <v>0.75+1.00321525404634i</v>
      </c>
      <c r="AA418" s="18">
        <f t="shared" si="393"/>
        <v>1.2525736888308259</v>
      </c>
      <c r="AB418" s="18">
        <f t="shared" si="394"/>
        <v>0.92883536945751943</v>
      </c>
      <c r="AC418" s="32" t="str">
        <f>IMDIV(IMSUM(COMPLEX(0,2*PI()*O418*Constants!$B$71*Constants!$B$72),COMPLEX(1,0)),IMSUM(COMPLEX(0,2*PI()*O418*Constants!$B$71*Constants!$B$72),COMPLEX(2,0)))</f>
        <v>0.806136681630424+0.243615830716159i</v>
      </c>
      <c r="AD418" s="18">
        <f t="shared" si="395"/>
        <v>0.84214311280543985</v>
      </c>
      <c r="AE418" s="18">
        <f t="shared" si="396"/>
        <v>0.2934754256827446</v>
      </c>
      <c r="AF418" s="66" t="str">
        <f t="shared" si="397"/>
        <v>-0.462584496379823+0.0185631040815196i</v>
      </c>
      <c r="AG418" s="64">
        <f t="shared" si="398"/>
        <v>-6.6891905194952717</v>
      </c>
      <c r="AH418" s="61">
        <f t="shared" si="399"/>
        <v>177.70200436158888</v>
      </c>
      <c r="AI418" s="50" t="str">
        <f t="shared" si="379"/>
        <v>108.866083054159</v>
      </c>
      <c r="AJ418" s="50" t="str">
        <f t="shared" si="380"/>
        <v>1+514.078797860149i</v>
      </c>
      <c r="AK418" s="50">
        <f t="shared" si="400"/>
        <v>514.07977047277006</v>
      </c>
      <c r="AL418" s="50">
        <f t="shared" si="401"/>
        <v>1.5688511021661771</v>
      </c>
      <c r="AM418" s="50" t="str">
        <f t="shared" si="381"/>
        <v>1+0.565486677646164i</v>
      </c>
      <c r="AN418" s="50">
        <f t="shared" si="402"/>
        <v>1.1488146859242776</v>
      </c>
      <c r="AO418" s="50">
        <f t="shared" si="403"/>
        <v>0.51465537615698376</v>
      </c>
      <c r="AP418" s="50" t="str">
        <f t="shared" si="382"/>
        <v>1-2.8216096263561i</v>
      </c>
      <c r="AQ418" s="50">
        <f t="shared" si="404"/>
        <v>2.9935732634337531</v>
      </c>
      <c r="AR418" s="50">
        <f t="shared" si="405"/>
        <v>-1.2302002912123498</v>
      </c>
      <c r="AS418" s="59" t="str">
        <f t="shared" si="406"/>
        <v>-0.476706445456663-0.550591902103921i</v>
      </c>
      <c r="AT418" s="50">
        <f t="shared" si="407"/>
        <v>-2.7539609337623521</v>
      </c>
      <c r="AU418" s="61">
        <f t="shared" si="408"/>
        <v>-130.88625052328896</v>
      </c>
      <c r="AV418" s="32" t="str">
        <f t="shared" si="383"/>
        <v>-0.0000333333333333333</v>
      </c>
      <c r="AW418" s="32" t="str">
        <f t="shared" si="384"/>
        <v>0.030159289474462i</v>
      </c>
      <c r="AX418" s="32">
        <f t="shared" si="409"/>
        <v>3.0159289474462E-2</v>
      </c>
      <c r="AY418" s="32">
        <f t="shared" si="410"/>
        <v>1.5707963267948966</v>
      </c>
      <c r="AZ418" s="32" t="str">
        <f t="shared" si="385"/>
        <v>1+12.30457122656i</v>
      </c>
      <c r="BA418" s="32">
        <f t="shared" si="411"/>
        <v>12.345139653705349</v>
      </c>
      <c r="BB418" s="32">
        <f t="shared" si="412"/>
        <v>1.4897039402062819</v>
      </c>
      <c r="BC418" s="32" t="str">
        <f t="shared" si="386"/>
        <v>1+590.619418874883i</v>
      </c>
      <c r="BD418" s="32">
        <f t="shared" si="413"/>
        <v>590.62026544312255</v>
      </c>
      <c r="BE418" s="32">
        <f t="shared" si="414"/>
        <v>1.5691031907203414</v>
      </c>
      <c r="BF418" s="59" t="str">
        <f t="shared" si="415"/>
        <v>-0.0041940148861581+0.0527107975523456i</v>
      </c>
      <c r="BG418" s="50">
        <f t="shared" si="416"/>
        <v>-25.534600464500702</v>
      </c>
      <c r="BH418" s="61">
        <f t="shared" si="417"/>
        <v>94.549241950957537</v>
      </c>
      <c r="BI418" s="59" t="str">
        <f t="shared" si="418"/>
        <v>0.000961610242738826-0.0244610516743818i</v>
      </c>
      <c r="BJ418" s="64">
        <f t="shared" si="419"/>
        <v>-32.223790983995968</v>
      </c>
      <c r="BK418" s="61">
        <f t="shared" si="420"/>
        <v>-87.748753687453586</v>
      </c>
      <c r="BL418" s="59" t="str">
        <f t="shared" si="371"/>
        <v>0.0310214522143334-0.0228183863047425i</v>
      </c>
      <c r="BM418" s="64">
        <f t="shared" si="421"/>
        <v>-28.288561398263056</v>
      </c>
      <c r="BN418" s="61">
        <f t="shared" si="372"/>
        <v>-36.337008572331435</v>
      </c>
      <c r="BO418" s="50">
        <f t="shared" si="422"/>
        <v>-32.223790983995968</v>
      </c>
      <c r="BP418" s="61">
        <f t="shared" si="423"/>
        <v>-87.748753687453586</v>
      </c>
    </row>
    <row r="419" spans="14:68" x14ac:dyDescent="0.25">
      <c r="N419" s="11">
        <v>1</v>
      </c>
      <c r="O419" s="51">
        <f>10^(5+(N419/100))</f>
        <v>102329.29922807543</v>
      </c>
      <c r="P419" s="49" t="str">
        <f t="shared" si="374"/>
        <v>25.6231073841137</v>
      </c>
      <c r="Q419" s="18" t="str">
        <f t="shared" si="375"/>
        <v>1+556.013635490729i</v>
      </c>
      <c r="R419" s="18">
        <f t="shared" si="387"/>
        <v>556.01453474852372</v>
      </c>
      <c r="S419" s="18">
        <f t="shared" si="388"/>
        <v>1.5689978116903196</v>
      </c>
      <c r="T419" s="18" t="str">
        <f t="shared" si="376"/>
        <v>1+0.578658554463445i</v>
      </c>
      <c r="U419" s="18">
        <f t="shared" si="389"/>
        <v>1.155355236563077</v>
      </c>
      <c r="V419" s="18">
        <f t="shared" si="390"/>
        <v>0.52457943369225057</v>
      </c>
      <c r="W419" s="32" t="str">
        <f t="shared" si="377"/>
        <v>1-12.9662379796439i</v>
      </c>
      <c r="X419" s="18">
        <f t="shared" si="391"/>
        <v>13.004742494365658</v>
      </c>
      <c r="Y419" s="18">
        <f t="shared" si="392"/>
        <v>-1.4938253213346746</v>
      </c>
      <c r="Z419" s="32" t="str">
        <f t="shared" si="378"/>
        <v>0.738217862987275+1.02658313921478i</v>
      </c>
      <c r="AA419" s="18">
        <f t="shared" si="393"/>
        <v>1.2644518792558186</v>
      </c>
      <c r="AB419" s="18">
        <f t="shared" si="394"/>
        <v>0.94736501833993925</v>
      </c>
      <c r="AC419" s="32" t="str">
        <f>IMDIV(IMSUM(COMPLEX(0,2*PI()*O419*Constants!$B$71*Constants!$B$72),COMPLEX(1,0)),IMSUM(COMPLEX(0,2*PI()*O419*Constants!$B$71*Constants!$B$72),COMPLEX(2,0)))</f>
        <v>0.811573823459561+0.242298708755476i</v>
      </c>
      <c r="AD419" s="18">
        <f t="shared" si="395"/>
        <v>0.84697150789701414</v>
      </c>
      <c r="AE419" s="18">
        <f t="shared" si="396"/>
        <v>0.29012977184445149</v>
      </c>
      <c r="AF419" s="66" t="str">
        <f t="shared" si="397"/>
        <v>-0.463125397603858+0.024980293897193i</v>
      </c>
      <c r="AG419" s="64">
        <f t="shared" si="398"/>
        <v>-6.6734111787425086</v>
      </c>
      <c r="AH419" s="61">
        <f t="shared" si="399"/>
        <v>176.91254288112899</v>
      </c>
      <c r="AI419" s="50" t="str">
        <f t="shared" si="379"/>
        <v>108.866083054159</v>
      </c>
      <c r="AJ419" s="50" t="str">
        <f t="shared" si="380"/>
        <v>1+526.053231330405i</v>
      </c>
      <c r="AK419" s="50">
        <f t="shared" si="400"/>
        <v>526.05418180370032</v>
      </c>
      <c r="AL419" s="50">
        <f t="shared" si="401"/>
        <v>1.5688953807766794</v>
      </c>
      <c r="AM419" s="50" t="str">
        <f t="shared" si="381"/>
        <v>1+0.578658554463445i</v>
      </c>
      <c r="AN419" s="50">
        <f t="shared" si="402"/>
        <v>1.155355236563077</v>
      </c>
      <c r="AO419" s="50">
        <f t="shared" si="403"/>
        <v>0.52457943369225057</v>
      </c>
      <c r="AP419" s="50" t="str">
        <f t="shared" si="382"/>
        <v>1-2.88733335760211i</v>
      </c>
      <c r="AQ419" s="50">
        <f t="shared" si="404"/>
        <v>3.0556004185629169</v>
      </c>
      <c r="AR419" s="50">
        <f t="shared" si="405"/>
        <v>-1.2373855017111703</v>
      </c>
      <c r="AS419" s="59" t="str">
        <f t="shared" si="406"/>
        <v>-0.476725066896346-0.553620966511604i</v>
      </c>
      <c r="AT419" s="50">
        <f t="shared" si="407"/>
        <v>-2.7265156374839132</v>
      </c>
      <c r="AU419" s="61">
        <f t="shared" si="408"/>
        <v>-130.73186312487314</v>
      </c>
      <c r="AV419" s="32" t="str">
        <f t="shared" si="383"/>
        <v>-0.0000333333333333333</v>
      </c>
      <c r="AW419" s="32" t="str">
        <f t="shared" si="384"/>
        <v>0.0308617895713837i</v>
      </c>
      <c r="AX419" s="32">
        <f t="shared" si="409"/>
        <v>3.0861789571383701E-2</v>
      </c>
      <c r="AY419" s="32">
        <f t="shared" si="410"/>
        <v>1.5707963267948966</v>
      </c>
      <c r="AZ419" s="32" t="str">
        <f t="shared" si="385"/>
        <v>1+12.5911815091583i</v>
      </c>
      <c r="BA419" s="32">
        <f t="shared" si="411"/>
        <v>12.630829418394102</v>
      </c>
      <c r="BB419" s="32">
        <f t="shared" si="412"/>
        <v>1.4915420190430435</v>
      </c>
      <c r="BC419" s="32" t="str">
        <f t="shared" si="386"/>
        <v>1+604.376712439599i</v>
      </c>
      <c r="BD419" s="32">
        <f t="shared" si="413"/>
        <v>604.37753973761949</v>
      </c>
      <c r="BE419" s="32">
        <f t="shared" si="414"/>
        <v>1.5691417311315379</v>
      </c>
      <c r="BF419" s="59" t="str">
        <f t="shared" si="415"/>
        <v>-0.00400643630049483+0.0515258509303036i</v>
      </c>
      <c r="BG419" s="50">
        <f t="shared" si="416"/>
        <v>-25.733318279361907</v>
      </c>
      <c r="BH419" s="61">
        <f t="shared" si="417"/>
        <v>94.446135994101027</v>
      </c>
      <c r="BI419" s="59" t="str">
        <f t="shared" si="418"/>
        <v>0.000568351505099259-0.0239630121552407i</v>
      </c>
      <c r="BJ419" s="64">
        <f t="shared" si="419"/>
        <v>-32.406729458104422</v>
      </c>
      <c r="BK419" s="61">
        <f t="shared" si="420"/>
        <v>-88.641321124769988</v>
      </c>
      <c r="BL419" s="59" t="str">
        <f t="shared" si="371"/>
        <v>0.0304357600057369-0.022345617594693i</v>
      </c>
      <c r="BM419" s="64">
        <f t="shared" si="421"/>
        <v>-28.45983391684581</v>
      </c>
      <c r="BN419" s="61">
        <f t="shared" si="372"/>
        <v>-36.285727130772052</v>
      </c>
      <c r="BO419" s="50">
        <f t="shared" si="422"/>
        <v>-32.406729458104422</v>
      </c>
      <c r="BP419" s="61">
        <f t="shared" si="423"/>
        <v>-88.641321124769988</v>
      </c>
    </row>
    <row r="420" spans="14:68" x14ac:dyDescent="0.25">
      <c r="N420" s="11">
        <v>2</v>
      </c>
      <c r="O420" s="51">
        <f t="shared" ref="O420:O483" si="424">10^(5+(N420/100))</f>
        <v>104712.85480508996</v>
      </c>
      <c r="P420" s="49" t="str">
        <f t="shared" si="374"/>
        <v>25.6231073841137</v>
      </c>
      <c r="Q420" s="18" t="str">
        <f t="shared" si="375"/>
        <v>1+568.964856810209i</v>
      </c>
      <c r="R420" s="18">
        <f t="shared" si="387"/>
        <v>568.96573559842921</v>
      </c>
      <c r="S420" s="18">
        <f t="shared" si="388"/>
        <v>1.5690387508069614</v>
      </c>
      <c r="T420" s="18" t="str">
        <f t="shared" si="376"/>
        <v>1+0.592137243705754i</v>
      </c>
      <c r="U420" s="18">
        <f t="shared" si="389"/>
        <v>1.1621645818830686</v>
      </c>
      <c r="V420" s="18">
        <f t="shared" si="390"/>
        <v>0.53461800207893762</v>
      </c>
      <c r="W420" s="32" t="str">
        <f t="shared" si="377"/>
        <v>1-13.2682604608141i</v>
      </c>
      <c r="X420" s="18">
        <f t="shared" si="391"/>
        <v>13.3058910132318</v>
      </c>
      <c r="Y420" s="18">
        <f t="shared" si="392"/>
        <v>-1.4955707165154055</v>
      </c>
      <c r="Z420" s="32" t="str">
        <f t="shared" si="378"/>
        <v>0.725880450964204+1.05049533235206i</v>
      </c>
      <c r="AA420" s="18">
        <f t="shared" si="393"/>
        <v>1.2768879639128332</v>
      </c>
      <c r="AB420" s="18">
        <f t="shared" si="394"/>
        <v>0.96614382226976625</v>
      </c>
      <c r="AC420" s="32" t="str">
        <f>IMDIV(IMSUM(COMPLEX(0,2*PI()*O420*Constants!$B$71*Constants!$B$72),COMPLEX(1,0)),IMSUM(COMPLEX(0,2*PI()*O420*Constants!$B$71*Constants!$B$72),COMPLEX(2,0)))</f>
        <v>0.816949654041065+0.240868727367796i</v>
      </c>
      <c r="AD420" s="18">
        <f t="shared" si="395"/>
        <v>0.85171854568372374</v>
      </c>
      <c r="AE420" s="18">
        <f t="shared" si="396"/>
        <v>0.28671535436957868</v>
      </c>
      <c r="AF420" s="66" t="str">
        <f t="shared" si="397"/>
        <v>-0.463447805919976+0.031482697839921i</v>
      </c>
      <c r="AG420" s="64">
        <f t="shared" si="398"/>
        <v>-6.6599881619752459</v>
      </c>
      <c r="AH420" s="61">
        <f t="shared" si="399"/>
        <v>176.11378314571186</v>
      </c>
      <c r="AI420" s="50" t="str">
        <f t="shared" si="379"/>
        <v>108.866083054159</v>
      </c>
      <c r="AJ420" s="50" t="str">
        <f t="shared" si="380"/>
        <v>1+538.30658518705i</v>
      </c>
      <c r="AK420" s="50">
        <f t="shared" si="400"/>
        <v>538.30751402496946</v>
      </c>
      <c r="AL420" s="50">
        <f t="shared" si="401"/>
        <v>1.5689386514901573</v>
      </c>
      <c r="AM420" s="50" t="str">
        <f t="shared" si="381"/>
        <v>1+0.592137243705754i</v>
      </c>
      <c r="AN420" s="50">
        <f t="shared" si="402"/>
        <v>1.1621645818830686</v>
      </c>
      <c r="AO420" s="50">
        <f t="shared" si="403"/>
        <v>0.53461800207893762</v>
      </c>
      <c r="AP420" s="50" t="str">
        <f t="shared" si="382"/>
        <v>1-2.9545879912127i</v>
      </c>
      <c r="AQ420" s="50">
        <f t="shared" si="404"/>
        <v>3.1192291031308192</v>
      </c>
      <c r="AR420" s="50">
        <f t="shared" si="405"/>
        <v>-1.2444418820314367</v>
      </c>
      <c r="AS420" s="59" t="str">
        <f t="shared" si="406"/>
        <v>-0.476742850239106-0.556943564896559i</v>
      </c>
      <c r="AT420" s="50">
        <f t="shared" si="407"/>
        <v>-2.6964586896014637</v>
      </c>
      <c r="AU420" s="61">
        <f t="shared" si="408"/>
        <v>-130.5634755642117</v>
      </c>
      <c r="AV420" s="32" t="str">
        <f t="shared" si="383"/>
        <v>-0.0000333333333333333</v>
      </c>
      <c r="AW420" s="32" t="str">
        <f t="shared" si="384"/>
        <v>0.0315806529976402i</v>
      </c>
      <c r="AX420" s="32">
        <f t="shared" si="409"/>
        <v>3.15806529976402E-2</v>
      </c>
      <c r="AY420" s="32">
        <f t="shared" si="410"/>
        <v>1.5707963267948966</v>
      </c>
      <c r="AZ420" s="32" t="str">
        <f t="shared" si="385"/>
        <v>1+12.8844678028567i</v>
      </c>
      <c r="BA420" s="32">
        <f t="shared" si="411"/>
        <v>12.92321595280567</v>
      </c>
      <c r="BB420" s="32">
        <f t="shared" si="412"/>
        <v>1.4933387768039454</v>
      </c>
      <c r="BC420" s="32" t="str">
        <f t="shared" si="386"/>
        <v>1+618.454454537122i</v>
      </c>
      <c r="BD420" s="32">
        <f t="shared" si="413"/>
        <v>618.45526300356528</v>
      </c>
      <c r="BE420" s="32">
        <f t="shared" si="414"/>
        <v>1.5691793942606196</v>
      </c>
      <c r="BF420" s="59" t="str">
        <f t="shared" si="415"/>
        <v>-0.00382719665836156+0.050366890666259i</v>
      </c>
      <c r="BG420" s="50">
        <f t="shared" si="416"/>
        <v>-25.93209344827811</v>
      </c>
      <c r="BH420" s="61">
        <f t="shared" si="417"/>
        <v>94.345347295933635</v>
      </c>
      <c r="BI420" s="59" t="str">
        <f t="shared" si="418"/>
        <v>0.00018802029415976-0.0234629154462582i</v>
      </c>
      <c r="BJ420" s="64">
        <f t="shared" si="419"/>
        <v>-32.592081610253359</v>
      </c>
      <c r="BK420" s="61">
        <f t="shared" si="420"/>
        <v>-89.540869558354501</v>
      </c>
      <c r="BL420" s="59" t="str">
        <f t="shared" si="371"/>
        <v>0.0298761042837544-0.0218805224634457i</v>
      </c>
      <c r="BM420" s="64">
        <f t="shared" si="421"/>
        <v>-28.628552137879563</v>
      </c>
      <c r="BN420" s="61">
        <f t="shared" si="372"/>
        <v>-36.2181282682781</v>
      </c>
      <c r="BO420" s="50">
        <f t="shared" si="422"/>
        <v>-32.592081610253359</v>
      </c>
      <c r="BP420" s="61">
        <f t="shared" si="423"/>
        <v>-89.540869558354501</v>
      </c>
    </row>
    <row r="421" spans="14:68" x14ac:dyDescent="0.25">
      <c r="N421" s="11">
        <v>3</v>
      </c>
      <c r="O421" s="51">
        <f t="shared" si="424"/>
        <v>107151.93052376082</v>
      </c>
      <c r="P421" s="49" t="str">
        <f t="shared" si="374"/>
        <v>25.6231073841137</v>
      </c>
      <c r="Q421" s="18" t="str">
        <f t="shared" si="375"/>
        <v>1+582.21775082791i</v>
      </c>
      <c r="R421" s="18">
        <f t="shared" si="387"/>
        <v>582.21860961249797</v>
      </c>
      <c r="S421" s="18">
        <f t="shared" si="388"/>
        <v>1.5690787580412295</v>
      </c>
      <c r="T421" s="18" t="str">
        <f t="shared" si="376"/>
        <v>1+0.60592989195254i</v>
      </c>
      <c r="U421" s="18">
        <f t="shared" si="389"/>
        <v>1.1692523397289469</v>
      </c>
      <c r="V421" s="18">
        <f t="shared" si="390"/>
        <v>0.54476831040706897</v>
      </c>
      <c r="W421" s="32" t="str">
        <f t="shared" si="377"/>
        <v>1-13.5773179493069i</v>
      </c>
      <c r="X421" s="18">
        <f t="shared" si="391"/>
        <v>13.614094266478814</v>
      </c>
      <c r="Y421" s="18">
        <f t="shared" si="392"/>
        <v>-1.4972768254859519</v>
      </c>
      <c r="Z421" s="32" t="str">
        <f t="shared" si="378"/>
        <v>0.712961594625778+1.07496451201951i</v>
      </c>
      <c r="AA421" s="18">
        <f t="shared" si="393"/>
        <v>1.2899081120423561</v>
      </c>
      <c r="AB421" s="18">
        <f t="shared" si="394"/>
        <v>0.98516840710481801</v>
      </c>
      <c r="AC421" s="32" t="str">
        <f>IMDIV(IMSUM(COMPLEX(0,2*PI()*O421*Constants!$B$71*Constants!$B$72),COMPLEX(1,0)),IMSUM(COMPLEX(0,2*PI()*O421*Constants!$B$71*Constants!$B$72),COMPLEX(2,0)))</f>
        <v>0.822259604628713+0.239329374584279i</v>
      </c>
      <c r="AD421" s="18">
        <f t="shared" si="395"/>
        <v>0.85638157788632374</v>
      </c>
      <c r="AE421" s="18">
        <f t="shared" si="396"/>
        <v>0.28323771036461021</v>
      </c>
      <c r="AF421" s="66" t="str">
        <f t="shared" si="397"/>
        <v>-0.463545302589344+0.0380612863537051i</v>
      </c>
      <c r="AG421" s="64">
        <f t="shared" si="398"/>
        <v>-6.6489748538516409</v>
      </c>
      <c r="AH421" s="61">
        <f t="shared" si="399"/>
        <v>175.30602514242435</v>
      </c>
      <c r="AI421" s="50" t="str">
        <f t="shared" si="379"/>
        <v>108.866083054159</v>
      </c>
      <c r="AJ421" s="50" t="str">
        <f t="shared" si="380"/>
        <v>1+550.845356320492i</v>
      </c>
      <c r="AK421" s="50">
        <f t="shared" si="400"/>
        <v>550.84626401551429</v>
      </c>
      <c r="AL421" s="50">
        <f t="shared" si="401"/>
        <v>1.5689809372486669</v>
      </c>
      <c r="AM421" s="50" t="str">
        <f t="shared" si="381"/>
        <v>1+0.60592989195254i</v>
      </c>
      <c r="AN421" s="50">
        <f t="shared" si="402"/>
        <v>1.1692523397289469</v>
      </c>
      <c r="AO421" s="50">
        <f t="shared" si="403"/>
        <v>0.54476831040706897</v>
      </c>
      <c r="AP421" s="50" t="str">
        <f t="shared" si="382"/>
        <v>1-3.02340918648483i</v>
      </c>
      <c r="AQ421" s="50">
        <f t="shared" si="404"/>
        <v>3.1844941684545223</v>
      </c>
      <c r="AR421" s="50">
        <f t="shared" si="405"/>
        <v>-1.2513703618060981</v>
      </c>
      <c r="AS421" s="59" t="str">
        <f t="shared" si="406"/>
        <v>-0.476759833204997-0.560561459157159i</v>
      </c>
      <c r="AT421" s="50">
        <f t="shared" si="407"/>
        <v>-2.6637821043230541</v>
      </c>
      <c r="AU421" s="61">
        <f t="shared" si="408"/>
        <v>-130.38130118127927</v>
      </c>
      <c r="AV421" s="32" t="str">
        <f t="shared" si="383"/>
        <v>-0.0000333333333333333</v>
      </c>
      <c r="AW421" s="32" t="str">
        <f t="shared" si="384"/>
        <v>0.0323162609041355i</v>
      </c>
      <c r="AX421" s="32">
        <f t="shared" si="409"/>
        <v>3.2316260904135502E-2</v>
      </c>
      <c r="AY421" s="32">
        <f t="shared" si="410"/>
        <v>1.5707963267948966</v>
      </c>
      <c r="AZ421" s="32" t="str">
        <f t="shared" si="385"/>
        <v>1+13.1845856119303i</v>
      </c>
      <c r="BA421" s="32">
        <f t="shared" si="411"/>
        <v>13.22245430161585</v>
      </c>
      <c r="BB421" s="32">
        <f t="shared" si="412"/>
        <v>1.4950951197234887</v>
      </c>
      <c r="BC421" s="32" t="str">
        <f t="shared" si="386"/>
        <v>1+632.860109372654i</v>
      </c>
      <c r="BD421" s="32">
        <f t="shared" si="413"/>
        <v>632.86089943617765</v>
      </c>
      <c r="BE421" s="32">
        <f t="shared" si="414"/>
        <v>1.5692162000766487</v>
      </c>
      <c r="BF421" s="59" t="str">
        <f t="shared" si="415"/>
        <v>-0.0036559296709275+0.0492333902037453i</v>
      </c>
      <c r="BG421" s="50">
        <f t="shared" si="416"/>
        <v>-26.130923420838393</v>
      </c>
      <c r="BH421" s="61">
        <f t="shared" si="417"/>
        <v>94.246825077186116</v>
      </c>
      <c r="BI421" s="59" t="str">
        <f t="shared" si="418"/>
        <v>-0.000179197137153001-0.0229610561455885i</v>
      </c>
      <c r="BJ421" s="64">
        <f t="shared" si="419"/>
        <v>-32.779898274690055</v>
      </c>
      <c r="BK421" s="61">
        <f t="shared" si="420"/>
        <v>-90.447149780389537</v>
      </c>
      <c r="BL421" s="59" t="str">
        <f t="shared" si="371"/>
        <v>0.0293413414719858-0.0214231296307431i</v>
      </c>
      <c r="BM421" s="64">
        <f t="shared" si="421"/>
        <v>-28.794705525161454</v>
      </c>
      <c r="BN421" s="61">
        <f t="shared" si="372"/>
        <v>-36.134476104093203</v>
      </c>
      <c r="BO421" s="50">
        <f t="shared" si="422"/>
        <v>-32.779898274690055</v>
      </c>
      <c r="BP421" s="61">
        <f t="shared" si="423"/>
        <v>-90.447149780389537</v>
      </c>
    </row>
    <row r="422" spans="14:68" x14ac:dyDescent="0.25">
      <c r="N422" s="11">
        <v>4</v>
      </c>
      <c r="O422" s="51">
        <f t="shared" si="424"/>
        <v>109647.81961431868</v>
      </c>
      <c r="P422" s="49" t="str">
        <f t="shared" si="374"/>
        <v>25.6231073841137</v>
      </c>
      <c r="Q422" s="18" t="str">
        <f t="shared" si="375"/>
        <v>1+595.779344403663i</v>
      </c>
      <c r="R422" s="18">
        <f t="shared" si="387"/>
        <v>595.780183639955</v>
      </c>
      <c r="S422" s="18">
        <f t="shared" si="388"/>
        <v>1.5691178546049769</v>
      </c>
      <c r="T422" s="18" t="str">
        <f t="shared" si="376"/>
        <v>1+0.620043812248469i</v>
      </c>
      <c r="U422" s="18">
        <f t="shared" si="389"/>
        <v>1.1766283734075151</v>
      </c>
      <c r="V422" s="18">
        <f t="shared" si="390"/>
        <v>0.55502737381996659</v>
      </c>
      <c r="W422" s="32" t="str">
        <f t="shared" si="377"/>
        <v>1-13.8935743114935i</v>
      </c>
      <c r="X422" s="18">
        <f t="shared" si="391"/>
        <v>13.929515682499234</v>
      </c>
      <c r="Y422" s="18">
        <f t="shared" si="392"/>
        <v>-1.4989445130963834</v>
      </c>
      <c r="Z422" s="32" t="str">
        <f t="shared" si="378"/>
        <v>0.699433891345646+1.10000365210006i</v>
      </c>
      <c r="AA422" s="18">
        <f t="shared" si="393"/>
        <v>1.3035397205288308</v>
      </c>
      <c r="AB422" s="18">
        <f t="shared" si="394"/>
        <v>1.0044350035486669</v>
      </c>
      <c r="AC422" s="32" t="str">
        <f>IMDIV(IMSUM(COMPLEX(0,2*PI()*O422*Constants!$B$71*Constants!$B$72),COMPLEX(1,0)),IMSUM(COMPLEX(0,2*PI()*O422*Constants!$B$71*Constants!$B$72),COMPLEX(2,0)))</f>
        <v>0.827499355607553+0.237684349254245i</v>
      </c>
      <c r="AD422" s="18">
        <f t="shared" si="395"/>
        <v>0.86095820654160071</v>
      </c>
      <c r="AE422" s="18">
        <f t="shared" si="396"/>
        <v>0.27970232625114627</v>
      </c>
      <c r="AF422" s="66" t="str">
        <f t="shared" si="397"/>
        <v>-0.463411962491319+0.0447065785461934i</v>
      </c>
      <c r="AG422" s="64">
        <f t="shared" si="398"/>
        <v>-6.6404224603676409</v>
      </c>
      <c r="AH422" s="61">
        <f t="shared" si="399"/>
        <v>174.48957739754692</v>
      </c>
      <c r="AI422" s="50" t="str">
        <f t="shared" si="379"/>
        <v>108.866083054159</v>
      </c>
      <c r="AJ422" s="50" t="str">
        <f t="shared" si="380"/>
        <v>1+563.676192953154i</v>
      </c>
      <c r="AK422" s="50">
        <f t="shared" si="400"/>
        <v>563.67707998654805</v>
      </c>
      <c r="AL422" s="50">
        <f t="shared" si="401"/>
        <v>1.5690222604720723</v>
      </c>
      <c r="AM422" s="50" t="str">
        <f t="shared" si="381"/>
        <v>1+0.620043812248469i</v>
      </c>
      <c r="AN422" s="50">
        <f t="shared" si="402"/>
        <v>1.1766283734075151</v>
      </c>
      <c r="AO422" s="50">
        <f t="shared" si="403"/>
        <v>0.55502737381996659</v>
      </c>
      <c r="AP422" s="50" t="str">
        <f t="shared" si="382"/>
        <v>1-3.09383343332718i</v>
      </c>
      <c r="AQ422" s="50">
        <f t="shared" si="404"/>
        <v>3.2514312714823066</v>
      </c>
      <c r="AR422" s="50">
        <f t="shared" si="405"/>
        <v>-1.2581719529686577</v>
      </c>
      <c r="AS422" s="59" t="str">
        <f t="shared" si="406"/>
        <v>-0.476776051816435-0.564476567747361i</v>
      </c>
      <c r="AT422" s="50">
        <f t="shared" si="407"/>
        <v>-2.6284776675980233</v>
      </c>
      <c r="AU422" s="61">
        <f t="shared" si="408"/>
        <v>-130.1855702598483</v>
      </c>
      <c r="AV422" s="32" t="str">
        <f t="shared" si="383"/>
        <v>-0.0000333333333333333</v>
      </c>
      <c r="AW422" s="32" t="str">
        <f t="shared" si="384"/>
        <v>0.0330690033199183i</v>
      </c>
      <c r="AX422" s="32">
        <f t="shared" si="409"/>
        <v>3.30690033199183E-2</v>
      </c>
      <c r="AY422" s="32">
        <f t="shared" si="410"/>
        <v>1.5707963267948966</v>
      </c>
      <c r="AZ422" s="32" t="str">
        <f t="shared" si="385"/>
        <v>1+13.4916940628139i</v>
      </c>
      <c r="BA422" s="32">
        <f t="shared" si="411"/>
        <v>13.528703141268487</v>
      </c>
      <c r="BB422" s="32">
        <f t="shared" si="412"/>
        <v>1.4968119356708092</v>
      </c>
      <c r="BC422" s="32" t="str">
        <f t="shared" si="386"/>
        <v>1+647.601315015069i</v>
      </c>
      <c r="BD422" s="32">
        <f t="shared" si="413"/>
        <v>647.60208709457265</v>
      </c>
      <c r="BE422" s="32">
        <f t="shared" si="414"/>
        <v>1.5692521680941567</v>
      </c>
      <c r="BF422" s="59" t="str">
        <f t="shared" si="415"/>
        <v>-0.00349228475117583+0.0481248307294616i</v>
      </c>
      <c r="BG422" s="50">
        <f t="shared" si="416"/>
        <v>-26.329805758719559</v>
      </c>
      <c r="BH422" s="61">
        <f t="shared" si="417"/>
        <v>94.150519584804556</v>
      </c>
      <c r="BI422" s="59" t="str">
        <f t="shared" si="418"/>
        <v>-0.000533129994908038-0.0224577503554364i</v>
      </c>
      <c r="BJ422" s="64">
        <f t="shared" si="419"/>
        <v>-32.970228219087218</v>
      </c>
      <c r="BK422" s="61">
        <f t="shared" si="420"/>
        <v>-91.359903017648492</v>
      </c>
      <c r="BL422" s="59" t="str">
        <f t="shared" si="371"/>
        <v>0.0288303770090736-0.0209734538795868i</v>
      </c>
      <c r="BM422" s="64">
        <f t="shared" si="421"/>
        <v>-28.958283426317571</v>
      </c>
      <c r="BN422" s="61">
        <f t="shared" si="372"/>
        <v>-36.035050675043742</v>
      </c>
      <c r="BO422" s="50">
        <f t="shared" si="422"/>
        <v>-32.970228219087218</v>
      </c>
      <c r="BP422" s="61">
        <f t="shared" si="423"/>
        <v>-91.359903017648492</v>
      </c>
    </row>
    <row r="423" spans="14:68" x14ac:dyDescent="0.25">
      <c r="N423" s="11">
        <v>5</v>
      </c>
      <c r="O423" s="51">
        <f t="shared" si="424"/>
        <v>112201.84543019651</v>
      </c>
      <c r="P423" s="49" t="str">
        <f t="shared" si="374"/>
        <v>25.6231073841137</v>
      </c>
      <c r="Q423" s="18" t="str">
        <f t="shared" si="375"/>
        <v>1+609.65682807389i</v>
      </c>
      <c r="R423" s="18">
        <f t="shared" si="387"/>
        <v>609.65764820685774</v>
      </c>
      <c r="S423" s="18">
        <f t="shared" si="388"/>
        <v>1.5691560612272404</v>
      </c>
      <c r="T423" s="18" t="str">
        <f t="shared" si="376"/>
        <v>1+0.634486487980902i</v>
      </c>
      <c r="U423" s="18">
        <f t="shared" si="389"/>
        <v>1.1843027921230023</v>
      </c>
      <c r="V423" s="18">
        <f t="shared" si="390"/>
        <v>0.56539199339485835</v>
      </c>
      <c r="W423" s="32" t="str">
        <f t="shared" si="377"/>
        <v>1-14.2171972306832i</v>
      </c>
      <c r="X423" s="18">
        <f t="shared" si="391"/>
        <v>14.252322515861968</v>
      </c>
      <c r="Y423" s="18">
        <f t="shared" si="392"/>
        <v>-1.5005746264508033</v>
      </c>
      <c r="Z423" s="32" t="str">
        <f t="shared" si="378"/>
        <v>0.685268647051457+1.12562602867723i</v>
      </c>
      <c r="AA423" s="18">
        <f t="shared" si="393"/>
        <v>1.3178114717467768</v>
      </c>
      <c r="AB423" s="18">
        <f t="shared" si="394"/>
        <v>1.0239394400856678</v>
      </c>
      <c r="AC423" s="32" t="str">
        <f>IMDIV(IMSUM(COMPLEX(0,2*PI()*O423*Constants!$B$71*Constants!$B$72),COMPLEX(1,0)),IMSUM(COMPLEX(0,2*PI()*O423*Constants!$B$71*Constants!$B$72),COMPLEX(2,0)))</f>
        <v>0.832664847559768+0.235937540416781i</v>
      </c>
      <c r="AD423" s="18">
        <f t="shared" si="395"/>
        <v>0.86544628449121663</v>
      </c>
      <c r="AE423" s="18">
        <f t="shared" si="396"/>
        <v>0.27611462180228463</v>
      </c>
      <c r="AF423" s="66" t="str">
        <f t="shared" si="397"/>
        <v>-0.463042386538159+0.0514086713945206i</v>
      </c>
      <c r="AG423" s="64">
        <f t="shared" si="398"/>
        <v>-6.6343800239136801</v>
      </c>
      <c r="AH423" s="61">
        <f t="shared" si="399"/>
        <v>173.66475644349461</v>
      </c>
      <c r="AI423" s="50" t="str">
        <f t="shared" si="379"/>
        <v>108.866083054159</v>
      </c>
      <c r="AJ423" s="50" t="str">
        <f t="shared" si="380"/>
        <v>1+576.805898164457i</v>
      </c>
      <c r="AK423" s="50">
        <f t="shared" si="400"/>
        <v>576.80676500653658</v>
      </c>
      <c r="AL423" s="50">
        <f t="shared" si="401"/>
        <v>1.5690626430699284</v>
      </c>
      <c r="AM423" s="50" t="str">
        <f t="shared" si="381"/>
        <v>1+0.634486487980902i</v>
      </c>
      <c r="AN423" s="50">
        <f t="shared" si="402"/>
        <v>1.1843027921230023</v>
      </c>
      <c r="AO423" s="50">
        <f t="shared" si="403"/>
        <v>0.56539199339485835</v>
      </c>
      <c r="AP423" s="50" t="str">
        <f t="shared" si="382"/>
        <v>1-3.16589807160761i</v>
      </c>
      <c r="AQ423" s="50">
        <f t="shared" si="404"/>
        <v>3.3200768966710368</v>
      </c>
      <c r="AR423" s="50">
        <f t="shared" si="405"/>
        <v>-1.2648477437270578</v>
      </c>
      <c r="AS423" s="59" t="str">
        <f t="shared" si="406"/>
        <v>-0.476791540474606-0.568690966694846i</v>
      </c>
      <c r="AT423" s="50">
        <f t="shared" si="407"/>
        <v>-2.5905370412103994</v>
      </c>
      <c r="AU423" s="61">
        <f t="shared" si="408"/>
        <v>-129.97652968973998</v>
      </c>
      <c r="AV423" s="32" t="str">
        <f t="shared" si="383"/>
        <v>-0.0000333333333333333</v>
      </c>
      <c r="AW423" s="32" t="str">
        <f t="shared" si="384"/>
        <v>0.0338392793589814i</v>
      </c>
      <c r="AX423" s="32">
        <f t="shared" si="409"/>
        <v>3.38392793589814E-2</v>
      </c>
      <c r="AY423" s="32">
        <f t="shared" si="410"/>
        <v>1.5707963267948966</v>
      </c>
      <c r="AZ423" s="32" t="str">
        <f t="shared" si="385"/>
        <v>1+13.8059559884733i</v>
      </c>
      <c r="BA423" s="32">
        <f t="shared" si="411"/>
        <v>13.842124864184031</v>
      </c>
      <c r="BB423" s="32">
        <f t="shared" si="412"/>
        <v>1.4984900944198578</v>
      </c>
      <c r="BC423" s="32" t="str">
        <f t="shared" si="386"/>
        <v>1+662.685887446721i</v>
      </c>
      <c r="BD423" s="32">
        <f t="shared" si="413"/>
        <v>662.68664195156987</v>
      </c>
      <c r="BE423" s="32">
        <f t="shared" si="414"/>
        <v>1.56928731738349</v>
      </c>
      <c r="BF423" s="59" t="str">
        <f t="shared" si="415"/>
        <v>-0.00333592637487126+0.0470407012701716i</v>
      </c>
      <c r="BG423" s="50">
        <f t="shared" si="416"/>
        <v>-26.528738130876029</v>
      </c>
      <c r="BH423" s="61">
        <f t="shared" si="417"/>
        <v>94.056382077062793</v>
      </c>
      <c r="BI423" s="59" t="str">
        <f t="shared" si="418"/>
        <v>-0.000873624643830082-0.0219533341233709i</v>
      </c>
      <c r="BJ423" s="64">
        <f t="shared" si="419"/>
        <v>-33.163118154789721</v>
      </c>
      <c r="BK423" s="61">
        <f t="shared" si="420"/>
        <v>-92.278861479442583</v>
      </c>
      <c r="BL423" s="59" t="str">
        <f t="shared" si="371"/>
        <v>0.0283421633545221-0.0205314972286625i</v>
      </c>
      <c r="BM423" s="64">
        <f t="shared" si="421"/>
        <v>-29.119275172086429</v>
      </c>
      <c r="BN423" s="61">
        <f t="shared" si="372"/>
        <v>-35.920147612677155</v>
      </c>
      <c r="BO423" s="50">
        <f t="shared" si="422"/>
        <v>-33.163118154789721</v>
      </c>
      <c r="BP423" s="61">
        <f t="shared" si="423"/>
        <v>-92.278861479442583</v>
      </c>
    </row>
    <row r="424" spans="14:68" x14ac:dyDescent="0.25">
      <c r="N424" s="11">
        <v>6</v>
      </c>
      <c r="O424" s="51">
        <f t="shared" si="424"/>
        <v>114815.36214968823</v>
      </c>
      <c r="P424" s="49" t="str">
        <f t="shared" si="374"/>
        <v>25.6231073841137</v>
      </c>
      <c r="Q424" s="18" t="str">
        <f t="shared" si="375"/>
        <v>1+623.857559864123i</v>
      </c>
      <c r="R424" s="18">
        <f t="shared" si="387"/>
        <v>623.85836132860936</v>
      </c>
      <c r="S424" s="18">
        <f t="shared" si="388"/>
        <v>1.5691933981652306</v>
      </c>
      <c r="T424" s="18" t="str">
        <f t="shared" si="376"/>
        <v>1+0.649265576847682i</v>
      </c>
      <c r="U424" s="18">
        <f t="shared" si="389"/>
        <v>1.1922859511372905</v>
      </c>
      <c r="V424" s="18">
        <f t="shared" si="390"/>
        <v>0.57585875687665977</v>
      </c>
      <c r="W424" s="32" t="str">
        <f t="shared" si="377"/>
        <v>1-14.5483582960314i</v>
      </c>
      <c r="X424" s="18">
        <f t="shared" si="391"/>
        <v>14.582685936058065</v>
      </c>
      <c r="Y424" s="18">
        <f t="shared" si="392"/>
        <v>-1.502167995184237</v>
      </c>
      <c r="Z424" s="32" t="str">
        <f t="shared" si="378"/>
        <v>0.670435815360899+1.15184522707422i</v>
      </c>
      <c r="AA424" s="18">
        <f t="shared" si="393"/>
        <v>1.3327533941627367</v>
      </c>
      <c r="AB424" s="18">
        <f t="shared" si="394"/>
        <v>1.0436771370793607</v>
      </c>
      <c r="AC424" s="32" t="str">
        <f>IMDIV(IMSUM(COMPLEX(0,2*PI()*O424*Constants!$B$71*Constants!$B$72),COMPLEX(1,0)),IMSUM(COMPLEX(0,2*PI()*O424*Constants!$B$71*Constants!$B$72),COMPLEX(2,0)))</f>
        <v>0.83775229039375+0.234093006154928i</v>
      </c>
      <c r="AD424" s="18">
        <f t="shared" si="395"/>
        <v>0.86984391449881693</v>
      </c>
      <c r="AE424" s="18">
        <f t="shared" si="396"/>
        <v>0.27247993524354669</v>
      </c>
      <c r="AF424" s="66" t="str">
        <f t="shared" si="397"/>
        <v>-0.462431732226909+0.0581572713652235i</v>
      </c>
      <c r="AG424" s="64">
        <f t="shared" si="398"/>
        <v>-6.6308944400826944</v>
      </c>
      <c r="AH424" s="61">
        <f t="shared" si="399"/>
        <v>172.83188632884747</v>
      </c>
      <c r="AI424" s="50" t="str">
        <f t="shared" si="379"/>
        <v>108.866083054159</v>
      </c>
      <c r="AJ424" s="50" t="str">
        <f t="shared" si="380"/>
        <v>1+590.241433497893i</v>
      </c>
      <c r="AK424" s="50">
        <f t="shared" si="400"/>
        <v>590.24228060826658</v>
      </c>
      <c r="AL424" s="50">
        <f t="shared" si="401"/>
        <v>1.5691021064530961</v>
      </c>
      <c r="AM424" s="50" t="str">
        <f t="shared" si="381"/>
        <v>1+0.649265576847682i</v>
      </c>
      <c r="AN424" s="50">
        <f t="shared" si="402"/>
        <v>1.1922859511372905</v>
      </c>
      <c r="AO424" s="50">
        <f t="shared" si="403"/>
        <v>0.57585875687665977</v>
      </c>
      <c r="AP424" s="50" t="str">
        <f t="shared" si="382"/>
        <v>1-3.23964131095122i</v>
      </c>
      <c r="AQ424" s="50">
        <f t="shared" si="404"/>
        <v>3.3904683782070202</v>
      </c>
      <c r="AR424" s="50">
        <f t="shared" si="405"/>
        <v>-1.2713988927212072</v>
      </c>
      <c r="AS424" s="59" t="str">
        <f t="shared" si="406"/>
        <v>-0.476806332032426-0.573206890702634i</v>
      </c>
      <c r="AT424" s="50">
        <f t="shared" si="407"/>
        <v>-2.5499518716442675</v>
      </c>
      <c r="AU424" s="61">
        <f t="shared" si="408"/>
        <v>-129.75444259069809</v>
      </c>
      <c r="AV424" s="32" t="str">
        <f t="shared" si="383"/>
        <v>-0.0000333333333333333</v>
      </c>
      <c r="AW424" s="32" t="str">
        <f t="shared" si="384"/>
        <v>0.0346274974318764i</v>
      </c>
      <c r="AX424" s="32">
        <f t="shared" si="409"/>
        <v>3.4627497431876403E-2</v>
      </c>
      <c r="AY424" s="32">
        <f t="shared" si="410"/>
        <v>1.5707963267948966</v>
      </c>
      <c r="AZ424" s="32" t="str">
        <f t="shared" si="385"/>
        <v>1+14.1275380147412i</v>
      </c>
      <c r="BA424" s="32">
        <f t="shared" si="411"/>
        <v>14.162885664932755</v>
      </c>
      <c r="BB424" s="32">
        <f t="shared" si="412"/>
        <v>1.5001304479229574</v>
      </c>
      <c r="BC424" s="32" t="str">
        <f t="shared" si="386"/>
        <v>1+678.12182470758i</v>
      </c>
      <c r="BD424" s="32">
        <f t="shared" si="413"/>
        <v>678.12256203782067</v>
      </c>
      <c r="BE424" s="32">
        <f t="shared" si="414"/>
        <v>1.5693216665809198</v>
      </c>
      <c r="BF424" s="59" t="str">
        <f t="shared" si="415"/>
        <v>-0.00318653346450195+0.0459804987702363i</v>
      </c>
      <c r="BG424" s="50">
        <f t="shared" si="416"/>
        <v>-26.727718308925951</v>
      </c>
      <c r="BH424" s="61">
        <f t="shared" si="417"/>
        <v>93.964364808468076</v>
      </c>
      <c r="BI424" s="59" t="str">
        <f t="shared" si="418"/>
        <v>-0.00120054615470031-0.021448161786387i</v>
      </c>
      <c r="BJ424" s="64">
        <f t="shared" si="419"/>
        <v>-33.358612749008657</v>
      </c>
      <c r="BK424" s="61">
        <f t="shared" si="420"/>
        <v>-93.203748862684421</v>
      </c>
      <c r="BL424" s="59" t="str">
        <f t="shared" si="371"/>
        <v>0.0278756980661512-0.0200972500243508i</v>
      </c>
      <c r="BM424" s="64">
        <f t="shared" si="421"/>
        <v>-29.277670180570215</v>
      </c>
      <c r="BN424" s="61">
        <f t="shared" si="372"/>
        <v>-35.790077782230021</v>
      </c>
      <c r="BO424" s="50">
        <f t="shared" si="422"/>
        <v>-33.358612749008657</v>
      </c>
      <c r="BP424" s="61">
        <f t="shared" si="423"/>
        <v>-93.203748862684421</v>
      </c>
    </row>
    <row r="425" spans="14:68" x14ac:dyDescent="0.25">
      <c r="N425" s="11">
        <v>7</v>
      </c>
      <c r="O425" s="51">
        <f t="shared" si="424"/>
        <v>117489.75549395311</v>
      </c>
      <c r="P425" s="49" t="str">
        <f t="shared" si="374"/>
        <v>25.6231073841137</v>
      </c>
      <c r="Q425" s="18" t="str">
        <f t="shared" si="375"/>
        <v>1+638.389069190329i</v>
      </c>
      <c r="R425" s="18">
        <f t="shared" si="387"/>
        <v>638.38985241127898</v>
      </c>
      <c r="S425" s="18">
        <f t="shared" si="388"/>
        <v>1.5692298852150697</v>
      </c>
      <c r="T425" s="18" t="str">
        <f t="shared" si="376"/>
        <v>1+0.664388914917356i</v>
      </c>
      <c r="U425" s="18">
        <f t="shared" si="389"/>
        <v>1.2005884516623762</v>
      </c>
      <c r="V425" s="18">
        <f t="shared" si="390"/>
        <v>0.58642404030392115</v>
      </c>
      <c r="W425" s="32" t="str">
        <f t="shared" si="377"/>
        <v>1-14.8872330935185i</v>
      </c>
      <c r="X425" s="18">
        <f t="shared" si="391"/>
        <v>14.920781118317915</v>
      </c>
      <c r="Y425" s="18">
        <f t="shared" si="392"/>
        <v>-1.5037254317414361</v>
      </c>
      <c r="Z425" s="32" t="str">
        <f t="shared" si="378"/>
        <v>0.654903933849279+1.17867514905709i</v>
      </c>
      <c r="AA425" s="18">
        <f t="shared" si="393"/>
        <v>1.3483969258256319</v>
      </c>
      <c r="AB425" s="18">
        <f t="shared" si="394"/>
        <v>1.0636431021357799</v>
      </c>
      <c r="AC425" s="32" t="str">
        <f>IMDIV(IMSUM(COMPLEX(0,2*PI()*O425*Constants!$B$71*Constants!$B$72),COMPLEX(1,0)),IMSUM(COMPLEX(0,2*PI()*O425*Constants!$B$71*Constants!$B$72),COMPLEX(2,0)))</f>
        <v>0.842758170532668+0.232154952132046i</v>
      </c>
      <c r="AD425" s="18">
        <f t="shared" si="395"/>
        <v>0.8741494470621155</v>
      </c>
      <c r="AE425" s="18">
        <f t="shared" si="396"/>
        <v>0.26880350945892045</v>
      </c>
      <c r="AF425" s="66" t="str">
        <f t="shared" si="397"/>
        <v>-0.461575742157617+0.064941728328419i</v>
      </c>
      <c r="AG425" s="64">
        <f t="shared" si="398"/>
        <v>-6.6300104752797484</v>
      </c>
      <c r="AH425" s="61">
        <f t="shared" si="399"/>
        <v>171.99129817024885</v>
      </c>
      <c r="AI425" s="50" t="str">
        <f t="shared" si="379"/>
        <v>108.866083054159</v>
      </c>
      <c r="AJ425" s="50" t="str">
        <f t="shared" si="380"/>
        <v>1+603.989922652142i</v>
      </c>
      <c r="AK425" s="50">
        <f t="shared" si="400"/>
        <v>603.99075047995598</v>
      </c>
      <c r="AL425" s="50">
        <f t="shared" si="401"/>
        <v>1.5691406715450915</v>
      </c>
      <c r="AM425" s="50" t="str">
        <f t="shared" si="381"/>
        <v>1+0.664388914917356i</v>
      </c>
      <c r="AN425" s="50">
        <f t="shared" si="402"/>
        <v>1.2005884516623762</v>
      </c>
      <c r="AO425" s="50">
        <f t="shared" si="403"/>
        <v>0.58642404030392115</v>
      </c>
      <c r="AP425" s="50" t="str">
        <f t="shared" si="382"/>
        <v>1-3.31510225099962i</v>
      </c>
      <c r="AQ425" s="50">
        <f t="shared" si="404"/>
        <v>3.4626439225803667</v>
      </c>
      <c r="AR425" s="50">
        <f t="shared" si="405"/>
        <v>-1.2778266233735271</v>
      </c>
      <c r="AS425" s="59" t="str">
        <f t="shared" si="406"/>
        <v>-0.476820457864212-0.57802673433478i</v>
      </c>
      <c r="AT425" s="50">
        <f t="shared" si="407"/>
        <v>-2.5067139029583796</v>
      </c>
      <c r="AU425" s="61">
        <f t="shared" si="408"/>
        <v>-129.51958789618931</v>
      </c>
      <c r="AV425" s="32" t="str">
        <f t="shared" si="383"/>
        <v>-0.0000333333333333333</v>
      </c>
      <c r="AW425" s="32" t="str">
        <f t="shared" si="384"/>
        <v>0.035434075462259i</v>
      </c>
      <c r="AX425" s="32">
        <f t="shared" si="409"/>
        <v>3.5434075462258997E-2</v>
      </c>
      <c r="AY425" s="32">
        <f t="shared" si="410"/>
        <v>1.5707963267948966</v>
      </c>
      <c r="AZ425" s="32" t="str">
        <f t="shared" si="385"/>
        <v>1+14.4566106486647i</v>
      </c>
      <c r="BA425" s="32">
        <f t="shared" si="411"/>
        <v>14.491155628419897</v>
      </c>
      <c r="BB425" s="32">
        <f t="shared" si="412"/>
        <v>1.5017338305870624</v>
      </c>
      <c r="BC425" s="32" t="str">
        <f t="shared" si="386"/>
        <v>1+693.917311135906i</v>
      </c>
      <c r="BD425" s="32">
        <f t="shared" si="413"/>
        <v>693.91803168247895</v>
      </c>
      <c r="BE425" s="32">
        <f t="shared" si="414"/>
        <v>1.5693552338985206</v>
      </c>
      <c r="BF425" s="59" t="str">
        <f t="shared" si="415"/>
        <v>-0.00304379879564944+0.0449437281512553i</v>
      </c>
      <c r="BG425" s="50">
        <f t="shared" si="416"/>
        <v>-26.926744162725925</v>
      </c>
      <c r="BH425" s="61">
        <f t="shared" si="417"/>
        <v>93.874421014498509</v>
      </c>
      <c r="BI425" s="59" t="str">
        <f t="shared" si="418"/>
        <v>-0.00151377969558479-0.0209426042312193i</v>
      </c>
      <c r="BJ425" s="64">
        <f t="shared" si="419"/>
        <v>-33.556754638005664</v>
      </c>
      <c r="BK425" s="61">
        <f t="shared" si="420"/>
        <v>-94.134280815252609</v>
      </c>
      <c r="BL425" s="59" t="str">
        <f t="shared" si="371"/>
        <v>0.0274300219474883-0.0196706919573848i</v>
      </c>
      <c r="BM425" s="64">
        <f t="shared" si="421"/>
        <v>-29.43345806568432</v>
      </c>
      <c r="BN425" s="61">
        <f t="shared" si="372"/>
        <v>-35.645166881690749</v>
      </c>
      <c r="BO425" s="50">
        <f t="shared" si="422"/>
        <v>-33.556754638005664</v>
      </c>
      <c r="BP425" s="61">
        <f t="shared" si="423"/>
        <v>-94.134280815252609</v>
      </c>
    </row>
    <row r="426" spans="14:68" x14ac:dyDescent="0.25">
      <c r="N426" s="11">
        <v>8</v>
      </c>
      <c r="O426" s="51">
        <f t="shared" si="424"/>
        <v>120226.44346174144</v>
      </c>
      <c r="P426" s="49" t="str">
        <f t="shared" si="374"/>
        <v>25.6231073841137</v>
      </c>
      <c r="Q426" s="18" t="str">
        <f t="shared" si="375"/>
        <v>1+653.259060851097i</v>
      </c>
      <c r="R426" s="18">
        <f t="shared" si="387"/>
        <v>653.25982624378275</v>
      </c>
      <c r="S426" s="18">
        <f t="shared" si="388"/>
        <v>1.5692655417222854</v>
      </c>
      <c r="T426" s="18" t="str">
        <f t="shared" si="376"/>
        <v>1+0.679864520783944i</v>
      </c>
      <c r="U426" s="18">
        <f t="shared" si="389"/>
        <v>1.2092211404953115</v>
      </c>
      <c r="V426" s="18">
        <f t="shared" si="390"/>
        <v>0.59708401056060523</v>
      </c>
      <c r="W426" s="32" t="str">
        <f t="shared" si="377"/>
        <v>1-15.2340012990476i</v>
      </c>
      <c r="X426" s="18">
        <f t="shared" si="391"/>
        <v>15.266787336548052</v>
      </c>
      <c r="Y426" s="18">
        <f t="shared" si="392"/>
        <v>-1.5052477316570301</v>
      </c>
      <c r="Z426" s="32" t="str">
        <f t="shared" si="378"/>
        <v>0.638640057313518+1.20613002020559i</v>
      </c>
      <c r="AA426" s="18">
        <f t="shared" si="393"/>
        <v>1.3647749808838636</v>
      </c>
      <c r="AB426" s="18">
        <f t="shared" si="394"/>
        <v>1.0838319268297301</v>
      </c>
      <c r="AC426" s="32" t="str">
        <f>IMDIV(IMSUM(COMPLEX(0,2*PI()*O426*Constants!$B$71*Constants!$B$72),COMPLEX(1,0)),IMSUM(COMPLEX(0,2*PI()*O426*Constants!$B$71*Constants!$B$72),COMPLEX(2,0)))</f>
        <v>0.847679256180841+0.230127710004592i</v>
      </c>
      <c r="AD426" s="18">
        <f t="shared" si="395"/>
        <v>0.87836147699637945</v>
      </c>
      <c r="AE426" s="18">
        <f t="shared" si="396"/>
        <v>0.2650904793308424</v>
      </c>
      <c r="AF426" s="66" t="str">
        <f t="shared" si="397"/>
        <v>-0.460470770353795+0.0717510716377679i</v>
      </c>
      <c r="AG426" s="64">
        <f t="shared" si="398"/>
        <v>-6.6317707842308558</v>
      </c>
      <c r="AH426" s="61">
        <f t="shared" si="399"/>
        <v>171.143329744163</v>
      </c>
      <c r="AI426" s="50" t="str">
        <f t="shared" si="379"/>
        <v>108.866083054159</v>
      </c>
      <c r="AJ426" s="50" t="str">
        <f t="shared" si="380"/>
        <v>1+618.058655258132i</v>
      </c>
      <c r="AK426" s="50">
        <f t="shared" si="400"/>
        <v>618.05946424230945</v>
      </c>
      <c r="AL426" s="50">
        <f t="shared" si="401"/>
        <v>1.5691783587931778</v>
      </c>
      <c r="AM426" s="50" t="str">
        <f t="shared" si="381"/>
        <v>1+0.679864520783944i</v>
      </c>
      <c r="AN426" s="50">
        <f t="shared" si="402"/>
        <v>1.2092211404953115</v>
      </c>
      <c r="AO426" s="50">
        <f t="shared" si="403"/>
        <v>0.59708401056060523</v>
      </c>
      <c r="AP426" s="50" t="str">
        <f t="shared" si="382"/>
        <v>1-3.39232090214207i</v>
      </c>
      <c r="AQ426" s="50">
        <f t="shared" si="404"/>
        <v>3.5366426315235739</v>
      </c>
      <c r="AR426" s="50">
        <f t="shared" si="405"/>
        <v>-1.284132218439908</v>
      </c>
      <c r="AS426" s="59" t="str">
        <f t="shared" si="406"/>
        <v>-0.476833947932246-0.583153053286783i</v>
      </c>
      <c r="AT426" s="50">
        <f t="shared" si="407"/>
        <v>-2.4608150928656189</v>
      </c>
      <c r="AU426" s="61">
        <f t="shared" si="408"/>
        <v>-129.27225989562518</v>
      </c>
      <c r="AV426" s="32" t="str">
        <f t="shared" si="383"/>
        <v>-0.0000333333333333333</v>
      </c>
      <c r="AW426" s="32" t="str">
        <f t="shared" si="384"/>
        <v>0.036259441108477i</v>
      </c>
      <c r="AX426" s="32">
        <f t="shared" si="409"/>
        <v>3.6259441108477002E-2</v>
      </c>
      <c r="AY426" s="32">
        <f t="shared" si="410"/>
        <v>1.5707963267948966</v>
      </c>
      <c r="AZ426" s="32" t="str">
        <f t="shared" si="385"/>
        <v>1+14.7933483689099i</v>
      </c>
      <c r="BA426" s="32">
        <f t="shared" si="411"/>
        <v>14.827108820128393</v>
      </c>
      <c r="BB426" s="32">
        <f t="shared" si="412"/>
        <v>1.5033010595520924</v>
      </c>
      <c r="BC426" s="32" t="str">
        <f t="shared" si="386"/>
        <v>1+710.080721707676i</v>
      </c>
      <c r="BD426" s="32">
        <f t="shared" si="413"/>
        <v>710.08142585262294</v>
      </c>
      <c r="BE426" s="32">
        <f t="shared" si="414"/>
        <v>1.5693880371338258</v>
      </c>
      <c r="BF426" s="59" t="str">
        <f t="shared" si="415"/>
        <v>-0.00290742842522518+0.0439299023551923i</v>
      </c>
      <c r="BG426" s="50">
        <f t="shared" si="416"/>
        <v>-27.125813656128681</v>
      </c>
      <c r="BH426" s="61">
        <f t="shared" si="417"/>
        <v>93.786504896208982</v>
      </c>
      <c r="BI426" s="59" t="str">
        <f t="shared" si="418"/>
        <v>-0.00181323176421559-0.0204370470842824i</v>
      </c>
      <c r="BJ426" s="64">
        <f t="shared" si="419"/>
        <v>-33.757584440359537</v>
      </c>
      <c r="BK426" s="61">
        <f t="shared" si="420"/>
        <v>-95.070165359627993</v>
      </c>
      <c r="BL426" s="59" t="str">
        <f t="shared" si="371"/>
        <v>0.0270042172633512-0.0192517930089216i</v>
      </c>
      <c r="BM426" s="64">
        <f t="shared" si="421"/>
        <v>-29.586628748994293</v>
      </c>
      <c r="BN426" s="61">
        <f t="shared" si="372"/>
        <v>-35.48575499941623</v>
      </c>
      <c r="BO426" s="50">
        <f t="shared" si="422"/>
        <v>-33.757584440359537</v>
      </c>
      <c r="BP426" s="61">
        <f t="shared" si="423"/>
        <v>-95.070165359627993</v>
      </c>
    </row>
    <row r="427" spans="14:68" x14ac:dyDescent="0.25">
      <c r="N427" s="11">
        <v>9</v>
      </c>
      <c r="O427" s="51">
        <f t="shared" si="424"/>
        <v>123026.87708123829</v>
      </c>
      <c r="P427" s="49" t="str">
        <f t="shared" si="374"/>
        <v>25.6231073841137</v>
      </c>
      <c r="Q427" s="18" t="str">
        <f t="shared" si="375"/>
        <v>1+668.475419112834i</v>
      </c>
      <c r="R427" s="18">
        <f t="shared" si="387"/>
        <v>668.47616708307487</v>
      </c>
      <c r="S427" s="18">
        <f t="shared" si="388"/>
        <v>1.5693003865920672</v>
      </c>
      <c r="T427" s="18" t="str">
        <f t="shared" si="376"/>
        <v>1+0.695700599818523i</v>
      </c>
      <c r="U427" s="18">
        <f t="shared" si="389"/>
        <v>1.2181951094089374</v>
      </c>
      <c r="V427" s="18">
        <f t="shared" si="390"/>
        <v>0.60783462888141226</v>
      </c>
      <c r="W427" s="32" t="str">
        <f t="shared" si="377"/>
        <v>1-15.5888467737113i</v>
      </c>
      <c r="X427" s="18">
        <f t="shared" si="391"/>
        <v>15.620888058437945</v>
      </c>
      <c r="Y427" s="18">
        <f t="shared" si="392"/>
        <v>-1.5067356738365107</v>
      </c>
      <c r="Z427" s="32" t="str">
        <f t="shared" si="378"/>
        <v>0.621609687890948+1.23422439745582i</v>
      </c>
      <c r="AA427" s="18">
        <f t="shared" si="393"/>
        <v>1.3819220192742656</v>
      </c>
      <c r="AB427" s="18">
        <f t="shared" si="394"/>
        <v>1.1042377848878964</v>
      </c>
      <c r="AC427" s="32" t="str">
        <f>IMDIV(IMSUM(COMPLEX(0,2*PI()*O427*Constants!$B$71*Constants!$B$72),COMPLEX(1,0)),IMSUM(COMPLEX(0,2*PI()*O427*Constants!$B$71*Constants!$B$72),COMPLEX(2,0)))</f>
        <v>0.852512600706801+0.228015715897672i</v>
      </c>
      <c r="AD427" s="18">
        <f t="shared" si="395"/>
        <v>0.88247883887388556</v>
      </c>
      <c r="AE427" s="18">
        <f t="shared" si="396"/>
        <v>0.26134586023164474</v>
      </c>
      <c r="AF427" s="66" t="str">
        <f t="shared" si="397"/>
        <v>-0.459113806226911+0.078574048239222i</v>
      </c>
      <c r="AG427" s="64">
        <f t="shared" si="398"/>
        <v>-6.6362159265579272</v>
      </c>
      <c r="AH427" s="61">
        <f t="shared" si="399"/>
        <v>170.28832511573728</v>
      </c>
      <c r="AI427" s="50" t="str">
        <f t="shared" si="379"/>
        <v>108.866083054159</v>
      </c>
      <c r="AJ427" s="50" t="str">
        <f t="shared" si="380"/>
        <v>1+632.455090744113i</v>
      </c>
      <c r="AK427" s="50">
        <f t="shared" si="400"/>
        <v>632.45588131358568</v>
      </c>
      <c r="AL427" s="50">
        <f t="shared" si="401"/>
        <v>1.5692151881792042</v>
      </c>
      <c r="AM427" s="50" t="str">
        <f t="shared" si="381"/>
        <v>1+0.695700599818523i</v>
      </c>
      <c r="AN427" s="50">
        <f t="shared" si="402"/>
        <v>1.2181951094089374</v>
      </c>
      <c r="AO427" s="50">
        <f t="shared" si="403"/>
        <v>0.60783462888141226</v>
      </c>
      <c r="AP427" s="50" t="str">
        <f t="shared" si="382"/>
        <v>1-3.4713382067295i</v>
      </c>
      <c r="AQ427" s="50">
        <f t="shared" si="404"/>
        <v>3.6125045253258827</v>
      </c>
      <c r="AR427" s="50">
        <f t="shared" si="405"/>
        <v>-1.2903170147666865</v>
      </c>
      <c r="AS427" s="59" t="str">
        <f t="shared" si="406"/>
        <v>-0.476846830850312-0.588588565741357i</v>
      </c>
      <c r="AT427" s="50">
        <f t="shared" si="407"/>
        <v>-2.4122477311771258</v>
      </c>
      <c r="AU427" s="61">
        <f t="shared" si="408"/>
        <v>-129.01276773374076</v>
      </c>
      <c r="AV427" s="32" t="str">
        <f t="shared" si="383"/>
        <v>-0.0000333333333333333</v>
      </c>
      <c r="AW427" s="32" t="str">
        <f t="shared" si="384"/>
        <v>0.0371040319903212i</v>
      </c>
      <c r="AX427" s="32">
        <f t="shared" si="409"/>
        <v>3.7104031990321203E-2</v>
      </c>
      <c r="AY427" s="32">
        <f t="shared" si="410"/>
        <v>1.5707963267948966</v>
      </c>
      <c r="AZ427" s="32" t="str">
        <f t="shared" si="385"/>
        <v>1+15.1379297182734i</v>
      </c>
      <c r="BA427" s="32">
        <f t="shared" si="411"/>
        <v>15.170923378469254</v>
      </c>
      <c r="BB427" s="32">
        <f t="shared" si="412"/>
        <v>1.5048329349707708</v>
      </c>
      <c r="BC427" s="32" t="str">
        <f t="shared" si="386"/>
        <v>1+726.620626477125i</v>
      </c>
      <c r="BD427" s="32">
        <f t="shared" si="413"/>
        <v>726.62131459379145</v>
      </c>
      <c r="BE427" s="32">
        <f t="shared" si="414"/>
        <v>1.5694200936792624</v>
      </c>
      <c r="BF427" s="59" t="str">
        <f t="shared" si="415"/>
        <v>-0.00277714114099972+0.0429385423722866i</v>
      </c>
      <c r="BG427" s="50">
        <f t="shared" si="416"/>
        <v>-27.324924842915991</v>
      </c>
      <c r="BH427" s="61">
        <f t="shared" si="417"/>
        <v>93.700571604738187</v>
      </c>
      <c r="BI427" s="59" t="str">
        <f t="shared" si="418"/>
        <v>-0.0020988312600082-0.019931888844356i</v>
      </c>
      <c r="BJ427" s="64">
        <f t="shared" si="419"/>
        <v>-33.961140769473928</v>
      </c>
      <c r="BK427" s="61">
        <f t="shared" si="420"/>
        <v>-96.011103279524534</v>
      </c>
      <c r="BL427" s="59" t="str">
        <f t="shared" si="371"/>
        <v>0.0265974060218384-0.0188405143305144i</v>
      </c>
      <c r="BM427" s="64">
        <f t="shared" si="421"/>
        <v>-29.737172574093105</v>
      </c>
      <c r="BN427" s="61">
        <f t="shared" si="372"/>
        <v>-35.312196129002608</v>
      </c>
      <c r="BO427" s="50">
        <f t="shared" si="422"/>
        <v>-33.961140769473928</v>
      </c>
      <c r="BP427" s="61">
        <f t="shared" si="423"/>
        <v>-96.011103279524534</v>
      </c>
    </row>
    <row r="428" spans="14:68" x14ac:dyDescent="0.25">
      <c r="N428" s="11">
        <v>10</v>
      </c>
      <c r="O428" s="51">
        <f t="shared" si="424"/>
        <v>125892.54117941685</v>
      </c>
      <c r="P428" s="49" t="str">
        <f t="shared" si="374"/>
        <v>25.6231073841137</v>
      </c>
      <c r="Q428" s="18" t="str">
        <f t="shared" si="375"/>
        <v>1+684.046211890103i</v>
      </c>
      <c r="R428" s="18">
        <f t="shared" si="387"/>
        <v>684.046942834481</v>
      </c>
      <c r="S428" s="18">
        <f t="shared" si="388"/>
        <v>1.5693344382992873</v>
      </c>
      <c r="T428" s="18" t="str">
        <f t="shared" si="376"/>
        <v>1+0.711905548519812i</v>
      </c>
      <c r="U428" s="18">
        <f t="shared" si="389"/>
        <v>1.2275216943147256</v>
      </c>
      <c r="V428" s="18">
        <f t="shared" si="390"/>
        <v>0.61867165533156632</v>
      </c>
      <c r="W428" s="32" t="str">
        <f t="shared" si="377"/>
        <v>1-15.9519576612773i</v>
      </c>
      <c r="X428" s="18">
        <f t="shared" si="391"/>
        <v>15.98327104278669</v>
      </c>
      <c r="Y428" s="18">
        <f t="shared" si="392"/>
        <v>-1.5081900208375716</v>
      </c>
      <c r="Z428" s="32" t="str">
        <f t="shared" si="378"/>
        <v>0.603776701884721+1.26297317681848i</v>
      </c>
      <c r="AA428" s="18">
        <f t="shared" si="393"/>
        <v>1.3998741197342548</v>
      </c>
      <c r="AB428" s="18">
        <f t="shared" si="394"/>
        <v>1.1248544319166112</v>
      </c>
      <c r="AC428" s="32" t="str">
        <f>IMDIV(IMSUM(COMPLEX(0,2*PI()*O428*Constants!$B$71*Constants!$B$72),COMPLEX(1,0)),IMSUM(COMPLEX(0,2*PI()*O428*Constants!$B$71*Constants!$B$72),COMPLEX(2,0)))</f>
        <v>0.857255544200863+0.225823489119659i</v>
      </c>
      <c r="AD428" s="18">
        <f t="shared" si="395"/>
        <v>0.88650060141056564</v>
      </c>
      <c r="AE428" s="18">
        <f t="shared" si="396"/>
        <v>0.25757453767325489</v>
      </c>
      <c r="AF428" s="66" t="str">
        <f t="shared" si="397"/>
        <v>-0.457502496032611+0.0853991626626523i</v>
      </c>
      <c r="AG428" s="64">
        <f t="shared" si="398"/>
        <v>-6.6433843816621954</v>
      </c>
      <c r="AH428" s="61">
        <f t="shared" si="399"/>
        <v>169.42663430135102</v>
      </c>
      <c r="AI428" s="50" t="str">
        <f t="shared" si="379"/>
        <v>108.866083054159</v>
      </c>
      <c r="AJ428" s="50" t="str">
        <f t="shared" si="380"/>
        <v>1+647.186862290739i</v>
      </c>
      <c r="AK428" s="50">
        <f t="shared" si="400"/>
        <v>647.18763486467515</v>
      </c>
      <c r="AL428" s="50">
        <f t="shared" si="401"/>
        <v>1.5692511792301989</v>
      </c>
      <c r="AM428" s="50" t="str">
        <f t="shared" si="381"/>
        <v>1+0.711905548519812i</v>
      </c>
      <c r="AN428" s="50">
        <f t="shared" si="402"/>
        <v>1.2275216943147256</v>
      </c>
      <c r="AO428" s="50">
        <f t="shared" si="403"/>
        <v>0.61867165533156632</v>
      </c>
      <c r="AP428" s="50" t="str">
        <f t="shared" si="382"/>
        <v>1-3.55219606078274i</v>
      </c>
      <c r="AQ428" s="50">
        <f t="shared" si="404"/>
        <v>3.6902705665357947</v>
      </c>
      <c r="AR428" s="50">
        <f t="shared" si="405"/>
        <v>-1.2963823982575986</v>
      </c>
      <c r="AS428" s="59" t="str">
        <f t="shared" si="406"/>
        <v>-0.476859133944385-0.594336153810322i</v>
      </c>
      <c r="AT428" s="50">
        <f t="shared" si="407"/>
        <v>-2.361004559738336</v>
      </c>
      <c r="AU428" s="61">
        <f t="shared" si="408"/>
        <v>-128.74143486615506</v>
      </c>
      <c r="AV428" s="32" t="str">
        <f t="shared" si="383"/>
        <v>-0.0000333333333333333</v>
      </c>
      <c r="AW428" s="32" t="str">
        <f t="shared" si="384"/>
        <v>0.0379682959210566i</v>
      </c>
      <c r="AX428" s="32">
        <f t="shared" si="409"/>
        <v>3.7968295921056598E-2</v>
      </c>
      <c r="AY428" s="32">
        <f t="shared" si="410"/>
        <v>1.5707963267948966</v>
      </c>
      <c r="AZ428" s="32" t="str">
        <f t="shared" si="385"/>
        <v>1+15.4905373983478i</v>
      </c>
      <c r="BA428" s="32">
        <f t="shared" si="411"/>
        <v>15.522781609286781</v>
      </c>
      <c r="BB428" s="32">
        <f t="shared" si="412"/>
        <v>1.5063302402894287</v>
      </c>
      <c r="BC428" s="32" t="str">
        <f t="shared" si="386"/>
        <v>1+743.545795120694i</v>
      </c>
      <c r="BD428" s="32">
        <f t="shared" si="413"/>
        <v>743.5464675739272</v>
      </c>
      <c r="BE428" s="32">
        <f t="shared" si="414"/>
        <v>1.5694514205313714</v>
      </c>
      <c r="BF428" s="59" t="str">
        <f t="shared" si="415"/>
        <v>-0.0026526679318435+0.0419691772549656i</v>
      </c>
      <c r="BG428" s="50">
        <f t="shared" si="416"/>
        <v>-27.524075862900162</v>
      </c>
      <c r="BH428" s="61">
        <f t="shared" si="417"/>
        <v>93.616577225747875</v>
      </c>
      <c r="BI428" s="59" t="str">
        <f t="shared" si="418"/>
        <v>-0.00237053039525043-0.0194275389707834i</v>
      </c>
      <c r="BJ428" s="64">
        <f t="shared" si="419"/>
        <v>-34.167460244562335</v>
      </c>
      <c r="BK428" s="61">
        <f t="shared" si="420"/>
        <v>-96.956788472901067</v>
      </c>
      <c r="BL428" s="59" t="str">
        <f t="shared" si="371"/>
        <v>0.0262087483209208-0.0184368090622134i</v>
      </c>
      <c r="BM428" s="64">
        <f t="shared" si="421"/>
        <v>-29.885080422638516</v>
      </c>
      <c r="BN428" s="61">
        <f t="shared" si="372"/>
        <v>-35.124857640407185</v>
      </c>
      <c r="BO428" s="50">
        <f t="shared" si="422"/>
        <v>-34.167460244562335</v>
      </c>
      <c r="BP428" s="61">
        <f t="shared" si="423"/>
        <v>-96.956788472901067</v>
      </c>
    </row>
    <row r="429" spans="14:68" x14ac:dyDescent="0.25">
      <c r="N429" s="11">
        <v>11</v>
      </c>
      <c r="O429" s="51">
        <f t="shared" si="424"/>
        <v>128824.95516931375</v>
      </c>
      <c r="P429" s="49" t="str">
        <f t="shared" si="374"/>
        <v>25.6231073841137</v>
      </c>
      <c r="Q429" s="18" t="str">
        <f t="shared" si="375"/>
        <v>1+699.97969502334i</v>
      </c>
      <c r="R429" s="18">
        <f t="shared" si="387"/>
        <v>699.98040932940989</v>
      </c>
      <c r="S429" s="18">
        <f t="shared" si="388"/>
        <v>1.5693677148982959</v>
      </c>
      <c r="T429" s="18" t="str">
        <f t="shared" si="376"/>
        <v>1+0.728487958966112i</v>
      </c>
      <c r="U429" s="18">
        <f t="shared" si="389"/>
        <v>1.2372124742171862</v>
      </c>
      <c r="V429" s="18">
        <f t="shared" si="390"/>
        <v>0.6295906542746903</v>
      </c>
      <c r="W429" s="32" t="str">
        <f t="shared" si="377"/>
        <v>1-16.3235264879443i</v>
      </c>
      <c r="X429" s="18">
        <f t="shared" si="391"/>
        <v>16.354128439101213</v>
      </c>
      <c r="Y429" s="18">
        <f t="shared" si="392"/>
        <v>-1.5096115191513566</v>
      </c>
      <c r="Z429" s="32" t="str">
        <f t="shared" si="378"/>
        <v>0.585103273140609+1.29239160127692i</v>
      </c>
      <c r="AA429" s="18">
        <f t="shared" si="393"/>
        <v>1.4186690562957154</v>
      </c>
      <c r="AB429" s="18">
        <f t="shared" si="394"/>
        <v>1.1456752067550962</v>
      </c>
      <c r="AC429" s="32" t="str">
        <f>IMDIV(IMSUM(COMPLEX(0,2*PI()*O429*Constants!$B$71*Constants!$B$72),COMPLEX(1,0)),IMSUM(COMPLEX(0,2*PI()*O429*Constants!$B$71*Constants!$B$72),COMPLEX(2,0)))</f>
        <v>0.861905713282008+0.223555611280158i</v>
      </c>
      <c r="AD429" s="18">
        <f t="shared" si="395"/>
        <v>0.89042606089613752</v>
      </c>
      <c r="AE429" s="18">
        <f t="shared" si="396"/>
        <v>0.25378125811182106</v>
      </c>
      <c r="AF429" s="66" t="str">
        <f t="shared" si="397"/>
        <v>-0.455635161671769+0.0922147187411128i</v>
      </c>
      <c r="AG429" s="64">
        <f t="shared" si="398"/>
        <v>-6.6533125612510897</v>
      </c>
      <c r="AH429" s="61">
        <f t="shared" si="399"/>
        <v>168.55861296083444</v>
      </c>
      <c r="AI429" s="50" t="str">
        <f t="shared" si="379"/>
        <v>108.866083054159</v>
      </c>
      <c r="AJ429" s="50" t="str">
        <f t="shared" si="380"/>
        <v>1+662.261780878284i</v>
      </c>
      <c r="AK429" s="50">
        <f t="shared" si="400"/>
        <v>662.26253586631037</v>
      </c>
      <c r="AL429" s="50">
        <f t="shared" si="401"/>
        <v>1.5692863510287203</v>
      </c>
      <c r="AM429" s="50" t="str">
        <f t="shared" si="381"/>
        <v>1+0.728487958966112i</v>
      </c>
      <c r="AN429" s="50">
        <f t="shared" si="402"/>
        <v>1.2372124742171862</v>
      </c>
      <c r="AO429" s="50">
        <f t="shared" si="403"/>
        <v>0.6295906542746903</v>
      </c>
      <c r="AP429" s="50" t="str">
        <f t="shared" si="382"/>
        <v>1-3.63493733620628i</v>
      </c>
      <c r="AQ429" s="50">
        <f t="shared" si="404"/>
        <v>3.769982684064531</v>
      </c>
      <c r="AR429" s="50">
        <f t="shared" si="405"/>
        <v>-1.3023297990531353</v>
      </c>
      <c r="AS429" s="59" t="str">
        <f t="shared" si="406"/>
        <v>-0.476870883310593-0.600398865063363i</v>
      </c>
      <c r="AT429" s="50">
        <f t="shared" si="407"/>
        <v>-2.3070788929602166</v>
      </c>
      <c r="AU429" s="61">
        <f t="shared" si="408"/>
        <v>-128.45859847047643</v>
      </c>
      <c r="AV429" s="32" t="str">
        <f t="shared" si="383"/>
        <v>-0.0000333333333333333</v>
      </c>
      <c r="AW429" s="32" t="str">
        <f t="shared" si="384"/>
        <v>0.0388526911448593i</v>
      </c>
      <c r="AX429" s="32">
        <f t="shared" si="409"/>
        <v>3.88526911448593E-2</v>
      </c>
      <c r="AY429" s="32">
        <f t="shared" si="410"/>
        <v>1.5707963267948966</v>
      </c>
      <c r="AZ429" s="32" t="str">
        <f t="shared" si="385"/>
        <v>1+15.8513583663922i</v>
      </c>
      <c r="BA429" s="32">
        <f t="shared" si="411"/>
        <v>15.882870082569836</v>
      </c>
      <c r="BB429" s="32">
        <f t="shared" si="412"/>
        <v>1.5077937425292891</v>
      </c>
      <c r="BC429" s="32" t="str">
        <f t="shared" si="386"/>
        <v>1+760.865201586829i</v>
      </c>
      <c r="BD429" s="32">
        <f t="shared" si="413"/>
        <v>760.86585873317108</v>
      </c>
      <c r="BE429" s="32">
        <f t="shared" si="414"/>
        <v>1.5694820342998186</v>
      </c>
      <c r="BF429" s="59" t="str">
        <f t="shared" si="415"/>
        <v>-0.00253375147809213+0.041021344118894i</v>
      </c>
      <c r="BG429" s="50">
        <f t="shared" si="416"/>
        <v>-27.72326493818823</v>
      </c>
      <c r="BH429" s="61">
        <f t="shared" si="417"/>
        <v>93.534478763822932</v>
      </c>
      <c r="BI429" s="59" t="str">
        <f t="shared" si="418"/>
        <v>-0.00262830544594962-0.0189244159395177i</v>
      </c>
      <c r="BJ429" s="64">
        <f t="shared" si="419"/>
        <v>-34.376577499439314</v>
      </c>
      <c r="BK429" s="61">
        <f t="shared" si="420"/>
        <v>-97.906908275342616</v>
      </c>
      <c r="BL429" s="59" t="str">
        <f t="shared" si="371"/>
        <v>0.0258374407578049-0.0180406230927656i</v>
      </c>
      <c r="BM429" s="64">
        <f t="shared" si="421"/>
        <v>-30.030343831148461</v>
      </c>
      <c r="BN429" s="61">
        <f t="shared" si="372"/>
        <v>-34.924119706653457</v>
      </c>
      <c r="BO429" s="50">
        <f t="shared" si="422"/>
        <v>-34.376577499439314</v>
      </c>
      <c r="BP429" s="61">
        <f t="shared" si="423"/>
        <v>-97.906908275342616</v>
      </c>
    </row>
    <row r="430" spans="14:68" x14ac:dyDescent="0.25">
      <c r="N430" s="11">
        <v>12</v>
      </c>
      <c r="O430" s="51">
        <f t="shared" si="424"/>
        <v>131825.67385564081</v>
      </c>
      <c r="P430" s="49" t="str">
        <f t="shared" si="374"/>
        <v>25.6231073841137</v>
      </c>
      <c r="Q430" s="18" t="str">
        <f t="shared" si="375"/>
        <v>1+716.284316656201i</v>
      </c>
      <c r="R430" s="18">
        <f t="shared" si="387"/>
        <v>716.28501470269555</v>
      </c>
      <c r="S430" s="18">
        <f t="shared" si="388"/>
        <v>1.5694002340324911</v>
      </c>
      <c r="T430" s="18" t="str">
        <f t="shared" si="376"/>
        <v>1+0.74545662337093i</v>
      </c>
      <c r="U430" s="18">
        <f t="shared" si="389"/>
        <v>1.2472792699823037</v>
      </c>
      <c r="V430" s="18">
        <f t="shared" si="390"/>
        <v>0.64058700083441333</v>
      </c>
      <c r="W430" s="32" t="str">
        <f t="shared" si="377"/>
        <v>1-16.7037502644227i</v>
      </c>
      <c r="X430" s="18">
        <f t="shared" si="391"/>
        <v>16.733656889520635</v>
      </c>
      <c r="Y430" s="18">
        <f t="shared" si="392"/>
        <v>-1.5110008994832302</v>
      </c>
      <c r="Z430" s="32" t="str">
        <f t="shared" si="378"/>
        <v>0.565549792812657+1.32249526886917i</v>
      </c>
      <c r="AA430" s="18">
        <f t="shared" si="393"/>
        <v>1.4383463784262043</v>
      </c>
      <c r="AB430" s="18">
        <f t="shared" si="394"/>
        <v>1.1666930345264457</v>
      </c>
      <c r="AC430" s="32" t="str">
        <f>IMDIV(IMSUM(COMPLEX(0,2*PI()*O430*Constants!$B$71*Constants!$B$72),COMPLEX(1,0)),IMSUM(COMPLEX(0,2*PI()*O430*Constants!$B$71*Constants!$B$72),COMPLEX(2,0)))</f>
        <v>0.86646101924379+0.221216705962044i</v>
      </c>
      <c r="AD430" s="18">
        <f t="shared" si="395"/>
        <v>0.89425473376755726</v>
      </c>
      <c r="AE430" s="18">
        <f t="shared" si="396"/>
        <v>0.2499706208945851</v>
      </c>
      <c r="AF430" s="66" t="str">
        <f t="shared" si="397"/>
        <v>-0.453510816695103+0.0990088628923738i</v>
      </c>
      <c r="AG430" s="64">
        <f t="shared" si="398"/>
        <v>-6.6660348189430412</v>
      </c>
      <c r="AH430" s="61">
        <f t="shared" si="399"/>
        <v>167.68462211483777</v>
      </c>
      <c r="AI430" s="50" t="str">
        <f t="shared" si="379"/>
        <v>108.866083054159</v>
      </c>
      <c r="AJ430" s="50" t="str">
        <f t="shared" si="380"/>
        <v>1+677.687839428119i</v>
      </c>
      <c r="AK430" s="50">
        <f t="shared" si="400"/>
        <v>677.68857723053884</v>
      </c>
      <c r="AL430" s="50">
        <f t="shared" si="401"/>
        <v>1.5693207222229733</v>
      </c>
      <c r="AM430" s="50" t="str">
        <f t="shared" si="381"/>
        <v>1+0.74545662337093i</v>
      </c>
      <c r="AN430" s="50">
        <f t="shared" si="402"/>
        <v>1.2472792699823037</v>
      </c>
      <c r="AO430" s="50">
        <f t="shared" si="403"/>
        <v>0.64058700083441333</v>
      </c>
      <c r="AP430" s="50" t="str">
        <f t="shared" si="382"/>
        <v>1-3.71960590351955i</v>
      </c>
      <c r="AQ430" s="50">
        <f t="shared" si="404"/>
        <v>3.8516837977042568</v>
      </c>
      <c r="AR430" s="50">
        <f t="shared" si="405"/>
        <v>-1.3081606869234006</v>
      </c>
      <c r="AS430" s="59" t="str">
        <f t="shared" si="406"/>
        <v>-0.47688210387057-0.606779914144481i</v>
      </c>
      <c r="AT430" s="50">
        <f t="shared" si="407"/>
        <v>-2.2504647380307796</v>
      </c>
      <c r="AU430" s="61">
        <f t="shared" si="408"/>
        <v>-128.16460881268884</v>
      </c>
      <c r="AV430" s="32" t="str">
        <f t="shared" si="383"/>
        <v>-0.0000333333333333333</v>
      </c>
      <c r="AW430" s="32" t="str">
        <f t="shared" si="384"/>
        <v>0.0397576865797829i</v>
      </c>
      <c r="AX430" s="32">
        <f t="shared" si="409"/>
        <v>3.9757686579782903E-2</v>
      </c>
      <c r="AY430" s="32">
        <f t="shared" si="410"/>
        <v>1.5707963267948966</v>
      </c>
      <c r="AZ430" s="32" t="str">
        <f t="shared" si="385"/>
        <v>1+16.22058393446i</v>
      </c>
      <c r="BA430" s="32">
        <f t="shared" si="411"/>
        <v>16.251379731421629</v>
      </c>
      <c r="BB430" s="32">
        <f t="shared" si="412"/>
        <v>1.5092241925677869</v>
      </c>
      <c r="BC430" s="32" t="str">
        <f t="shared" si="386"/>
        <v>1+778.588028854083i</v>
      </c>
      <c r="BD430" s="32">
        <f t="shared" si="413"/>
        <v>778.58867104196054</v>
      </c>
      <c r="BE430" s="32">
        <f t="shared" si="414"/>
        <v>1.5695119512161992</v>
      </c>
      <c r="BF430" s="59" t="str">
        <f t="shared" si="415"/>
        <v>-0.00242014566144626+0.0400945881322233i</v>
      </c>
      <c r="BG430" s="50">
        <f t="shared" si="416"/>
        <v>-27.922490369602873</v>
      </c>
      <c r="BH430" s="61">
        <f t="shared" si="417"/>
        <v>93.454234126857344</v>
      </c>
      <c r="BI430" s="59" t="str">
        <f t="shared" si="418"/>
        <v>-0.00287215734366589-0.0184229452788721i</v>
      </c>
      <c r="BJ430" s="64">
        <f t="shared" si="419"/>
        <v>-34.588525188545908</v>
      </c>
      <c r="BK430" s="61">
        <f t="shared" si="420"/>
        <v>-98.861143758304863</v>
      </c>
      <c r="BL430" s="59" t="str">
        <f t="shared" si="371"/>
        <v>0.0254827148992325-0.0176518957656491i</v>
      </c>
      <c r="BM430" s="64">
        <f t="shared" si="421"/>
        <v>-30.172955107633662</v>
      </c>
      <c r="BN430" s="61">
        <f t="shared" si="372"/>
        <v>-34.710374685831461</v>
      </c>
      <c r="BO430" s="50">
        <f t="shared" si="422"/>
        <v>-34.588525188545908</v>
      </c>
      <c r="BP430" s="61">
        <f t="shared" si="423"/>
        <v>-98.861143758304863</v>
      </c>
    </row>
    <row r="431" spans="14:68" x14ac:dyDescent="0.25">
      <c r="N431" s="11">
        <v>13</v>
      </c>
      <c r="O431" s="51">
        <f t="shared" si="424"/>
        <v>134896.28825916545</v>
      </c>
      <c r="P431" s="49" t="str">
        <f t="shared" si="374"/>
        <v>25.6231073841137</v>
      </c>
      <c r="Q431" s="18" t="str">
        <f t="shared" si="375"/>
        <v>1+732.9687217149i</v>
      </c>
      <c r="R431" s="18">
        <f t="shared" si="387"/>
        <v>732.96940387193149</v>
      </c>
      <c r="S431" s="18">
        <f t="shared" si="388"/>
        <v>1.5694320129436732</v>
      </c>
      <c r="T431" s="18" t="str">
        <f t="shared" si="376"/>
        <v>1+0.762820538744746i</v>
      </c>
      <c r="U431" s="18">
        <f t="shared" si="389"/>
        <v>1.2577341429454894</v>
      </c>
      <c r="V431" s="18">
        <f t="shared" si="390"/>
        <v>0.65165588834696397</v>
      </c>
      <c r="W431" s="32" t="str">
        <f t="shared" si="377"/>
        <v>1-17.0928305903915i</v>
      </c>
      <c r="X431" s="18">
        <f t="shared" si="391"/>
        <v>17.122057633118267</v>
      </c>
      <c r="Y431" s="18">
        <f t="shared" si="392"/>
        <v>-1.5123588770326841</v>
      </c>
      <c r="Z431" s="32" t="str">
        <f t="shared" si="378"/>
        <v>0.545074785347505+1.35330014095827i</v>
      </c>
      <c r="AA431" s="18">
        <f t="shared" si="393"/>
        <v>1.4589474949905847</v>
      </c>
      <c r="AB431" s="18">
        <f t="shared" si="394"/>
        <v>1.1879004314487482</v>
      </c>
      <c r="AC431" s="32" t="str">
        <f>IMDIV(IMSUM(COMPLEX(0,2*PI()*O431*Constants!$B$71*Constants!$B$72),COMPLEX(1,0)),IMSUM(COMPLEX(0,2*PI()*O431*Constants!$B$71*Constants!$B$72),COMPLEX(2,0)))</f>
        <v>0.870919654641708+0.218811419083488i</v>
      </c>
      <c r="AD431" s="18">
        <f t="shared" si="395"/>
        <v>0.89798634842772629</v>
      </c>
      <c r="AE431" s="18">
        <f t="shared" si="396"/>
        <v>0.24614707132773889</v>
      </c>
      <c r="AF431" s="66" t="str">
        <f t="shared" si="397"/>
        <v>-0.451129179375912+0.105769628786318i</v>
      </c>
      <c r="AG431" s="64">
        <f t="shared" si="398"/>
        <v>-6.6815834564955878</v>
      </c>
      <c r="AH431" s="61">
        <f t="shared" si="399"/>
        <v>166.80502788242055</v>
      </c>
      <c r="AI431" s="50" t="str">
        <f t="shared" si="379"/>
        <v>108.866083054159</v>
      </c>
      <c r="AJ431" s="50" t="str">
        <f t="shared" si="380"/>
        <v>1+693.473217040679i</v>
      </c>
      <c r="AK431" s="50">
        <f t="shared" si="400"/>
        <v>693.47393804868295</v>
      </c>
      <c r="AL431" s="50">
        <f t="shared" si="401"/>
        <v>1.569354311036695</v>
      </c>
      <c r="AM431" s="50" t="str">
        <f t="shared" si="381"/>
        <v>1+0.762820538744746i</v>
      </c>
      <c r="AN431" s="50">
        <f t="shared" si="402"/>
        <v>1.2577341429454894</v>
      </c>
      <c r="AO431" s="50">
        <f t="shared" si="403"/>
        <v>0.65165588834696397</v>
      </c>
      <c r="AP431" s="50" t="str">
        <f t="shared" si="382"/>
        <v>1-3.80624665511768i</v>
      </c>
      <c r="AQ431" s="50">
        <f t="shared" si="404"/>
        <v>3.9354178430751832</v>
      </c>
      <c r="AR431" s="50">
        <f t="shared" si="405"/>
        <v>-1.3138765668743226</v>
      </c>
      <c r="AS431" s="59" t="str">
        <f t="shared" si="406"/>
        <v>-0.476892819424309-0.613482684476983i</v>
      </c>
      <c r="AT431" s="50">
        <f t="shared" si="407"/>
        <v>-2.191156913882045</v>
      </c>
      <c r="AU431" s="61">
        <f t="shared" si="408"/>
        <v>-127.85982856897097</v>
      </c>
      <c r="AV431" s="32" t="str">
        <f t="shared" si="383"/>
        <v>-0.0000333333333333333</v>
      </c>
      <c r="AW431" s="32" t="str">
        <f t="shared" si="384"/>
        <v>0.0406837620663864i</v>
      </c>
      <c r="AX431" s="32">
        <f t="shared" si="409"/>
        <v>4.0683762066386402E-2</v>
      </c>
      <c r="AY431" s="32">
        <f t="shared" si="410"/>
        <v>1.5707963267948966</v>
      </c>
      <c r="AZ431" s="32" t="str">
        <f t="shared" si="385"/>
        <v>1+16.5984098708347i</v>
      </c>
      <c r="BA431" s="32">
        <f t="shared" si="411"/>
        <v>16.628505953338767</v>
      </c>
      <c r="BB431" s="32">
        <f t="shared" si="412"/>
        <v>1.5106223254195046</v>
      </c>
      <c r="BC431" s="32" t="str">
        <f t="shared" si="386"/>
        <v>1+796.723673800069i</v>
      </c>
      <c r="BD431" s="32">
        <f t="shared" si="413"/>
        <v>796.72430136997752</v>
      </c>
      <c r="BE431" s="32">
        <f t="shared" si="414"/>
        <v>1.5695411871426441</v>
      </c>
      <c r="BF431" s="59" t="str">
        <f t="shared" si="415"/>
        <v>-0.00231161509381777+0.0391884624940433i</v>
      </c>
      <c r="BG431" s="50">
        <f t="shared" si="416"/>
        <v>-28.121750533253049</v>
      </c>
      <c r="BH431" s="61">
        <f t="shared" si="417"/>
        <v>93.375802110450778</v>
      </c>
      <c r="BI431" s="59" t="str">
        <f t="shared" si="418"/>
        <v>-0.00310211211039452-0.0179235575963114i</v>
      </c>
      <c r="BJ431" s="64">
        <f t="shared" si="419"/>
        <v>-34.803333989748644</v>
      </c>
      <c r="BK431" s="61">
        <f t="shared" si="420"/>
        <v>-99.819170007128662</v>
      </c>
      <c r="BL431" s="59" t="str">
        <f t="shared" si="371"/>
        <v>0.0251438358108858-0.0172705605344553i</v>
      </c>
      <c r="BM431" s="64">
        <f t="shared" si="421"/>
        <v>-30.312907447135085</v>
      </c>
      <c r="BN431" s="61">
        <f t="shared" si="372"/>
        <v>-34.484026458520269</v>
      </c>
      <c r="BO431" s="50">
        <f t="shared" si="422"/>
        <v>-34.803333989748644</v>
      </c>
      <c r="BP431" s="61">
        <f t="shared" si="423"/>
        <v>-99.819170007128662</v>
      </c>
    </row>
    <row r="432" spans="14:68" x14ac:dyDescent="0.25">
      <c r="N432" s="11">
        <v>14</v>
      </c>
      <c r="O432" s="51">
        <f t="shared" si="424"/>
        <v>138038.42646028858</v>
      </c>
      <c r="P432" s="49" t="str">
        <f t="shared" si="374"/>
        <v>25.6231073841137</v>
      </c>
      <c r="Q432" s="18" t="str">
        <f t="shared" si="375"/>
        <v>1+750.041756491839i</v>
      </c>
      <c r="R432" s="18">
        <f t="shared" si="387"/>
        <v>750.04242312109454</v>
      </c>
      <c r="S432" s="18">
        <f t="shared" si="388"/>
        <v>1.5694630684811846</v>
      </c>
      <c r="T432" s="18" t="str">
        <f t="shared" si="376"/>
        <v>1+0.780588911665328i</v>
      </c>
      <c r="U432" s="18">
        <f t="shared" si="389"/>
        <v>1.2685893933873407</v>
      </c>
      <c r="V432" s="18">
        <f t="shared" si="390"/>
        <v>0.66279233679310501</v>
      </c>
      <c r="W432" s="32" t="str">
        <f t="shared" si="377"/>
        <v>1-17.4909737613898i</v>
      </c>
      <c r="X432" s="18">
        <f t="shared" si="391"/>
        <v>17.519536612639801</v>
      </c>
      <c r="Y432" s="18">
        <f t="shared" si="392"/>
        <v>-1.5136861517720621</v>
      </c>
      <c r="Z432" s="32" t="str">
        <f t="shared" si="378"/>
        <v>0.523634820509188+1.38482255069516i</v>
      </c>
      <c r="AA432" s="18">
        <f t="shared" si="393"/>
        <v>1.4805157622138099</v>
      </c>
      <c r="AB432" s="18">
        <f t="shared" si="394"/>
        <v>1.2092895114575306</v>
      </c>
      <c r="AC432" s="32" t="str">
        <f>IMDIV(IMSUM(COMPLEX(0,2*PI()*O432*Constants!$B$71*Constants!$B$72),COMPLEX(1,0)),IMSUM(COMPLEX(0,2*PI()*O432*Constants!$B$71*Constants!$B$72),COMPLEX(2,0)))</f>
        <v>0.875280088434896+0.216344400070223i</v>
      </c>
      <c r="AD432" s="18">
        <f t="shared" si="395"/>
        <v>0.90162083641203872</v>
      </c>
      <c r="AE432" s="18">
        <f t="shared" si="396"/>
        <v>0.24231489483631705</v>
      </c>
      <c r="AF432" s="66" t="str">
        <f t="shared" si="397"/>
        <v>-0.448490682722303+0.112484983209848i</v>
      </c>
      <c r="AG432" s="64">
        <f t="shared" si="398"/>
        <v>-6.6999887263137801</v>
      </c>
      <c r="AH432" s="61">
        <f t="shared" si="399"/>
        <v>165.92020123362025</v>
      </c>
      <c r="AI432" s="50" t="str">
        <f t="shared" si="379"/>
        <v>108.866083054159</v>
      </c>
      <c r="AJ432" s="50" t="str">
        <f t="shared" si="380"/>
        <v>1+709.626283332117i</v>
      </c>
      <c r="AK432" s="50">
        <f t="shared" si="400"/>
        <v>709.62698792799176</v>
      </c>
      <c r="AL432" s="50">
        <f t="shared" si="401"/>
        <v>1.5693871352788156</v>
      </c>
      <c r="AM432" s="50" t="str">
        <f t="shared" si="381"/>
        <v>1+0.780588911665328i</v>
      </c>
      <c r="AN432" s="50">
        <f t="shared" si="402"/>
        <v>1.2685893933873407</v>
      </c>
      <c r="AO432" s="50">
        <f t="shared" si="403"/>
        <v>0.66279233679310501</v>
      </c>
      <c r="AP432" s="50" t="str">
        <f t="shared" si="382"/>
        <v>1-3.89490552907398i</v>
      </c>
      <c r="AQ432" s="50">
        <f t="shared" si="404"/>
        <v>4.021229797016213</v>
      </c>
      <c r="AR432" s="50">
        <f t="shared" si="405"/>
        <v>-1.3194789749659781</v>
      </c>
      <c r="AS432" s="59" t="str">
        <f t="shared" si="406"/>
        <v>-0.476903052700646-0.620510730057922i</v>
      </c>
      <c r="AT432" s="50">
        <f t="shared" si="407"/>
        <v>-2.1291511679853787</v>
      </c>
      <c r="AU432" s="61">
        <f t="shared" si="408"/>
        <v>-127.54463210354314</v>
      </c>
      <c r="AV432" s="32" t="str">
        <f t="shared" si="383"/>
        <v>-0.0000333333333333333</v>
      </c>
      <c r="AW432" s="32" t="str">
        <f t="shared" si="384"/>
        <v>0.0416314086221508i</v>
      </c>
      <c r="AX432" s="32">
        <f t="shared" si="409"/>
        <v>4.1631408622150798E-2</v>
      </c>
      <c r="AY432" s="32">
        <f t="shared" si="410"/>
        <v>1.5707963267948966</v>
      </c>
      <c r="AZ432" s="32" t="str">
        <f t="shared" si="385"/>
        <v>1+16.9850365038289i</v>
      </c>
      <c r="BA432" s="32">
        <f t="shared" si="411"/>
        <v>17.014448713854947</v>
      </c>
      <c r="BB432" s="32">
        <f t="shared" si="412"/>
        <v>1.5119888605163527</v>
      </c>
      <c r="BC432" s="32" t="str">
        <f t="shared" si="386"/>
        <v>1+815.281752183788i</v>
      </c>
      <c r="BD432" s="32">
        <f t="shared" si="413"/>
        <v>815.28236546847211</v>
      </c>
      <c r="BE432" s="32">
        <f t="shared" si="414"/>
        <v>1.5695697575802285</v>
      </c>
      <c r="BF432" s="59" t="str">
        <f t="shared" si="415"/>
        <v>-0.00220793466453448+0.0383025284029613i</v>
      </c>
      <c r="BG432" s="50">
        <f t="shared" si="416"/>
        <v>-28.321043877249462</v>
      </c>
      <c r="BH432" s="61">
        <f t="shared" si="417"/>
        <v>93.299142382337322</v>
      </c>
      <c r="BI432" s="59" t="str">
        <f t="shared" si="418"/>
        <v>-0.00331822113919852-0.0174266866071031i</v>
      </c>
      <c r="BJ432" s="64">
        <f t="shared" si="419"/>
        <v>-35.021032603563249</v>
      </c>
      <c r="BK432" s="61">
        <f t="shared" si="420"/>
        <v>-100.78065638404244</v>
      </c>
      <c r="BL432" s="59" t="str">
        <f t="shared" si="371"/>
        <v>0.0248201006440659-0.016896545570915i</v>
      </c>
      <c r="BM432" s="64">
        <f t="shared" si="421"/>
        <v>-30.450195045234828</v>
      </c>
      <c r="BN432" s="61">
        <f t="shared" si="372"/>
        <v>-34.245489721205864</v>
      </c>
      <c r="BO432" s="50">
        <f t="shared" si="422"/>
        <v>-35.021032603563249</v>
      </c>
      <c r="BP432" s="61">
        <f t="shared" si="423"/>
        <v>-100.78065638404244</v>
      </c>
    </row>
    <row r="433" spans="14:68" x14ac:dyDescent="0.25">
      <c r="N433" s="11">
        <v>15</v>
      </c>
      <c r="O433" s="51">
        <f t="shared" si="424"/>
        <v>141253.75446227577</v>
      </c>
      <c r="P433" s="49" t="str">
        <f t="shared" si="374"/>
        <v>25.6231073841137</v>
      </c>
      <c r="Q433" s="18" t="str">
        <f t="shared" si="375"/>
        <v>1+767.512473336048i</v>
      </c>
      <c r="R433" s="18">
        <f t="shared" si="387"/>
        <v>767.51312479098215</v>
      </c>
      <c r="S433" s="18">
        <f t="shared" si="388"/>
        <v>1.5694934171108423</v>
      </c>
      <c r="T433" s="18" t="str">
        <f t="shared" si="376"/>
        <v>1+0.798771163159192i</v>
      </c>
      <c r="U433" s="18">
        <f t="shared" si="389"/>
        <v>1.2798575589082906</v>
      </c>
      <c r="V433" s="18">
        <f t="shared" si="390"/>
        <v>0.67399120218873476</v>
      </c>
      <c r="W433" s="32" t="str">
        <f t="shared" si="377"/>
        <v>1-17.8983908781967i</v>
      </c>
      <c r="X433" s="18">
        <f t="shared" si="391"/>
        <v>17.926304583731554</v>
      </c>
      <c r="Y433" s="18">
        <f t="shared" si="392"/>
        <v>-1.5149834087237817</v>
      </c>
      <c r="Z433" s="32" t="str">
        <f t="shared" si="378"/>
        <v>0.501184421257778+1.41707921167871i</v>
      </c>
      <c r="AA433" s="18">
        <f t="shared" si="393"/>
        <v>1.503096575833851</v>
      </c>
      <c r="AB433" s="18">
        <f t="shared" si="394"/>
        <v>1.2308519946784011</v>
      </c>
      <c r="AC433" s="32" t="str">
        <f>IMDIV(IMSUM(COMPLEX(0,2*PI()*O433*Constants!$B$71*Constants!$B$72),COMPLEX(1,0)),IMSUM(COMPLEX(0,2*PI()*O433*Constants!$B$71*Constants!$B$72),COMPLEX(2,0)))</f>
        <v>0.879541059803188+0.213820283942068i</v>
      </c>
      <c r="AD433" s="18">
        <f t="shared" si="395"/>
        <v>0.90515832300475585</v>
      </c>
      <c r="AE433" s="18">
        <f t="shared" si="396"/>
        <v>0.23847821218034182</v>
      </c>
      <c r="AF433" s="66" t="str">
        <f t="shared" si="397"/>
        <v>-0.445596481307708+0.119142872927934i</v>
      </c>
      <c r="AG433" s="64">
        <f t="shared" si="398"/>
        <v>-6.7212788300203785</v>
      </c>
      <c r="AH433" s="61">
        <f t="shared" si="399"/>
        <v>165.03051775155797</v>
      </c>
      <c r="AI433" s="50" t="str">
        <f t="shared" si="379"/>
        <v>108.866083054159</v>
      </c>
      <c r="AJ433" s="50" t="str">
        <f t="shared" si="380"/>
        <v>1+726.155602871994i</v>
      </c>
      <c r="AK433" s="50">
        <f t="shared" si="400"/>
        <v>726.1562914293238</v>
      </c>
      <c r="AL433" s="50">
        <f t="shared" si="401"/>
        <v>1.5694192123528998</v>
      </c>
      <c r="AM433" s="50" t="str">
        <f t="shared" si="381"/>
        <v>1+0.798771163159192i</v>
      </c>
      <c r="AN433" s="50">
        <f t="shared" si="402"/>
        <v>1.2798575589082906</v>
      </c>
      <c r="AO433" s="50">
        <f t="shared" si="403"/>
        <v>0.67399120218873476</v>
      </c>
      <c r="AP433" s="50" t="str">
        <f t="shared" si="382"/>
        <v>1-3.98562953349698i</v>
      </c>
      <c r="AQ433" s="50">
        <f t="shared" si="404"/>
        <v>4.1091657034346216</v>
      </c>
      <c r="AR433" s="50">
        <f t="shared" si="405"/>
        <v>-1.3249694743408489</v>
      </c>
      <c r="AS433" s="59" t="str">
        <f t="shared" si="406"/>
        <v>-0.476912825405466-0.627867777342954i</v>
      </c>
      <c r="AT433" s="50">
        <f t="shared" si="407"/>
        <v>-2.0644442900551461</v>
      </c>
      <c r="AU433" s="61">
        <f t="shared" si="408"/>
        <v>-127.21940470360188</v>
      </c>
      <c r="AV433" s="32" t="str">
        <f t="shared" si="383"/>
        <v>-0.0000333333333333333</v>
      </c>
      <c r="AW433" s="32" t="str">
        <f t="shared" si="384"/>
        <v>0.0426011287018236i</v>
      </c>
      <c r="AX433" s="32">
        <f t="shared" si="409"/>
        <v>4.2601128701823601E-2</v>
      </c>
      <c r="AY433" s="32">
        <f t="shared" si="410"/>
        <v>1.5707963267948966</v>
      </c>
      <c r="AZ433" s="32" t="str">
        <f t="shared" si="385"/>
        <v>1+17.3806688280009i</v>
      </c>
      <c r="BA433" s="32">
        <f t="shared" si="411"/>
        <v>17.409412652603827</v>
      </c>
      <c r="BB433" s="32">
        <f t="shared" si="412"/>
        <v>1.5133245019866504</v>
      </c>
      <c r="BC433" s="32" t="str">
        <f t="shared" si="386"/>
        <v>1+834.272103744047i</v>
      </c>
      <c r="BD433" s="32">
        <f t="shared" si="413"/>
        <v>834.27270306867752</v>
      </c>
      <c r="BE433" s="32">
        <f t="shared" si="414"/>
        <v>1.5695976776771901</v>
      </c>
      <c r="BF433" s="59" t="str">
        <f t="shared" si="415"/>
        <v>-0.00210888910532083+0.0374363550166843i</v>
      </c>
      <c r="BG433" s="50">
        <f t="shared" si="416"/>
        <v>-28.520368918558102</v>
      </c>
      <c r="BH433" s="61">
        <f t="shared" si="417"/>
        <v>93.224215466866099</v>
      </c>
      <c r="BI433" s="59" t="str">
        <f t="shared" si="418"/>
        <v>-0.00352056132383872-0.016932767175115i</v>
      </c>
      <c r="BJ433" s="64">
        <f t="shared" si="419"/>
        <v>-35.241647748578494</v>
      </c>
      <c r="BK433" s="61">
        <f t="shared" si="420"/>
        <v>-101.74526678157595</v>
      </c>
      <c r="BL433" s="59" t="str">
        <f t="shared" si="371"/>
        <v>0.0245108372778327-0.0165297743286684i</v>
      </c>
      <c r="BM433" s="64">
        <f t="shared" si="421"/>
        <v>-30.584813208613252</v>
      </c>
      <c r="BN433" s="61">
        <f t="shared" si="372"/>
        <v>-33.995189236735712</v>
      </c>
      <c r="BO433" s="50">
        <f t="shared" si="422"/>
        <v>-35.241647748578494</v>
      </c>
      <c r="BP433" s="61">
        <f t="shared" si="423"/>
        <v>-101.74526678157595</v>
      </c>
    </row>
    <row r="434" spans="14:68" x14ac:dyDescent="0.25">
      <c r="N434" s="11">
        <v>16</v>
      </c>
      <c r="O434" s="51">
        <f t="shared" si="424"/>
        <v>144543.97707459307</v>
      </c>
      <c r="P434" s="49" t="str">
        <f t="shared" si="374"/>
        <v>25.6231073841137</v>
      </c>
      <c r="Q434" s="18" t="str">
        <f t="shared" si="375"/>
        <v>1+785.390135452847i</v>
      </c>
      <c r="R434" s="18">
        <f t="shared" si="387"/>
        <v>785.39077207886851</v>
      </c>
      <c r="S434" s="18">
        <f t="shared" si="388"/>
        <v>1.5695230749236679</v>
      </c>
      <c r="T434" s="18" t="str">
        <f t="shared" si="376"/>
        <v>1+0.817376933696748i</v>
      </c>
      <c r="U434" s="18">
        <f t="shared" si="389"/>
        <v>1.2915514127356673</v>
      </c>
      <c r="V434" s="18">
        <f t="shared" si="390"/>
        <v>0.68524718690412412</v>
      </c>
      <c r="W434" s="32" t="str">
        <f t="shared" si="377"/>
        <v>1-18.3152979587605i</v>
      </c>
      <c r="X434" s="18">
        <f t="shared" si="391"/>
        <v>18.342577226719708</v>
      </c>
      <c r="Y434" s="18">
        <f t="shared" si="392"/>
        <v>-1.5162513182357868</v>
      </c>
      <c r="Z434" s="32" t="str">
        <f t="shared" si="378"/>
        <v>0.477675967286489+1.45008722681756i</v>
      </c>
      <c r="AA434" s="18">
        <f t="shared" si="393"/>
        <v>1.5267374676422021</v>
      </c>
      <c r="AB434" s="18">
        <f t="shared" si="394"/>
        <v>1.2525792177751753</v>
      </c>
      <c r="AC434" s="32" t="str">
        <f>IMDIV(IMSUM(COMPLEX(0,2*PI()*O434*Constants!$B$71*Constants!$B$72),COMPLEX(1,0)),IMSUM(COMPLEX(0,2*PI()*O434*Constants!$B$71*Constants!$B$72),COMPLEX(2,0)))</f>
        <v>0.883701570766561+0.211243674401281i</v>
      </c>
      <c r="AD434" s="18">
        <f t="shared" si="395"/>
        <v>0.90859911740538335</v>
      </c>
      <c r="AE434" s="18">
        <f t="shared" si="396"/>
        <v>0.23464097568552705</v>
      </c>
      <c r="AF434" s="66" t="str">
        <f t="shared" si="397"/>
        <v>-0.442448454807783+0.125731272325661i</v>
      </c>
      <c r="AG434" s="64">
        <f t="shared" si="398"/>
        <v>-6.7454799129882312</v>
      </c>
      <c r="AH434" s="61">
        <f t="shared" si="399"/>
        <v>164.13635739853601</v>
      </c>
      <c r="AI434" s="50" t="str">
        <f t="shared" si="379"/>
        <v>108.866083054159</v>
      </c>
      <c r="AJ434" s="50" t="str">
        <f t="shared" si="380"/>
        <v>1+743.069939724317i</v>
      </c>
      <c r="AK434" s="50">
        <f t="shared" si="400"/>
        <v>743.07061260818273</v>
      </c>
      <c r="AL434" s="50">
        <f t="shared" si="401"/>
        <v>1.5694505592663728</v>
      </c>
      <c r="AM434" s="50" t="str">
        <f t="shared" si="381"/>
        <v>1+0.817376933696748i</v>
      </c>
      <c r="AN434" s="50">
        <f t="shared" si="402"/>
        <v>1.2915514127356673</v>
      </c>
      <c r="AO434" s="50">
        <f t="shared" si="403"/>
        <v>0.68524718690412412</v>
      </c>
      <c r="AP434" s="50" t="str">
        <f t="shared" si="382"/>
        <v>1-4.07846677145467i</v>
      </c>
      <c r="AQ434" s="50">
        <f t="shared" si="404"/>
        <v>4.1992726996302441</v>
      </c>
      <c r="AR434" s="50">
        <f t="shared" si="405"/>
        <v>-1.3303496514589517</v>
      </c>
      <c r="AS434" s="59" t="str">
        <f t="shared" si="406"/>
        <v>-0.476922158267746-0.635557727222595i</v>
      </c>
      <c r="AT434" s="50">
        <f t="shared" si="407"/>
        <v>-1.9970342217567159</v>
      </c>
      <c r="AU434" s="61">
        <f t="shared" si="408"/>
        <v>-126.88454177288921</v>
      </c>
      <c r="AV434" s="32" t="str">
        <f t="shared" si="383"/>
        <v>-0.0000333333333333333</v>
      </c>
      <c r="AW434" s="32" t="str">
        <f t="shared" si="384"/>
        <v>0.0435934364638265i</v>
      </c>
      <c r="AX434" s="32">
        <f t="shared" si="409"/>
        <v>4.3593436463826497E-2</v>
      </c>
      <c r="AY434" s="32">
        <f t="shared" si="410"/>
        <v>1.5707963267948966</v>
      </c>
      <c r="AZ434" s="32" t="str">
        <f t="shared" si="385"/>
        <v>1+17.7855166128459i</v>
      </c>
      <c r="BA434" s="32">
        <f t="shared" si="411"/>
        <v>17.813607191858068</v>
      </c>
      <c r="BB434" s="32">
        <f t="shared" si="412"/>
        <v>1.5146299389327893</v>
      </c>
      <c r="BC434" s="32" t="str">
        <f t="shared" si="386"/>
        <v>1+853.704797416605i</v>
      </c>
      <c r="BD434" s="32">
        <f t="shared" si="413"/>
        <v>853.70538309895096</v>
      </c>
      <c r="BE434" s="32">
        <f t="shared" si="414"/>
        <v>1.5696249622369591</v>
      </c>
      <c r="BF434" s="59" t="str">
        <f t="shared" si="415"/>
        <v>-0.00201427257247684+0.0365895194034046i</v>
      </c>
      <c r="BG434" s="50">
        <f t="shared" si="416"/>
        <v>-28.719724239988906</v>
      </c>
      <c r="BH434" s="61">
        <f t="shared" si="417"/>
        <v>93.150982729552553</v>
      </c>
      <c r="BI434" s="59" t="str">
        <f t="shared" si="418"/>
        <v>-0.00370923504112045-0.016442233375544i</v>
      </c>
      <c r="BJ434" s="64">
        <f t="shared" si="419"/>
        <v>-35.465204152977115</v>
      </c>
      <c r="BK434" s="61">
        <f t="shared" si="420"/>
        <v>-102.71265987191141</v>
      </c>
      <c r="BL434" s="59" t="str">
        <f t="shared" ref="BL434:BL497" si="425">IMPRODUCT(AS434,BF434)</f>
        <v>0.0242154030148001-0.0161701660656811i</v>
      </c>
      <c r="BM434" s="64">
        <f t="shared" si="421"/>
        <v>-30.716758461745609</v>
      </c>
      <c r="BN434" s="61">
        <f t="shared" ref="BN434:BN497" si="426">(180/PI())*IMARGUMENT(BL434)</f>
        <v>-33.733559043336598</v>
      </c>
      <c r="BO434" s="50">
        <f t="shared" si="422"/>
        <v>-35.465204152977115</v>
      </c>
      <c r="BP434" s="61">
        <f t="shared" si="423"/>
        <v>-102.71265987191141</v>
      </c>
    </row>
    <row r="435" spans="14:68" x14ac:dyDescent="0.25">
      <c r="N435" s="11">
        <v>17</v>
      </c>
      <c r="O435" s="51">
        <f t="shared" si="424"/>
        <v>147910.83881682079</v>
      </c>
      <c r="P435" s="49" t="str">
        <f t="shared" si="374"/>
        <v>25.6231073841137</v>
      </c>
      <c r="Q435" s="18" t="str">
        <f t="shared" si="375"/>
        <v>1+803.684221815329i</v>
      </c>
      <c r="R435" s="18">
        <f t="shared" si="387"/>
        <v>803.6848439499845</v>
      </c>
      <c r="S435" s="18">
        <f t="shared" si="388"/>
        <v>1.5695520576444177</v>
      </c>
      <c r="T435" s="18" t="str">
        <f t="shared" si="376"/>
        <v>1+0.836416088303811i</v>
      </c>
      <c r="U435" s="18">
        <f t="shared" si="389"/>
        <v>1.3036839619990148</v>
      </c>
      <c r="V435" s="18">
        <f t="shared" si="390"/>
        <v>0.69655485087250368</v>
      </c>
      <c r="W435" s="32" t="str">
        <f t="shared" si="377"/>
        <v>1-18.7419160527335i</v>
      </c>
      <c r="X435" s="18">
        <f t="shared" si="391"/>
        <v>18.768575260997029</v>
      </c>
      <c r="Y435" s="18">
        <f t="shared" si="392"/>
        <v>-1.5174905362549715</v>
      </c>
      <c r="Z435" s="32" t="str">
        <f t="shared" si="378"/>
        <v>0.453059594012613+1.48386409739824i</v>
      </c>
      <c r="AA435" s="18">
        <f t="shared" si="393"/>
        <v>1.5514882066178806</v>
      </c>
      <c r="AB435" s="18">
        <f t="shared" si="394"/>
        <v>1.2744621461841699</v>
      </c>
      <c r="AC435" s="32" t="str">
        <f>IMDIV(IMSUM(COMPLEX(0,2*PI()*O435*Constants!$B$71*Constants!$B$72),COMPLEX(1,0)),IMSUM(COMPLEX(0,2*PI()*O435*Constants!$B$71*Constants!$B$72),COMPLEX(2,0)))</f>
        <v>0.887760877737751+0.208619127993874i</v>
      </c>
      <c r="AD435" s="18">
        <f t="shared" si="395"/>
        <v>0.91194370254233703</v>
      </c>
      <c r="AE435" s="18">
        <f t="shared" si="396"/>
        <v>0.23080696644178897</v>
      </c>
      <c r="AF435" s="66" t="str">
        <f t="shared" si="397"/>
        <v>-0.439049208142726+0.13223823160157i</v>
      </c>
      <c r="AG435" s="64">
        <f t="shared" si="398"/>
        <v>-6.7726160548578695</v>
      </c>
      <c r="AH435" s="61">
        <f t="shared" si="399"/>
        <v>163.23810428059997</v>
      </c>
      <c r="AI435" s="50" t="str">
        <f t="shared" si="379"/>
        <v>108.866083054159</v>
      </c>
      <c r="AJ435" s="50" t="str">
        <f t="shared" si="380"/>
        <v>1+760.378262094375i</v>
      </c>
      <c r="AK435" s="50">
        <f t="shared" si="400"/>
        <v>760.37891966154746</v>
      </c>
      <c r="AL435" s="50">
        <f t="shared" si="401"/>
        <v>1.569481192639536</v>
      </c>
      <c r="AM435" s="50" t="str">
        <f t="shared" si="381"/>
        <v>1+0.836416088303811i</v>
      </c>
      <c r="AN435" s="50">
        <f t="shared" si="402"/>
        <v>1.3036839619990148</v>
      </c>
      <c r="AO435" s="50">
        <f t="shared" si="403"/>
        <v>0.69655485087250368</v>
      </c>
      <c r="AP435" s="50" t="str">
        <f t="shared" si="382"/>
        <v>1-4.17346646647946i</v>
      </c>
      <c r="AQ435" s="50">
        <f t="shared" si="404"/>
        <v>4.2915990431106854</v>
      </c>
      <c r="AR435" s="50">
        <f t="shared" si="405"/>
        <v>-1.3356211125360848</v>
      </c>
      <c r="AS435" s="59" t="str">
        <f t="shared" si="406"/>
        <v>-0.476931071083515-0.643584657090935i</v>
      </c>
      <c r="AT435" s="50">
        <f t="shared" si="407"/>
        <v>-1.9269201615402987</v>
      </c>
      <c r="AU435" s="61">
        <f t="shared" si="408"/>
        <v>-126.54044798593063</v>
      </c>
      <c r="AV435" s="32" t="str">
        <f t="shared" si="383"/>
        <v>-0.0000333333333333333</v>
      </c>
      <c r="AW435" s="32" t="str">
        <f t="shared" si="384"/>
        <v>0.0446088580428699i</v>
      </c>
      <c r="AX435" s="32">
        <f t="shared" si="409"/>
        <v>4.4608858042869903E-2</v>
      </c>
      <c r="AY435" s="32">
        <f t="shared" si="410"/>
        <v>1.5707963267948966</v>
      </c>
      <c r="AZ435" s="32" t="str">
        <f t="shared" si="385"/>
        <v>1+18.1997945140181i</v>
      </c>
      <c r="BA435" s="32">
        <f t="shared" si="411"/>
        <v>18.227246647601042</v>
      </c>
      <c r="BB435" s="32">
        <f t="shared" si="412"/>
        <v>1.515905845707199</v>
      </c>
      <c r="BC435" s="32" t="str">
        <f t="shared" si="386"/>
        <v>1+873.590136672871i</v>
      </c>
      <c r="BD435" s="32">
        <f t="shared" si="413"/>
        <v>873.59070902346787</v>
      </c>
      <c r="BE435" s="32">
        <f t="shared" si="414"/>
        <v>1.5696516257260082</v>
      </c>
      <c r="BF435" s="59" t="str">
        <f t="shared" si="415"/>
        <v>-0.00192388824568589+0.0357616064857646i</v>
      </c>
      <c r="BG435" s="50">
        <f t="shared" si="416"/>
        <v>-28.919108487310034</v>
      </c>
      <c r="BH435" s="61">
        <f t="shared" si="417"/>
        <v>93.079406361716309</v>
      </c>
      <c r="BI435" s="59" t="str">
        <f t="shared" si="418"/>
        <v>-0.00388436999008526-0.0159555165888953i</v>
      </c>
      <c r="BJ435" s="64">
        <f t="shared" si="419"/>
        <v>-35.69172454216789</v>
      </c>
      <c r="BK435" s="61">
        <f t="shared" si="420"/>
        <v>-103.68248935768369</v>
      </c>
      <c r="BL435" s="59" t="str">
        <f t="shared" si="425"/>
        <v>0.0239331833288217-0.0158176363280419i</v>
      </c>
      <c r="BM435" s="64">
        <f t="shared" si="421"/>
        <v>-30.846028648850329</v>
      </c>
      <c r="BN435" s="61">
        <f t="shared" si="426"/>
        <v>-33.461041624214431</v>
      </c>
      <c r="BO435" s="50">
        <f t="shared" si="422"/>
        <v>-35.69172454216789</v>
      </c>
      <c r="BP435" s="61">
        <f t="shared" si="423"/>
        <v>-103.68248935768369</v>
      </c>
    </row>
    <row r="436" spans="14:68" x14ac:dyDescent="0.25">
      <c r="N436" s="11">
        <v>18</v>
      </c>
      <c r="O436" s="51">
        <f t="shared" si="424"/>
        <v>151356.12484362084</v>
      </c>
      <c r="P436" s="49" t="str">
        <f t="shared" si="374"/>
        <v>25.6231073841137</v>
      </c>
      <c r="Q436" s="18" t="str">
        <f t="shared" si="375"/>
        <v>1+822.404432190238i</v>
      </c>
      <c r="R436" s="18">
        <f t="shared" si="387"/>
        <v>822.40504016339037</v>
      </c>
      <c r="S436" s="18">
        <f t="shared" si="388"/>
        <v>1.5695803806399191</v>
      </c>
      <c r="T436" s="18" t="str">
        <f t="shared" si="376"/>
        <v>1+0.855898721792171i</v>
      </c>
      <c r="U436" s="18">
        <f t="shared" si="389"/>
        <v>1.3162684460114784</v>
      </c>
      <c r="V436" s="18">
        <f t="shared" si="390"/>
        <v>0.70790862363948415</v>
      </c>
      <c r="W436" s="32" t="str">
        <f t="shared" si="377"/>
        <v>1-19.1784713586764i</v>
      </c>
      <c r="X436" s="18">
        <f t="shared" si="391"/>
        <v>19.204524562080966</v>
      </c>
      <c r="Y436" s="18">
        <f t="shared" si="392"/>
        <v>-1.5187017045983504</v>
      </c>
      <c r="Z436" s="32" t="str">
        <f t="shared" si="378"/>
        <v>0.427283086808057+1.51842773236463i</v>
      </c>
      <c r="AA436" s="18">
        <f t="shared" si="393"/>
        <v>1.5774009048704813</v>
      </c>
      <c r="AB436" s="18">
        <f t="shared" si="394"/>
        <v>1.2964913882299942</v>
      </c>
      <c r="AC436" s="32" t="str">
        <f>IMDIV(IMSUM(COMPLEX(0,2*PI()*O436*Constants!$B$71*Constants!$B$72),COMPLEX(1,0)),IMSUM(COMPLEX(0,2*PI()*O436*Constants!$B$71*Constants!$B$72),COMPLEX(2,0)))</f>
        <v>0.891718482140612+0.205951139399036i</v>
      </c>
      <c r="AD436" s="18">
        <f t="shared" si="395"/>
        <v>0.91519272462739687</v>
      </c>
      <c r="AE436" s="18">
        <f t="shared" si="396"/>
        <v>0.22697979241876098</v>
      </c>
      <c r="AF436" s="66" t="str">
        <f t="shared" si="397"/>
        <v>-0.43540206813719+0.138651925267655i</v>
      </c>
      <c r="AG436" s="64">
        <f t="shared" si="398"/>
        <v>-6.8027092561835207</v>
      </c>
      <c r="AH436" s="61">
        <f t="shared" si="399"/>
        <v>162.33614640515816</v>
      </c>
      <c r="AI436" s="50" t="str">
        <f t="shared" si="379"/>
        <v>108.866083054159</v>
      </c>
      <c r="AJ436" s="50" t="str">
        <f t="shared" si="380"/>
        <v>1+778.089747083793i</v>
      </c>
      <c r="AK436" s="50">
        <f t="shared" si="400"/>
        <v>778.09038968292168</v>
      </c>
      <c r="AL436" s="50">
        <f t="shared" si="401"/>
        <v>1.5695111287143797</v>
      </c>
      <c r="AM436" s="50" t="str">
        <f t="shared" si="381"/>
        <v>1+0.855898721792171i</v>
      </c>
      <c r="AN436" s="50">
        <f t="shared" si="402"/>
        <v>1.3162684460114784</v>
      </c>
      <c r="AO436" s="50">
        <f t="shared" si="403"/>
        <v>0.70790862363948415</v>
      </c>
      <c r="AP436" s="50" t="str">
        <f t="shared" si="382"/>
        <v>1-4.27067898866716i</v>
      </c>
      <c r="AQ436" s="50">
        <f t="shared" si="404"/>
        <v>4.3861941389139574</v>
      </c>
      <c r="AR436" s="50">
        <f t="shared" si="405"/>
        <v>-1.3407854801807781</v>
      </c>
      <c r="AS436" s="59" t="str">
        <f t="shared" si="406"/>
        <v>-0.476939582757854-0.651952823007926i</v>
      </c>
      <c r="AT436" s="50">
        <f t="shared" si="407"/>
        <v>-1.8541026637565632</v>
      </c>
      <c r="AU436" s="61">
        <f t="shared" si="408"/>
        <v>-126.18753640547071</v>
      </c>
      <c r="AV436" s="32" t="str">
        <f t="shared" si="383"/>
        <v>-0.0000333333333333333</v>
      </c>
      <c r="AW436" s="32" t="str">
        <f t="shared" si="384"/>
        <v>0.0456479318289157i</v>
      </c>
      <c r="AX436" s="32">
        <f t="shared" si="409"/>
        <v>4.5647931828915703E-2</v>
      </c>
      <c r="AY436" s="32">
        <f t="shared" si="410"/>
        <v>1.5707963267948966</v>
      </c>
      <c r="AZ436" s="32" t="str">
        <f t="shared" si="385"/>
        <v>1+18.6237221871445i</v>
      </c>
      <c r="BA436" s="32">
        <f t="shared" si="411"/>
        <v>18.650550343191977</v>
      </c>
      <c r="BB436" s="32">
        <f t="shared" si="412"/>
        <v>1.5171528821863514</v>
      </c>
      <c r="BC436" s="32" t="str">
        <f t="shared" si="386"/>
        <v>1+893.938664982936i</v>
      </c>
      <c r="BD436" s="32">
        <f t="shared" si="413"/>
        <v>893.93922430525083</v>
      </c>
      <c r="BE436" s="32">
        <f t="shared" si="414"/>
        <v>1.5696776822815204</v>
      </c>
      <c r="BF436" s="59" t="str">
        <f t="shared" si="415"/>
        <v>-0.0018375479428892+0.034952208978086i</v>
      </c>
      <c r="BG436" s="50">
        <f t="shared" si="416"/>
        <v>-29.11852036648737</v>
      </c>
      <c r="BH436" s="61">
        <f t="shared" si="417"/>
        <v>93.009449365221514</v>
      </c>
      <c r="BI436" s="59" t="str">
        <f t="shared" si="418"/>
        <v>-0.00404611889253384-0.0154730436350751i</v>
      </c>
      <c r="BJ436" s="64">
        <f t="shared" si="419"/>
        <v>-35.921229622670893</v>
      </c>
      <c r="BK436" s="61">
        <f t="shared" si="420"/>
        <v>-104.6544042296203</v>
      </c>
      <c r="BL436" s="59" t="str">
        <f t="shared" si="425"/>
        <v>0.0236635906628053-0.0154720973976946i</v>
      </c>
      <c r="BM436" s="64">
        <f t="shared" si="421"/>
        <v>-30.972623030243934</v>
      </c>
      <c r="BN436" s="61">
        <f t="shared" si="426"/>
        <v>-33.17808704024911</v>
      </c>
      <c r="BO436" s="50">
        <f t="shared" si="422"/>
        <v>-35.921229622670893</v>
      </c>
      <c r="BP436" s="61">
        <f t="shared" si="423"/>
        <v>-104.6544042296203</v>
      </c>
    </row>
    <row r="437" spans="14:68" x14ac:dyDescent="0.25">
      <c r="N437" s="11">
        <v>19</v>
      </c>
      <c r="O437" s="51">
        <f t="shared" si="424"/>
        <v>154881.66189124843</v>
      </c>
      <c r="P437" s="49" t="str">
        <f t="shared" si="374"/>
        <v>25.6231073841137</v>
      </c>
      <c r="Q437" s="18" t="str">
        <f t="shared" si="375"/>
        <v>1+841.560692280905i</v>
      </c>
      <c r="R437" s="18">
        <f t="shared" si="387"/>
        <v>841.56128641490875</v>
      </c>
      <c r="S437" s="18">
        <f t="shared" si="388"/>
        <v>1.5696080589272168</v>
      </c>
      <c r="T437" s="18" t="str">
        <f t="shared" si="376"/>
        <v>1+0.875835164111985i</v>
      </c>
      <c r="U437" s="18">
        <f t="shared" si="389"/>
        <v>1.3293183345967465</v>
      </c>
      <c r="V437" s="18">
        <f t="shared" si="390"/>
        <v>0.71930281719586242</v>
      </c>
      <c r="W437" s="32" t="str">
        <f t="shared" si="377"/>
        <v>1-19.6251953439908i</v>
      </c>
      <c r="X437" s="18">
        <f t="shared" si="391"/>
        <v>19.650656281401854</v>
      </c>
      <c r="Y437" s="18">
        <f t="shared" si="392"/>
        <v>-1.5198854512217677</v>
      </c>
      <c r="Z437" s="32" t="str">
        <f t="shared" si="378"/>
        <v>0.400291770245126+1.55379645781348i</v>
      </c>
      <c r="AA437" s="18">
        <f t="shared" si="393"/>
        <v>1.6045301286170024</v>
      </c>
      <c r="AB437" s="18">
        <f t="shared" si="394"/>
        <v>1.3186572111019601</v>
      </c>
      <c r="AC437" s="32" t="str">
        <f>IMDIV(IMSUM(COMPLEX(0,2*PI()*O437*Constants!$B$71*Constants!$B$72),COMPLEX(1,0)),IMSUM(COMPLEX(0,2*PI()*O437*Constants!$B$71*Constants!$B$72),COMPLEX(2,0)))</f>
        <v>0.895574120226693+0.203244127886206i</v>
      </c>
      <c r="AD437" s="18">
        <f t="shared" si="395"/>
        <v>0.9183469825398457</v>
      </c>
      <c r="AE437" s="18">
        <f t="shared" si="396"/>
        <v>0.22316288744413129</v>
      </c>
      <c r="AF437" s="66" t="str">
        <f t="shared" si="397"/>
        <v>-0.431511076625522+0.144960700696463i</v>
      </c>
      <c r="AG437" s="64">
        <f t="shared" si="398"/>
        <v>-6.835779421467655</v>
      </c>
      <c r="AH437" s="61">
        <f t="shared" si="399"/>
        <v>161.43087542646589</v>
      </c>
      <c r="AI437" s="50" t="str">
        <f t="shared" si="379"/>
        <v>108.866083054159</v>
      </c>
      <c r="AJ437" s="50" t="str">
        <f t="shared" si="380"/>
        <v>1+796.213785556351i</v>
      </c>
      <c r="AK437" s="50">
        <f t="shared" si="400"/>
        <v>796.21441352814941</v>
      </c>
      <c r="AL437" s="50">
        <f t="shared" si="401"/>
        <v>1.5695403833631922</v>
      </c>
      <c r="AM437" s="50" t="str">
        <f t="shared" si="381"/>
        <v>1+0.875835164111985i</v>
      </c>
      <c r="AN437" s="50">
        <f t="shared" si="402"/>
        <v>1.3293183345967465</v>
      </c>
      <c r="AO437" s="50">
        <f t="shared" si="403"/>
        <v>0.71930281719586242</v>
      </c>
      <c r="AP437" s="50" t="str">
        <f t="shared" si="382"/>
        <v>1-4.37015588138377i</v>
      </c>
      <c r="AQ437" s="50">
        <f t="shared" si="404"/>
        <v>4.4831085674555284</v>
      </c>
      <c r="AR437" s="50">
        <f t="shared" si="405"/>
        <v>-1.3458443902250103</v>
      </c>
      <c r="AS437" s="59" t="str">
        <f t="shared" si="406"/>
        <v>-0.476947711344978-0.660666661956342i</v>
      </c>
      <c r="AT437" s="50">
        <f t="shared" si="407"/>
        <v>-1.7785837312554542</v>
      </c>
      <c r="AU437" s="61">
        <f t="shared" si="408"/>
        <v>-125.82622756611403</v>
      </c>
      <c r="AV437" s="32" t="str">
        <f t="shared" si="383"/>
        <v>-0.0000333333333333333</v>
      </c>
      <c r="AW437" s="32" t="str">
        <f t="shared" si="384"/>
        <v>0.0467112087526391i</v>
      </c>
      <c r="AX437" s="32">
        <f t="shared" si="409"/>
        <v>4.6711208752639101E-2</v>
      </c>
      <c r="AY437" s="32">
        <f t="shared" si="410"/>
        <v>1.5707963267948966</v>
      </c>
      <c r="AZ437" s="32" t="str">
        <f t="shared" si="385"/>
        <v>1+19.0575244042886i</v>
      </c>
      <c r="BA437" s="32">
        <f t="shared" si="411"/>
        <v>19.083742725682917</v>
      </c>
      <c r="BB437" s="32">
        <f t="shared" si="412"/>
        <v>1.5183716940425702</v>
      </c>
      <c r="BC437" s="32" t="str">
        <f t="shared" si="386"/>
        <v>1+914.761171405852i</v>
      </c>
      <c r="BD437" s="32">
        <f t="shared" si="413"/>
        <v>914.76171799644442</v>
      </c>
      <c r="BE437" s="32">
        <f t="shared" si="414"/>
        <v>1.5697031457188844</v>
      </c>
      <c r="BF437" s="59" t="str">
        <f t="shared" si="415"/>
        <v>-0.00175507175067501+0.0341609273175376i</v>
      </c>
      <c r="BG437" s="50">
        <f t="shared" si="416"/>
        <v>-29.317958641040491</v>
      </c>
      <c r="BH437" s="61">
        <f t="shared" si="417"/>
        <v>92.941075537332537</v>
      </c>
      <c r="BI437" s="59" t="str">
        <f t="shared" si="418"/>
        <v>-0.00419465905970238-0.0149952349560673i</v>
      </c>
      <c r="BJ437" s="64">
        <f t="shared" si="419"/>
        <v>-36.153738062508133</v>
      </c>
      <c r="BK437" s="61">
        <f t="shared" si="420"/>
        <v>-105.62804903620153</v>
      </c>
      <c r="BL437" s="59" t="str">
        <f t="shared" si="425"/>
        <v>0.0234060632749415-0.0151334587065094i</v>
      </c>
      <c r="BM437" s="64">
        <f t="shared" si="421"/>
        <v>-31.096542372295922</v>
      </c>
      <c r="BN437" s="61">
        <f t="shared" si="426"/>
        <v>-32.885152028781491</v>
      </c>
      <c r="BO437" s="50">
        <f t="shared" si="422"/>
        <v>-36.153738062508133</v>
      </c>
      <c r="BP437" s="61">
        <f t="shared" si="423"/>
        <v>-105.62804903620153</v>
      </c>
    </row>
    <row r="438" spans="14:68" x14ac:dyDescent="0.25">
      <c r="N438" s="11">
        <v>20</v>
      </c>
      <c r="O438" s="51">
        <f t="shared" si="424"/>
        <v>158489.31924611164</v>
      </c>
      <c r="P438" s="49" t="str">
        <f t="shared" si="374"/>
        <v>25.6231073841137</v>
      </c>
      <c r="Q438" s="18" t="str">
        <f t="shared" si="375"/>
        <v>1+861.163158989989i</v>
      </c>
      <c r="R438" s="18">
        <f t="shared" si="387"/>
        <v>861.16373959986095</v>
      </c>
      <c r="S438" s="18">
        <f t="shared" si="388"/>
        <v>1.5696351071815358</v>
      </c>
      <c r="T438" s="18" t="str">
        <f t="shared" si="376"/>
        <v>1+0.896235985828858i</v>
      </c>
      <c r="U438" s="18">
        <f t="shared" si="389"/>
        <v>1.3428473265023932</v>
      </c>
      <c r="V438" s="18">
        <f t="shared" si="390"/>
        <v>0.73073163952785247</v>
      </c>
      <c r="W438" s="32" t="str">
        <f t="shared" si="377"/>
        <v>1-20.0823248676466i</v>
      </c>
      <c r="X438" s="18">
        <f t="shared" si="391"/>
        <v>20.107206968887972</v>
      </c>
      <c r="Y438" s="18">
        <f t="shared" si="392"/>
        <v>-1.5210423904859642</v>
      </c>
      <c r="Z438" s="32" t="str">
        <f t="shared" si="378"/>
        <v>0.372028392122605+1.58998902671119i</v>
      </c>
      <c r="AA438" s="18">
        <f t="shared" si="393"/>
        <v>1.6329330144275143</v>
      </c>
      <c r="AB438" s="18">
        <f t="shared" si="394"/>
        <v>1.340949558653673</v>
      </c>
      <c r="AC438" s="32" t="str">
        <f>IMDIV(IMSUM(COMPLEX(0,2*PI()*O438*Constants!$B$71*Constants!$B$72),COMPLEX(1,0)),IMSUM(COMPLEX(0,2*PI()*O438*Constants!$B$71*Constants!$B$72),COMPLEX(2,0)))</f>
        <v>0.899327752220675+0.200502424964689i</v>
      </c>
      <c r="AD438" s="18">
        <f t="shared" si="395"/>
        <v>0.92140741712394125</v>
      </c>
      <c r="AE438" s="18">
        <f t="shared" si="396"/>
        <v>0.21935951098827319</v>
      </c>
      <c r="AF438" s="66" t="str">
        <f t="shared" si="397"/>
        <v>-0.427380979948548+0.151153126441173i</v>
      </c>
      <c r="AG438" s="64">
        <f t="shared" si="398"/>
        <v>-6.8718443389510586</v>
      </c>
      <c r="AH438" s="61">
        <f t="shared" si="399"/>
        <v>160.52268637411467</v>
      </c>
      <c r="AI438" s="50" t="str">
        <f t="shared" si="379"/>
        <v>108.866083054159</v>
      </c>
      <c r="AJ438" s="50" t="str">
        <f t="shared" si="380"/>
        <v>1+814.759987117144i</v>
      </c>
      <c r="AK438" s="50">
        <f t="shared" si="400"/>
        <v>814.76060079457011</v>
      </c>
      <c r="AL438" s="50">
        <f t="shared" si="401"/>
        <v>1.569568972096975</v>
      </c>
      <c r="AM438" s="50" t="str">
        <f t="shared" si="381"/>
        <v>1+0.896235985828858i</v>
      </c>
      <c r="AN438" s="50">
        <f t="shared" si="402"/>
        <v>1.3428473265023932</v>
      </c>
      <c r="AO438" s="50">
        <f t="shared" si="403"/>
        <v>0.73073163952785247</v>
      </c>
      <c r="AP438" s="50" t="str">
        <f t="shared" si="382"/>
        <v>1-4.47194988859453i</v>
      </c>
      <c r="AQ438" s="50">
        <f t="shared" si="404"/>
        <v>4.5823941129174637</v>
      </c>
      <c r="AR438" s="50">
        <f t="shared" si="405"/>
        <v>-1.3507994887433361</v>
      </c>
      <c r="AS438" s="59" t="str">
        <f t="shared" si="406"/>
        <v>-0.476955474086545-0.669730794194676i</v>
      </c>
      <c r="AT438" s="50">
        <f t="shared" si="407"/>
        <v>-1.7003669007214206</v>
      </c>
      <c r="AU438" s="61">
        <f t="shared" si="408"/>
        <v>-125.4569485276451</v>
      </c>
      <c r="AV438" s="32" t="str">
        <f t="shared" si="383"/>
        <v>-0.0000333333333333333</v>
      </c>
      <c r="AW438" s="32" t="str">
        <f t="shared" si="384"/>
        <v>0.0477992525775391i</v>
      </c>
      <c r="AX438" s="32">
        <f t="shared" si="409"/>
        <v>4.77992525775391E-2</v>
      </c>
      <c r="AY438" s="32">
        <f t="shared" si="410"/>
        <v>1.5707963267948966</v>
      </c>
      <c r="AZ438" s="32" t="str">
        <f t="shared" si="385"/>
        <v>1+19.5014311731279i</v>
      </c>
      <c r="BA438" s="32">
        <f t="shared" si="411"/>
        <v>19.527053484851333</v>
      </c>
      <c r="BB438" s="32">
        <f t="shared" si="412"/>
        <v>1.5195629130134378</v>
      </c>
      <c r="BC438" s="32" t="str">
        <f t="shared" si="386"/>
        <v>1+936.068696310141i</v>
      </c>
      <c r="BD438" s="32">
        <f t="shared" si="413"/>
        <v>936.06923045881967</v>
      </c>
      <c r="BE438" s="32">
        <f t="shared" si="414"/>
        <v>1.5697280295390199</v>
      </c>
      <c r="BF438" s="59" t="str">
        <f t="shared" si="415"/>
        <v>-0.00167628766964051+0.0333873695898446i</v>
      </c>
      <c r="BG438" s="50">
        <f t="shared" si="416"/>
        <v>-29.517422129512326</v>
      </c>
      <c r="BH438" s="61">
        <f t="shared" si="417"/>
        <v>92.874249455697822</v>
      </c>
      <c r="BI438" s="59" t="str">
        <f t="shared" si="418"/>
        <v>-0.00433019183022533-0.0145225028552931i</v>
      </c>
      <c r="BJ438" s="64">
        <f t="shared" si="419"/>
        <v>-36.389266468463376</v>
      </c>
      <c r="BK438" s="61">
        <f t="shared" si="420"/>
        <v>-106.60306417018749</v>
      </c>
      <c r="BL438" s="59" t="str">
        <f t="shared" si="425"/>
        <v>0.0231600641316566-0.0148016272189399i</v>
      </c>
      <c r="BM438" s="64">
        <f t="shared" si="421"/>
        <v>-31.217789030233757</v>
      </c>
      <c r="BN438" s="61">
        <f t="shared" si="426"/>
        <v>-32.582699071947218</v>
      </c>
      <c r="BO438" s="50">
        <f t="shared" si="422"/>
        <v>-36.389266468463376</v>
      </c>
      <c r="BP438" s="61">
        <f t="shared" si="423"/>
        <v>-106.60306417018749</v>
      </c>
    </row>
    <row r="439" spans="14:68" x14ac:dyDescent="0.25">
      <c r="N439" s="11">
        <v>21</v>
      </c>
      <c r="O439" s="51">
        <f t="shared" si="424"/>
        <v>162181.00973589328</v>
      </c>
      <c r="P439" s="49" t="str">
        <f t="shared" si="374"/>
        <v>25.6231073841137</v>
      </c>
      <c r="Q439" s="18" t="str">
        <f t="shared" si="375"/>
        <v>1+881.222225804809i</v>
      </c>
      <c r="R439" s="18">
        <f t="shared" si="387"/>
        <v>881.22279319839527</v>
      </c>
      <c r="S439" s="18">
        <f t="shared" si="388"/>
        <v>1.5696615397440599</v>
      </c>
      <c r="T439" s="18" t="str">
        <f t="shared" si="376"/>
        <v>1+0.9171120037285i</v>
      </c>
      <c r="U439" s="18">
        <f t="shared" si="389"/>
        <v>1.3568693479413942</v>
      </c>
      <c r="V439" s="18">
        <f t="shared" si="390"/>
        <v>0.742189208810768</v>
      </c>
      <c r="W439" s="32" t="str">
        <f t="shared" si="377"/>
        <v>1-20.5501023057682i</v>
      </c>
      <c r="X439" s="18">
        <f t="shared" si="391"/>
        <v>20.574418698411371</v>
      </c>
      <c r="Y439" s="18">
        <f t="shared" si="392"/>
        <v>-1.5221731234198335</v>
      </c>
      <c r="Z439" s="32" t="str">
        <f t="shared" si="378"/>
        <v>0.342433002026159+1.62702462883686i</v>
      </c>
      <c r="AA439" s="18">
        <f t="shared" si="393"/>
        <v>1.6626693909849815</v>
      </c>
      <c r="AB439" s="18">
        <f t="shared" si="394"/>
        <v>1.3633580709713704</v>
      </c>
      <c r="AC439" s="32" t="str">
        <f>IMDIV(IMSUM(COMPLEX(0,2*PI()*O439*Constants!$B$71*Constants!$B$72),COMPLEX(1,0)),IMSUM(COMPLEX(0,2*PI()*O439*Constants!$B$71*Constants!$B$72),COMPLEX(2,0)))</f>
        <v>0.902979550921989+0.197730263236831i</v>
      </c>
      <c r="AD439" s="18">
        <f t="shared" si="395"/>
        <v>0.92437510047760552</v>
      </c>
      <c r="AE439" s="18">
        <f t="shared" si="396"/>
        <v>0.21557274869689125</v>
      </c>
      <c r="AF439" s="66" t="str">
        <f t="shared" si="397"/>
        <v>-0.423017214809196+0.157218040040936i</v>
      </c>
      <c r="AG439" s="64">
        <f t="shared" si="398"/>
        <v>-6.9109196576287433</v>
      </c>
      <c r="AH439" s="61">
        <f t="shared" si="399"/>
        <v>159.61197736007654</v>
      </c>
      <c r="AI439" s="50" t="str">
        <f t="shared" si="379"/>
        <v>108.866083054159</v>
      </c>
      <c r="AJ439" s="50" t="str">
        <f t="shared" si="380"/>
        <v>1+833.738185207728i</v>
      </c>
      <c r="AK439" s="50">
        <f t="shared" si="400"/>
        <v>833.73878491616051</v>
      </c>
      <c r="AL439" s="50">
        <f t="shared" si="401"/>
        <v>1.5695969100736662</v>
      </c>
      <c r="AM439" s="50" t="str">
        <f t="shared" si="381"/>
        <v>1+0.9171120037285i</v>
      </c>
      <c r="AN439" s="50">
        <f t="shared" si="402"/>
        <v>1.3568693479413942</v>
      </c>
      <c r="AO439" s="50">
        <f t="shared" si="403"/>
        <v>0.742189208810768</v>
      </c>
      <c r="AP439" s="50" t="str">
        <f t="shared" si="382"/>
        <v>1-4.57611498282946i</v>
      </c>
      <c r="AQ439" s="50">
        <f t="shared" si="404"/>
        <v>4.6841037921972077</v>
      </c>
      <c r="AR439" s="50">
        <f t="shared" si="405"/>
        <v>-1.3556524292546739</v>
      </c>
      <c r="AS439" s="59" t="str">
        <f t="shared" si="406"/>
        <v>-0.476962887448215-0.679150025707169i</v>
      </c>
      <c r="AT439" s="50">
        <f t="shared" si="407"/>
        <v>-1.6194573200624056</v>
      </c>
      <c r="AU439" s="61">
        <f t="shared" si="408"/>
        <v>-125.08013190193547</v>
      </c>
      <c r="AV439" s="32" t="str">
        <f t="shared" si="383"/>
        <v>-0.0000333333333333333</v>
      </c>
      <c r="AW439" s="32" t="str">
        <f t="shared" si="384"/>
        <v>0.0489126401988535i</v>
      </c>
      <c r="AX439" s="32">
        <f t="shared" si="409"/>
        <v>4.8912640198853503E-2</v>
      </c>
      <c r="AY439" s="32">
        <f t="shared" si="410"/>
        <v>1.5707963267948966</v>
      </c>
      <c r="AZ439" s="32" t="str">
        <f t="shared" si="385"/>
        <v>1+19.9556778589072i</v>
      </c>
      <c r="BA439" s="32">
        <f t="shared" si="411"/>
        <v>19.980717675010553</v>
      </c>
      <c r="BB439" s="32">
        <f t="shared" si="412"/>
        <v>1.520727157168605</v>
      </c>
      <c r="BC439" s="32" t="str">
        <f t="shared" si="386"/>
        <v>1+957.872537227546i</v>
      </c>
      <c r="BD439" s="32">
        <f t="shared" si="413"/>
        <v>957.87305921752318</v>
      </c>
      <c r="BE439" s="32">
        <f t="shared" si="414"/>
        <v>1.5697523469355341</v>
      </c>
      <c r="BF439" s="59" t="str">
        <f t="shared" si="415"/>
        <v>-0.00160103127419576+0.0326311514501086i</v>
      </c>
      <c r="BG439" s="50">
        <f t="shared" si="416"/>
        <v>-29.716909703048135</v>
      </c>
      <c r="BH439" s="61">
        <f t="shared" si="417"/>
        <v>92.808936463472975</v>
      </c>
      <c r="BI439" s="59" t="str">
        <f t="shared" si="418"/>
        <v>-0.00445294188483231-0.0140552498014153i</v>
      </c>
      <c r="BJ439" s="64">
        <f t="shared" si="419"/>
        <v>-36.627829360676877</v>
      </c>
      <c r="BK439" s="61">
        <f t="shared" si="420"/>
        <v>-107.57908617645046</v>
      </c>
      <c r="BL439" s="59" t="str">
        <f t="shared" si="425"/>
        <v>0.0229250798456311-0.0144765077853758i</v>
      </c>
      <c r="BM439" s="64">
        <f t="shared" si="421"/>
        <v>-31.33636702311053</v>
      </c>
      <c r="BN439" s="61">
        <f t="shared" si="426"/>
        <v>-32.271195438462527</v>
      </c>
      <c r="BO439" s="50">
        <f t="shared" si="422"/>
        <v>-36.627829360676877</v>
      </c>
      <c r="BP439" s="61">
        <f t="shared" si="423"/>
        <v>-107.57908617645046</v>
      </c>
    </row>
    <row r="440" spans="14:68" x14ac:dyDescent="0.25">
      <c r="N440" s="11">
        <v>22</v>
      </c>
      <c r="O440" s="51">
        <f t="shared" si="424"/>
        <v>165958.69074375604</v>
      </c>
      <c r="P440" s="49" t="str">
        <f t="shared" si="374"/>
        <v>25.6231073841137</v>
      </c>
      <c r="Q440" s="18" t="str">
        <f t="shared" si="375"/>
        <v>1+901.748528308113i</v>
      </c>
      <c r="R440" s="18">
        <f t="shared" si="387"/>
        <v>901.74908278625242</v>
      </c>
      <c r="S440" s="18">
        <f t="shared" si="388"/>
        <v>1.5696873706295362</v>
      </c>
      <c r="T440" s="18" t="str">
        <f t="shared" si="376"/>
        <v>1+0.938474286551938i</v>
      </c>
      <c r="U440" s="18">
        <f t="shared" si="389"/>
        <v>1.3713985513041673</v>
      </c>
      <c r="V440" s="18">
        <f t="shared" si="390"/>
        <v>0.75366956816490283</v>
      </c>
      <c r="W440" s="32" t="str">
        <f t="shared" si="377"/>
        <v>1-21.0287756801453i</v>
      </c>
      <c r="X440" s="18">
        <f t="shared" si="391"/>
        <v>21.05253919616041</v>
      </c>
      <c r="Y440" s="18">
        <f t="shared" si="392"/>
        <v>-1.5232782379807224</v>
      </c>
      <c r="Z440" s="32" t="str">
        <f t="shared" si="378"/>
        <v>0.31144282416546+1.66492290095696i</v>
      </c>
      <c r="AA440" s="18">
        <f t="shared" si="393"/>
        <v>1.6938019066157342</v>
      </c>
      <c r="AB440" s="18">
        <f t="shared" si="394"/>
        <v>1.3858721056396464</v>
      </c>
      <c r="AC440" s="32" t="str">
        <f>IMDIV(IMSUM(COMPLEX(0,2*PI()*O440*Constants!$B$71*Constants!$B$72),COMPLEX(1,0)),IMSUM(COMPLEX(0,2*PI()*O440*Constants!$B$71*Constants!$B$72),COMPLEX(2,0)))</f>
        <v>0.906529889885237+0.194931766453074i</v>
      </c>
      <c r="AD440" s="18">
        <f t="shared" si="395"/>
        <v>0.92725122530404658</v>
      </c>
      <c r="AE440" s="18">
        <f t="shared" si="396"/>
        <v>0.21180551361252564</v>
      </c>
      <c r="AF440" s="66" t="str">
        <f t="shared" si="397"/>
        <v>-0.418425890478377+0.163144595011639i</v>
      </c>
      <c r="AG440" s="64">
        <f t="shared" si="398"/>
        <v>-6.9530188620526321</v>
      </c>
      <c r="AH440" s="61">
        <f t="shared" si="399"/>
        <v>158.69914926035449</v>
      </c>
      <c r="AI440" s="50" t="str">
        <f t="shared" si="379"/>
        <v>108.866083054159</v>
      </c>
      <c r="AJ440" s="50" t="str">
        <f t="shared" si="380"/>
        <v>1+853.158442319944i</v>
      </c>
      <c r="AK440" s="50">
        <f t="shared" si="400"/>
        <v>853.15902837735553</v>
      </c>
      <c r="AL440" s="50">
        <f t="shared" si="401"/>
        <v>1.5696242121061763</v>
      </c>
      <c r="AM440" s="50" t="str">
        <f t="shared" si="381"/>
        <v>1+0.938474286551938i</v>
      </c>
      <c r="AN440" s="50">
        <f t="shared" si="402"/>
        <v>1.3713985513041673</v>
      </c>
      <c r="AO440" s="50">
        <f t="shared" si="403"/>
        <v>0.75366956816490283</v>
      </c>
      <c r="AP440" s="50" t="str">
        <f t="shared" si="382"/>
        <v>1-4.68270639380037i</v>
      </c>
      <c r="AQ440" s="50">
        <f t="shared" si="404"/>
        <v>4.7882918844342468</v>
      </c>
      <c r="AR440" s="50">
        <f t="shared" si="405"/>
        <v>-1.3604048701007467</v>
      </c>
      <c r="AS440" s="59" t="str">
        <f t="shared" si="406"/>
        <v>-0.47696996715459-0.688929350752313i</v>
      </c>
      <c r="AT440" s="50">
        <f t="shared" si="407"/>
        <v>-1.5358618172387664</v>
      </c>
      <c r="AU440" s="61">
        <f t="shared" si="408"/>
        <v>-124.6962148577506</v>
      </c>
      <c r="AV440" s="32" t="str">
        <f t="shared" si="383"/>
        <v>-0.0000333333333333333</v>
      </c>
      <c r="AW440" s="32" t="str">
        <f t="shared" si="384"/>
        <v>0.0500519619494366i</v>
      </c>
      <c r="AX440" s="32">
        <f t="shared" si="409"/>
        <v>5.0051961949436598E-2</v>
      </c>
      <c r="AY440" s="32">
        <f t="shared" si="410"/>
        <v>1.5707963267948966</v>
      </c>
      <c r="AZ440" s="32" t="str">
        <f t="shared" si="385"/>
        <v>1+20.420505309232i</v>
      </c>
      <c r="BA440" s="32">
        <f t="shared" si="411"/>
        <v>20.444975839662227</v>
      </c>
      <c r="BB440" s="32">
        <f t="shared" si="412"/>
        <v>1.5218650311738338</v>
      </c>
      <c r="BC440" s="32" t="str">
        <f t="shared" si="386"/>
        <v>1+980.184254843137i</v>
      </c>
      <c r="BD440" s="32">
        <f t="shared" si="413"/>
        <v>980.18476495117795</v>
      </c>
      <c r="BE440" s="32">
        <f t="shared" si="414"/>
        <v>1.5697761108017176</v>
      </c>
      <c r="BF440" s="59" t="str">
        <f t="shared" si="415"/>
        <v>-0.00152914538629068+0.0318918960392749i</v>
      </c>
      <c r="BG440" s="50">
        <f t="shared" si="416"/>
        <v>-29.9164202830774</v>
      </c>
      <c r="BH440" s="61">
        <f t="shared" si="417"/>
        <v>92.745102654592984</v>
      </c>
      <c r="BI440" s="59" t="str">
        <f t="shared" si="418"/>
        <v>-0.00456315644355122-0.0135938668040377i</v>
      </c>
      <c r="BJ440" s="64">
        <f t="shared" si="419"/>
        <v>-36.869439145130045</v>
      </c>
      <c r="BK440" s="61">
        <f t="shared" si="420"/>
        <v>-108.55574808505258</v>
      </c>
      <c r="BL440" s="59" t="str">
        <f t="shared" si="425"/>
        <v>0.0227006196572716-0.0141580034681674i</v>
      </c>
      <c r="BM440" s="64">
        <f t="shared" si="421"/>
        <v>-31.452282100316161</v>
      </c>
      <c r="BN440" s="61">
        <f t="shared" si="426"/>
        <v>-31.951112203157578</v>
      </c>
      <c r="BO440" s="50">
        <f t="shared" si="422"/>
        <v>-36.869439145130045</v>
      </c>
      <c r="BP440" s="61">
        <f t="shared" si="423"/>
        <v>-108.55574808505258</v>
      </c>
    </row>
    <row r="441" spans="14:68" x14ac:dyDescent="0.25">
      <c r="N441" s="11">
        <v>23</v>
      </c>
      <c r="O441" s="51">
        <f t="shared" si="424"/>
        <v>169824.36524617471</v>
      </c>
      <c r="P441" s="49" t="str">
        <f t="shared" si="374"/>
        <v>25.6231073841137</v>
      </c>
      <c r="Q441" s="18" t="str">
        <f t="shared" si="375"/>
        <v>1+922.752949817172i</v>
      </c>
      <c r="R441" s="18">
        <f t="shared" si="387"/>
        <v>922.75349167385571</v>
      </c>
      <c r="S441" s="18">
        <f t="shared" si="388"/>
        <v>1.5697126135337036</v>
      </c>
      <c r="T441" s="18" t="str">
        <f t="shared" si="376"/>
        <v>1+0.960334160864275i</v>
      </c>
      <c r="U441" s="18">
        <f t="shared" si="389"/>
        <v>1.3864493140836023</v>
      </c>
      <c r="V441" s="18">
        <f t="shared" si="390"/>
        <v>0.76516670088585081</v>
      </c>
      <c r="W441" s="32" t="str">
        <f t="shared" si="377"/>
        <v>1-21.5185987897365i</v>
      </c>
      <c r="X441" s="18">
        <f t="shared" si="391"/>
        <v>21.541821972007131</v>
      </c>
      <c r="Y441" s="18">
        <f t="shared" si="392"/>
        <v>-1.5243583093116424</v>
      </c>
      <c r="Z441" s="32" t="str">
        <f t="shared" si="378"/>
        <v>0.278992124218355+1.70370393723699i</v>
      </c>
      <c r="AA441" s="18">
        <f t="shared" si="393"/>
        <v>1.7263961628585403</v>
      </c>
      <c r="AB441" s="18">
        <f t="shared" si="394"/>
        <v>1.4084807606163663</v>
      </c>
      <c r="AC441" s="32" t="str">
        <f>IMDIV(IMSUM(COMPLEX(0,2*PI()*O441*Constants!$B$71*Constants!$B$72),COMPLEX(1,0)),IMSUM(COMPLEX(0,2*PI()*O441*Constants!$B$71*Constants!$B$72),COMPLEX(2,0)))</f>
        <v>0.909979331296307+0.19211094075556i</v>
      </c>
      <c r="AD441" s="18">
        <f t="shared" si="395"/>
        <v>0.93003709439164861</v>
      </c>
      <c r="AE441" s="18">
        <f t="shared" si="396"/>
        <v>0.20806054802539645</v>
      </c>
      <c r="AF441" s="66" t="str">
        <f t="shared" si="397"/>
        <v>-0.413613767369441+0.168922306712248i</v>
      </c>
      <c r="AG441" s="64">
        <f t="shared" si="398"/>
        <v>-6.9981532455616815</v>
      </c>
      <c r="AH441" s="61">
        <f t="shared" si="399"/>
        <v>157.78460536786258</v>
      </c>
      <c r="AI441" s="50" t="str">
        <f t="shared" si="379"/>
        <v>108.866083054159</v>
      </c>
      <c r="AJ441" s="50" t="str">
        <f t="shared" si="380"/>
        <v>1+873.03105533116i</v>
      </c>
      <c r="AK441" s="50">
        <f t="shared" si="400"/>
        <v>873.03162804828503</v>
      </c>
      <c r="AL441" s="50">
        <f t="shared" si="401"/>
        <v>1.5696508926702413</v>
      </c>
      <c r="AM441" s="50" t="str">
        <f t="shared" si="381"/>
        <v>1+0.960334160864275i</v>
      </c>
      <c r="AN441" s="50">
        <f t="shared" si="402"/>
        <v>1.3864493140836023</v>
      </c>
      <c r="AO441" s="50">
        <f t="shared" si="403"/>
        <v>0.76516670088585081</v>
      </c>
      <c r="AP441" s="50" t="str">
        <f t="shared" si="382"/>
        <v>1-4.79178063768418i</v>
      </c>
      <c r="AQ441" s="50">
        <f t="shared" si="404"/>
        <v>4.8950139611327979</v>
      </c>
      <c r="AR441" s="50">
        <f t="shared" si="405"/>
        <v>-1.365058471994923</v>
      </c>
      <c r="AS441" s="59" t="str">
        <f t="shared" si="406"/>
        <v>-0.476976728222542-0.699073954511118i</v>
      </c>
      <c r="AT441" s="50">
        <f t="shared" si="407"/>
        <v>-1.4495889599978329</v>
      </c>
      <c r="AU441" s="61">
        <f t="shared" si="408"/>
        <v>-124.30563810812485</v>
      </c>
      <c r="AV441" s="32" t="str">
        <f t="shared" si="383"/>
        <v>-0.0000333333333333333</v>
      </c>
      <c r="AW441" s="32" t="str">
        <f t="shared" si="384"/>
        <v>0.0512178219127615i</v>
      </c>
      <c r="AX441" s="32">
        <f t="shared" si="409"/>
        <v>5.1217821912761502E-2</v>
      </c>
      <c r="AY441" s="32">
        <f t="shared" si="410"/>
        <v>1.5707963267948966</v>
      </c>
      <c r="AZ441" s="32" t="str">
        <f t="shared" si="385"/>
        <v>1+20.8961599817689i</v>
      </c>
      <c r="BA441" s="32">
        <f t="shared" si="411"/>
        <v>20.920074139057924</v>
      </c>
      <c r="BB441" s="32">
        <f t="shared" si="412"/>
        <v>1.5229771265521224</v>
      </c>
      <c r="BC441" s="32" t="str">
        <f t="shared" si="386"/>
        <v>1+1003.01567912491i</v>
      </c>
      <c r="BD441" s="32">
        <f t="shared" si="413"/>
        <v>1003.0161776214801</v>
      </c>
      <c r="BE441" s="32">
        <f t="shared" si="414"/>
        <v>1.5697993337373797</v>
      </c>
      <c r="BF441" s="59" t="str">
        <f t="shared" si="415"/>
        <v>-0.00146047976255798+0.0311692338967288i</v>
      </c>
      <c r="BG441" s="50">
        <f t="shared" si="416"/>
        <v>-30.115952839096821</v>
      </c>
      <c r="BH441" s="61">
        <f t="shared" si="417"/>
        <v>92.682714859202363</v>
      </c>
      <c r="BI441" s="59" t="str">
        <f t="shared" si="418"/>
        <v>-0.00466110435153059-0.0131387318684431i</v>
      </c>
      <c r="BJ441" s="64">
        <f t="shared" si="419"/>
        <v>-37.114106084658523</v>
      </c>
      <c r="BK441" s="61">
        <f t="shared" si="420"/>
        <v>-109.5326797729351</v>
      </c>
      <c r="BL441" s="59" t="str">
        <f t="shared" si="425"/>
        <v>0.0224862144580483-0.01384601584217i</v>
      </c>
      <c r="BM441" s="64">
        <f t="shared" si="421"/>
        <v>-31.565541799094664</v>
      </c>
      <c r="BN441" s="61">
        <f t="shared" si="426"/>
        <v>-31.622923248922522</v>
      </c>
      <c r="BO441" s="50">
        <f t="shared" si="422"/>
        <v>-37.114106084658523</v>
      </c>
      <c r="BP441" s="61">
        <f t="shared" si="423"/>
        <v>-109.5326797729351</v>
      </c>
    </row>
    <row r="442" spans="14:68" x14ac:dyDescent="0.25">
      <c r="N442" s="11">
        <v>24</v>
      </c>
      <c r="O442" s="51">
        <f t="shared" si="424"/>
        <v>173780.0828749378</v>
      </c>
      <c r="P442" s="49" t="str">
        <f t="shared" si="374"/>
        <v>25.6231073841137</v>
      </c>
      <c r="Q442" s="18" t="str">
        <f t="shared" si="375"/>
        <v>1+944.24662715431i</v>
      </c>
      <c r="R442" s="18">
        <f t="shared" si="387"/>
        <v>944.24715667683665</v>
      </c>
      <c r="S442" s="18">
        <f t="shared" si="388"/>
        <v>1.5697372818405557</v>
      </c>
      <c r="T442" s="18" t="str">
        <f t="shared" si="376"/>
        <v>1+0.982703217060235i</v>
      </c>
      <c r="U442" s="18">
        <f t="shared" si="389"/>
        <v>1.402036238055399</v>
      </c>
      <c r="V442" s="18">
        <f t="shared" si="390"/>
        <v>0.77667454605606356</v>
      </c>
      <c r="W442" s="32" t="str">
        <f t="shared" si="377"/>
        <v>1-22.0198313452386i</v>
      </c>
      <c r="X442" s="18">
        <f t="shared" si="391"/>
        <v>22.04252645394244</v>
      </c>
      <c r="Y442" s="18">
        <f t="shared" si="392"/>
        <v>-1.525413899995286</v>
      </c>
      <c r="Z442" s="32" t="str">
        <f t="shared" si="378"/>
        <v>0.245012069899494+1.74338829989575i</v>
      </c>
      <c r="AA442" s="18">
        <f t="shared" si="393"/>
        <v>1.7605208543524349</v>
      </c>
      <c r="AB442" s="18">
        <f t="shared" si="394"/>
        <v>1.4311728986123535</v>
      </c>
      <c r="AC442" s="32" t="str">
        <f>IMDIV(IMSUM(COMPLEX(0,2*PI()*O442*Constants!$B$71*Constants!$B$72),COMPLEX(1,0)),IMSUM(COMPLEX(0,2*PI()*O442*Constants!$B$71*Constants!$B$72),COMPLEX(2,0)))</f>
        <v>0.913328613654286+0.189271667086675i</v>
      </c>
      <c r="AD442" s="18">
        <f t="shared" si="395"/>
        <v>0.93273411028086084</v>
      </c>
      <c r="AE442" s="18">
        <f t="shared" si="396"/>
        <v>0.20434042589450882</v>
      </c>
      <c r="AF442" s="66" t="str">
        <f t="shared" si="397"/>
        <v>-0.408588232029067+0.174541096769512i</v>
      </c>
      <c r="AG442" s="64">
        <f t="shared" si="398"/>
        <v>-7.0463318826471415</v>
      </c>
      <c r="AH442" s="61">
        <f t="shared" si="399"/>
        <v>156.86875101379781</v>
      </c>
      <c r="AI442" s="50" t="str">
        <f t="shared" si="379"/>
        <v>108.866083054159</v>
      </c>
      <c r="AJ442" s="50" t="str">
        <f t="shared" si="380"/>
        <v>1+893.366560963851i</v>
      </c>
      <c r="AK442" s="50">
        <f t="shared" si="400"/>
        <v>893.36712064435096</v>
      </c>
      <c r="AL442" s="50">
        <f t="shared" si="401"/>
        <v>1.5696769659120975</v>
      </c>
      <c r="AM442" s="50" t="str">
        <f t="shared" si="381"/>
        <v>1+0.982703217060235i</v>
      </c>
      <c r="AN442" s="50">
        <f t="shared" si="402"/>
        <v>1.402036238055399</v>
      </c>
      <c r="AO442" s="50">
        <f t="shared" si="403"/>
        <v>0.77667454605606356</v>
      </c>
      <c r="AP442" s="50" t="str">
        <f t="shared" si="382"/>
        <v>1-4.90339554708885i</v>
      </c>
      <c r="AQ442" s="50">
        <f t="shared" si="404"/>
        <v>5.0043269169000899</v>
      </c>
      <c r="AR442" s="50">
        <f t="shared" si="405"/>
        <v>-1.3696148957351031</v>
      </c>
      <c r="AS442" s="59" t="str">
        <f t="shared" si="406"/>
        <v>-0.476983184993091-0.709589215836656i</v>
      </c>
      <c r="AT442" s="50">
        <f t="shared" si="407"/>
        <v>-1.3606491060615442</v>
      </c>
      <c r="AU442" s="61">
        <f t="shared" si="408"/>
        <v>-123.90884488528371</v>
      </c>
      <c r="AV442" s="32" t="str">
        <f t="shared" si="383"/>
        <v>-0.0000333333333333333</v>
      </c>
      <c r="AW442" s="32" t="str">
        <f t="shared" si="384"/>
        <v>0.0524108382432125i</v>
      </c>
      <c r="AX442" s="32">
        <f t="shared" si="409"/>
        <v>5.24108382432125E-2</v>
      </c>
      <c r="AY442" s="32">
        <f t="shared" si="410"/>
        <v>1.5707963267948966</v>
      </c>
      <c r="AZ442" s="32" t="str">
        <f t="shared" si="385"/>
        <v>1+21.3828940749218i</v>
      </c>
      <c r="BA442" s="32">
        <f t="shared" si="411"/>
        <v>21.406264480738479</v>
      </c>
      <c r="BB442" s="32">
        <f t="shared" si="412"/>
        <v>1.5240640219417827</v>
      </c>
      <c r="BC442" s="32" t="str">
        <f t="shared" si="386"/>
        <v>1+1026.37891559625i</v>
      </c>
      <c r="BD442" s="32">
        <f t="shared" si="413"/>
        <v>1026.3794027456584</v>
      </c>
      <c r="BE442" s="32">
        <f t="shared" si="414"/>
        <v>1.5698220280555273</v>
      </c>
      <c r="BF442" s="59" t="str">
        <f t="shared" si="415"/>
        <v>-0.00139489079437781+0.0304628028694842i</v>
      </c>
      <c r="BG442" s="50">
        <f t="shared" si="416"/>
        <v>-30.315506386548535</v>
      </c>
      <c r="BH442" s="61">
        <f t="shared" si="417"/>
        <v>92.621740629251391</v>
      </c>
      <c r="BI442" s="59" t="str">
        <f t="shared" si="418"/>
        <v>-0.00474707505996476-0.0126902085362169i</v>
      </c>
      <c r="BJ442" s="64">
        <f t="shared" si="419"/>
        <v>-37.361838269195701</v>
      </c>
      <c r="BK442" s="61">
        <f t="shared" si="420"/>
        <v>-110.50950835695083</v>
      </c>
      <c r="BL442" s="59" t="str">
        <f t="shared" si="425"/>
        <v>0.0222814158541638-0.0135404452715429i</v>
      </c>
      <c r="BM442" s="64">
        <f t="shared" si="421"/>
        <v>-31.676155492610082</v>
      </c>
      <c r="BN442" s="61">
        <f t="shared" si="426"/>
        <v>-31.287104256032272</v>
      </c>
      <c r="BO442" s="50">
        <f t="shared" si="422"/>
        <v>-37.361838269195701</v>
      </c>
      <c r="BP442" s="61">
        <f t="shared" si="423"/>
        <v>-110.50950835695083</v>
      </c>
    </row>
    <row r="443" spans="14:68" x14ac:dyDescent="0.25">
      <c r="N443" s="11">
        <v>25</v>
      </c>
      <c r="O443" s="51">
        <f t="shared" si="424"/>
        <v>177827.94100389251</v>
      </c>
      <c r="P443" s="49" t="str">
        <f t="shared" si="374"/>
        <v>25.6231073841137</v>
      </c>
      <c r="Q443" s="18" t="str">
        <f t="shared" si="375"/>
        <v>1+966.240956551747i</v>
      </c>
      <c r="R443" s="18">
        <f t="shared" si="387"/>
        <v>966.24147402087601</v>
      </c>
      <c r="S443" s="18">
        <f t="shared" si="388"/>
        <v>1.5697613886294348</v>
      </c>
      <c r="T443" s="18" t="str">
        <f t="shared" si="376"/>
        <v>1+1.00559331550949i</v>
      </c>
      <c r="U443" s="18">
        <f t="shared" si="389"/>
        <v>1.4181741487551409</v>
      </c>
      <c r="V443" s="18">
        <f t="shared" si="390"/>
        <v>0.78818701443978267</v>
      </c>
      <c r="W443" s="32" t="str">
        <f t="shared" si="377"/>
        <v>1-22.5327391067868i</v>
      </c>
      <c r="X443" s="18">
        <f t="shared" si="391"/>
        <v>22.554918125644331</v>
      </c>
      <c r="Y443" s="18">
        <f t="shared" si="392"/>
        <v>-1.5264455603047331</v>
      </c>
      <c r="Z443" s="32" t="str">
        <f t="shared" si="378"/>
        <v>0.209430584957897+1.78399703010758i</v>
      </c>
      <c r="AA443" s="18">
        <f t="shared" si="393"/>
        <v>1.7962479153358739</v>
      </c>
      <c r="AB443" s="18">
        <f t="shared" si="394"/>
        <v>1.4539371728555284</v>
      </c>
      <c r="AC443" s="32" t="str">
        <f>IMDIV(IMSUM(COMPLEX(0,2*PI()*O443*Constants!$B$71*Constants!$B$72),COMPLEX(1,0)),IMSUM(COMPLEX(0,2*PI()*O443*Constants!$B$71*Constants!$B$72),COMPLEX(2,0)))</f>
        <v>0.91657863936192+0.186417694729689i</v>
      </c>
      <c r="AD443" s="18">
        <f t="shared" si="395"/>
        <v>0.93534376517026085</v>
      </c>
      <c r="AE443" s="18">
        <f t="shared" si="396"/>
        <v>0.20064755578064844</v>
      </c>
      <c r="AF443" s="66" t="str">
        <f t="shared" si="397"/>
        <v>-0.403357268624377+0.179991335739741i</v>
      </c>
      <c r="AG443" s="64">
        <f t="shared" si="398"/>
        <v>-7.0975616012119245</v>
      </c>
      <c r="AH443" s="61">
        <f t="shared" si="399"/>
        <v>155.95199315545332</v>
      </c>
      <c r="AI443" s="50" t="str">
        <f t="shared" si="379"/>
        <v>108.866083054159</v>
      </c>
      <c r="AJ443" s="50" t="str">
        <f t="shared" si="380"/>
        <v>1+914.175741372269i</v>
      </c>
      <c r="AK443" s="50">
        <f t="shared" si="400"/>
        <v>914.17628831289312</v>
      </c>
      <c r="AL443" s="50">
        <f t="shared" si="401"/>
        <v>1.5697024456559809</v>
      </c>
      <c r="AM443" s="50" t="str">
        <f t="shared" si="381"/>
        <v>1+1.00559331550949i</v>
      </c>
      <c r="AN443" s="50">
        <f t="shared" si="402"/>
        <v>1.4181741487551409</v>
      </c>
      <c r="AO443" s="50">
        <f t="shared" si="403"/>
        <v>0.78818701443978267</v>
      </c>
      <c r="AP443" s="50" t="str">
        <f t="shared" si="382"/>
        <v>1-5.01761030171669i</v>
      </c>
      <c r="AQ443" s="50">
        <f t="shared" si="404"/>
        <v>5.1162890008182158</v>
      </c>
      <c r="AR443" s="50">
        <f t="shared" si="405"/>
        <v>-1.374075800074112</v>
      </c>
      <c r="AS443" s="59" t="str">
        <f t="shared" si="406"/>
        <v>-0.476989351161808-0.720480710106201i</v>
      </c>
      <c r="AT443" s="50">
        <f t="shared" si="407"/>
        <v>-1.2690544434074607</v>
      </c>
      <c r="AU443" s="61">
        <f t="shared" si="408"/>
        <v>-123.50627990834323</v>
      </c>
      <c r="AV443" s="32" t="str">
        <f t="shared" si="383"/>
        <v>-0.0000333333333333333</v>
      </c>
      <c r="AW443" s="32" t="str">
        <f t="shared" si="384"/>
        <v>0.0536316434938395i</v>
      </c>
      <c r="AX443" s="32">
        <f t="shared" si="409"/>
        <v>5.3631643493839497E-2</v>
      </c>
      <c r="AY443" s="32">
        <f t="shared" si="410"/>
        <v>1.5707963267948966</v>
      </c>
      <c r="AZ443" s="32" t="str">
        <f t="shared" si="385"/>
        <v>1+21.8809656615492i</v>
      </c>
      <c r="BA443" s="32">
        <f t="shared" si="411"/>
        <v>21.903804653116666</v>
      </c>
      <c r="BB443" s="32">
        <f t="shared" si="412"/>
        <v>1.5251262833513379</v>
      </c>
      <c r="BC443" s="32" t="str">
        <f t="shared" si="386"/>
        <v>1+1050.28635175436i</v>
      </c>
      <c r="BD443" s="32">
        <f t="shared" si="413"/>
        <v>1050.2868278148992</v>
      </c>
      <c r="BE443" s="32">
        <f t="shared" si="414"/>
        <v>1.5698442057888953</v>
      </c>
      <c r="BF443" s="59" t="str">
        <f t="shared" si="415"/>
        <v>-0.00133224122038299+0.0297722480183845i</v>
      </c>
      <c r="BG443" s="50">
        <f t="shared" si="416"/>
        <v>-30.515079984790248</v>
      </c>
      <c r="BH443" s="61">
        <f t="shared" si="417"/>
        <v>92.5621482242654</v>
      </c>
      <c r="BI443" s="59" t="str">
        <f t="shared" si="418"/>
        <v>-0.00482137750900139-0.0122486445182874i</v>
      </c>
      <c r="BJ443" s="64">
        <f t="shared" si="419"/>
        <v>-37.612641586002155</v>
      </c>
      <c r="BK443" s="61">
        <f t="shared" si="420"/>
        <v>-111.48585862028121</v>
      </c>
      <c r="BL443" s="59" t="str">
        <f t="shared" si="425"/>
        <v>0.0220857952690451-0.0132411911644234i</v>
      </c>
      <c r="BM443" s="64">
        <f t="shared" si="421"/>
        <v>-31.784134428197703</v>
      </c>
      <c r="BN443" s="61">
        <f t="shared" si="426"/>
        <v>-30.944131684077906</v>
      </c>
      <c r="BO443" s="50">
        <f t="shared" si="422"/>
        <v>-37.612641586002155</v>
      </c>
      <c r="BP443" s="61">
        <f t="shared" si="423"/>
        <v>-111.48585862028121</v>
      </c>
    </row>
    <row r="444" spans="14:68" x14ac:dyDescent="0.25">
      <c r="N444" s="11">
        <v>26</v>
      </c>
      <c r="O444" s="51">
        <f t="shared" si="424"/>
        <v>181970.08586099857</v>
      </c>
      <c r="P444" s="49" t="str">
        <f t="shared" si="374"/>
        <v>25.6231073841137</v>
      </c>
      <c r="Q444" s="18" t="str">
        <f t="shared" si="375"/>
        <v>1+988.747599694048i</v>
      </c>
      <c r="R444" s="18">
        <f t="shared" si="387"/>
        <v>988.74810538414738</v>
      </c>
      <c r="S444" s="18">
        <f t="shared" si="388"/>
        <v>1.5697849466819678</v>
      </c>
      <c r="T444" s="18" t="str">
        <f t="shared" si="376"/>
        <v>1+1.02901659284523i</v>
      </c>
      <c r="U444" s="18">
        <f t="shared" si="389"/>
        <v>1.4348780952926998</v>
      </c>
      <c r="V444" s="18">
        <f t="shared" si="390"/>
        <v>0.79969800456031848</v>
      </c>
      <c r="W444" s="32" t="str">
        <f t="shared" si="377"/>
        <v>1-23.0575940248653i</v>
      </c>
      <c r="X444" s="18">
        <f t="shared" si="391"/>
        <v>23.079268667258585</v>
      </c>
      <c r="Y444" s="18">
        <f t="shared" si="392"/>
        <v>-1.5274538284507773</v>
      </c>
      <c r="Z444" s="32" t="str">
        <f t="shared" si="378"/>
        <v>0.172172196293527+1.82555165915876i</v>
      </c>
      <c r="AA444" s="18">
        <f t="shared" si="393"/>
        <v>1.8336526730637508</v>
      </c>
      <c r="AB444" s="18">
        <f t="shared" si="394"/>
        <v>1.4767620541048219</v>
      </c>
      <c r="AC444" s="32" t="str">
        <f>IMDIV(IMSUM(COMPLEX(0,2*PI()*O444*Constants!$B$71*Constants!$B$72),COMPLEX(1,0)),IMSUM(COMPLEX(0,2*PI()*O444*Constants!$B$71*Constants!$B$72),COMPLEX(2,0)))</f>
        <v>0.919730462319335+0.183552635940934i</v>
      </c>
      <c r="AD444" s="18">
        <f t="shared" si="395"/>
        <v>0.93786763110739813</v>
      </c>
      <c r="AE444" s="18">
        <f t="shared" si="396"/>
        <v>0.19698418423439115</v>
      </c>
      <c r="AF444" s="66" t="str">
        <f t="shared" si="397"/>
        <v>-0.397929427039699+0.185263883686019i</v>
      </c>
      <c r="AG444" s="64">
        <f t="shared" si="398"/>
        <v>-7.1518469555234452</v>
      </c>
      <c r="AH444" s="61">
        <f t="shared" si="399"/>
        <v>155.03473992914661</v>
      </c>
      <c r="AI444" s="50" t="str">
        <f t="shared" si="379"/>
        <v>108.866083054159</v>
      </c>
      <c r="AJ444" s="50" t="str">
        <f t="shared" si="380"/>
        <v>1+935.469629859299i</v>
      </c>
      <c r="AK444" s="50">
        <f t="shared" si="400"/>
        <v>935.4701643500415</v>
      </c>
      <c r="AL444" s="50">
        <f t="shared" si="401"/>
        <v>1.5697273454114569</v>
      </c>
      <c r="AM444" s="50" t="str">
        <f t="shared" si="381"/>
        <v>1+1.02901659284523i</v>
      </c>
      <c r="AN444" s="50">
        <f t="shared" si="402"/>
        <v>1.4348780952926998</v>
      </c>
      <c r="AO444" s="50">
        <f t="shared" si="403"/>
        <v>0.79969800456031848</v>
      </c>
      <c r="AP444" s="50" t="str">
        <f t="shared" si="382"/>
        <v>1-5.13448545974237i</v>
      </c>
      <c r="AQ444" s="50">
        <f t="shared" si="404"/>
        <v>5.230959848470051</v>
      </c>
      <c r="AR444" s="50">
        <f t="shared" si="405"/>
        <v>-1.3784428397410984</v>
      </c>
      <c r="AS444" s="59" t="str">
        <f t="shared" si="406"/>
        <v>-0.476995239807864-0.73175421217762i</v>
      </c>
      <c r="AT444" s="50">
        <f t="shared" si="407"/>
        <v>-1.1748190203738578</v>
      </c>
      <c r="AU444" s="61">
        <f t="shared" si="408"/>
        <v>-123.09838834920393</v>
      </c>
      <c r="AV444" s="32" t="str">
        <f t="shared" si="383"/>
        <v>-0.0000333333333333333</v>
      </c>
      <c r="AW444" s="32" t="str">
        <f t="shared" si="384"/>
        <v>0.0548808849517456i</v>
      </c>
      <c r="AX444" s="32">
        <f t="shared" si="409"/>
        <v>5.4880884951745597E-2</v>
      </c>
      <c r="AY444" s="32">
        <f t="shared" si="410"/>
        <v>1.5707963267948966</v>
      </c>
      <c r="AZ444" s="32" t="str">
        <f t="shared" si="385"/>
        <v>1+22.3906388257989i</v>
      </c>
      <c r="BA444" s="32">
        <f t="shared" si="411"/>
        <v>22.412958462179265</v>
      </c>
      <c r="BB444" s="32">
        <f t="shared" si="412"/>
        <v>1.5261644644111525</v>
      </c>
      <c r="BC444" s="32" t="str">
        <f t="shared" si="386"/>
        <v>1+1074.75066363835i</v>
      </c>
      <c r="BD444" s="32">
        <f t="shared" si="413"/>
        <v>1074.751128862433</v>
      </c>
      <c r="BE444" s="32">
        <f t="shared" si="414"/>
        <v>1.5698658786963238</v>
      </c>
      <c r="BF444" s="59" t="str">
        <f t="shared" si="415"/>
        <v>-0.00127239985093605+0.0290972215217086i</v>
      </c>
      <c r="BG444" s="50">
        <f t="shared" si="416"/>
        <v>-30.714672735153329</v>
      </c>
      <c r="BH444" s="61">
        <f t="shared" si="417"/>
        <v>92.503906597293053</v>
      </c>
      <c r="BI444" s="59" t="str">
        <f t="shared" si="418"/>
        <v>-0.00488433891993577-0.0118143704265666i</v>
      </c>
      <c r="BJ444" s="64">
        <f t="shared" si="419"/>
        <v>-37.866519690676789</v>
      </c>
      <c r="BK444" s="61">
        <f t="shared" si="420"/>
        <v>-112.46135347356038</v>
      </c>
      <c r="BL444" s="59" t="str">
        <f t="shared" si="425"/>
        <v>0.0218989430832043-0.0129481522069933i</v>
      </c>
      <c r="BM444" s="64">
        <f t="shared" si="421"/>
        <v>-31.889491755527185</v>
      </c>
      <c r="BN444" s="61">
        <f t="shared" si="426"/>
        <v>-30.594481751910862</v>
      </c>
      <c r="BO444" s="50">
        <f t="shared" si="422"/>
        <v>-37.866519690676789</v>
      </c>
      <c r="BP444" s="61">
        <f t="shared" si="423"/>
        <v>-112.46135347356038</v>
      </c>
    </row>
    <row r="445" spans="14:68" x14ac:dyDescent="0.25">
      <c r="N445" s="11">
        <v>27</v>
      </c>
      <c r="O445" s="51">
        <f t="shared" si="424"/>
        <v>186208.71366628664</v>
      </c>
      <c r="P445" s="49" t="str">
        <f t="shared" si="374"/>
        <v>25.6231073841137</v>
      </c>
      <c r="Q445" s="18" t="str">
        <f t="shared" si="375"/>
        <v>1+1011.77848990133i</v>
      </c>
      <c r="R445" s="18">
        <f t="shared" si="387"/>
        <v>1011.7789840805233</v>
      </c>
      <c r="S445" s="18">
        <f t="shared" si="388"/>
        <v>1.5698079684888409</v>
      </c>
      <c r="T445" s="18" t="str">
        <f t="shared" si="376"/>
        <v>1+1.05298546839914i</v>
      </c>
      <c r="U445" s="18">
        <f t="shared" si="389"/>
        <v>1.4521633505428224</v>
      </c>
      <c r="V445" s="18">
        <f t="shared" si="390"/>
        <v>0.81120141885627528</v>
      </c>
      <c r="W445" s="32" t="str">
        <f t="shared" si="377"/>
        <v>1-23.5946743844992i</v>
      </c>
      <c r="X445" s="18">
        <f t="shared" si="391"/>
        <v>23.615856099462977</v>
      </c>
      <c r="Y445" s="18">
        <f t="shared" si="392"/>
        <v>-1.5284392308257861</v>
      </c>
      <c r="Z445" s="32" t="str">
        <f t="shared" si="378"/>
        <v>0.133157873868677+1.86807421986366i</v>
      </c>
      <c r="AA445" s="18">
        <f t="shared" si="393"/>
        <v>1.872814008462252</v>
      </c>
      <c r="AB445" s="18">
        <f t="shared" si="394"/>
        <v>1.4996358587654097</v>
      </c>
      <c r="AC445" s="32" t="str">
        <f>IMDIV(IMSUM(COMPLEX(0,2*PI()*O445*Constants!$B$71*Constants!$B$72),COMPLEX(1,0)),IMSUM(COMPLEX(0,2*PI()*O445*Constants!$B$71*Constants!$B$72),COMPLEX(2,0)))</f>
        <v>0.922785275607441+0.180679961626243i</v>
      </c>
      <c r="AD445" s="18">
        <f t="shared" si="395"/>
        <v>0.94030735050363268</v>
      </c>
      <c r="AE445" s="18">
        <f t="shared" si="396"/>
        <v>0.19335239958385508</v>
      </c>
      <c r="AF445" s="66" t="str">
        <f t="shared" si="397"/>
        <v>-0.392313787731616+0.190350128353207i</v>
      </c>
      <c r="AG445" s="64">
        <f t="shared" si="398"/>
        <v>-7.2091902006792816</v>
      </c>
      <c r="AH445" s="61">
        <f t="shared" si="399"/>
        <v>154.11740016768022</v>
      </c>
      <c r="AI445" s="50" t="str">
        <f t="shared" si="379"/>
        <v>108.866083054159</v>
      </c>
      <c r="AJ445" s="50" t="str">
        <f t="shared" si="380"/>
        <v>1+957.259516726491i</v>
      </c>
      <c r="AK445" s="50">
        <f t="shared" si="400"/>
        <v>957.26003905074572</v>
      </c>
      <c r="AL445" s="50">
        <f t="shared" si="401"/>
        <v>1.5697516783805814</v>
      </c>
      <c r="AM445" s="50" t="str">
        <f t="shared" si="381"/>
        <v>1+1.05298546839914i</v>
      </c>
      <c r="AN445" s="50">
        <f t="shared" si="402"/>
        <v>1.4521633505428224</v>
      </c>
      <c r="AO445" s="50">
        <f t="shared" si="403"/>
        <v>0.81120141885627528</v>
      </c>
      <c r="AP445" s="50" t="str">
        <f t="shared" si="382"/>
        <v>1-5.25408298992179i</v>
      </c>
      <c r="AQ445" s="50">
        <f t="shared" si="404"/>
        <v>5.3484005146385121</v>
      </c>
      <c r="AR445" s="50">
        <f t="shared" si="405"/>
        <v>-1.3827176636073657</v>
      </c>
      <c r="AS445" s="59" t="str">
        <f t="shared" si="406"/>
        <v>-0.477000863421783-0.743415699451465i</v>
      </c>
      <c r="AT445" s="50">
        <f t="shared" si="407"/>
        <v>-1.0779587654187386</v>
      </c>
      <c r="AU445" s="61">
        <f t="shared" si="408"/>
        <v>-122.68561480218796</v>
      </c>
      <c r="AV445" s="32" t="str">
        <f t="shared" si="383"/>
        <v>-0.0000333333333333333</v>
      </c>
      <c r="AW445" s="32" t="str">
        <f t="shared" si="384"/>
        <v>0.0561592249812875i</v>
      </c>
      <c r="AX445" s="32">
        <f t="shared" si="409"/>
        <v>5.6159224981287503E-2</v>
      </c>
      <c r="AY445" s="32">
        <f t="shared" si="410"/>
        <v>1.5707963267948966</v>
      </c>
      <c r="AZ445" s="32" t="str">
        <f t="shared" si="385"/>
        <v>1+22.9121838031294i</v>
      </c>
      <c r="BA445" s="32">
        <f t="shared" si="411"/>
        <v>22.933995871378041</v>
      </c>
      <c r="BB445" s="32">
        <f t="shared" si="412"/>
        <v>1.5271791066216949</v>
      </c>
      <c r="BC445" s="32" t="str">
        <f t="shared" si="386"/>
        <v>1+1099.78482255021i</v>
      </c>
      <c r="BD445" s="32">
        <f t="shared" si="413"/>
        <v>1099.7852771845041</v>
      </c>
      <c r="BE445" s="32">
        <f t="shared" si="414"/>
        <v>1.5698870582689941</v>
      </c>
      <c r="BF445" s="59" t="str">
        <f t="shared" si="415"/>
        <v>-0.00121524130412314+0.0284373825765424i</v>
      </c>
      <c r="BG445" s="50">
        <f t="shared" si="416"/>
        <v>-30.914283779085817</v>
      </c>
      <c r="BH445" s="61">
        <f t="shared" si="417"/>
        <v>92.446985381039042</v>
      </c>
      <c r="BI445" s="59" t="str">
        <f t="shared" si="418"/>
        <v>-0.00493630350444564-0.0113876986099964i</v>
      </c>
      <c r="BJ445" s="64">
        <f t="shared" si="419"/>
        <v>-38.12347397976508</v>
      </c>
      <c r="BK445" s="61">
        <f t="shared" si="420"/>
        <v>-113.43561445128068</v>
      </c>
      <c r="BL445" s="59" t="str">
        <f t="shared" si="425"/>
        <v>0.0217204678100417-0.0126612265783593i</v>
      </c>
      <c r="BM445" s="64">
        <f t="shared" si="421"/>
        <v>-31.99224254450456</v>
      </c>
      <c r="BN445" s="61">
        <f t="shared" si="426"/>
        <v>-30.238629421149007</v>
      </c>
      <c r="BO445" s="50">
        <f t="shared" si="422"/>
        <v>-38.12347397976508</v>
      </c>
      <c r="BP445" s="61">
        <f t="shared" si="423"/>
        <v>-113.43561445128068</v>
      </c>
    </row>
    <row r="446" spans="14:68" x14ac:dyDescent="0.25">
      <c r="N446" s="11">
        <v>28</v>
      </c>
      <c r="O446" s="51">
        <f t="shared" si="424"/>
        <v>190546.07179632492</v>
      </c>
      <c r="P446" s="49" t="str">
        <f t="shared" si="374"/>
        <v>25.6231073841137</v>
      </c>
      <c r="Q446" s="18" t="str">
        <f t="shared" si="375"/>
        <v>1+1035.34583845645i</v>
      </c>
      <c r="R446" s="18">
        <f t="shared" si="387"/>
        <v>1035.3463213867569</v>
      </c>
      <c r="S446" s="18">
        <f t="shared" si="388"/>
        <v>1.5698304662564231</v>
      </c>
      <c r="T446" s="18" t="str">
        <f t="shared" si="376"/>
        <v>1+1.07751265078632i</v>
      </c>
      <c r="U446" s="18">
        <f t="shared" si="389"/>
        <v>1.4700454117490933</v>
      </c>
      <c r="V446" s="18">
        <f t="shared" si="390"/>
        <v>0.82269117981252837</v>
      </c>
      <c r="W446" s="32" t="str">
        <f t="shared" si="377"/>
        <v>1-24.1442649528045i</v>
      </c>
      <c r="X446" s="18">
        <f t="shared" si="391"/>
        <v>24.16496493089166</v>
      </c>
      <c r="Y446" s="18">
        <f t="shared" si="392"/>
        <v>-1.5294022822440361</v>
      </c>
      <c r="Z446" s="32" t="str">
        <f t="shared" si="378"/>
        <v>0.092304863074737+1.91158725824683i</v>
      </c>
      <c r="AA446" s="18">
        <f t="shared" si="393"/>
        <v>1.9138145243567568</v>
      </c>
      <c r="AB446" s="18">
        <f t="shared" si="394"/>
        <v>1.522546777944753</v>
      </c>
      <c r="AC446" s="32" t="str">
        <f>IMDIV(IMSUM(COMPLEX(0,2*PI()*O446*Constants!$B$71*Constants!$B$72),COMPLEX(1,0)),IMSUM(COMPLEX(0,2*PI()*O446*Constants!$B$71*Constants!$B$72),COMPLEX(2,0)))</f>
        <v>0.925744399338892+0.177802998009066i</v>
      </c>
      <c r="AD446" s="18">
        <f t="shared" si="395"/>
        <v>0.94266462700598763</v>
      </c>
      <c r="AE446" s="18">
        <f t="shared" si="396"/>
        <v>0.18975413606910427</v>
      </c>
      <c r="AF446" s="66" t="str">
        <f t="shared" si="397"/>
        <v>-0.386519923526765+0.195242020631509i</v>
      </c>
      <c r="AG446" s="64">
        <f t="shared" si="398"/>
        <v>-7.269591269412671</v>
      </c>
      <c r="AH446" s="61">
        <f t="shared" si="399"/>
        <v>153.20038288252414</v>
      </c>
      <c r="AI446" s="50" t="str">
        <f t="shared" si="379"/>
        <v>108.866083054159</v>
      </c>
      <c r="AJ446" s="50" t="str">
        <f t="shared" si="380"/>
        <v>1+979.556955260287i</v>
      </c>
      <c r="AK446" s="50">
        <f t="shared" si="400"/>
        <v>979.55746569499649</v>
      </c>
      <c r="AL446" s="50">
        <f t="shared" si="401"/>
        <v>1.5697754574649017</v>
      </c>
      <c r="AM446" s="50" t="str">
        <f t="shared" si="381"/>
        <v>1+1.07751265078632i</v>
      </c>
      <c r="AN446" s="50">
        <f t="shared" si="402"/>
        <v>1.4700454117490933</v>
      </c>
      <c r="AO446" s="50">
        <f t="shared" si="403"/>
        <v>0.82269117981252837</v>
      </c>
      <c r="AP446" s="50" t="str">
        <f t="shared" si="382"/>
        <v>1-5.37646630444852i</v>
      </c>
      <c r="AQ446" s="50">
        <f t="shared" si="404"/>
        <v>5.4686735066988899</v>
      </c>
      <c r="AR446" s="50">
        <f t="shared" si="405"/>
        <v>-1.3869019129901039</v>
      </c>
      <c r="AS446" s="59" t="str">
        <f t="shared" si="406"/>
        <v>-0.477006233931921-0.755471355040488i</v>
      </c>
      <c r="AT446" s="50">
        <f t="shared" si="407"/>
        <v>-0.97849149645889966</v>
      </c>
      <c r="AU446" s="61">
        <f t="shared" si="408"/>
        <v>-122.2684022630138</v>
      </c>
      <c r="AV446" s="32" t="str">
        <f t="shared" si="383"/>
        <v>-0.0000333333333333333</v>
      </c>
      <c r="AW446" s="32" t="str">
        <f t="shared" si="384"/>
        <v>0.0574673413752699i</v>
      </c>
      <c r="AX446" s="32">
        <f t="shared" si="409"/>
        <v>5.7467341375269897E-2</v>
      </c>
      <c r="AY446" s="32">
        <f t="shared" si="410"/>
        <v>1.5707963267948966</v>
      </c>
      <c r="AZ446" s="32" t="str">
        <f t="shared" si="385"/>
        <v>1+23.4458771235911i</v>
      </c>
      <c r="BA446" s="32">
        <f t="shared" si="411"/>
        <v>23.467193144782623</v>
      </c>
      <c r="BB446" s="32">
        <f t="shared" si="412"/>
        <v>1.5281707395983541</v>
      </c>
      <c r="BC446" s="32" t="str">
        <f t="shared" si="386"/>
        <v>1+1125.40210193238i</v>
      </c>
      <c r="BD446" s="32">
        <f t="shared" si="413"/>
        <v>1125.4025462179384</v>
      </c>
      <c r="BE446" s="32">
        <f t="shared" si="414"/>
        <v>1.5699077557365195</v>
      </c>
      <c r="BF446" s="59" t="str">
        <f t="shared" si="415"/>
        <v>-0.00116064575282333+0.0277923972982571i</v>
      </c>
      <c r="BG446" s="50">
        <f t="shared" si="416"/>
        <v>-31.113912296375176</v>
      </c>
      <c r="BH446" s="61">
        <f t="shared" si="417"/>
        <v>92.391354874186277</v>
      </c>
      <c r="BI446" s="59" t="str">
        <f t="shared" si="418"/>
        <v>-0.00497763109908247-0.0109689221003664i</v>
      </c>
      <c r="BJ446" s="64">
        <f t="shared" si="419"/>
        <v>-38.383503565787855</v>
      </c>
      <c r="BK446" s="61">
        <f t="shared" si="420"/>
        <v>-114.40826224328958</v>
      </c>
      <c r="BL446" s="59" t="str">
        <f t="shared" si="425"/>
        <v>0.0215499953062212-0.0123803121475739i</v>
      </c>
      <c r="BM446" s="64">
        <f t="shared" si="421"/>
        <v>-32.092403792834084</v>
      </c>
      <c r="BN446" s="61">
        <f t="shared" si="426"/>
        <v>-29.877047388827577</v>
      </c>
      <c r="BO446" s="50">
        <f t="shared" si="422"/>
        <v>-38.383503565787855</v>
      </c>
      <c r="BP446" s="61">
        <f t="shared" si="423"/>
        <v>-114.40826224328958</v>
      </c>
    </row>
    <row r="447" spans="14:68" x14ac:dyDescent="0.25">
      <c r="N447" s="11">
        <v>29</v>
      </c>
      <c r="O447" s="51">
        <f t="shared" si="424"/>
        <v>194984.45997580473</v>
      </c>
      <c r="P447" s="49" t="str">
        <f t="shared" si="374"/>
        <v>25.6231073841137</v>
      </c>
      <c r="Q447" s="18" t="str">
        <f t="shared" si="375"/>
        <v>1+1059.46214107952i</v>
      </c>
      <c r="R447" s="18">
        <f t="shared" si="387"/>
        <v>1059.4626130169959</v>
      </c>
      <c r="S447" s="18">
        <f t="shared" si="388"/>
        <v>1.5698524519132377</v>
      </c>
      <c r="T447" s="18" t="str">
        <f t="shared" si="376"/>
        <v>1+1.10261114464349i</v>
      </c>
      <c r="U447" s="18">
        <f t="shared" si="389"/>
        <v>1.4885400015760504</v>
      </c>
      <c r="V447" s="18">
        <f t="shared" si="390"/>
        <v>0.83416124596192387</v>
      </c>
      <c r="W447" s="32" t="str">
        <f t="shared" si="377"/>
        <v>1-24.7066571299745i</v>
      </c>
      <c r="X447" s="18">
        <f t="shared" si="391"/>
        <v>24.726886308998143</v>
      </c>
      <c r="Y447" s="18">
        <f t="shared" si="392"/>
        <v>-1.5303434861784677</v>
      </c>
      <c r="Z447" s="32" t="str">
        <f t="shared" si="378"/>
        <v>0.049526509198603+1.95611384549715i</v>
      </c>
      <c r="AA447" s="18">
        <f t="shared" si="393"/>
        <v>1.956740721623345</v>
      </c>
      <c r="AB447" s="18">
        <f t="shared" si="394"/>
        <v>1.5454829072786174</v>
      </c>
      <c r="AC447" s="32" t="str">
        <f>IMDIV(IMSUM(COMPLEX(0,2*PI()*O447*Constants!$B$71*Constants!$B$72),COMPLEX(1,0)),IMSUM(COMPLEX(0,2*PI()*O447*Constants!$B$71*Constants!$B$72),COMPLEX(2,0)))</f>
        <v>0.928609268745895+0.174924924233389i</v>
      </c>
      <c r="AD447" s="18">
        <f t="shared" si="395"/>
        <v>0.94494121675310727</v>
      </c>
      <c r="AE447" s="18">
        <f t="shared" si="396"/>
        <v>0.18619117827242301</v>
      </c>
      <c r="AF447" s="66" t="str">
        <f t="shared" si="397"/>
        <v>-0.380557858582654+0.199932107012945i</v>
      </c>
      <c r="AG447" s="64">
        <f t="shared" si="398"/>
        <v>-7.3330477520548367</v>
      </c>
      <c r="AH447" s="61">
        <f t="shared" si="399"/>
        <v>152.28409671164133</v>
      </c>
      <c r="AI447" s="50" t="str">
        <f t="shared" si="379"/>
        <v>108.866083054159</v>
      </c>
      <c r="AJ447" s="50" t="str">
        <f t="shared" si="380"/>
        <v>1+1002.37376785772i</v>
      </c>
      <c r="AK447" s="50">
        <f t="shared" si="400"/>
        <v>1002.3742666735227</v>
      </c>
      <c r="AL447" s="50">
        <f t="shared" si="401"/>
        <v>1.5697986952722951</v>
      </c>
      <c r="AM447" s="50" t="str">
        <f t="shared" si="381"/>
        <v>1+1.10261114464349i</v>
      </c>
      <c r="AN447" s="50">
        <f t="shared" si="402"/>
        <v>1.4885400015760504</v>
      </c>
      <c r="AO447" s="50">
        <f t="shared" si="403"/>
        <v>0.83416124596192387</v>
      </c>
      <c r="AP447" s="50" t="str">
        <f t="shared" si="382"/>
        <v>1-5.50170029257575i</v>
      </c>
      <c r="AQ447" s="50">
        <f t="shared" si="404"/>
        <v>5.591842818725155</v>
      </c>
      <c r="AR447" s="50">
        <f t="shared" si="405"/>
        <v>-1.3909972200875766</v>
      </c>
      <c r="AS447" s="59" t="str">
        <f t="shared" si="406"/>
        <v>-0.47701136272978-0.767927571048142i</v>
      </c>
      <c r="AT447" s="50">
        <f t="shared" si="407"/>
        <v>-0.87643691981461769</v>
      </c>
      <c r="AU447" s="61">
        <f t="shared" si="408"/>
        <v>-121.84719112270155</v>
      </c>
      <c r="AV447" s="32" t="str">
        <f t="shared" si="383"/>
        <v>-0.0000333333333333333</v>
      </c>
      <c r="AW447" s="32" t="str">
        <f t="shared" si="384"/>
        <v>0.0588059277143195i</v>
      </c>
      <c r="AX447" s="32">
        <f t="shared" si="409"/>
        <v>5.88059277143195E-2</v>
      </c>
      <c r="AY447" s="32">
        <f t="shared" si="410"/>
        <v>1.5707963267948966</v>
      </c>
      <c r="AZ447" s="32" t="str">
        <f t="shared" si="385"/>
        <v>1+23.9920017584463i</v>
      </c>
      <c r="BA447" s="32">
        <f t="shared" si="411"/>
        <v>24.012832993574296</v>
      </c>
      <c r="BB447" s="32">
        <f t="shared" si="412"/>
        <v>1.529139881312749</v>
      </c>
      <c r="BC447" s="32" t="str">
        <f t="shared" si="386"/>
        <v>1+1151.61608440542i</v>
      </c>
      <c r="BD447" s="32">
        <f t="shared" si="413"/>
        <v>1151.6165185778082</v>
      </c>
      <c r="BE447" s="32">
        <f t="shared" si="414"/>
        <v>1.5699279820729006</v>
      </c>
      <c r="BF447" s="59" t="str">
        <f t="shared" si="415"/>
        <v>-0.00110849868242419+0.0271619386183953i</v>
      </c>
      <c r="BG447" s="50">
        <f t="shared" si="416"/>
        <v>-31.31355750345007</v>
      </c>
      <c r="BH447" s="61">
        <f t="shared" si="417"/>
        <v>92.336986027911038</v>
      </c>
      <c r="BI447" s="59" t="str">
        <f t="shared" si="418"/>
        <v>-0.00500869573370701-0.0105583136727681i</v>
      </c>
      <c r="BJ447" s="64">
        <f t="shared" si="419"/>
        <v>-38.646605255504937</v>
      </c>
      <c r="BK447" s="61">
        <f t="shared" si="420"/>
        <v>-115.37891726044775</v>
      </c>
      <c r="BL447" s="59" t="str">
        <f t="shared" si="425"/>
        <v>0.0213871680152704-0.0121053066540393i</v>
      </c>
      <c r="BM447" s="64">
        <f t="shared" si="421"/>
        <v>-32.189994423264679</v>
      </c>
      <c r="BN447" s="61">
        <f t="shared" si="426"/>
        <v>-29.51020509479044</v>
      </c>
      <c r="BO447" s="50">
        <f t="shared" si="422"/>
        <v>-38.646605255504937</v>
      </c>
      <c r="BP447" s="61">
        <f t="shared" si="423"/>
        <v>-115.37891726044775</v>
      </c>
    </row>
    <row r="448" spans="14:68" x14ac:dyDescent="0.25">
      <c r="N448" s="11">
        <v>30</v>
      </c>
      <c r="O448" s="51">
        <f t="shared" si="424"/>
        <v>199526.23149688813</v>
      </c>
      <c r="P448" s="49" t="str">
        <f t="shared" si="374"/>
        <v>25.6231073841137</v>
      </c>
      <c r="Q448" s="18" t="str">
        <f t="shared" si="375"/>
        <v>1+1084.14018455344i</v>
      </c>
      <c r="R448" s="18">
        <f t="shared" si="387"/>
        <v>1084.140645748312</v>
      </c>
      <c r="S448" s="18">
        <f t="shared" si="388"/>
        <v>1.569873937116286</v>
      </c>
      <c r="T448" s="18" t="str">
        <f t="shared" si="376"/>
        <v>1+1.12829425752435i</v>
      </c>
      <c r="U448" s="18">
        <f t="shared" si="389"/>
        <v>1.5076630696420286</v>
      </c>
      <c r="V448" s="18">
        <f t="shared" si="390"/>
        <v>0.84560562765543257</v>
      </c>
      <c r="W448" s="32" t="str">
        <f t="shared" si="377"/>
        <v>1-25.2821491037862i</v>
      </c>
      <c r="X448" s="18">
        <f t="shared" si="391"/>
        <v>25.301918174440402</v>
      </c>
      <c r="Y448" s="18">
        <f t="shared" si="392"/>
        <v>-1.5312633349938281</v>
      </c>
      <c r="Z448" s="32" t="str">
        <f t="shared" si="378"/>
        <v>0.00473207361625905+2.0016775902006i</v>
      </c>
      <c r="AA448" s="18">
        <f t="shared" si="393"/>
        <v>2.0016831836312137</v>
      </c>
      <c r="AB448" s="18">
        <f t="shared" si="394"/>
        <v>1.5684322773475754</v>
      </c>
      <c r="AC448" s="32" t="str">
        <f>IMDIV(IMSUM(COMPLEX(0,2*PI()*O448*Constants!$B$71*Constants!$B$72),COMPLEX(1,0)),IMSUM(COMPLEX(0,2*PI()*O448*Constants!$B$71*Constants!$B$72),COMPLEX(2,0)))</f>
        <v>0.931381422565657+0.172048770841464i</v>
      </c>
      <c r="AD448" s="18">
        <f t="shared" si="395"/>
        <v>0.94713892003680511</v>
      </c>
      <c r="AE448" s="18">
        <f t="shared" si="396"/>
        <v>0.1826651657963041</v>
      </c>
      <c r="AF448" s="66" t="str">
        <f t="shared" si="397"/>
        <v>-0.374438024766746+0.204413558763338i</v>
      </c>
      <c r="AG448" s="64">
        <f t="shared" si="398"/>
        <v>-7.3995548804492373</v>
      </c>
      <c r="AH448" s="61">
        <f t="shared" si="399"/>
        <v>151.36894933462193</v>
      </c>
      <c r="AI448" s="50" t="str">
        <f t="shared" si="379"/>
        <v>108.866083054159</v>
      </c>
      <c r="AJ448" s="50" t="str">
        <f t="shared" si="380"/>
        <v>1+1025.72205229486i</v>
      </c>
      <c r="AK448" s="50">
        <f t="shared" si="400"/>
        <v>1025.7225397562343</v>
      </c>
      <c r="AL448" s="50">
        <f t="shared" si="401"/>
        <v>1.5698214041236545</v>
      </c>
      <c r="AM448" s="50" t="str">
        <f t="shared" si="381"/>
        <v>1+1.12829425752435i</v>
      </c>
      <c r="AN448" s="50">
        <f t="shared" si="402"/>
        <v>1.5076630696420286</v>
      </c>
      <c r="AO448" s="50">
        <f t="shared" si="403"/>
        <v>0.84560562765543257</v>
      </c>
      <c r="AP448" s="50" t="str">
        <f t="shared" si="382"/>
        <v>1-5.62985135502174i</v>
      </c>
      <c r="AQ448" s="50">
        <f t="shared" si="404"/>
        <v>5.7179739663310922</v>
      </c>
      <c r="AR448" s="50">
        <f t="shared" si="405"/>
        <v>-1.3950052065393974</v>
      </c>
      <c r="AS448" s="59" t="str">
        <f t="shared" si="406"/>
        <v>-0.477016260694158-0.780790951958001i</v>
      </c>
      <c r="AT448" s="50">
        <f t="shared" si="407"/>
        <v>-0.77181661888004149</v>
      </c>
      <c r="AU448" s="61">
        <f t="shared" si="408"/>
        <v>-121.4224181819021</v>
      </c>
      <c r="AV448" s="32" t="str">
        <f t="shared" si="383"/>
        <v>-0.0000333333333333333</v>
      </c>
      <c r="AW448" s="32" t="str">
        <f t="shared" si="384"/>
        <v>0.0601756937346317i</v>
      </c>
      <c r="AX448" s="32">
        <f t="shared" si="409"/>
        <v>6.0175693734631698E-2</v>
      </c>
      <c r="AY448" s="32">
        <f t="shared" si="410"/>
        <v>1.5707963267948966</v>
      </c>
      <c r="AZ448" s="32" t="str">
        <f t="shared" si="385"/>
        <v>1+24.5508472702057i</v>
      </c>
      <c r="BA448" s="32">
        <f t="shared" si="411"/>
        <v>24.571204725958527</v>
      </c>
      <c r="BB448" s="32">
        <f t="shared" si="412"/>
        <v>1.5300870383304768</v>
      </c>
      <c r="BC448" s="32" t="str">
        <f t="shared" si="386"/>
        <v>1+1178.44066896987i</v>
      </c>
      <c r="BD448" s="32">
        <f t="shared" si="413"/>
        <v>1178.4410932592918</v>
      </c>
      <c r="BE448" s="32">
        <f t="shared" si="414"/>
        <v>1.5699477480023423</v>
      </c>
      <c r="BF448" s="59" t="str">
        <f t="shared" si="415"/>
        <v>-0.00105869065876897+0.0265456861812633i</v>
      </c>
      <c r="BG448" s="50">
        <f t="shared" si="416"/>
        <v>-31.513218651754219</v>
      </c>
      <c r="BH448" s="61">
        <f t="shared" si="417"/>
        <v>92.283850432594193</v>
      </c>
      <c r="BI448" s="59" t="str">
        <f t="shared" si="418"/>
        <v>-0.00502988414301834-0.0101561250249786i</v>
      </c>
      <c r="BJ448" s="64">
        <f t="shared" si="419"/>
        <v>-38.912773532203452</v>
      </c>
      <c r="BK448" s="61">
        <f t="shared" si="420"/>
        <v>-116.34720023278389</v>
      </c>
      <c r="BL448" s="59" t="str">
        <f t="shared" si="425"/>
        <v>0.0212316442431247-0.0118361078724575i</v>
      </c>
      <c r="BM448" s="64">
        <f t="shared" si="421"/>
        <v>-32.285035270634275</v>
      </c>
      <c r="BN448" s="61">
        <f t="shared" si="426"/>
        <v>-29.138567749307896</v>
      </c>
      <c r="BO448" s="50">
        <f t="shared" si="422"/>
        <v>-38.912773532203452</v>
      </c>
      <c r="BP448" s="61">
        <f t="shared" si="423"/>
        <v>-116.34720023278389</v>
      </c>
    </row>
    <row r="449" spans="14:68" x14ac:dyDescent="0.25">
      <c r="N449" s="11">
        <v>31</v>
      </c>
      <c r="O449" s="51">
        <f t="shared" si="424"/>
        <v>204173.79446695308</v>
      </c>
      <c r="P449" s="49" t="str">
        <f t="shared" si="374"/>
        <v>25.6231073841137</v>
      </c>
      <c r="Q449" s="18" t="str">
        <f t="shared" si="375"/>
        <v>1+1109.39305350349i</v>
      </c>
      <c r="R449" s="18">
        <f t="shared" si="387"/>
        <v>1109.393504200289</v>
      </c>
      <c r="S449" s="18">
        <f t="shared" si="388"/>
        <v>1.5698949332572274</v>
      </c>
      <c r="T449" s="18" t="str">
        <f t="shared" si="376"/>
        <v>1+1.15457560695528i</v>
      </c>
      <c r="U449" s="18">
        <f t="shared" si="389"/>
        <v>1.527430794561951</v>
      </c>
      <c r="V449" s="18">
        <f t="shared" si="390"/>
        <v>0.85701840250089489</v>
      </c>
      <c r="W449" s="32" t="str">
        <f t="shared" si="377"/>
        <v>1-25.8710460077015i</v>
      </c>
      <c r="X449" s="18">
        <f t="shared" si="391"/>
        <v>25.890365419062896</v>
      </c>
      <c r="Y449" s="18">
        <f t="shared" si="392"/>
        <v>-1.5321623101761503</v>
      </c>
      <c r="Z449" s="32" t="str">
        <f t="shared" si="378"/>
        <v>-0.04217345867583+2.04830265085769i</v>
      </c>
      <c r="AA449" s="18">
        <f t="shared" si="393"/>
        <v>2.0487367693599201</v>
      </c>
      <c r="AB449" s="18">
        <f t="shared" si="394"/>
        <v>1.5913828844974542</v>
      </c>
      <c r="AC449" s="32" t="str">
        <f>IMDIV(IMSUM(COMPLEX(0,2*PI()*O449*Constants!$B$71*Constants!$B$72),COMPLEX(1,0)),IMSUM(COMPLEX(0,2*PI()*O449*Constants!$B$71*Constants!$B$72),COMPLEX(2,0)))</f>
        <v>0.934062491775958+0.169177419064204i</v>
      </c>
      <c r="AD449" s="18">
        <f t="shared" si="395"/>
        <v>0.94925957338545552</v>
      </c>
      <c r="AE449" s="18">
        <f t="shared" si="396"/>
        <v>0.17917759814374201</v>
      </c>
      <c r="AF449" s="66" t="str">
        <f t="shared" si="397"/>
        <v>-0.368171215742722+0.2086801975559i</v>
      </c>
      <c r="AG449" s="64">
        <f t="shared" si="398"/>
        <v>-7.4691055165694378</v>
      </c>
      <c r="AH449" s="61">
        <f t="shared" si="399"/>
        <v>150.45534685749499</v>
      </c>
      <c r="AI449" s="50" t="str">
        <f t="shared" si="379"/>
        <v>108.866083054159</v>
      </c>
      <c r="AJ449" s="50" t="str">
        <f t="shared" si="380"/>
        <v>1+1049.61418814116i</v>
      </c>
      <c r="AK449" s="50">
        <f t="shared" si="400"/>
        <v>1049.6146645065637</v>
      </c>
      <c r="AL449" s="50">
        <f t="shared" si="401"/>
        <v>1.5698435960594197</v>
      </c>
      <c r="AM449" s="50" t="str">
        <f t="shared" si="381"/>
        <v>1+1.15457560695528i</v>
      </c>
      <c r="AN449" s="50">
        <f t="shared" si="402"/>
        <v>1.527430794561951</v>
      </c>
      <c r="AO449" s="50">
        <f t="shared" si="403"/>
        <v>0.85701840250089489</v>
      </c>
      <c r="AP449" s="50" t="str">
        <f t="shared" si="382"/>
        <v>1-5.76098743917604i</v>
      </c>
      <c r="AQ449" s="50">
        <f t="shared" si="404"/>
        <v>5.8471340222663013</v>
      </c>
      <c r="AR449" s="50">
        <f t="shared" si="405"/>
        <v>-1.3989274821056039</v>
      </c>
      <c r="AS449" s="59" t="str">
        <f t="shared" si="406"/>
        <v>-0.477020938214237-0.794068318135627i</v>
      </c>
      <c r="AT449" s="50">
        <f t="shared" si="407"/>
        <v>-0.66465403273653334</v>
      </c>
      <c r="AU449" s="61">
        <f t="shared" si="408"/>
        <v>-120.99451569101359</v>
      </c>
      <c r="AV449" s="32" t="str">
        <f t="shared" si="383"/>
        <v>-0.0000333333333333333</v>
      </c>
      <c r="AW449" s="32" t="str">
        <f t="shared" si="384"/>
        <v>0.0615773657042815i</v>
      </c>
      <c r="AX449" s="32">
        <f t="shared" si="409"/>
        <v>6.1577365704281503E-2</v>
      </c>
      <c r="AY449" s="32">
        <f t="shared" si="410"/>
        <v>1.5707963267948966</v>
      </c>
      <c r="AZ449" s="32" t="str">
        <f t="shared" si="385"/>
        <v>1+25.1227099661564i</v>
      </c>
      <c r="BA449" s="32">
        <f t="shared" si="411"/>
        <v>25.142604400571035</v>
      </c>
      <c r="BB449" s="32">
        <f t="shared" si="412"/>
        <v>1.5310127060452445</v>
      </c>
      <c r="BC449" s="32" t="str">
        <f t="shared" si="386"/>
        <v>1+1205.89007837551i</v>
      </c>
      <c r="BD449" s="32">
        <f t="shared" si="413"/>
        <v>1205.8904930069286</v>
      </c>
      <c r="BE449" s="32">
        <f t="shared" si="414"/>
        <v>1.5699670640049401</v>
      </c>
      <c r="BF449" s="59" t="str">
        <f t="shared" si="415"/>
        <v>-0.00101111710593297+0.0259433262394805i</v>
      </c>
      <c r="BG449" s="50">
        <f t="shared" si="416"/>
        <v>-31.71289502619317</v>
      </c>
      <c r="BH449" s="61">
        <f t="shared" si="417"/>
        <v>92.231920304732398</v>
      </c>
      <c r="BI449" s="59" t="str">
        <f t="shared" si="418"/>
        <v>-0.00504159423076235-0.00976258607941784i</v>
      </c>
      <c r="BJ449" s="64">
        <f t="shared" si="419"/>
        <v>-39.182000542762609</v>
      </c>
      <c r="BK449" s="61">
        <f t="shared" si="420"/>
        <v>-117.3127328377726</v>
      </c>
      <c r="BL449" s="59" t="str">
        <f t="shared" si="425"/>
        <v>0.0210830974643448-0.0115726137634087i</v>
      </c>
      <c r="BM449" s="64">
        <f t="shared" si="421"/>
        <v>-32.377549058929688</v>
      </c>
      <c r="BN449" s="61">
        <f t="shared" si="426"/>
        <v>-28.762595386281227</v>
      </c>
      <c r="BO449" s="50">
        <f t="shared" si="422"/>
        <v>-39.182000542762609</v>
      </c>
      <c r="BP449" s="61">
        <f t="shared" si="423"/>
        <v>-117.3127328377726</v>
      </c>
    </row>
    <row r="450" spans="14:68" x14ac:dyDescent="0.25">
      <c r="N450" s="11">
        <v>32</v>
      </c>
      <c r="O450" s="51">
        <f t="shared" si="424"/>
        <v>208929.61308540447</v>
      </c>
      <c r="P450" s="49" t="str">
        <f t="shared" si="374"/>
        <v>25.6231073841137</v>
      </c>
      <c r="Q450" s="18" t="str">
        <f t="shared" si="375"/>
        <v>1+1135.23413733508i</v>
      </c>
      <c r="R450" s="18">
        <f t="shared" si="387"/>
        <v>1135.2345777727719</v>
      </c>
      <c r="S450" s="18">
        <f t="shared" si="388"/>
        <v>1.5699154514684197</v>
      </c>
      <c r="T450" s="18" t="str">
        <f t="shared" si="376"/>
        <v>1+1.18146912765564i</v>
      </c>
      <c r="U450" s="18">
        <f t="shared" si="389"/>
        <v>1.5478595865269495</v>
      </c>
      <c r="V450" s="18">
        <f t="shared" si="390"/>
        <v>0.86839373037486967</v>
      </c>
      <c r="W450" s="32" t="str">
        <f t="shared" si="377"/>
        <v>1-26.4736600826541i</v>
      </c>
      <c r="X450" s="18">
        <f t="shared" si="391"/>
        <v>26.492540047566465</v>
      </c>
      <c r="Y450" s="18">
        <f t="shared" si="392"/>
        <v>-1.53304088255856</v>
      </c>
      <c r="Z450" s="32" t="str">
        <f t="shared" si="378"/>
        <v>-0.0912895806004199+2.09601374869278i</v>
      </c>
      <c r="AA450" s="18">
        <f t="shared" si="393"/>
        <v>2.0980008155945411</v>
      </c>
      <c r="AB450" s="18">
        <f t="shared" si="394"/>
        <v>1.6143227218732159</v>
      </c>
      <c r="AC450" s="32" t="str">
        <f>IMDIV(IMSUM(COMPLEX(0,2*PI()*O450*Constants!$B$71*Constants!$B$72),COMPLEX(1,0)),IMSUM(COMPLEX(0,2*PI()*O450*Constants!$B$71*Constants!$B$72),COMPLEX(2,0)))</f>
        <v>0.936654188725269+0.166313600860879i</v>
      </c>
      <c r="AD450" s="18">
        <f t="shared" si="395"/>
        <v>0.95130504208056388</v>
      </c>
      <c r="AE450" s="18">
        <f t="shared" si="396"/>
        <v>0.17572983975831002</v>
      </c>
      <c r="AF450" s="66" t="str">
        <f t="shared" si="397"/>
        <v>-0.361768539083596+0.212726517340711i</v>
      </c>
      <c r="AG450" s="64">
        <f t="shared" si="398"/>
        <v>-7.5416901465451156</v>
      </c>
      <c r="AH450" s="61">
        <f t="shared" si="399"/>
        <v>149.54369317022426</v>
      </c>
      <c r="AI450" s="50" t="str">
        <f t="shared" si="379"/>
        <v>108.866083054159</v>
      </c>
      <c r="AJ450" s="50" t="str">
        <f t="shared" si="380"/>
        <v>1+1074.06284332331i</v>
      </c>
      <c r="AK450" s="50">
        <f t="shared" si="400"/>
        <v>1074.0633088453183</v>
      </c>
      <c r="AL450" s="50">
        <f t="shared" si="401"/>
        <v>1.5698652828459614</v>
      </c>
      <c r="AM450" s="50" t="str">
        <f t="shared" si="381"/>
        <v>1+1.18146912765564i</v>
      </c>
      <c r="AN450" s="50">
        <f t="shared" si="402"/>
        <v>1.5478595865269495</v>
      </c>
      <c r="AO450" s="50">
        <f t="shared" si="403"/>
        <v>0.86839373037486967</v>
      </c>
      <c r="AP450" s="50" t="str">
        <f t="shared" si="382"/>
        <v>1-5.89517807512632i</v>
      </c>
      <c r="AQ450" s="50">
        <f t="shared" si="404"/>
        <v>5.9793916527896096</v>
      </c>
      <c r="AR450" s="50">
        <f t="shared" si="405"/>
        <v>-1.4027656434584495</v>
      </c>
      <c r="AS450" s="59" t="str">
        <f t="shared" si="406"/>
        <v>-0.477025405211605-0.807766709445017i</v>
      </c>
      <c r="AT450" s="50">
        <f t="shared" si="407"/>
        <v>-0.55497442501200944</v>
      </c>
      <c r="AU450" s="61">
        <f t="shared" si="408"/>
        <v>-120.56391042120561</v>
      </c>
      <c r="AV450" s="32" t="str">
        <f t="shared" si="383"/>
        <v>-0.0000333333333333333</v>
      </c>
      <c r="AW450" s="32" t="str">
        <f t="shared" si="384"/>
        <v>0.0630116868083006i</v>
      </c>
      <c r="AX450" s="32">
        <f t="shared" si="409"/>
        <v>6.3011686808300604E-2</v>
      </c>
      <c r="AY450" s="32">
        <f t="shared" si="410"/>
        <v>1.5707963267948966</v>
      </c>
      <c r="AZ450" s="32" t="str">
        <f t="shared" si="385"/>
        <v>1+25.7078930554699i</v>
      </c>
      <c r="BA450" s="32">
        <f t="shared" si="411"/>
        <v>25.727334983466076</v>
      </c>
      <c r="BB450" s="32">
        <f t="shared" si="412"/>
        <v>1.5319173689093637</v>
      </c>
      <c r="BC450" s="32" t="str">
        <f t="shared" si="386"/>
        <v>1+1233.97886666256i</v>
      </c>
      <c r="BD450" s="32">
        <f t="shared" si="413"/>
        <v>1233.9792718558183</v>
      </c>
      <c r="BE450" s="32">
        <f t="shared" si="414"/>
        <v>1.5699859403222369</v>
      </c>
      <c r="BF450" s="59" t="str">
        <f t="shared" si="415"/>
        <v>-0.000965678093440176+0.0253545515487373i</v>
      </c>
      <c r="BG450" s="50">
        <f t="shared" si="416"/>
        <v>-31.91258594364853</v>
      </c>
      <c r="BH450" s="61">
        <f t="shared" si="417"/>
        <v>92.181168474050011</v>
      </c>
      <c r="BI450" s="59" t="str">
        <f t="shared" si="418"/>
        <v>-0.00504423349660953-0.00937790441059617i</v>
      </c>
      <c r="BJ450" s="64">
        <f t="shared" si="419"/>
        <v>-39.454276090193645</v>
      </c>
      <c r="BK450" s="61">
        <f t="shared" si="420"/>
        <v>-118.27513835572569</v>
      </c>
      <c r="BL450" s="59" t="str">
        <f t="shared" si="425"/>
        <v>0.0209412156578049-0.0113147226105736i</v>
      </c>
      <c r="BM450" s="64">
        <f t="shared" si="421"/>
        <v>-32.467560368660536</v>
      </c>
      <c r="BN450" s="61">
        <f t="shared" si="426"/>
        <v>-28.38274194715547</v>
      </c>
      <c r="BO450" s="50">
        <f t="shared" si="422"/>
        <v>-39.454276090193645</v>
      </c>
      <c r="BP450" s="61">
        <f t="shared" si="423"/>
        <v>-118.27513835572569</v>
      </c>
    </row>
    <row r="451" spans="14:68" x14ac:dyDescent="0.25">
      <c r="N451" s="11">
        <v>33</v>
      </c>
      <c r="O451" s="51">
        <f t="shared" si="424"/>
        <v>213796.20895022334</v>
      </c>
      <c r="P451" s="49" t="str">
        <f t="shared" si="374"/>
        <v>25.6231073841137</v>
      </c>
      <c r="Q451" s="18" t="str">
        <f t="shared" si="375"/>
        <v>1+1161.67713733287i</v>
      </c>
      <c r="R451" s="18">
        <f t="shared" si="387"/>
        <v>1161.6775677449796</v>
      </c>
      <c r="S451" s="18">
        <f t="shared" si="388"/>
        <v>1.5699355026288209</v>
      </c>
      <c r="T451" s="18" t="str">
        <f t="shared" si="376"/>
        <v>1+1.20898907892607i</v>
      </c>
      <c r="U451" s="18">
        <f t="shared" si="389"/>
        <v>1.5689660904438014</v>
      </c>
      <c r="V451" s="18">
        <f t="shared" si="390"/>
        <v>0.8797258679166855</v>
      </c>
      <c r="W451" s="32" t="str">
        <f t="shared" si="377"/>
        <v>1-27.0903108426026i</v>
      </c>
      <c r="X451" s="18">
        <f t="shared" si="391"/>
        <v>27.108761342946526</v>
      </c>
      <c r="Y451" s="18">
        <f t="shared" si="392"/>
        <v>-1.5338995125433812</v>
      </c>
      <c r="Z451" s="32" t="str">
        <f t="shared" si="378"/>
        <v>-0.14272047403719+2.14483618076143i</v>
      </c>
      <c r="AA451" s="18">
        <f t="shared" si="393"/>
        <v>2.1495793486197892</v>
      </c>
      <c r="AB451" s="18">
        <f t="shared" si="394"/>
        <v>1.6372398104726633</v>
      </c>
      <c r="AC451" s="32" t="str">
        <f>IMDIV(IMSUM(COMPLEX(0,2*PI()*O451*Constants!$B$71*Constants!$B$72),COMPLEX(1,0)),IMSUM(COMPLEX(0,2*PI()*O451*Constants!$B$71*Constants!$B$72),COMPLEX(2,0)))</f>
        <v>0.939158296694205+0.163459899644369i</v>
      </c>
      <c r="AD451" s="18">
        <f t="shared" si="395"/>
        <v>0.95327721311342983</v>
      </c>
      <c r="AE451" s="18">
        <f t="shared" si="396"/>
        <v>0.17232312518445875</v>
      </c>
      <c r="AF451" s="66" t="str">
        <f t="shared" si="397"/>
        <v>-0.355241366759559+0.216547702257192i</v>
      </c>
      <c r="AG451" s="64">
        <f t="shared" si="398"/>
        <v>-7.6172968807287962</v>
      </c>
      <c r="AH451" s="61">
        <f t="shared" si="399"/>
        <v>148.63438928050996</v>
      </c>
      <c r="AI451" s="50" t="str">
        <f t="shared" si="379"/>
        <v>108.866083054159</v>
      </c>
      <c r="AJ451" s="50" t="str">
        <f t="shared" si="380"/>
        <v>1+1099.08098084188i</v>
      </c>
      <c r="AK451" s="50">
        <f t="shared" si="400"/>
        <v>1099.081435767318</v>
      </c>
      <c r="AL451" s="50">
        <f t="shared" si="401"/>
        <v>1.569886475981819</v>
      </c>
      <c r="AM451" s="50" t="str">
        <f t="shared" si="381"/>
        <v>1+1.20898907892607i</v>
      </c>
      <c r="AN451" s="50">
        <f t="shared" si="402"/>
        <v>1.5689660904438014</v>
      </c>
      <c r="AO451" s="50">
        <f t="shared" si="403"/>
        <v>0.8797258679166855</v>
      </c>
      <c r="AP451" s="50" t="str">
        <f t="shared" si="382"/>
        <v>1-6.0324944125239i</v>
      </c>
      <c r="AQ451" s="50">
        <f t="shared" si="404"/>
        <v>6.1148171548405337</v>
      </c>
      <c r="AR451" s="50">
        <f t="shared" si="405"/>
        <v>-1.4065212730809078</v>
      </c>
      <c r="AS451" s="59" t="str">
        <f t="shared" si="406"/>
        <v>-0.477029671161316-0.821893388981344i</v>
      </c>
      <c r="AT451" s="50">
        <f t="shared" si="407"/>
        <v>-0.44280484337695258</v>
      </c>
      <c r="AU451" s="61">
        <f t="shared" si="408"/>
        <v>-120.13102277121823</v>
      </c>
      <c r="AV451" s="32" t="str">
        <f t="shared" si="383"/>
        <v>-0.0000333333333333333</v>
      </c>
      <c r="AW451" s="32" t="str">
        <f t="shared" si="384"/>
        <v>0.0644794175427235i</v>
      </c>
      <c r="AX451" s="32">
        <f t="shared" si="409"/>
        <v>6.4479417542723502E-2</v>
      </c>
      <c r="AY451" s="32">
        <f t="shared" si="410"/>
        <v>1.5707963267948966</v>
      </c>
      <c r="AZ451" s="32" t="str">
        <f t="shared" si="385"/>
        <v>1+26.3067068099654i</v>
      </c>
      <c r="BA451" s="32">
        <f t="shared" si="411"/>
        <v>26.325706508762117</v>
      </c>
      <c r="BB451" s="32">
        <f t="shared" si="412"/>
        <v>1.5328015006605635</v>
      </c>
      <c r="BC451" s="32" t="str">
        <f t="shared" si="386"/>
        <v>1+1262.72192687834i</v>
      </c>
      <c r="BD451" s="32">
        <f t="shared" si="413"/>
        <v>1262.7223228482767</v>
      </c>
      <c r="BE451" s="32">
        <f t="shared" si="414"/>
        <v>1.5700043869626519</v>
      </c>
      <c r="BF451" s="59" t="str">
        <f t="shared" si="415"/>
        <v>-0.000922278132544309+0.0247790612619859i</v>
      </c>
      <c r="BG451" s="50">
        <f t="shared" si="416"/>
        <v>-32.112290751556287</v>
      </c>
      <c r="BH451" s="61">
        <f t="shared" si="417"/>
        <v>92.131568370814719</v>
      </c>
      <c r="BI451" s="59" t="str">
        <f t="shared" si="418"/>
        <v>-0.00503821743603575-0.00900226480017124i</v>
      </c>
      <c r="BJ451" s="64">
        <f t="shared" si="419"/>
        <v>-39.729587632285082</v>
      </c>
      <c r="BK451" s="61">
        <f t="shared" si="420"/>
        <v>-119.23404234867532</v>
      </c>
      <c r="BL451" s="59" t="str">
        <f t="shared" si="425"/>
        <v>0.0208057006706768-0.011062333145551i</v>
      </c>
      <c r="BM451" s="64">
        <f t="shared" si="421"/>
        <v>-32.555095594933249</v>
      </c>
      <c r="BN451" s="61">
        <f t="shared" si="426"/>
        <v>-27.999454400403515</v>
      </c>
      <c r="BO451" s="50">
        <f t="shared" si="422"/>
        <v>-39.729587632285082</v>
      </c>
      <c r="BP451" s="61">
        <f t="shared" si="423"/>
        <v>-119.23404234867532</v>
      </c>
    </row>
    <row r="452" spans="14:68" x14ac:dyDescent="0.25">
      <c r="N452" s="11">
        <v>34</v>
      </c>
      <c r="O452" s="51">
        <f t="shared" si="424"/>
        <v>218776.16239495538</v>
      </c>
      <c r="P452" s="49" t="str">
        <f t="shared" si="374"/>
        <v>25.6231073841137</v>
      </c>
      <c r="Q452" s="18" t="str">
        <f t="shared" si="375"/>
        <v>1+1188.73607392549i</v>
      </c>
      <c r="R452" s="18">
        <f t="shared" si="387"/>
        <v>1188.7364945402276</v>
      </c>
      <c r="S452" s="18">
        <f t="shared" si="388"/>
        <v>1.5699550973697571</v>
      </c>
      <c r="T452" s="18" t="str">
        <f t="shared" si="376"/>
        <v>1+1.23715005220901i</v>
      </c>
      <c r="U452" s="18">
        <f t="shared" si="389"/>
        <v>1.5907671896543367</v>
      </c>
      <c r="V452" s="18">
        <f t="shared" si="390"/>
        <v>0.89100918242011984</v>
      </c>
      <c r="W452" s="32" t="str">
        <f t="shared" si="377"/>
        <v>1-27.7213252439426i</v>
      </c>
      <c r="X452" s="18">
        <f t="shared" si="391"/>
        <v>27.739356035792348</v>
      </c>
      <c r="Y452" s="18">
        <f t="shared" si="392"/>
        <v>-1.5347386503205387</v>
      </c>
      <c r="Z452" s="32" t="str">
        <f t="shared" si="378"/>
        <v>-0.1965752308066+2.19479583336339i</v>
      </c>
      <c r="AA452" s="18">
        <f t="shared" si="393"/>
        <v>2.2035813058555305</v>
      </c>
      <c r="AB452" s="18">
        <f t="shared" si="394"/>
        <v>1.6601222300266969</v>
      </c>
      <c r="AC452" s="32" t="str">
        <f>IMDIV(IMSUM(COMPLEX(0,2*PI()*O452*Constants!$B$71*Constants!$B$72),COMPLEX(1,0)),IMSUM(COMPLEX(0,2*PI()*O452*Constants!$B$71*Constants!$B$72),COMPLEX(2,0)))</f>
        <v>0.94157665991785+0.160618751628571i</v>
      </c>
      <c r="AD452" s="18">
        <f t="shared" si="395"/>
        <v>0.95517798858473235</v>
      </c>
      <c r="AE452" s="18">
        <f t="shared" si="396"/>
        <v>0.16895856431145478</v>
      </c>
      <c r="AF452" s="66" t="str">
        <f t="shared" si="397"/>
        <v>-0.348601284371908+0.220139640433464i</v>
      </c>
      <c r="AG452" s="64">
        <f t="shared" si="398"/>
        <v>-7.6959114603679204</v>
      </c>
      <c r="AH452" s="61">
        <f t="shared" si="399"/>
        <v>147.72783262802642</v>
      </c>
      <c r="AI452" s="50" t="str">
        <f t="shared" si="379"/>
        <v>108.866083054159</v>
      </c>
      <c r="AJ452" s="50" t="str">
        <f t="shared" si="380"/>
        <v>1+1124.68186564455i</v>
      </c>
      <c r="AK452" s="50">
        <f t="shared" si="400"/>
        <v>1124.682310214625</v>
      </c>
      <c r="AL452" s="50">
        <f t="shared" si="401"/>
        <v>1.5699071867037977</v>
      </c>
      <c r="AM452" s="50" t="str">
        <f t="shared" si="381"/>
        <v>1+1.23715005220901i</v>
      </c>
      <c r="AN452" s="50">
        <f t="shared" si="402"/>
        <v>1.5907671896543367</v>
      </c>
      <c r="AO452" s="50">
        <f t="shared" si="403"/>
        <v>0.89100918242011984</v>
      </c>
      <c r="AP452" s="50" t="str">
        <f t="shared" si="382"/>
        <v>1-6.17300925830851i</v>
      </c>
      <c r="AQ452" s="50">
        <f t="shared" si="404"/>
        <v>6.2534824940318323</v>
      </c>
      <c r="AR452" s="50">
        <f t="shared" si="405"/>
        <v>-1.4101959382661169</v>
      </c>
      <c r="AS452" s="59" t="str">
        <f t="shared" si="406"/>
        <v>-0.477033745111974-0.836455846922081i</v>
      </c>
      <c r="AT452" s="50">
        <f t="shared" si="407"/>
        <v>-0.3281740701436856</v>
      </c>
      <c r="AU452" s="61">
        <f t="shared" si="408"/>
        <v>-119.69626591444892</v>
      </c>
      <c r="AV452" s="32" t="str">
        <f t="shared" si="383"/>
        <v>-0.0000333333333333333</v>
      </c>
      <c r="AW452" s="32" t="str">
        <f t="shared" si="384"/>
        <v>0.0659813361178137i</v>
      </c>
      <c r="AX452" s="32">
        <f t="shared" si="409"/>
        <v>6.5981336117813705E-2</v>
      </c>
      <c r="AY452" s="32">
        <f t="shared" si="410"/>
        <v>1.5707963267948966</v>
      </c>
      <c r="AZ452" s="32" t="str">
        <f t="shared" si="385"/>
        <v>1+26.919468728622i</v>
      </c>
      <c r="BA452" s="32">
        <f t="shared" si="411"/>
        <v>26.938036243038535</v>
      </c>
      <c r="BB452" s="32">
        <f t="shared" si="412"/>
        <v>1.5336655645451187</v>
      </c>
      <c r="BC452" s="32" t="str">
        <f t="shared" si="386"/>
        <v>1+1292.13449897386i</v>
      </c>
      <c r="BD452" s="32">
        <f t="shared" si="413"/>
        <v>1292.1348859304235</v>
      </c>
      <c r="BE452" s="32">
        <f t="shared" si="414"/>
        <v>1.5700224137067877</v>
      </c>
      <c r="BF452" s="59" t="str">
        <f t="shared" si="415"/>
        <v>-0.000880825981210459+0.0242165608232619i</v>
      </c>
      <c r="BG452" s="50">
        <f t="shared" si="416"/>
        <v>-32.312008826549089</v>
      </c>
      <c r="BH452" s="61">
        <f t="shared" si="417"/>
        <v>92.083094013357396</v>
      </c>
      <c r="BI452" s="59" t="str">
        <f t="shared" si="418"/>
        <v>-0.00502396792380987-0.00863582892084765i</v>
      </c>
      <c r="BJ452" s="64">
        <f t="shared" si="419"/>
        <v>-40.007920286917013</v>
      </c>
      <c r="BK452" s="61">
        <f t="shared" si="420"/>
        <v>-120.18907335861617</v>
      </c>
      <c r="BL452" s="59" t="str">
        <f t="shared" si="425"/>
        <v>0.0206762676095704-0.0108153446611482i</v>
      </c>
      <c r="BM452" s="64">
        <f t="shared" si="421"/>
        <v>-32.640182896692764</v>
      </c>
      <c r="BN452" s="61">
        <f t="shared" si="426"/>
        <v>-27.613171901091562</v>
      </c>
      <c r="BO452" s="50">
        <f t="shared" si="422"/>
        <v>-40.007920286917013</v>
      </c>
      <c r="BP452" s="61">
        <f t="shared" si="423"/>
        <v>-120.18907335861617</v>
      </c>
    </row>
    <row r="453" spans="14:68" x14ac:dyDescent="0.25">
      <c r="N453" s="11">
        <v>35</v>
      </c>
      <c r="O453" s="51">
        <f t="shared" si="424"/>
        <v>223872.11385683404</v>
      </c>
      <c r="P453" s="49" t="str">
        <f t="shared" si="374"/>
        <v>25.6231073841137</v>
      </c>
      <c r="Q453" s="18" t="str">
        <f t="shared" si="375"/>
        <v>1+1216.4252941193i</v>
      </c>
      <c r="R453" s="18">
        <f t="shared" si="387"/>
        <v>1216.4257051596803</v>
      </c>
      <c r="S453" s="18">
        <f t="shared" si="388"/>
        <v>1.5699742460805592</v>
      </c>
      <c r="T453" s="18" t="str">
        <f t="shared" si="376"/>
        <v>1+1.26596697882525i</v>
      </c>
      <c r="U453" s="18">
        <f t="shared" si="389"/>
        <v>1.6132800102511438</v>
      </c>
      <c r="V453" s="18">
        <f t="shared" si="390"/>
        <v>0.90223816504480325</v>
      </c>
      <c r="W453" s="32" t="str">
        <f t="shared" si="377"/>
        <v>1-28.3670378588621i</v>
      </c>
      <c r="X453" s="18">
        <f t="shared" si="391"/>
        <v>28.384658477531765</v>
      </c>
      <c r="Y453" s="18">
        <f t="shared" si="392"/>
        <v>-1.535558736082244</v>
      </c>
      <c r="Z453" s="32" t="str">
        <f t="shared" si="378"/>
        <v>-0.25296808406819+2.24591919576776i</v>
      </c>
      <c r="AA453" s="18">
        <f t="shared" si="393"/>
        <v>2.2601207678960948</v>
      </c>
      <c r="AB453" s="18">
        <f t="shared" si="394"/>
        <v>1.682958149514362</v>
      </c>
      <c r="AC453" s="32" t="str">
        <f>IMDIV(IMSUM(COMPLEX(0,2*PI()*O453*Constants!$B$71*Constants!$B$72),COMPLEX(1,0)),IMSUM(COMPLEX(0,2*PI()*O453*Constants!$B$71*Constants!$B$72),COMPLEX(2,0)))</f>
        <v>0.943911174091679+0.157792447735582i</v>
      </c>
      <c r="AD453" s="18">
        <f t="shared" si="395"/>
        <v>0.95700927954619042</v>
      </c>
      <c r="AE453" s="18">
        <f t="shared" si="396"/>
        <v>0.16563714766740015</v>
      </c>
      <c r="AF453" s="66" t="str">
        <f t="shared" si="397"/>
        <v>-0.341860039524122+0.223498933556939i</v>
      </c>
      <c r="AG453" s="64">
        <f t="shared" si="398"/>
        <v>-7.7775172713528296</v>
      </c>
      <c r="AH453" s="61">
        <f t="shared" si="399"/>
        <v>146.82441638369735</v>
      </c>
      <c r="AI453" s="50" t="str">
        <f t="shared" si="379"/>
        <v>108.866083054159</v>
      </c>
      <c r="AJ453" s="50" t="str">
        <f t="shared" si="380"/>
        <v>1+1150.87907165932i</v>
      </c>
      <c r="AK453" s="50">
        <f t="shared" si="400"/>
        <v>1150.8795061097485</v>
      </c>
      <c r="AL453" s="50">
        <f t="shared" si="401"/>
        <v>1.569927425992925</v>
      </c>
      <c r="AM453" s="50" t="str">
        <f t="shared" si="381"/>
        <v>1+1.26596697882525i</v>
      </c>
      <c r="AN453" s="50">
        <f t="shared" si="402"/>
        <v>1.6132800102511438</v>
      </c>
      <c r="AO453" s="50">
        <f t="shared" si="403"/>
        <v>0.90223816504480325</v>
      </c>
      <c r="AP453" s="50" t="str">
        <f t="shared" si="382"/>
        <v>1-6.31679711531133i</v>
      </c>
      <c r="AQ453" s="50">
        <f t="shared" si="404"/>
        <v>6.395461343484576</v>
      </c>
      <c r="AR453" s="50">
        <f t="shared" si="405"/>
        <v>-1.4137911902121099</v>
      </c>
      <c r="AS453" s="59" t="str">
        <f t="shared" si="406"/>
        <v>-0.477037635704928-0.851461804498505i</v>
      </c>
      <c r="AT453" s="50">
        <f t="shared" si="407"/>
        <v>-0.21111256450660518</v>
      </c>
      <c r="AU453" s="61">
        <f t="shared" si="408"/>
        <v>-119.26004499046776</v>
      </c>
      <c r="AV453" s="32" t="str">
        <f t="shared" si="383"/>
        <v>-0.0000333333333333333</v>
      </c>
      <c r="AW453" s="32" t="str">
        <f t="shared" si="384"/>
        <v>0.0675182388706798i</v>
      </c>
      <c r="AX453" s="32">
        <f t="shared" si="409"/>
        <v>6.75182388706798E-2</v>
      </c>
      <c r="AY453" s="32">
        <f t="shared" si="410"/>
        <v>1.5707963267948966</v>
      </c>
      <c r="AZ453" s="32" t="str">
        <f t="shared" si="385"/>
        <v>1+27.5465037059198i</v>
      </c>
      <c r="BA453" s="32">
        <f t="shared" si="411"/>
        <v>27.564648853563384</v>
      </c>
      <c r="BB453" s="32">
        <f t="shared" si="412"/>
        <v>1.5345100135372673</v>
      </c>
      <c r="BC453" s="32" t="str">
        <f t="shared" si="386"/>
        <v>1+1322.23217788415i</v>
      </c>
      <c r="BD453" s="32">
        <f t="shared" si="413"/>
        <v>1322.2325560325091</v>
      </c>
      <c r="BE453" s="32">
        <f t="shared" si="414"/>
        <v>1.5700400301126161</v>
      </c>
      <c r="BF453" s="59" t="str">
        <f t="shared" si="415"/>
        <v>-0.000841234457446766+0.023666761861333i</v>
      </c>
      <c r="BG453" s="50">
        <f t="shared" si="416"/>
        <v>-32.511739573157229</v>
      </c>
      <c r="BH453" s="61">
        <f t="shared" si="417"/>
        <v>92.035719995797336</v>
      </c>
      <c r="BI453" s="59" t="str">
        <f t="shared" si="418"/>
        <v>-0.00500191159188216-0.00827873514943398i</v>
      </c>
      <c r="BJ453" s="64">
        <f t="shared" si="419"/>
        <v>-40.289256844510064</v>
      </c>
      <c r="BK453" s="61">
        <f t="shared" si="420"/>
        <v>-121.13986362050534</v>
      </c>
      <c r="BL453" s="59" t="str">
        <f t="shared" si="425"/>
        <v>0.0205526442577409-0.0105736571139779i</v>
      </c>
      <c r="BM453" s="64">
        <f t="shared" si="421"/>
        <v>-32.722852137663843</v>
      </c>
      <c r="BN453" s="61">
        <f t="shared" si="426"/>
        <v>-27.224324994670408</v>
      </c>
      <c r="BO453" s="50">
        <f t="shared" si="422"/>
        <v>-40.289256844510064</v>
      </c>
      <c r="BP453" s="61">
        <f t="shared" si="423"/>
        <v>-121.13986362050534</v>
      </c>
    </row>
    <row r="454" spans="14:68" x14ac:dyDescent="0.25">
      <c r="N454" s="11">
        <v>36</v>
      </c>
      <c r="O454" s="51">
        <f t="shared" si="424"/>
        <v>229086.76527677779</v>
      </c>
      <c r="P454" s="49" t="str">
        <f t="shared" si="374"/>
        <v>25.6231073841137</v>
      </c>
      <c r="Q454" s="18" t="str">
        <f t="shared" si="375"/>
        <v>1+1244.75947910533i</v>
      </c>
      <c r="R454" s="18">
        <f t="shared" si="387"/>
        <v>1244.7598807892921</v>
      </c>
      <c r="S454" s="18">
        <f t="shared" si="388"/>
        <v>1.5699929589140709</v>
      </c>
      <c r="T454" s="18" t="str">
        <f t="shared" si="376"/>
        <v>1+1.29545513789072i</v>
      </c>
      <c r="U454" s="18">
        <f t="shared" si="389"/>
        <v>1.6365219260026624</v>
      </c>
      <c r="V454" s="18">
        <f t="shared" si="390"/>
        <v>0.91340744327722279</v>
      </c>
      <c r="W454" s="32" t="str">
        <f t="shared" si="377"/>
        <v>1-29.0277910527364i</v>
      </c>
      <c r="X454" s="18">
        <f t="shared" si="391"/>
        <v>29.045010817717444</v>
      </c>
      <c r="Y454" s="18">
        <f t="shared" si="392"/>
        <v>-1.5363602002339751</v>
      </c>
      <c r="Z454" s="32" t="str">
        <f t="shared" si="378"/>
        <v>-0.31201865062444+2.29823337425797i</v>
      </c>
      <c r="AA454" s="18">
        <f t="shared" si="393"/>
        <v>2.3193172014389649</v>
      </c>
      <c r="AB454" s="18">
        <f t="shared" si="394"/>
        <v>1.7057358571254431</v>
      </c>
      <c r="AC454" s="32" t="str">
        <f>IMDIV(IMSUM(COMPLEX(0,2*PI()*O454*Constants!$B$71*Constants!$B$72),COMPLEX(1,0)),IMSUM(COMPLEX(0,2*PI()*O454*Constants!$B$71*Constants!$B$72),COMPLEX(2,0)))</f>
        <v>0.946163777377611+0.154983136001783i</v>
      </c>
      <c r="AD454" s="18">
        <f t="shared" si="395"/>
        <v>0.95877300028026269</v>
      </c>
      <c r="AE454" s="18">
        <f t="shared" si="396"/>
        <v>0.1623597517326647</v>
      </c>
      <c r="AF454" s="66" t="str">
        <f t="shared" si="397"/>
        <v>-0.335029489734927+0.226622902143637i</v>
      </c>
      <c r="AG454" s="64">
        <f t="shared" si="398"/>
        <v>-7.8620953654241612</v>
      </c>
      <c r="AH454" s="61">
        <f t="shared" si="399"/>
        <v>145.92452873896269</v>
      </c>
      <c r="AI454" s="50" t="str">
        <f t="shared" si="379"/>
        <v>108.866083054159</v>
      </c>
      <c r="AJ454" s="50" t="str">
        <f t="shared" si="380"/>
        <v>1+1177.68648899156i</v>
      </c>
      <c r="AK454" s="50">
        <f t="shared" si="400"/>
        <v>1177.6869135526929</v>
      </c>
      <c r="AL454" s="50">
        <f t="shared" si="401"/>
        <v>1.5699472045802738</v>
      </c>
      <c r="AM454" s="50" t="str">
        <f t="shared" si="381"/>
        <v>1+1.29545513789072i</v>
      </c>
      <c r="AN454" s="50">
        <f t="shared" si="402"/>
        <v>1.6365219260026624</v>
      </c>
      <c r="AO454" s="50">
        <f t="shared" si="403"/>
        <v>0.91340744327722279</v>
      </c>
      <c r="AP454" s="50" t="str">
        <f t="shared" si="382"/>
        <v>1-6.46393422175736i</v>
      </c>
      <c r="AQ454" s="50">
        <f t="shared" si="404"/>
        <v>6.5408291235290594</v>
      </c>
      <c r="AR454" s="50">
        <f t="shared" si="405"/>
        <v>-1.417308563206408</v>
      </c>
      <c r="AS454" s="59" t="str">
        <f t="shared" si="406"/>
        <v>-0.477041351192614-0.86691921808973i</v>
      </c>
      <c r="AT454" s="50">
        <f t="shared" si="407"/>
        <v>-9.1652397022546933E-2</v>
      </c>
      <c r="AU454" s="61">
        <f t="shared" si="408"/>
        <v>-118.82275634466917</v>
      </c>
      <c r="AV454" s="32" t="str">
        <f t="shared" si="383"/>
        <v>-0.0000333333333333333</v>
      </c>
      <c r="AW454" s="32" t="str">
        <f t="shared" si="384"/>
        <v>0.0690909406875048i</v>
      </c>
      <c r="AX454" s="32">
        <f t="shared" si="409"/>
        <v>6.9090940687504807E-2</v>
      </c>
      <c r="AY454" s="32">
        <f t="shared" si="410"/>
        <v>1.5707963267948966</v>
      </c>
      <c r="AZ454" s="32" t="str">
        <f t="shared" si="385"/>
        <v>1+28.1881442041035i</v>
      </c>
      <c r="BA454" s="32">
        <f t="shared" si="411"/>
        <v>28.205876580445675</v>
      </c>
      <c r="BB454" s="32">
        <f t="shared" si="412"/>
        <v>1.5353352905549196</v>
      </c>
      <c r="BC454" s="32" t="str">
        <f t="shared" si="386"/>
        <v>1+1353.03092179697i</v>
      </c>
      <c r="BD454" s="32">
        <f t="shared" si="413"/>
        <v>1353.031291337624</v>
      </c>
      <c r="BE454" s="32">
        <f t="shared" si="414"/>
        <v>1.5700572455205444</v>
      </c>
      <c r="BF454" s="59" t="str">
        <f t="shared" si="415"/>
        <v>-0.000803420260647499+0.0231293820833447i</v>
      </c>
      <c r="BG454" s="50">
        <f t="shared" si="416"/>
        <v>-32.711482422566633</v>
      </c>
      <c r="BH454" s="61">
        <f t="shared" si="417"/>
        <v>91.989421475973614</v>
      </c>
      <c r="BI454" s="59" t="str">
        <f t="shared" si="418"/>
        <v>-0.00497247821254918-0.00793109850837607i</v>
      </c>
      <c r="BJ454" s="64">
        <f t="shared" si="419"/>
        <v>-40.5735777879908</v>
      </c>
      <c r="BK454" s="61">
        <f t="shared" si="420"/>
        <v>-122.08604978506368</v>
      </c>
      <c r="BL454" s="59" t="str">
        <f t="shared" si="425"/>
        <v>0.0204345705173066-0.010337171217131i</v>
      </c>
      <c r="BM454" s="64">
        <f t="shared" si="421"/>
        <v>-32.803134819589182</v>
      </c>
      <c r="BN454" s="61">
        <f t="shared" si="426"/>
        <v>-26.833334868695513</v>
      </c>
      <c r="BO454" s="50">
        <f t="shared" si="422"/>
        <v>-40.5735777879908</v>
      </c>
      <c r="BP454" s="61">
        <f t="shared" si="423"/>
        <v>-122.08604978506368</v>
      </c>
    </row>
    <row r="455" spans="14:68" x14ac:dyDescent="0.25">
      <c r="N455" s="11">
        <v>37</v>
      </c>
      <c r="O455" s="51">
        <f t="shared" si="424"/>
        <v>234422.88153199267</v>
      </c>
      <c r="P455" s="49" t="str">
        <f t="shared" si="374"/>
        <v>25.6231073841137</v>
      </c>
      <c r="Q455" s="18" t="str">
        <f t="shared" si="375"/>
        <v>1+1273.75365204353i</v>
      </c>
      <c r="R455" s="18">
        <f t="shared" si="387"/>
        <v>1273.7540445840518</v>
      </c>
      <c r="S455" s="18">
        <f t="shared" si="388"/>
        <v>1.5700112457920317</v>
      </c>
      <c r="T455" s="18" t="str">
        <f t="shared" si="376"/>
        <v>1+1.32563016441767i</v>
      </c>
      <c r="U455" s="18">
        <f t="shared" si="389"/>
        <v>1.6605105638971462</v>
      </c>
      <c r="V455" s="18">
        <f t="shared" si="390"/>
        <v>0.92451179257940175</v>
      </c>
      <c r="W455" s="32" t="str">
        <f t="shared" si="377"/>
        <v>1-29.7039351656552i</v>
      </c>
      <c r="X455" s="18">
        <f t="shared" si="391"/>
        <v>29.720763185447435</v>
      </c>
      <c r="Y455" s="18">
        <f t="shared" si="392"/>
        <v>-1.5371434636017505</v>
      </c>
      <c r="Z455" s="32" t="str">
        <f t="shared" si="378"/>
        <v>-0.37385218464407+2.35176610650394i</v>
      </c>
      <c r="AA455" s="18">
        <f t="shared" si="393"/>
        <v>2.3812957136113617</v>
      </c>
      <c r="AB455" s="18">
        <f t="shared" si="394"/>
        <v>1.7284437894894544</v>
      </c>
      <c r="AC455" s="32" t="str">
        <f>IMDIV(IMSUM(COMPLEX(0,2*PI()*O455*Constants!$B$71*Constants!$B$72),COMPLEX(1,0)),IMSUM(COMPLEX(0,2*PI()*O455*Constants!$B$71*Constants!$B$72),COMPLEX(2,0)))</f>
        <v>0.948336441920893+0.152192824424019i</v>
      </c>
      <c r="AD455" s="18">
        <f t="shared" si="395"/>
        <v>0.96047106301092666</v>
      </c>
      <c r="AE455" s="18">
        <f t="shared" si="396"/>
        <v>0.15912714424502372</v>
      </c>
      <c r="AF455" s="66" t="str">
        <f t="shared" si="397"/>
        <v>-0.328121550306706+0.229509586478936i</v>
      </c>
      <c r="AG455" s="64">
        <f t="shared" si="398"/>
        <v>-7.949624489123293</v>
      </c>
      <c r="AH455" s="61">
        <f t="shared" si="399"/>
        <v>145.02855219027751</v>
      </c>
      <c r="AI455" s="50" t="str">
        <f t="shared" si="379"/>
        <v>108.866083054159</v>
      </c>
      <c r="AJ455" s="50" t="str">
        <f t="shared" si="380"/>
        <v>1+1205.11833128879i</v>
      </c>
      <c r="AK455" s="50">
        <f t="shared" si="400"/>
        <v>1205.1187461857348</v>
      </c>
      <c r="AL455" s="50">
        <f t="shared" si="401"/>
        <v>1.5699665329526511</v>
      </c>
      <c r="AM455" s="50" t="str">
        <f t="shared" si="381"/>
        <v>1+1.32563016441767i</v>
      </c>
      <c r="AN455" s="50">
        <f t="shared" si="402"/>
        <v>1.6605105638971462</v>
      </c>
      <c r="AO455" s="50">
        <f t="shared" si="403"/>
        <v>0.92451179257940175</v>
      </c>
      <c r="AP455" s="50" t="str">
        <f t="shared" si="382"/>
        <v>1-6.61449859168807i</v>
      </c>
      <c r="AQ455" s="50">
        <f t="shared" si="404"/>
        <v>6.6896630422946908</v>
      </c>
      <c r="AR455" s="50">
        <f t="shared" si="405"/>
        <v>-1.4207495738952272</v>
      </c>
      <c r="AS455" s="59" t="str">
        <f t="shared" si="406"/>
        <v>-0.477044899456045-0.882836283441349i</v>
      </c>
      <c r="AT455" s="50">
        <f t="shared" si="407"/>
        <v>3.0172823015221617E-2</v>
      </c>
      <c r="AU455" s="61">
        <f t="shared" si="408"/>
        <v>-118.38478681930619</v>
      </c>
      <c r="AV455" s="32" t="str">
        <f t="shared" si="383"/>
        <v>-0.0000333333333333333</v>
      </c>
      <c r="AW455" s="32" t="str">
        <f t="shared" si="384"/>
        <v>0.0707002754356088i</v>
      </c>
      <c r="AX455" s="32">
        <f t="shared" si="409"/>
        <v>7.0700275435608806E-2</v>
      </c>
      <c r="AY455" s="32">
        <f t="shared" si="410"/>
        <v>1.5707963267948966</v>
      </c>
      <c r="AZ455" s="32" t="str">
        <f t="shared" si="385"/>
        <v>1+28.8447304294585i</v>
      </c>
      <c r="BA455" s="32">
        <f t="shared" si="411"/>
        <v>28.862059412802292</v>
      </c>
      <c r="BB455" s="32">
        <f t="shared" si="412"/>
        <v>1.5361418286716544</v>
      </c>
      <c r="BC455" s="32" t="str">
        <f t="shared" si="386"/>
        <v>1+1384.54706061401i</v>
      </c>
      <c r="BD455" s="32">
        <f t="shared" si="413"/>
        <v>1384.5474217428939</v>
      </c>
      <c r="BE455" s="32">
        <f t="shared" si="414"/>
        <v>1.5700740690583694</v>
      </c>
      <c r="BF455" s="59" t="str">
        <f t="shared" si="415"/>
        <v>-0.000767303800620713+0.0226041451686189i</v>
      </c>
      <c r="BG455" s="50">
        <f t="shared" si="416"/>
        <v>-32.911236831432234</v>
      </c>
      <c r="BH455" s="61">
        <f t="shared" si="417"/>
        <v>91.944174163582133</v>
      </c>
      <c r="BI455" s="59" t="str">
        <f t="shared" si="418"/>
        <v>-0.00493609909774367-0.00759301073406925i</v>
      </c>
      <c r="BJ455" s="64">
        <f t="shared" si="419"/>
        <v>-40.860861320555522</v>
      </c>
      <c r="BK455" s="61">
        <f t="shared" si="420"/>
        <v>-123.02727364614036</v>
      </c>
      <c r="BL455" s="59" t="str">
        <f t="shared" si="425"/>
        <v>0.0203217978754516-0.0101057885236432i</v>
      </c>
      <c r="BM455" s="64">
        <f t="shared" si="421"/>
        <v>-32.881064008417013</v>
      </c>
      <c r="BN455" s="61">
        <f t="shared" si="426"/>
        <v>-26.440612655723964</v>
      </c>
      <c r="BO455" s="50">
        <f t="shared" si="422"/>
        <v>-40.860861320555522</v>
      </c>
      <c r="BP455" s="61">
        <f t="shared" si="423"/>
        <v>-123.02727364614036</v>
      </c>
    </row>
    <row r="456" spans="14:68" x14ac:dyDescent="0.25">
      <c r="N456" s="11">
        <v>38</v>
      </c>
      <c r="O456" s="51">
        <f t="shared" si="424"/>
        <v>239883.29190194907</v>
      </c>
      <c r="P456" s="49" t="str">
        <f t="shared" si="374"/>
        <v>25.6231073841137</v>
      </c>
      <c r="Q456" s="18" t="str">
        <f t="shared" si="375"/>
        <v>1+1303.42318602816i</v>
      </c>
      <c r="R456" s="18">
        <f t="shared" si="387"/>
        <v>1303.423569633371</v>
      </c>
      <c r="S456" s="18">
        <f t="shared" si="388"/>
        <v>1.5700291164103375</v>
      </c>
      <c r="T456" s="18" t="str">
        <f t="shared" si="376"/>
        <v>1+1.35650805760458i</v>
      </c>
      <c r="U456" s="18">
        <f t="shared" si="389"/>
        <v>1.6852638103116528</v>
      </c>
      <c r="V456" s="18">
        <f t="shared" si="390"/>
        <v>0.93554614717211915</v>
      </c>
      <c r="W456" s="32" t="str">
        <f t="shared" si="377"/>
        <v>1-30.3958286981767i</v>
      </c>
      <c r="X456" s="18">
        <f t="shared" si="391"/>
        <v>30.412273875014712</v>
      </c>
      <c r="Y456" s="18">
        <f t="shared" si="392"/>
        <v>-1.5379089376357122</v>
      </c>
      <c r="Z456" s="32" t="str">
        <f t="shared" si="378"/>
        <v>-0.43859984334289+2.40654577626887i</v>
      </c>
      <c r="AA456" s="18">
        <f t="shared" si="393"/>
        <v>2.4461873182276834</v>
      </c>
      <c r="AB456" s="18">
        <f t="shared" si="394"/>
        <v>1.7510705599981493</v>
      </c>
      <c r="AC456" s="32" t="str">
        <f>IMDIV(IMSUM(COMPLEX(0,2*PI()*O456*Constants!$B$71*Constants!$B$72),COMPLEX(1,0)),IMSUM(COMPLEX(0,2*PI()*O456*Constants!$B$71*Constants!$B$72),COMPLEX(2,0)))</f>
        <v>0.950431165883388+0.149423384189443i</v>
      </c>
      <c r="AD456" s="18">
        <f t="shared" si="395"/>
        <v>0.96210537303617749</v>
      </c>
      <c r="AE456" s="18">
        <f t="shared" si="396"/>
        <v>0.15593998947155935</v>
      </c>
      <c r="AF456" s="66" t="str">
        <f t="shared" si="397"/>
        <v>-0.321148142565332+0.232157743248936i</v>
      </c>
      <c r="AG456" s="64">
        <f t="shared" si="398"/>
        <v>-8.0400811206623057</v>
      </c>
      <c r="AH456" s="61">
        <f t="shared" si="399"/>
        <v>144.1368628242781</v>
      </c>
      <c r="AI456" s="50" t="str">
        <f t="shared" si="379"/>
        <v>108.866083054159</v>
      </c>
      <c r="AJ456" s="50" t="str">
        <f t="shared" si="380"/>
        <v>1+1233.18914327689i</v>
      </c>
      <c r="AK456" s="50">
        <f t="shared" si="400"/>
        <v>1233.1895487296308</v>
      </c>
      <c r="AL456" s="50">
        <f t="shared" si="401"/>
        <v>1.5699854213581577</v>
      </c>
      <c r="AM456" s="50" t="str">
        <f t="shared" si="381"/>
        <v>1+1.35650805760458i</v>
      </c>
      <c r="AN456" s="50">
        <f t="shared" si="402"/>
        <v>1.6852638103116528</v>
      </c>
      <c r="AO456" s="50">
        <f t="shared" si="403"/>
        <v>0.93554614717211915</v>
      </c>
      <c r="AP456" s="50" t="str">
        <f t="shared" si="382"/>
        <v>1-6.7685700563253i</v>
      </c>
      <c r="AQ456" s="50">
        <f t="shared" si="404"/>
        <v>6.842042137211922</v>
      </c>
      <c r="AR456" s="50">
        <f t="shared" si="405"/>
        <v>-1.4241157206322383</v>
      </c>
      <c r="AS456" s="59" t="str">
        <f t="shared" si="406"/>
        <v>-0.477048288021529-0.899221440011069i</v>
      </c>
      <c r="AT456" s="50">
        <f t="shared" si="407"/>
        <v>0.15432802661454925</v>
      </c>
      <c r="AU456" s="61">
        <f t="shared" si="408"/>
        <v>-117.94651309866235</v>
      </c>
      <c r="AV456" s="32" t="str">
        <f t="shared" si="383"/>
        <v>-0.0000333333333333333</v>
      </c>
      <c r="AW456" s="32" t="str">
        <f t="shared" si="384"/>
        <v>0.0723470964055775i</v>
      </c>
      <c r="AX456" s="32">
        <f t="shared" si="409"/>
        <v>7.2347096405577502E-2</v>
      </c>
      <c r="AY456" s="32">
        <f t="shared" si="410"/>
        <v>1.5707963267948966</v>
      </c>
      <c r="AZ456" s="32" t="str">
        <f t="shared" si="385"/>
        <v>1+29.5166105126923i</v>
      </c>
      <c r="BA456" s="32">
        <f t="shared" si="411"/>
        <v>29.533545269032256</v>
      </c>
      <c r="BB456" s="32">
        <f t="shared" si="412"/>
        <v>1.536930051325011</v>
      </c>
      <c r="BC456" s="32" t="str">
        <f t="shared" si="386"/>
        <v>1+1416.79730460923i</v>
      </c>
      <c r="BD456" s="32">
        <f t="shared" si="413"/>
        <v>1416.7976575178191</v>
      </c>
      <c r="BE456" s="32">
        <f t="shared" si="414"/>
        <v>1.5700905096461151</v>
      </c>
      <c r="BF456" s="59" t="str">
        <f t="shared" si="415"/>
        <v>-0.000732809033985876+0.0220907806627529i</v>
      </c>
      <c r="BG456" s="50">
        <f t="shared" si="416"/>
        <v>-33.11100228074325</v>
      </c>
      <c r="BH456" s="61">
        <f t="shared" si="417"/>
        <v>91.89995430851873</v>
      </c>
      <c r="BI456" s="59" t="str">
        <f t="shared" si="418"/>
        <v>-0.00489320552515229-0.00726454046922384i</v>
      </c>
      <c r="BJ456" s="64">
        <f t="shared" si="419"/>
        <v>-41.151083401405558</v>
      </c>
      <c r="BK456" s="61">
        <f t="shared" si="420"/>
        <v>-123.96318286720319</v>
      </c>
      <c r="BL456" s="59" t="str">
        <f t="shared" si="425"/>
        <v>0.020214088893639-0.00987941150143147i</v>
      </c>
      <c r="BM456" s="64">
        <f t="shared" si="421"/>
        <v>-32.956674254128707</v>
      </c>
      <c r="BN456" s="61">
        <f t="shared" si="426"/>
        <v>-26.046558790143624</v>
      </c>
      <c r="BO456" s="50">
        <f t="shared" si="422"/>
        <v>-41.151083401405558</v>
      </c>
      <c r="BP456" s="61">
        <f t="shared" si="423"/>
        <v>-123.96318286720319</v>
      </c>
    </row>
    <row r="457" spans="14:68" x14ac:dyDescent="0.25">
      <c r="N457" s="11">
        <v>39</v>
      </c>
      <c r="O457" s="51">
        <f t="shared" si="424"/>
        <v>245470.89156850305</v>
      </c>
      <c r="P457" s="49" t="str">
        <f t="shared" si="374"/>
        <v>25.6231073841137</v>
      </c>
      <c r="Q457" s="18" t="str">
        <f t="shared" si="375"/>
        <v>1+1333.78381223886i</v>
      </c>
      <c r="R457" s="18">
        <f t="shared" si="387"/>
        <v>1333.7841871121529</v>
      </c>
      <c r="S457" s="18">
        <f t="shared" si="388"/>
        <v>1.5700465802441808</v>
      </c>
      <c r="T457" s="18" t="str">
        <f t="shared" si="376"/>
        <v>1+1.38810518931914i</v>
      </c>
      <c r="U457" s="18">
        <f t="shared" si="389"/>
        <v>1.7107998178088297</v>
      </c>
      <c r="V457" s="18">
        <f t="shared" si="390"/>
        <v>0.94650560990857646</v>
      </c>
      <c r="W457" s="32" t="str">
        <f t="shared" si="377"/>
        <v>1-31.1038385014104i</v>
      </c>
      <c r="X457" s="18">
        <f t="shared" si="391"/>
        <v>31.119909535887473</v>
      </c>
      <c r="Y457" s="18">
        <f t="shared" si="392"/>
        <v>-1.538657024610036</v>
      </c>
      <c r="Z457" s="32" t="str">
        <f t="shared" si="378"/>
        <v>-0.50639896518589+2.46260142845877i</v>
      </c>
      <c r="AA457" s="18">
        <f t="shared" si="393"/>
        <v>2.5141292145370162</v>
      </c>
      <c r="AB457" s="18">
        <f t="shared" si="394"/>
        <v>1.7736049860588468</v>
      </c>
      <c r="AC457" s="32" t="str">
        <f>IMDIV(IMSUM(COMPLEX(0,2*PI()*O457*Constants!$B$71*Constants!$B$72),COMPLEX(1,0)),IMSUM(COMPLEX(0,2*PI()*O457*Constants!$B$71*Constants!$B$72),COMPLEX(2,0)))</f>
        <v>0.952449965994109+0.146676553235288i</v>
      </c>
      <c r="AD457" s="18">
        <f t="shared" si="395"/>
        <v>0.96367782427072779</v>
      </c>
      <c r="AE457" s="18">
        <f t="shared" si="396"/>
        <v>0.15279885342508778</v>
      </c>
      <c r="AF457" s="66" t="str">
        <f t="shared" si="397"/>
        <v>-0.314121142883491+0.23456683792815i</v>
      </c>
      <c r="AG457" s="64">
        <f t="shared" si="398"/>
        <v>-8.1334395147945013</v>
      </c>
      <c r="AH457" s="61">
        <f t="shared" si="399"/>
        <v>143.24982960913036</v>
      </c>
      <c r="AI457" s="50" t="str">
        <f t="shared" si="379"/>
        <v>108.866083054159</v>
      </c>
      <c r="AJ457" s="50" t="str">
        <f t="shared" si="380"/>
        <v>1+1261.91380847195i</v>
      </c>
      <c r="AK457" s="50">
        <f t="shared" si="400"/>
        <v>1261.9142046954623</v>
      </c>
      <c r="AL457" s="50">
        <f t="shared" si="401"/>
        <v>1.5700038798116223</v>
      </c>
      <c r="AM457" s="50" t="str">
        <f t="shared" si="381"/>
        <v>1+1.38810518931914i</v>
      </c>
      <c r="AN457" s="50">
        <f t="shared" si="402"/>
        <v>1.7107998178088297</v>
      </c>
      <c r="AO457" s="50">
        <f t="shared" si="403"/>
        <v>0.94650560990857646</v>
      </c>
      <c r="AP457" s="50" t="str">
        <f t="shared" si="382"/>
        <v>1-6.92623030639901i</v>
      </c>
      <c r="AQ457" s="50">
        <f t="shared" si="404"/>
        <v>6.9980473174507845</v>
      </c>
      <c r="AR457" s="50">
        <f t="shared" si="405"/>
        <v>-1.4274084829020437</v>
      </c>
      <c r="AS457" s="59" t="str">
        <f t="shared" si="406"/>
        <v>-0.477051524076637-0.916083375443469i</v>
      </c>
      <c r="AT457" s="50">
        <f t="shared" si="407"/>
        <v>0.2807767698020317</v>
      </c>
      <c r="AU457" s="61">
        <f t="shared" si="408"/>
        <v>-117.50830111061211</v>
      </c>
      <c r="AV457" s="32" t="str">
        <f t="shared" si="383"/>
        <v>-0.0000333333333333333</v>
      </c>
      <c r="AW457" s="32" t="str">
        <f t="shared" si="384"/>
        <v>0.0740322767636876i</v>
      </c>
      <c r="AX457" s="32">
        <f t="shared" si="409"/>
        <v>7.4032276763687593E-2</v>
      </c>
      <c r="AY457" s="32">
        <f t="shared" si="410"/>
        <v>1.5707963267948966</v>
      </c>
      <c r="AZ457" s="32" t="str">
        <f t="shared" si="385"/>
        <v>1+30.2041406935184i</v>
      </c>
      <c r="BA457" s="32">
        <f t="shared" si="411"/>
        <v>30.220690181295563</v>
      </c>
      <c r="BB457" s="32">
        <f t="shared" si="412"/>
        <v>1.5377003725210847</v>
      </c>
      <c r="BC457" s="32" t="str">
        <f t="shared" si="386"/>
        <v>1+1449.79875328888i</v>
      </c>
      <c r="BD457" s="32">
        <f t="shared" si="413"/>
        <v>1449.7990981642909</v>
      </c>
      <c r="BE457" s="32">
        <f t="shared" si="414"/>
        <v>1.5701065760007633</v>
      </c>
      <c r="BF457" s="59" t="str">
        <f t="shared" si="415"/>
        <v>-0.000699863307638063+0.0215890238721498i</v>
      </c>
      <c r="BG457" s="50">
        <f t="shared" si="416"/>
        <v>-33.310778274738205</v>
      </c>
      <c r="BH457" s="61">
        <f t="shared" si="417"/>
        <v>91.856738689427729</v>
      </c>
      <c r="BI457" s="59" t="str">
        <f t="shared" si="418"/>
        <v>-0.00484422720158803-0.00694573357551326i</v>
      </c>
      <c r="BJ457" s="64">
        <f t="shared" si="419"/>
        <v>-41.444217789532715</v>
      </c>
      <c r="BK457" s="61">
        <f t="shared" si="420"/>
        <v>-124.8934317014419</v>
      </c>
      <c r="BL457" s="59" t="str">
        <f t="shared" si="425"/>
        <v>0.0201112167188827-0.00965794360032585i</v>
      </c>
      <c r="BM457" s="64">
        <f t="shared" si="421"/>
        <v>-33.030001504936166</v>
      </c>
      <c r="BN457" s="61">
        <f t="shared" si="426"/>
        <v>-25.651562421184323</v>
      </c>
      <c r="BO457" s="50">
        <f t="shared" si="422"/>
        <v>-41.444217789532715</v>
      </c>
      <c r="BP457" s="61">
        <f t="shared" si="423"/>
        <v>-124.8934317014419</v>
      </c>
    </row>
    <row r="458" spans="14:68" x14ac:dyDescent="0.25">
      <c r="N458" s="11">
        <v>40</v>
      </c>
      <c r="O458" s="51">
        <f t="shared" si="424"/>
        <v>251188.64315095844</v>
      </c>
      <c r="P458" s="49" t="str">
        <f t="shared" si="374"/>
        <v>25.6231073841137</v>
      </c>
      <c r="Q458" s="18" t="str">
        <f t="shared" si="375"/>
        <v>1+1364.85162828154i</v>
      </c>
      <c r="R458" s="18">
        <f t="shared" si="387"/>
        <v>1364.8519946216772</v>
      </c>
      <c r="S458" s="18">
        <f t="shared" si="388"/>
        <v>1.5700636465530751</v>
      </c>
      <c r="T458" s="18" t="str">
        <f t="shared" si="376"/>
        <v>1+1.42043831277883i</v>
      </c>
      <c r="U458" s="18">
        <f t="shared" si="389"/>
        <v>1.7371370125611767</v>
      </c>
      <c r="V458" s="18">
        <f t="shared" si="390"/>
        <v>0.95738546120372037</v>
      </c>
      <c r="W458" s="32" t="str">
        <f t="shared" si="377"/>
        <v>1-31.8283399715257i</v>
      </c>
      <c r="X458" s="18">
        <f t="shared" si="391"/>
        <v>31.844045367117236</v>
      </c>
      <c r="Y458" s="18">
        <f t="shared" si="392"/>
        <v>-1.5393881178191828</v>
      </c>
      <c r="Z458" s="32" t="str">
        <f t="shared" si="378"/>
        <v>-0.57739336120049+2.51996278452245i</v>
      </c>
      <c r="AA458" s="18">
        <f t="shared" si="393"/>
        <v>2.5852650790463523</v>
      </c>
      <c r="AB458" s="18">
        <f t="shared" si="394"/>
        <v>1.7960361151275304</v>
      </c>
      <c r="AC458" s="32" t="str">
        <f>IMDIV(IMSUM(COMPLEX(0,2*PI()*O458*Constants!$B$71*Constants!$B$72),COMPLEX(1,0)),IMSUM(COMPLEX(0,2*PI()*O458*Constants!$B$71*Constants!$B$72),COMPLEX(2,0)))</f>
        <v>0.95439487061372+0.143953940087796i</v>
      </c>
      <c r="AD458" s="18">
        <f t="shared" si="395"/>
        <v>0.96519029518565935</v>
      </c>
      <c r="AE458" s="18">
        <f t="shared" si="396"/>
        <v>0.1497042090054849</v>
      </c>
      <c r="AF458" s="66" t="str">
        <f t="shared" si="397"/>
        <v>-0.307052332890263+0.236737033035318i</v>
      </c>
      <c r="AG458" s="64">
        <f t="shared" si="398"/>
        <v>-8.2296717556542802</v>
      </c>
      <c r="AH458" s="61">
        <f t="shared" si="399"/>
        <v>142.36781369760013</v>
      </c>
      <c r="AI458" s="50" t="str">
        <f t="shared" si="379"/>
        <v>108.866083054159</v>
      </c>
      <c r="AJ458" s="50" t="str">
        <f t="shared" si="380"/>
        <v>1+1291.30755707167i</v>
      </c>
      <c r="AK458" s="50">
        <f t="shared" si="400"/>
        <v>1291.307944276037</v>
      </c>
      <c r="AL458" s="50">
        <f t="shared" si="401"/>
        <v>1.5700219180999109</v>
      </c>
      <c r="AM458" s="50" t="str">
        <f t="shared" si="381"/>
        <v>1+1.42043831277883i</v>
      </c>
      <c r="AN458" s="50">
        <f t="shared" si="402"/>
        <v>1.7371370125611767</v>
      </c>
      <c r="AO458" s="50">
        <f t="shared" si="403"/>
        <v>0.95738546120372037</v>
      </c>
      <c r="AP458" s="50" t="str">
        <f t="shared" si="382"/>
        <v>1-7.08756293546071i</v>
      </c>
      <c r="AQ458" s="50">
        <f t="shared" si="404"/>
        <v>7.1577614073197804</v>
      </c>
      <c r="AR458" s="50">
        <f t="shared" si="405"/>
        <v>-1.4306293208137058</v>
      </c>
      <c r="AS458" s="59" t="str">
        <f t="shared" si="406"/>
        <v>-0.477054614485454-0.933431030176443i</v>
      </c>
      <c r="AT458" s="50">
        <f t="shared" si="407"/>
        <v>0.40948132326799958</v>
      </c>
      <c r="AU458" s="61">
        <f t="shared" si="408"/>
        <v>-117.0705054862929</v>
      </c>
      <c r="AV458" s="32" t="str">
        <f t="shared" si="383"/>
        <v>-0.0000333333333333333</v>
      </c>
      <c r="AW458" s="32" t="str">
        <f t="shared" si="384"/>
        <v>0.075756710014871i</v>
      </c>
      <c r="AX458" s="32">
        <f t="shared" si="409"/>
        <v>7.5756710014870998E-2</v>
      </c>
      <c r="AY458" s="32">
        <f t="shared" si="410"/>
        <v>1.5707963267948966</v>
      </c>
      <c r="AZ458" s="32" t="str">
        <f t="shared" si="385"/>
        <v>1+30.9076855095394i</v>
      </c>
      <c r="BA458" s="32">
        <f t="shared" si="411"/>
        <v>30.923858484293191</v>
      </c>
      <c r="BB458" s="32">
        <f t="shared" si="412"/>
        <v>1.5384531970354443</v>
      </c>
      <c r="BC458" s="32" t="str">
        <f t="shared" si="386"/>
        <v>1+1483.56890445789i</v>
      </c>
      <c r="BD458" s="32">
        <f t="shared" si="413"/>
        <v>1483.5692414829798</v>
      </c>
      <c r="BE458" s="32">
        <f t="shared" si="414"/>
        <v>1.5701222766408747</v>
      </c>
      <c r="BF458" s="59" t="str">
        <f t="shared" si="415"/>
        <v>-0.000668397208986419+0.0210986157590972i</v>
      </c>
      <c r="BG458" s="50">
        <f t="shared" si="416"/>
        <v>-33.51056433986858</v>
      </c>
      <c r="BH458" s="61">
        <f t="shared" si="417"/>
        <v>91.814504602454988</v>
      </c>
      <c r="BI458" s="59" t="str">
        <f t="shared" si="418"/>
        <v>-0.00478959077364425-0.00663661356173059i</v>
      </c>
      <c r="BJ458" s="64">
        <f t="shared" si="419"/>
        <v>-41.740236095522867</v>
      </c>
      <c r="BK458" s="61">
        <f t="shared" si="420"/>
        <v>-125.8176816999449</v>
      </c>
      <c r="BL458" s="59" t="str">
        <f t="shared" si="425"/>
        <v>0.0200129646161672-0.00944128931178159i</v>
      </c>
      <c r="BM458" s="64">
        <f t="shared" si="421"/>
        <v>-33.101083016600583</v>
      </c>
      <c r="BN458" s="61">
        <f t="shared" si="426"/>
        <v>-25.256000883837931</v>
      </c>
      <c r="BO458" s="50">
        <f t="shared" si="422"/>
        <v>-41.740236095522867</v>
      </c>
      <c r="BP458" s="61">
        <f t="shared" si="423"/>
        <v>-125.8176816999449</v>
      </c>
    </row>
    <row r="459" spans="14:68" x14ac:dyDescent="0.25">
      <c r="N459" s="11">
        <v>41</v>
      </c>
      <c r="O459" s="51">
        <f t="shared" si="424"/>
        <v>257039.57827688678</v>
      </c>
      <c r="P459" s="49" t="str">
        <f t="shared" si="374"/>
        <v>25.6231073841137</v>
      </c>
      <c r="Q459" s="18" t="str">
        <f t="shared" si="375"/>
        <v>1+1396.64310672348i</v>
      </c>
      <c r="R459" s="18">
        <f t="shared" si="387"/>
        <v>1396.6434647247002</v>
      </c>
      <c r="S459" s="18">
        <f t="shared" si="388"/>
        <v>1.5700803243857633</v>
      </c>
      <c r="T459" s="18" t="str">
        <f t="shared" si="376"/>
        <v>1+1.45352457143367i</v>
      </c>
      <c r="U459" s="18">
        <f t="shared" si="389"/>
        <v>1.7642941023994367</v>
      </c>
      <c r="V459" s="18">
        <f t="shared" si="390"/>
        <v>0.96818116699372081</v>
      </c>
      <c r="W459" s="32" t="str">
        <f t="shared" si="377"/>
        <v>1-32.5697172487916i</v>
      </c>
      <c r="X459" s="18">
        <f t="shared" si="391"/>
        <v>32.585065316279987</v>
      </c>
      <c r="Y459" s="18">
        <f t="shared" si="392"/>
        <v>-1.5401026017705226</v>
      </c>
      <c r="Z459" s="32" t="str">
        <f t="shared" si="378"/>
        <v>-0.65173362001899+2.57866025821011i</v>
      </c>
      <c r="AA459" s="18">
        <f t="shared" si="393"/>
        <v>2.6597453710337176</v>
      </c>
      <c r="AB459" s="18">
        <f t="shared" si="394"/>
        <v>1.8183532493840364</v>
      </c>
      <c r="AC459" s="32" t="str">
        <f>IMDIV(IMSUM(COMPLEX(0,2*PI()*O459*Constants!$B$71*Constants!$B$72),COMPLEX(1,0)),IMSUM(COMPLEX(0,2*PI()*O459*Constants!$B$71*Constants!$B$72),COMPLEX(2,0)))</f>
        <v>0.956267913306085+0.141257027932608i</v>
      </c>
      <c r="AD459" s="18">
        <f t="shared" si="395"/>
        <v>0.96664464513032278</v>
      </c>
      <c r="AE459" s="18">
        <f t="shared" si="396"/>
        <v>0.14665644104870981</v>
      </c>
      <c r="AF459" s="66" t="str">
        <f t="shared" si="397"/>
        <v>-0.299953351253803+0.238669172413532i</v>
      </c>
      <c r="AG459" s="64">
        <f t="shared" si="398"/>
        <v>-8.328747817438396</v>
      </c>
      <c r="AH459" s="61">
        <f t="shared" si="399"/>
        <v>141.49116774728287</v>
      </c>
      <c r="AI459" s="50" t="str">
        <f t="shared" si="379"/>
        <v>108.866083054159</v>
      </c>
      <c r="AJ459" s="50" t="str">
        <f t="shared" si="380"/>
        <v>1+1321.38597403061i</v>
      </c>
      <c r="AK459" s="50">
        <f t="shared" si="400"/>
        <v>1321.3863524211317</v>
      </c>
      <c r="AL459" s="50">
        <f t="shared" si="401"/>
        <v>1.5700395457871159</v>
      </c>
      <c r="AM459" s="50" t="str">
        <f t="shared" si="381"/>
        <v>1+1.45352457143367i</v>
      </c>
      <c r="AN459" s="50">
        <f t="shared" si="402"/>
        <v>1.7642941023994367</v>
      </c>
      <c r="AO459" s="50">
        <f t="shared" si="403"/>
        <v>0.96818116699372081</v>
      </c>
      <c r="AP459" s="50" t="str">
        <f t="shared" si="382"/>
        <v>1-7.25265348420574i</v>
      </c>
      <c r="AQ459" s="50">
        <f t="shared" si="404"/>
        <v>7.3212691906500513</v>
      </c>
      <c r="AR459" s="50">
        <f t="shared" si="405"/>
        <v>-1.4337796746598843</v>
      </c>
      <c r="AS459" s="59" t="str">
        <f t="shared" si="406"/>
        <v>-0.477057565803128-0.951273602181549i</v>
      </c>
      <c r="AT459" s="50">
        <f t="shared" si="407"/>
        <v>0.54040276616875504</v>
      </c>
      <c r="AU459" s="61">
        <f t="shared" si="408"/>
        <v>-116.63346907909924</v>
      </c>
      <c r="AV459" s="32" t="str">
        <f t="shared" si="383"/>
        <v>-0.0000333333333333333</v>
      </c>
      <c r="AW459" s="32" t="str">
        <f t="shared" si="384"/>
        <v>0.0775213104764627i</v>
      </c>
      <c r="AX459" s="32">
        <f t="shared" si="409"/>
        <v>7.7521310476462699E-2</v>
      </c>
      <c r="AY459" s="32">
        <f t="shared" si="410"/>
        <v>1.5707963267948966</v>
      </c>
      <c r="AZ459" s="32" t="str">
        <f t="shared" si="385"/>
        <v>1+31.627617989529i</v>
      </c>
      <c r="BA459" s="32">
        <f t="shared" si="411"/>
        <v>31.643423008448032</v>
      </c>
      <c r="BB459" s="32">
        <f t="shared" si="412"/>
        <v>1.5391889206103853</v>
      </c>
      <c r="BC459" s="32" t="str">
        <f t="shared" si="386"/>
        <v>1+1518.1256634974i</v>
      </c>
      <c r="BD459" s="32">
        <f t="shared" si="413"/>
        <v>1518.1259928508639</v>
      </c>
      <c r="BE459" s="32">
        <f t="shared" si="414"/>
        <v>1.5701376198911055</v>
      </c>
      <c r="BF459" s="59" t="str">
        <f t="shared" si="415"/>
        <v>-0.000638344422685823+0.0206193028375074i</v>
      </c>
      <c r="BG459" s="50">
        <f t="shared" si="416"/>
        <v>-33.710360023807297</v>
      </c>
      <c r="BH459" s="61">
        <f t="shared" si="417"/>
        <v>91.773229850204828</v>
      </c>
      <c r="BI459" s="59" t="str">
        <f t="shared" si="418"/>
        <v>-0.0047297183951331-0.00633718212170461i</v>
      </c>
      <c r="BJ459" s="64">
        <f t="shared" si="419"/>
        <v>-42.039107841245695</v>
      </c>
      <c r="BK459" s="61">
        <f t="shared" si="420"/>
        <v>-126.73560240251228</v>
      </c>
      <c r="BL459" s="59" t="str">
        <f t="shared" si="425"/>
        <v>0.0199191255211384-0.00922935422181797i</v>
      </c>
      <c r="BM459" s="64">
        <f t="shared" si="421"/>
        <v>-33.169957257638544</v>
      </c>
      <c r="BN459" s="61">
        <f t="shared" si="426"/>
        <v>-24.860239228894425</v>
      </c>
      <c r="BO459" s="50">
        <f t="shared" si="422"/>
        <v>-42.039107841245695</v>
      </c>
      <c r="BP459" s="61">
        <f t="shared" si="423"/>
        <v>-126.73560240251228</v>
      </c>
    </row>
    <row r="460" spans="14:68" x14ac:dyDescent="0.25">
      <c r="N460" s="11">
        <v>42</v>
      </c>
      <c r="O460" s="51">
        <f t="shared" si="424"/>
        <v>263026.79918953858</v>
      </c>
      <c r="P460" s="49" t="str">
        <f t="shared" si="374"/>
        <v>25.6231073841137</v>
      </c>
      <c r="Q460" s="18" t="str">
        <f t="shared" si="375"/>
        <v>1+1429.17510382735i</v>
      </c>
      <c r="R460" s="18">
        <f t="shared" si="387"/>
        <v>1429.1754536794695</v>
      </c>
      <c r="S460" s="18">
        <f t="shared" si="388"/>
        <v>1.5700966225850159</v>
      </c>
      <c r="T460" s="18" t="str">
        <f t="shared" si="376"/>
        <v>1+1.48738150805596i</v>
      </c>
      <c r="U460" s="18">
        <f t="shared" si="389"/>
        <v>1.7922900854791397</v>
      </c>
      <c r="V460" s="18">
        <f t="shared" si="390"/>
        <v>0.97888838570936643</v>
      </c>
      <c r="W460" s="32" t="str">
        <f t="shared" si="377"/>
        <v>1-33.328363421254i</v>
      </c>
      <c r="X460" s="18">
        <f t="shared" si="391"/>
        <v>33.343362283056898</v>
      </c>
      <c r="Y460" s="18">
        <f t="shared" si="392"/>
        <v>-1.5408008523733552</v>
      </c>
      <c r="Z460" s="32" t="str">
        <f t="shared" si="378"/>
        <v>-0.72957742729734+2.63872497169928i</v>
      </c>
      <c r="AA460" s="18">
        <f t="shared" si="393"/>
        <v>2.7377276523955358</v>
      </c>
      <c r="AB460" s="18">
        <f t="shared" si="394"/>
        <v>1.8405459689260533</v>
      </c>
      <c r="AC460" s="32" t="str">
        <f>IMDIV(IMSUM(COMPLEX(0,2*PI()*O460*Constants!$B$71*Constants!$B$72),COMPLEX(1,0)),IMSUM(COMPLEX(0,2*PI()*O460*Constants!$B$71*Constants!$B$72),COMPLEX(2,0)))</f>
        <v>0.958071126906794+0.138587178872134i</v>
      </c>
      <c r="AD460" s="18">
        <f t="shared" si="395"/>
        <v>0.96804271102064043</v>
      </c>
      <c r="AE460" s="18">
        <f t="shared" si="396"/>
        <v>0.14365585126864802</v>
      </c>
      <c r="AF460" s="66" t="str">
        <f t="shared" si="397"/>
        <v>-0.292835647402746+0.240364761732775i</v>
      </c>
      <c r="AG460" s="64">
        <f t="shared" si="398"/>
        <v>-8.430635632701831</v>
      </c>
      <c r="AH460" s="61">
        <f t="shared" si="399"/>
        <v>140.62023526327454</v>
      </c>
      <c r="AI460" s="50" t="str">
        <f t="shared" si="379"/>
        <v>108.866083054159</v>
      </c>
      <c r="AJ460" s="50" t="str">
        <f t="shared" si="380"/>
        <v>1+1352.1650073236i</v>
      </c>
      <c r="AK460" s="50">
        <f t="shared" si="400"/>
        <v>1352.1653771009046</v>
      </c>
      <c r="AL460" s="50">
        <f t="shared" si="401"/>
        <v>1.5700567722196266</v>
      </c>
      <c r="AM460" s="50" t="str">
        <f t="shared" si="381"/>
        <v>1+1.48738150805596i</v>
      </c>
      <c r="AN460" s="50">
        <f t="shared" si="402"/>
        <v>1.7922900854791397</v>
      </c>
      <c r="AO460" s="50">
        <f t="shared" si="403"/>
        <v>0.97888838570936643</v>
      </c>
      <c r="AP460" s="50" t="str">
        <f t="shared" si="382"/>
        <v>1-7.42158948582832i</v>
      </c>
      <c r="AQ460" s="50">
        <f t="shared" si="404"/>
        <v>7.4886574561904942</v>
      </c>
      <c r="AR460" s="50">
        <f t="shared" si="405"/>
        <v>-1.4368609645373369</v>
      </c>
      <c r="AS460" s="59" t="str">
        <f t="shared" si="406"/>
        <v>-0.477060384289771-0.969620551841023i</v>
      </c>
      <c r="AT460" s="50">
        <f t="shared" si="407"/>
        <v>0.67350108331459146</v>
      </c>
      <c r="AU460" s="61">
        <f t="shared" si="408"/>
        <v>-116.1975225436826</v>
      </c>
      <c r="AV460" s="32" t="str">
        <f t="shared" si="383"/>
        <v>-0.0000333333333333333</v>
      </c>
      <c r="AW460" s="32" t="str">
        <f t="shared" si="384"/>
        <v>0.0793270137629849i</v>
      </c>
      <c r="AX460" s="32">
        <f t="shared" si="409"/>
        <v>7.9327013762984899E-2</v>
      </c>
      <c r="AY460" s="32">
        <f t="shared" si="410"/>
        <v>1.5707963267948966</v>
      </c>
      <c r="AZ460" s="32" t="str">
        <f t="shared" si="385"/>
        <v>1+32.3643198512177i</v>
      </c>
      <c r="BA460" s="32">
        <f t="shared" si="411"/>
        <v>32.379765277591559</v>
      </c>
      <c r="BB460" s="32">
        <f t="shared" si="412"/>
        <v>1.5399079301485505</v>
      </c>
      <c r="BC460" s="32" t="str">
        <f t="shared" si="386"/>
        <v>1+1553.48735285845i</v>
      </c>
      <c r="BD460" s="32">
        <f t="shared" si="413"/>
        <v>1553.4876747149153</v>
      </c>
      <c r="BE460" s="32">
        <f t="shared" si="414"/>
        <v>1.5701526138866211</v>
      </c>
      <c r="BF460" s="59" t="str">
        <f t="shared" si="415"/>
        <v>-0.000609641593590859+0.0201508370694108i</v>
      </c>
      <c r="BG460" s="50">
        <f t="shared" si="416"/>
        <v>-33.91016489450255</v>
      </c>
      <c r="BH460" s="61">
        <f t="shared" si="417"/>
        <v>91.73289273089938</v>
      </c>
      <c r="BI460" s="59" t="str">
        <f t="shared" si="418"/>
        <v>-0.00466502636016208-0.00604741977531402i</v>
      </c>
      <c r="BJ460" s="64">
        <f t="shared" si="419"/>
        <v>-42.340800527204379</v>
      </c>
      <c r="BK460" s="61">
        <f t="shared" si="420"/>
        <v>-127.64687200582611</v>
      </c>
      <c r="BL460" s="59" t="str">
        <f t="shared" si="425"/>
        <v>0.0198295016122181-0.00902204505769087i</v>
      </c>
      <c r="BM460" s="64">
        <f t="shared" si="421"/>
        <v>-33.236663811187974</v>
      </c>
      <c r="BN460" s="61">
        <f t="shared" si="426"/>
        <v>-24.464629812783247</v>
      </c>
      <c r="BO460" s="50">
        <f t="shared" si="422"/>
        <v>-42.340800527204379</v>
      </c>
      <c r="BP460" s="61">
        <f t="shared" si="423"/>
        <v>-127.64687200582611</v>
      </c>
    </row>
    <row r="461" spans="14:68" x14ac:dyDescent="0.25">
      <c r="N461" s="11">
        <v>43</v>
      </c>
      <c r="O461" s="51">
        <f t="shared" si="424"/>
        <v>269153.48039269145</v>
      </c>
      <c r="P461" s="49" t="str">
        <f t="shared" si="374"/>
        <v>25.6231073841137</v>
      </c>
      <c r="Q461" s="18" t="str">
        <f t="shared" si="375"/>
        <v>1+1462.46486848865i</v>
      </c>
      <c r="R461" s="18">
        <f t="shared" si="387"/>
        <v>1462.4652103771643</v>
      </c>
      <c r="S461" s="18">
        <f t="shared" si="388"/>
        <v>1.5701125497923194</v>
      </c>
      <c r="T461" s="18" t="str">
        <f t="shared" si="376"/>
        <v>1+1.52202707404165i</v>
      </c>
      <c r="U461" s="18">
        <f t="shared" si="389"/>
        <v>1.8211442595565532</v>
      </c>
      <c r="V461" s="18">
        <f t="shared" si="390"/>
        <v>0.98950297425603517</v>
      </c>
      <c r="W461" s="32" t="str">
        <f t="shared" si="377"/>
        <v>1-34.1046807331555i</v>
      </c>
      <c r="X461" s="18">
        <f t="shared" si="391"/>
        <v>34.119338327559454</v>
      </c>
      <c r="Y461" s="18">
        <f t="shared" si="392"/>
        <v>-1.5414832371243563</v>
      </c>
      <c r="Z461" s="32" t="str">
        <f t="shared" si="378"/>
        <v>-0.81108990018747+2.70018877209611i</v>
      </c>
      <c r="AA461" s="18">
        <f t="shared" si="393"/>
        <v>2.8193769225025624</v>
      </c>
      <c r="AB461" s="18">
        <f t="shared" si="394"/>
        <v>1.8626041533740698</v>
      </c>
      <c r="AC461" s="32" t="str">
        <f>IMDIV(IMSUM(COMPLEX(0,2*PI()*O461*Constants!$B$71*Constants!$B$72),COMPLEX(1,0)),IMSUM(COMPLEX(0,2*PI()*O461*Constants!$B$71*Constants!$B$72),COMPLEX(2,0)))</f>
        <v>0.959806538075917+0.135945638328705i</v>
      </c>
      <c r="AD461" s="18">
        <f t="shared" si="395"/>
        <v>0.96938630437709183</v>
      </c>
      <c r="AE461" s="18">
        <f t="shared" si="396"/>
        <v>0.14070266307908613</v>
      </c>
      <c r="AF461" s="66" t="str">
        <f t="shared" si="397"/>
        <v>-0.285710437525383+0.241825945451707i</v>
      </c>
      <c r="AG461" s="64">
        <f t="shared" si="398"/>
        <v>-8.5353011679499726</v>
      </c>
      <c r="AH461" s="61">
        <f t="shared" si="399"/>
        <v>139.75534996830993</v>
      </c>
      <c r="AI461" s="50" t="str">
        <f t="shared" si="379"/>
        <v>108.866083054159</v>
      </c>
      <c r="AJ461" s="50" t="str">
        <f t="shared" si="380"/>
        <v>1+1383.6609764015i</v>
      </c>
      <c r="AK461" s="50">
        <f t="shared" si="400"/>
        <v>1383.6613377616475</v>
      </c>
      <c r="AL461" s="50">
        <f t="shared" si="401"/>
        <v>1.5700736065310843</v>
      </c>
      <c r="AM461" s="50" t="str">
        <f t="shared" si="381"/>
        <v>1+1.52202707404165i</v>
      </c>
      <c r="AN461" s="50">
        <f t="shared" si="402"/>
        <v>1.8211442595565532</v>
      </c>
      <c r="AO461" s="50">
        <f t="shared" si="403"/>
        <v>0.98950297425603517</v>
      </c>
      <c r="AP461" s="50" t="str">
        <f t="shared" si="382"/>
        <v>1-7.59446051243266i</v>
      </c>
      <c r="AQ461" s="50">
        <f t="shared" si="404"/>
        <v>7.6600150440386825</v>
      </c>
      <c r="AR461" s="50">
        <f t="shared" si="405"/>
        <v>-1.439874590024717</v>
      </c>
      <c r="AS461" s="59" t="str">
        <f t="shared" si="406"/>
        <v>-0.477063075923754-0.988481606963857i</v>
      </c>
      <c r="AT461" s="50">
        <f t="shared" si="407"/>
        <v>0.80873526497314496</v>
      </c>
      <c r="AU461" s="61">
        <f t="shared" si="408"/>
        <v>-115.76298397514793</v>
      </c>
      <c r="AV461" s="32" t="str">
        <f t="shared" si="383"/>
        <v>-0.0000333333333333333</v>
      </c>
      <c r="AW461" s="32" t="str">
        <f t="shared" si="384"/>
        <v>0.0811747772822212i</v>
      </c>
      <c r="AX461" s="32">
        <f t="shared" si="409"/>
        <v>8.1174777282221194E-2</v>
      </c>
      <c r="AY461" s="32">
        <f t="shared" si="410"/>
        <v>1.5707963267948966</v>
      </c>
      <c r="AZ461" s="32" t="str">
        <f t="shared" si="385"/>
        <v>1+33.1181817036841i</v>
      </c>
      <c r="BA461" s="32">
        <f t="shared" si="411"/>
        <v>33.133275711257959</v>
      </c>
      <c r="BB461" s="32">
        <f t="shared" si="412"/>
        <v>1.5406106039029361</v>
      </c>
      <c r="BC461" s="32" t="str">
        <f t="shared" si="386"/>
        <v>1+1589.67272177684i</v>
      </c>
      <c r="BD461" s="32">
        <f t="shared" si="413"/>
        <v>1589.6730363069591</v>
      </c>
      <c r="BE461" s="32">
        <f t="shared" si="414"/>
        <v>1.5701672665774093</v>
      </c>
      <c r="BF461" s="59" t="str">
        <f t="shared" si="415"/>
        <v>-0.000582228195672056+0.0196929757623003i</v>
      </c>
      <c r="BG461" s="50">
        <f t="shared" si="416"/>
        <v>-34.109978539271474</v>
      </c>
      <c r="BH461" s="61">
        <f t="shared" si="417"/>
        <v>91.693472027739162</v>
      </c>
      <c r="BI461" s="59" t="str">
        <f t="shared" si="418"/>
        <v>-0.00459592380995074-0.00576728660511062i</v>
      </c>
      <c r="BJ461" s="64">
        <f t="shared" si="419"/>
        <v>-42.645279707221448</v>
      </c>
      <c r="BK461" s="61">
        <f t="shared" si="420"/>
        <v>-128.55117800395087</v>
      </c>
      <c r="BL461" s="59" t="str">
        <f t="shared" si="425"/>
        <v>0.0197439039013357-0.00881926972877733i</v>
      </c>
      <c r="BM461" s="64">
        <f t="shared" si="421"/>
        <v>-33.301243274298344</v>
      </c>
      <c r="BN461" s="61">
        <f t="shared" si="426"/>
        <v>-24.069511947408802</v>
      </c>
      <c r="BO461" s="50">
        <f t="shared" si="422"/>
        <v>-42.645279707221448</v>
      </c>
      <c r="BP461" s="61">
        <f t="shared" si="423"/>
        <v>-128.55117800395087</v>
      </c>
    </row>
    <row r="462" spans="14:68" x14ac:dyDescent="0.25">
      <c r="N462" s="11">
        <v>44</v>
      </c>
      <c r="O462" s="51">
        <f t="shared" si="424"/>
        <v>275422.87033381703</v>
      </c>
      <c r="P462" s="49" t="str">
        <f t="shared" si="374"/>
        <v>25.6231073841137</v>
      </c>
      <c r="Q462" s="18" t="str">
        <f t="shared" si="375"/>
        <v>1+1496.53005138124i</v>
      </c>
      <c r="R462" s="18">
        <f t="shared" si="387"/>
        <v>1496.5303854874237</v>
      </c>
      <c r="S462" s="18">
        <f t="shared" si="388"/>
        <v>1.5701281144524575</v>
      </c>
      <c r="T462" s="18" t="str">
        <f t="shared" si="376"/>
        <v>1+1.5574796389284i</v>
      </c>
      <c r="U462" s="18">
        <f t="shared" si="389"/>
        <v>1.8508762318633136</v>
      </c>
      <c r="V462" s="18">
        <f t="shared" si="390"/>
        <v>1.0000209930016548</v>
      </c>
      <c r="W462" s="32" t="str">
        <f t="shared" si="377"/>
        <v>1-34.8990807982105i</v>
      </c>
      <c r="X462" s="18">
        <f t="shared" si="391"/>
        <v>34.913404883511781</v>
      </c>
      <c r="Y462" s="18">
        <f t="shared" si="392"/>
        <v>-1.5421501152894848</v>
      </c>
      <c r="Z462" s="32" t="str">
        <f t="shared" si="378"/>
        <v>-0.89644393757297+2.76308424832113i</v>
      </c>
      <c r="AA462" s="18">
        <f t="shared" si="393"/>
        <v>2.9048659687723415</v>
      </c>
      <c r="AB462" s="18">
        <f t="shared" si="394"/>
        <v>1.8845180017957905</v>
      </c>
      <c r="AC462" s="32" t="str">
        <f>IMDIV(IMSUM(COMPLEX(0,2*PI()*O462*Constants!$B$71*Constants!$B$72),COMPLEX(1,0)),IMSUM(COMPLEX(0,2*PI()*O462*Constants!$B$71*Constants!$B$72),COMPLEX(2,0)))</f>
        <v>0.961476162319995+0.133333539555533i</v>
      </c>
      <c r="AD462" s="18">
        <f t="shared" si="395"/>
        <v>0.97067720869503893</v>
      </c>
      <c r="AE462" s="18">
        <f t="shared" si="396"/>
        <v>0.13779702628510451</v>
      </c>
      <c r="AF462" s="66" t="str">
        <f t="shared" si="397"/>
        <v>-0.278588663154546+0.243055480510301i</v>
      </c>
      <c r="AG462" s="64">
        <f t="shared" si="398"/>
        <v>-8.6427085061221618</v>
      </c>
      <c r="AH462" s="61">
        <f t="shared" si="399"/>
        <v>138.89683520507961</v>
      </c>
      <c r="AI462" s="50" t="str">
        <f t="shared" si="379"/>
        <v>108.866083054159</v>
      </c>
      <c r="AJ462" s="50" t="str">
        <f t="shared" si="380"/>
        <v>1+1415.89058084401i</v>
      </c>
      <c r="AK462" s="50">
        <f t="shared" si="400"/>
        <v>1415.8909339785982</v>
      </c>
      <c r="AL462" s="50">
        <f t="shared" si="401"/>
        <v>1.5700900576472256</v>
      </c>
      <c r="AM462" s="50" t="str">
        <f t="shared" si="381"/>
        <v>1+1.5574796389284i</v>
      </c>
      <c r="AN462" s="50">
        <f t="shared" si="402"/>
        <v>1.8508762318633136</v>
      </c>
      <c r="AO462" s="50">
        <f t="shared" si="403"/>
        <v>1.0000209930016548</v>
      </c>
      <c r="AP462" s="50" t="str">
        <f t="shared" si="382"/>
        <v>1-7.77135822252526i</v>
      </c>
      <c r="AQ462" s="50">
        <f t="shared" si="404"/>
        <v>7.8354328931343007</v>
      </c>
      <c r="AR462" s="50">
        <f t="shared" si="405"/>
        <v>-1.4428219299138156</v>
      </c>
      <c r="AS462" s="59" t="str">
        <f t="shared" si="406"/>
        <v>-0.477065646414375-1.00786676794364i</v>
      </c>
      <c r="AT462" s="50">
        <f t="shared" si="407"/>
        <v>0.94606340853181103</v>
      </c>
      <c r="AU462" s="61">
        <f t="shared" si="408"/>
        <v>-115.33015860814355</v>
      </c>
      <c r="AV462" s="32" t="str">
        <f t="shared" si="383"/>
        <v>-0.0000333333333333333</v>
      </c>
      <c r="AW462" s="32" t="str">
        <f t="shared" si="384"/>
        <v>0.083065580742848i</v>
      </c>
      <c r="AX462" s="32">
        <f t="shared" si="409"/>
        <v>8.3065580742848005E-2</v>
      </c>
      <c r="AY462" s="32">
        <f t="shared" si="410"/>
        <v>1.5707963267948966</v>
      </c>
      <c r="AZ462" s="32" t="str">
        <f t="shared" si="385"/>
        <v>1+33.8896032544607i</v>
      </c>
      <c r="BA462" s="32">
        <f t="shared" si="411"/>
        <v>33.904353831694735</v>
      </c>
      <c r="BB462" s="32">
        <f t="shared" si="412"/>
        <v>1.5412973116633157</v>
      </c>
      <c r="BC462" s="32" t="str">
        <f t="shared" si="386"/>
        <v>1+1626.70095621411i</v>
      </c>
      <c r="BD462" s="32">
        <f t="shared" si="413"/>
        <v>1626.7012635846511</v>
      </c>
      <c r="BE462" s="32">
        <f t="shared" si="414"/>
        <v>1.5701815857324961</v>
      </c>
      <c r="BF462" s="59" t="str">
        <f t="shared" si="415"/>
        <v>-0.000556046406643703+0.0192454814673962i</v>
      </c>
      <c r="BG462" s="50">
        <f t="shared" si="416"/>
        <v>-34.30980056393598</v>
      </c>
      <c r="BH462" s="61">
        <f t="shared" si="417"/>
        <v>91.654946998463188</v>
      </c>
      <c r="BI462" s="59" t="str">
        <f t="shared" si="418"/>
        <v>-0.00452281152063132-0.00549672308032031i</v>
      </c>
      <c r="BJ462" s="64">
        <f t="shared" si="419"/>
        <v>-42.952509070058142</v>
      </c>
      <c r="BK462" s="61">
        <f t="shared" si="420"/>
        <v>-129.44821779645721</v>
      </c>
      <c r="BL462" s="59" t="str">
        <f t="shared" si="425"/>
        <v>0.0196621518424857-0.00862093736210858i</v>
      </c>
      <c r="BM462" s="64">
        <f t="shared" si="421"/>
        <v>-33.363737155404166</v>
      </c>
      <c r="BN462" s="61">
        <f t="shared" si="426"/>
        <v>-23.675211609680368</v>
      </c>
      <c r="BO462" s="50">
        <f t="shared" si="422"/>
        <v>-42.952509070058142</v>
      </c>
      <c r="BP462" s="61">
        <f t="shared" si="423"/>
        <v>-129.44821779645721</v>
      </c>
    </row>
    <row r="463" spans="14:68" x14ac:dyDescent="0.25">
      <c r="N463" s="11">
        <v>45</v>
      </c>
      <c r="O463" s="51">
        <f t="shared" si="424"/>
        <v>281838.29312644573</v>
      </c>
      <c r="P463" s="49" t="str">
        <f t="shared" si="374"/>
        <v>25.6231073841137</v>
      </c>
      <c r="Q463" s="18" t="str">
        <f t="shared" si="375"/>
        <v>1+1531.38871431597i</v>
      </c>
      <c r="R463" s="18">
        <f t="shared" si="387"/>
        <v>1531.38904081697</v>
      </c>
      <c r="S463" s="18">
        <f t="shared" si="388"/>
        <v>1.5701433248179888</v>
      </c>
      <c r="T463" s="18" t="str">
        <f t="shared" si="376"/>
        <v>1+1.5937580001354i</v>
      </c>
      <c r="U463" s="18">
        <f t="shared" si="389"/>
        <v>1.8815059295669492</v>
      </c>
      <c r="V463" s="18">
        <f t="shared" si="390"/>
        <v>1.0104387097822312</v>
      </c>
      <c r="W463" s="32" t="str">
        <f t="shared" si="377"/>
        <v>1-35.7119848178487i</v>
      </c>
      <c r="X463" s="18">
        <f t="shared" si="391"/>
        <v>35.725982976403266</v>
      </c>
      <c r="Y463" s="18">
        <f t="shared" si="392"/>
        <v>-1.542801838082386</v>
      </c>
      <c r="Z463" s="32" t="str">
        <f t="shared" si="378"/>
        <v>-0.98582058681071+2.82744474838835i</v>
      </c>
      <c r="AA463" s="18">
        <f t="shared" si="393"/>
        <v>2.9943757336995422</v>
      </c>
      <c r="AB463" s="18">
        <f t="shared" si="394"/>
        <v>1.9062780508750536</v>
      </c>
      <c r="AC463" s="32" t="str">
        <f>IMDIV(IMSUM(COMPLEX(0,2*PI()*O463*Constants!$B$71*Constants!$B$72),COMPLEX(1,0)),IMSUM(COMPLEX(0,2*PI()*O463*Constants!$B$71*Constants!$B$72),COMPLEX(2,0)))</f>
        <v>0.963081999466437+0.130751908220818i</v>
      </c>
      <c r="AD463" s="18">
        <f t="shared" si="395"/>
        <v>0.97191717712964387</v>
      </c>
      <c r="AE463" s="18">
        <f t="shared" si="396"/>
        <v>0.13493902163512025</v>
      </c>
      <c r="AF463" s="66" t="str">
        <f t="shared" si="397"/>
        <v>-0.271480952610973+0.244056707054995i</v>
      </c>
      <c r="AG463" s="64">
        <f t="shared" si="398"/>
        <v>-8.7528199354865066</v>
      </c>
      <c r="AH463" s="61">
        <f t="shared" si="399"/>
        <v>138.04500337506161</v>
      </c>
      <c r="AI463" s="50" t="str">
        <f t="shared" si="379"/>
        <v>108.866083054159</v>
      </c>
      <c r="AJ463" s="50" t="str">
        <f t="shared" si="380"/>
        <v>1+1448.870909214i</v>
      </c>
      <c r="AK463" s="50">
        <f t="shared" si="400"/>
        <v>1448.8712543102661</v>
      </c>
      <c r="AL463" s="50">
        <f t="shared" si="401"/>
        <v>1.5701061342906149</v>
      </c>
      <c r="AM463" s="50" t="str">
        <f t="shared" si="381"/>
        <v>1+1.5937580001354i</v>
      </c>
      <c r="AN463" s="50">
        <f t="shared" si="402"/>
        <v>1.8815059295669492</v>
      </c>
      <c r="AO463" s="50">
        <f t="shared" si="403"/>
        <v>1.0104387097822312</v>
      </c>
      <c r="AP463" s="50" t="str">
        <f t="shared" si="382"/>
        <v>1-7.95237640961352i</v>
      </c>
      <c r="AQ463" s="50">
        <f t="shared" si="404"/>
        <v>8.0150040898416037</v>
      </c>
      <c r="AR463" s="50">
        <f t="shared" si="405"/>
        <v>-1.4457043419905766</v>
      </c>
      <c r="AS463" s="59" t="str">
        <f t="shared" si="406"/>
        <v>-0.477068101213975-1.02778631306103i</v>
      </c>
      <c r="AT463" s="50">
        <f t="shared" si="407"/>
        <v>1.0854428212844305</v>
      </c>
      <c r="AU463" s="61">
        <f t="shared" si="408"/>
        <v>-114.89933857508483</v>
      </c>
      <c r="AV463" s="32" t="str">
        <f t="shared" si="383"/>
        <v>-0.0000333333333333333</v>
      </c>
      <c r="AW463" s="32" t="str">
        <f t="shared" si="384"/>
        <v>0.0850004266738876i</v>
      </c>
      <c r="AX463" s="32">
        <f t="shared" si="409"/>
        <v>8.5000426673887602E-2</v>
      </c>
      <c r="AY463" s="32">
        <f t="shared" si="410"/>
        <v>1.5707963267948966</v>
      </c>
      <c r="AZ463" s="32" t="str">
        <f t="shared" si="385"/>
        <v>1+34.6789935214646i</v>
      </c>
      <c r="BA463" s="32">
        <f t="shared" si="411"/>
        <v>34.693408475700153</v>
      </c>
      <c r="BB463" s="32">
        <f t="shared" si="412"/>
        <v>1.5419684149391188</v>
      </c>
      <c r="BC463" s="32" t="str">
        <f t="shared" si="386"/>
        <v>1+1664.5916890303i</v>
      </c>
      <c r="BD463" s="32">
        <f t="shared" si="413"/>
        <v>1664.5919894042343</v>
      </c>
      <c r="BE463" s="32">
        <f t="shared" si="414"/>
        <v>1.5701955789440629</v>
      </c>
      <c r="BF463" s="59" t="str">
        <f t="shared" si="415"/>
        <v>-0.000531040988062866+0.0188081218789123i</v>
      </c>
      <c r="BG463" s="50">
        <f t="shared" si="416"/>
        <v>-34.509630591995304</v>
      </c>
      <c r="BH463" s="61">
        <f t="shared" si="417"/>
        <v>91.617297365106893</v>
      </c>
      <c r="BI463" s="59" t="str">
        <f t="shared" si="418"/>
        <v>-0.00444608077834156-0.00523565095936825i</v>
      </c>
      <c r="BJ463" s="64">
        <f t="shared" si="419"/>
        <v>-43.262450527481811</v>
      </c>
      <c r="BK463" s="61">
        <f t="shared" si="420"/>
        <v>-130.33769925983145</v>
      </c>
      <c r="BL463" s="59" t="str">
        <f t="shared" si="425"/>
        <v>0.0195840729573717-0.00842695833296829i</v>
      </c>
      <c r="BM463" s="64">
        <f t="shared" si="421"/>
        <v>-33.42418777071088</v>
      </c>
      <c r="BN463" s="61">
        <f t="shared" si="426"/>
        <v>-23.282041209977951</v>
      </c>
      <c r="BO463" s="50">
        <f t="shared" si="422"/>
        <v>-43.262450527481811</v>
      </c>
      <c r="BP463" s="61">
        <f t="shared" si="423"/>
        <v>-130.33769925983145</v>
      </c>
    </row>
    <row r="464" spans="14:68" x14ac:dyDescent="0.25">
      <c r="N464" s="11">
        <v>46</v>
      </c>
      <c r="O464" s="51">
        <f t="shared" si="424"/>
        <v>288403.1503126609</v>
      </c>
      <c r="P464" s="49" t="str">
        <f t="shared" si="374"/>
        <v>25.6231073841137</v>
      </c>
      <c r="Q464" s="18" t="str">
        <f t="shared" si="375"/>
        <v>1+1567.05933981737i</v>
      </c>
      <c r="R464" s="18">
        <f t="shared" si="387"/>
        <v>1567.0596588863016</v>
      </c>
      <c r="S464" s="18">
        <f t="shared" si="388"/>
        <v>1.5701581889536222</v>
      </c>
      <c r="T464" s="18" t="str">
        <f t="shared" si="376"/>
        <v>1+1.63088139292994i</v>
      </c>
      <c r="U464" s="18">
        <f t="shared" si="389"/>
        <v>1.9130536108026615</v>
      </c>
      <c r="V464" s="18">
        <f t="shared" si="390"/>
        <v>1.0207526029421325</v>
      </c>
      <c r="W464" s="32" t="str">
        <f t="shared" si="377"/>
        <v>1-36.5438238045412i</v>
      </c>
      <c r="X464" s="18">
        <f t="shared" si="391"/>
        <v>36.557503446725576</v>
      </c>
      <c r="Y464" s="18">
        <f t="shared" si="392"/>
        <v>-1.5434387488393282</v>
      </c>
      <c r="Z464" s="32" t="str">
        <f t="shared" si="378"/>
        <v>-1.07940942775669+2.89330439708682i</v>
      </c>
      <c r="AA464" s="18">
        <f t="shared" si="393"/>
        <v>3.0880956991213777</v>
      </c>
      <c r="AB464" s="18">
        <f t="shared" si="394"/>
        <v>1.9278751912674847</v>
      </c>
      <c r="AC464" s="32" t="str">
        <f>IMDIV(IMSUM(COMPLEX(0,2*PI()*O464*Constants!$B$71*Constants!$B$72),COMPLEX(1,0)),IMSUM(COMPLEX(0,2*PI()*O464*Constants!$B$71*Constants!$B$72),COMPLEX(2,0)))</f>
        <v>0.964626029572023+0.128201667033424i</v>
      </c>
      <c r="AD464" s="18">
        <f t="shared" si="395"/>
        <v>0.97310793047741329</v>
      </c>
      <c r="AE464" s="18">
        <f t="shared" si="396"/>
        <v>0.13212866522644712</v>
      </c>
      <c r="AF464" s="66" t="str">
        <f t="shared" si="397"/>
        <v>-0.264397585539398+0.244833516523145i</v>
      </c>
      <c r="AG464" s="64">
        <f t="shared" si="398"/>
        <v>-8.8655960444008581</v>
      </c>
      <c r="AH464" s="61">
        <f t="shared" si="399"/>
        <v>137.20015541775328</v>
      </c>
      <c r="AI464" s="50" t="str">
        <f t="shared" si="379"/>
        <v>108.866083054159</v>
      </c>
      <c r="AJ464" s="50" t="str">
        <f t="shared" si="380"/>
        <v>1+1482.61944811813i</v>
      </c>
      <c r="AK464" s="50">
        <f t="shared" si="400"/>
        <v>1482.6197853590475</v>
      </c>
      <c r="AL464" s="50">
        <f t="shared" si="401"/>
        <v>1.5701218449852674</v>
      </c>
      <c r="AM464" s="50" t="str">
        <f t="shared" si="381"/>
        <v>1+1.63088139292994i</v>
      </c>
      <c r="AN464" s="50">
        <f t="shared" si="402"/>
        <v>1.9130536108026615</v>
      </c>
      <c r="AO464" s="50">
        <f t="shared" si="403"/>
        <v>1.0207526029421325</v>
      </c>
      <c r="AP464" s="50" t="str">
        <f t="shared" si="382"/>
        <v>1-8.1376110519363i</v>
      </c>
      <c r="AQ464" s="50">
        <f t="shared" si="404"/>
        <v>8.1988239176479336</v>
      </c>
      <c r="AR464" s="50">
        <f t="shared" si="405"/>
        <v>-1.4485231628623971</v>
      </c>
      <c r="AS464" s="59" t="str">
        <f t="shared" si="406"/>
        <v>-0.477070445529497-1.0482508039334i</v>
      </c>
      <c r="AT464" s="50">
        <f t="shared" si="407"/>
        <v>1.2268301236320125</v>
      </c>
      <c r="AU464" s="61">
        <f t="shared" si="408"/>
        <v>-114.47080272232932</v>
      </c>
      <c r="AV464" s="32" t="str">
        <f t="shared" si="383"/>
        <v>-0.0000333333333333333</v>
      </c>
      <c r="AW464" s="32" t="str">
        <f t="shared" si="384"/>
        <v>0.0869803409562632i</v>
      </c>
      <c r="AX464" s="32">
        <f t="shared" si="409"/>
        <v>8.6980340956263197E-2</v>
      </c>
      <c r="AY464" s="32">
        <f t="shared" si="410"/>
        <v>1.5707963267948966</v>
      </c>
      <c r="AZ464" s="32" t="str">
        <f t="shared" si="385"/>
        <v>1+35.4867710498644i</v>
      </c>
      <c r="BA464" s="32">
        <f t="shared" si="411"/>
        <v>35.500858011398741</v>
      </c>
      <c r="BB464" s="32">
        <f t="shared" si="412"/>
        <v>1.5426242671387917</v>
      </c>
      <c r="BC464" s="32" t="str">
        <f t="shared" si="386"/>
        <v>1+1703.3650103935i</v>
      </c>
      <c r="BD464" s="32">
        <f t="shared" si="413"/>
        <v>1703.36530393009</v>
      </c>
      <c r="BE464" s="32">
        <f t="shared" si="414"/>
        <v>1.570209253631474</v>
      </c>
      <c r="BF464" s="59" t="str">
        <f t="shared" si="415"/>
        <v>-0.00050715917066818+0.0183806697343799i</v>
      </c>
      <c r="BG464" s="50">
        <f t="shared" si="416"/>
        <v>-34.709468263836627</v>
      </c>
      <c r="BH464" s="61">
        <f t="shared" si="417"/>
        <v>91.580503303956093</v>
      </c>
      <c r="BI464" s="59" t="str">
        <f t="shared" si="418"/>
        <v>-0.00436611234690994-0.00498397426155879i</v>
      </c>
      <c r="BJ464" s="64">
        <f t="shared" si="419"/>
        <v>-43.575064308237479</v>
      </c>
      <c r="BK464" s="61">
        <f t="shared" si="420"/>
        <v>-131.21934127829059</v>
      </c>
      <c r="BL464" s="59" t="str">
        <f t="shared" si="425"/>
        <v>0.0195095024774031-0.00823724429093604i</v>
      </c>
      <c r="BM464" s="64">
        <f t="shared" si="421"/>
        <v>-33.482638140204607</v>
      </c>
      <c r="BN464" s="61">
        <f t="shared" si="426"/>
        <v>-22.890299418373207</v>
      </c>
      <c r="BO464" s="50">
        <f t="shared" si="422"/>
        <v>-43.575064308237479</v>
      </c>
      <c r="BP464" s="61">
        <f t="shared" si="423"/>
        <v>-131.21934127829059</v>
      </c>
    </row>
    <row r="465" spans="14:68" x14ac:dyDescent="0.25">
      <c r="N465" s="11">
        <v>47</v>
      </c>
      <c r="O465" s="51">
        <f t="shared" si="424"/>
        <v>295120.92266663886</v>
      </c>
      <c r="P465" s="49" t="str">
        <f t="shared" si="374"/>
        <v>25.6231073841137</v>
      </c>
      <c r="Q465" s="18" t="str">
        <f t="shared" si="375"/>
        <v>1+1603.56084092322i</v>
      </c>
      <c r="R465" s="18">
        <f t="shared" si="387"/>
        <v>1603.5611527292572</v>
      </c>
      <c r="S465" s="18">
        <f t="shared" si="388"/>
        <v>1.5701727147404929</v>
      </c>
      <c r="T465" s="18" t="str">
        <f t="shared" si="376"/>
        <v>1+1.66886950062628i</v>
      </c>
      <c r="U465" s="18">
        <f t="shared" si="389"/>
        <v>1.9455398762607281</v>
      </c>
      <c r="V465" s="18">
        <f t="shared" si="390"/>
        <v>1.0309593634335077</v>
      </c>
      <c r="W465" s="32" t="str">
        <f t="shared" si="377"/>
        <v>1-37.3950388103296i</v>
      </c>
      <c r="X465" s="18">
        <f t="shared" si="391"/>
        <v>37.408407178414549</v>
      </c>
      <c r="Y465" s="18">
        <f t="shared" si="392"/>
        <v>-1.5440611831907125</v>
      </c>
      <c r="Z465" s="32" t="str">
        <f t="shared" si="378"/>
        <v>-1.17740897489021+2.96069811407403i</v>
      </c>
      <c r="AA465" s="18">
        <f t="shared" si="393"/>
        <v>3.1862242885323582</v>
      </c>
      <c r="AB465" s="18">
        <f t="shared" si="394"/>
        <v>1.9493006821017784</v>
      </c>
      <c r="AC465" s="32" t="str">
        <f>IMDIV(IMSUM(COMPLEX(0,2*PI()*O465*Constants!$B$71*Constants!$B$72),COMPLEX(1,0)),IMSUM(COMPLEX(0,2*PI()*O465*Constants!$B$71*Constants!$B$72),COMPLEX(2,0)))</f>
        <v>0.966110209246107+0.125683640381729i</v>
      </c>
      <c r="AD465" s="18">
        <f t="shared" si="395"/>
        <v>0.97425115543640006</v>
      </c>
      <c r="AE465" s="18">
        <f t="shared" si="396"/>
        <v>0.12936591275891529</v>
      </c>
      <c r="AF465" s="66" t="str">
        <f t="shared" si="397"/>
        <v>-0.25734846073122+0.245390317433313i</v>
      </c>
      <c r="AG465" s="64">
        <f t="shared" si="398"/>
        <v>-8.9809958213293939</v>
      </c>
      <c r="AH465" s="61">
        <f t="shared" si="399"/>
        <v>136.36258033373954</v>
      </c>
      <c r="AI465" s="50" t="str">
        <f t="shared" si="379"/>
        <v>108.866083054159</v>
      </c>
      <c r="AJ465" s="50" t="str">
        <f t="shared" si="380"/>
        <v>1+1517.15409147844i</v>
      </c>
      <c r="AK465" s="50">
        <f t="shared" si="400"/>
        <v>1517.154421042819</v>
      </c>
      <c r="AL465" s="50">
        <f t="shared" si="401"/>
        <v>1.5701371980611709</v>
      </c>
      <c r="AM465" s="50" t="str">
        <f t="shared" si="381"/>
        <v>1+1.66886950062628i</v>
      </c>
      <c r="AN465" s="50">
        <f t="shared" si="402"/>
        <v>1.9455398762607281</v>
      </c>
      <c r="AO465" s="50">
        <f t="shared" si="403"/>
        <v>1.0309593634335077</v>
      </c>
      <c r="AP465" s="50" t="str">
        <f t="shared" si="382"/>
        <v>1-8.32716036335282i</v>
      </c>
      <c r="AQ465" s="50">
        <f t="shared" si="404"/>
        <v>8.3869899080059866</v>
      </c>
      <c r="AR465" s="50">
        <f t="shared" si="405"/>
        <v>-1.4512797078284077</v>
      </c>
      <c r="AS465" s="59" t="str">
        <f t="shared" si="406"/>
        <v>-0.477072684333532-1.0692710911149i</v>
      </c>
      <c r="AT465" s="50">
        <f t="shared" si="407"/>
        <v>1.3701813520256567</v>
      </c>
      <c r="AU465" s="61">
        <f t="shared" si="408"/>
        <v>-114.04481648271474</v>
      </c>
      <c r="AV465" s="32" t="str">
        <f t="shared" si="383"/>
        <v>-0.0000333333333333333</v>
      </c>
      <c r="AW465" s="32" t="str">
        <f t="shared" si="384"/>
        <v>0.0890063733667348i</v>
      </c>
      <c r="AX465" s="32">
        <f t="shared" si="409"/>
        <v>8.9006373366734795E-2</v>
      </c>
      <c r="AY465" s="32">
        <f t="shared" si="410"/>
        <v>1.5707963267948966</v>
      </c>
      <c r="AZ465" s="32" t="str">
        <f t="shared" si="385"/>
        <v>1+36.3133641339978i</v>
      </c>
      <c r="BA465" s="32">
        <f t="shared" si="411"/>
        <v>36.327130560069257</v>
      </c>
      <c r="BB465" s="32">
        <f t="shared" si="412"/>
        <v>1.543265213745683</v>
      </c>
      <c r="BC465" s="32" t="str">
        <f t="shared" si="386"/>
        <v>1+1743.0414784319i</v>
      </c>
      <c r="BD465" s="32">
        <f t="shared" si="413"/>
        <v>1743.0417652867829</v>
      </c>
      <c r="BE465" s="32">
        <f t="shared" si="414"/>
        <v>1.5702226170452094</v>
      </c>
      <c r="BF465" s="59" t="str">
        <f t="shared" si="415"/>
        <v>-0.000484350544736416+0.0179629027160925i</v>
      </c>
      <c r="BG465" s="50">
        <f t="shared" si="416"/>
        <v>-34.909313235979496</v>
      </c>
      <c r="BH465" s="61">
        <f t="shared" si="417"/>
        <v>91.5445454356949</v>
      </c>
      <c r="BI465" s="59" t="str">
        <f t="shared" si="418"/>
        <v>-0.00428327553238341-0.00474158029817292i</v>
      </c>
      <c r="BJ465" s="64">
        <f t="shared" si="419"/>
        <v>-43.890309057308905</v>
      </c>
      <c r="BK465" s="61">
        <f t="shared" si="420"/>
        <v>-132.09287423056554</v>
      </c>
      <c r="BL465" s="59" t="str">
        <f t="shared" si="425"/>
        <v>0.0194382830013628-0.00805170818173594i</v>
      </c>
      <c r="BM465" s="64">
        <f t="shared" si="421"/>
        <v>-33.539131883953857</v>
      </c>
      <c r="BN465" s="61">
        <f t="shared" si="426"/>
        <v>-22.500271047019872</v>
      </c>
      <c r="BO465" s="50">
        <f t="shared" si="422"/>
        <v>-43.890309057308905</v>
      </c>
      <c r="BP465" s="61">
        <f t="shared" si="423"/>
        <v>-132.09287423056554</v>
      </c>
    </row>
    <row r="466" spans="14:68" x14ac:dyDescent="0.25">
      <c r="N466" s="11">
        <v>48</v>
      </c>
      <c r="O466" s="51">
        <f t="shared" si="424"/>
        <v>301995.17204020242</v>
      </c>
      <c r="P466" s="49" t="str">
        <f t="shared" si="374"/>
        <v>25.6231073841137</v>
      </c>
      <c r="Q466" s="18" t="str">
        <f t="shared" si="375"/>
        <v>1+1640.91257121256i</v>
      </c>
      <c r="R466" s="18">
        <f t="shared" si="387"/>
        <v>1640.9128759210266</v>
      </c>
      <c r="S466" s="18">
        <f t="shared" si="388"/>
        <v>1.5701869098803412</v>
      </c>
      <c r="T466" s="18" t="str">
        <f t="shared" si="376"/>
        <v>1+1.70774246502195i</v>
      </c>
      <c r="U466" s="18">
        <f t="shared" si="389"/>
        <v>1.9789856813123348</v>
      </c>
      <c r="V466" s="18">
        <f t="shared" si="390"/>
        <v>1.0410558960054301</v>
      </c>
      <c r="W466" s="32" t="str">
        <f t="shared" si="377"/>
        <v>1-38.2660811606771i</v>
      </c>
      <c r="X466" s="18">
        <f t="shared" si="391"/>
        <v>38.279145332615869</v>
      </c>
      <c r="Y466" s="18">
        <f t="shared" si="392"/>
        <v>-1.5446694692291953</v>
      </c>
      <c r="Z466" s="32" t="str">
        <f t="shared" si="378"/>
        <v>-1.28002709838978+3.0296616323908i</v>
      </c>
      <c r="AA466" s="18">
        <f t="shared" si="393"/>
        <v>3.2889692883018911</v>
      </c>
      <c r="AB466" s="18">
        <f t="shared" si="394"/>
        <v>1.9705461636025146</v>
      </c>
      <c r="AC466" s="32" t="str">
        <f>IMDIV(IMSUM(COMPLEX(0,2*PI()*O466*Constants!$B$71*Constants!$B$72),COMPLEX(1,0)),IMSUM(COMPLEX(0,2*PI()*O466*Constants!$B$71*Constants!$B$72),COMPLEX(2,0)))</f>
        <v>0.967536468368287+0.123198558960132i</v>
      </c>
      <c r="AD466" s="18">
        <f t="shared" si="395"/>
        <v>0.97534850312717991</v>
      </c>
      <c r="AE466" s="18">
        <f t="shared" si="396"/>
        <v>0.12665066363244282</v>
      </c>
      <c r="AF466" s="66" t="str">
        <f t="shared" si="397"/>
        <v>-0.250343067384739+0.245731999241824i</v>
      </c>
      <c r="AG466" s="64">
        <f t="shared" si="398"/>
        <v>-9.0989767594689237</v>
      </c>
      <c r="AH466" s="61">
        <f t="shared" si="399"/>
        <v>135.53255475449362</v>
      </c>
      <c r="AI466" s="50" t="str">
        <f t="shared" si="379"/>
        <v>108.866083054159</v>
      </c>
      <c r="AJ466" s="50" t="str">
        <f t="shared" si="380"/>
        <v>1+1552.49315001996i</v>
      </c>
      <c r="AK466" s="50">
        <f t="shared" si="400"/>
        <v>1552.4934720825393</v>
      </c>
      <c r="AL466" s="50">
        <f t="shared" si="401"/>
        <v>1.5701522016587</v>
      </c>
      <c r="AM466" s="50" t="str">
        <f t="shared" si="381"/>
        <v>1+1.70774246502195i</v>
      </c>
      <c r="AN466" s="50">
        <f t="shared" si="402"/>
        <v>1.9789856813123348</v>
      </c>
      <c r="AO466" s="50">
        <f t="shared" si="403"/>
        <v>1.0410558960054301</v>
      </c>
      <c r="AP466" s="50" t="str">
        <f t="shared" si="382"/>
        <v>1-8.521124845417i</v>
      </c>
      <c r="AQ466" s="50">
        <f t="shared" si="404"/>
        <v>8.579601892348089</v>
      </c>
      <c r="AR466" s="50">
        <f t="shared" si="405"/>
        <v>-1.4539752707896005</v>
      </c>
      <c r="AS466" s="59" t="str">
        <f t="shared" si="406"/>
        <v>-0.477074822374874-1.09085831984952i</v>
      </c>
      <c r="AT466" s="50">
        <f t="shared" si="407"/>
        <v>1.5154520610138043</v>
      </c>
      <c r="AU466" s="61">
        <f t="shared" si="408"/>
        <v>-113.62163180253114</v>
      </c>
      <c r="AV466" s="32" t="str">
        <f t="shared" si="383"/>
        <v>-0.0000333333333333333</v>
      </c>
      <c r="AW466" s="32" t="str">
        <f t="shared" si="384"/>
        <v>0.0910795981345042i</v>
      </c>
      <c r="AX466" s="32">
        <f t="shared" si="409"/>
        <v>9.1079598134504197E-2</v>
      </c>
      <c r="AY466" s="32">
        <f t="shared" si="410"/>
        <v>1.5707963267948966</v>
      </c>
      <c r="AZ466" s="32" t="str">
        <f t="shared" si="385"/>
        <v>1+37.1592110444592i</v>
      </c>
      <c r="BA466" s="32">
        <f t="shared" si="411"/>
        <v>37.17266422314465</v>
      </c>
      <c r="BB466" s="32">
        <f t="shared" si="412"/>
        <v>1.5438915924904903</v>
      </c>
      <c r="BC466" s="32" t="str">
        <f t="shared" si="386"/>
        <v>1+1783.64213013404i</v>
      </c>
      <c r="BD466" s="32">
        <f t="shared" si="413"/>
        <v>1783.6424104593091</v>
      </c>
      <c r="BE466" s="32">
        <f t="shared" si="414"/>
        <v>1.5702356762707086</v>
      </c>
      <c r="BF466" s="59" t="str">
        <f t="shared" si="415"/>
        <v>-0.00046256695524337+0.0175546033537168i</v>
      </c>
      <c r="BG466" s="50">
        <f t="shared" si="416"/>
        <v>-35.109165180354779</v>
      </c>
      <c r="BH466" s="61">
        <f t="shared" si="417"/>
        <v>91.50940481574554</v>
      </c>
      <c r="BI466" s="59" t="str">
        <f t="shared" si="418"/>
        <v>-0.00419792734755961-0.00450834075298705i</v>
      </c>
      <c r="BJ466" s="64">
        <f t="shared" si="419"/>
        <v>-44.208141939823697</v>
      </c>
      <c r="BK466" s="61">
        <f t="shared" si="420"/>
        <v>-132.95804042976079</v>
      </c>
      <c r="BL466" s="59" t="str">
        <f t="shared" si="425"/>
        <v>0.0193702641680695-0.00787026426522112i</v>
      </c>
      <c r="BM466" s="64">
        <f t="shared" si="421"/>
        <v>-33.593713119340961</v>
      </c>
      <c r="BN466" s="61">
        <f t="shared" si="426"/>
        <v>-22.112226986785572</v>
      </c>
      <c r="BO466" s="50">
        <f t="shared" si="422"/>
        <v>-44.208141939823697</v>
      </c>
      <c r="BP466" s="61">
        <f t="shared" si="423"/>
        <v>-132.95804042976079</v>
      </c>
    </row>
    <row r="467" spans="14:68" x14ac:dyDescent="0.25">
      <c r="N467" s="11">
        <v>49</v>
      </c>
      <c r="O467" s="51">
        <f t="shared" si="424"/>
        <v>309029.54325135931</v>
      </c>
      <c r="P467" s="49" t="str">
        <f t="shared" ref="P467:P530" si="427">COMPLEX(Adc,0)</f>
        <v>25.6231073841137</v>
      </c>
      <c r="Q467" s="18" t="str">
        <f t="shared" ref="Q467:Q530" si="428">IMSUM(COMPLEX(1,0),IMDIV(COMPLEX(0,2*PI()*O467),COMPLEX(wp_lf,0)))</f>
        <v>1+1679.13433506721i</v>
      </c>
      <c r="R467" s="18">
        <f t="shared" si="387"/>
        <v>1679.1346328396664</v>
      </c>
      <c r="S467" s="18">
        <f t="shared" si="388"/>
        <v>1.5702007818995947</v>
      </c>
      <c r="T467" s="18" t="str">
        <f t="shared" ref="T467:T530" si="429">IMSUM(COMPLEX(1,0),IMDIV(COMPLEX(0,2*PI()*O467),COMPLEX(wz_esr,0)))</f>
        <v>1+1.74752089707723i</v>
      </c>
      <c r="U467" s="18">
        <f t="shared" si="389"/>
        <v>2.0134123486562818</v>
      </c>
      <c r="V467" s="18">
        <f t="shared" si="390"/>
        <v>1.0510393195191816</v>
      </c>
      <c r="W467" s="32" t="str">
        <f t="shared" ref="W467:W530" si="430">IMSUB(COMPLEX(1,0),IMDIV(COMPLEX(0,2*PI()*O467),COMPLEX(wz_rhp,0)))</f>
        <v>1-39.1574126937675i</v>
      </c>
      <c r="X467" s="18">
        <f t="shared" si="391"/>
        <v>39.170179586900339</v>
      </c>
      <c r="Y467" s="18">
        <f t="shared" si="392"/>
        <v>-1.5452639276744706</v>
      </c>
      <c r="Z467" s="32" t="str">
        <f t="shared" ref="Z467:Z530" si="431">IMSUM(COMPLEX(1,0),IMDIV(COMPLEX(0,2*PI()*O467),COMPLEX(Q*(wsl/2),0)),IMDIV(IMPOWER(COMPLEX(0,2*PI()*O467),2),IMPOWER(COMPLEX(wsl/2,0),2)))</f>
        <v>-1.38748146505359+3.10023151740737i</v>
      </c>
      <c r="AA467" s="18">
        <f t="shared" si="393"/>
        <v>3.3965482886885709</v>
      </c>
      <c r="AB467" s="18">
        <f t="shared" si="394"/>
        <v>1.9916036678264333</v>
      </c>
      <c r="AC467" s="32" t="str">
        <f>IMDIV(IMSUM(COMPLEX(0,2*PI()*O467*Constants!$B$71*Constants!$B$72),COMPLEX(1,0)),IMSUM(COMPLEX(0,2*PI()*O467*Constants!$B$71*Constants!$B$72),COMPLEX(2,0)))</f>
        <v>0.96890670717978+0.120747064360614i</v>
      </c>
      <c r="AD467" s="18">
        <f t="shared" si="395"/>
        <v>0.97640158785699971</v>
      </c>
      <c r="AE467" s="18">
        <f t="shared" si="396"/>
        <v>0.12398276488582874</v>
      </c>
      <c r="AF467" s="66" t="str">
        <f t="shared" si="397"/>
        <v>-0.243390459911288+0.245863894634541i</v>
      </c>
      <c r="AG467" s="64">
        <f t="shared" si="398"/>
        <v>-9.2194949652933094</v>
      </c>
      <c r="AH467" s="61">
        <f t="shared" si="399"/>
        <v>134.71034256129786</v>
      </c>
      <c r="AI467" s="50" t="str">
        <f t="shared" ref="AI467:AI530" si="432">COMPLEX($B$72,0)</f>
        <v>108.866083054159</v>
      </c>
      <c r="AJ467" s="50" t="str">
        <f t="shared" ref="AJ467:AJ530" si="433">IMSUM(COMPLEX(1,0),IMDIV(COMPLEX(0,2*PI()*O467),COMPLEX(wp_lf_DCM,0)))</f>
        <v>1+1588.6553609793i</v>
      </c>
      <c r="AK467" s="50">
        <f t="shared" si="400"/>
        <v>1588.6556757108415</v>
      </c>
      <c r="AL467" s="50">
        <f t="shared" si="401"/>
        <v>1.570166863732934</v>
      </c>
      <c r="AM467" s="50" t="str">
        <f t="shared" ref="AM467:AM530" si="434">IMSUM(COMPLEX(1,0),IMDIV(COMPLEX(0,2*PI()*O467),COMPLEX(wz1_dcm,0)))</f>
        <v>1+1.74752089707723i</v>
      </c>
      <c r="AN467" s="50">
        <f t="shared" si="402"/>
        <v>2.0134123486562818</v>
      </c>
      <c r="AO467" s="50">
        <f t="shared" si="403"/>
        <v>1.0510393195191816</v>
      </c>
      <c r="AP467" s="50" t="str">
        <f t="shared" ref="AP467:AP530" si="435">IMSUB(COMPLEX(1,0),IMDIV(COMPLEX(0,2*PI()*O467),COMPLEX(wz2_dcm,0)))</f>
        <v>1-8.71960734066463i</v>
      </c>
      <c r="AQ467" s="50">
        <f t="shared" si="404"/>
        <v>8.7767620553010612</v>
      </c>
      <c r="AR467" s="50">
        <f t="shared" si="405"/>
        <v>-1.4566111241958466</v>
      </c>
      <c r="AS467" s="59" t="str">
        <f t="shared" si="406"/>
        <v>-0.47707686418858-1.11302393598054i</v>
      </c>
      <c r="AT467" s="50">
        <f t="shared" si="407"/>
        <v>1.6625974238046359</v>
      </c>
      <c r="AU467" s="61">
        <f t="shared" si="408"/>
        <v>-113.20148712066708</v>
      </c>
      <c r="AV467" s="32" t="str">
        <f t="shared" ref="AV467:AV530" si="436">COMPLEX(Adc_ea,0)</f>
        <v>-0.0000333333333333333</v>
      </c>
      <c r="AW467" s="32" t="str">
        <f t="shared" ref="AW467:AW530" si="437">COMPLEX(0,2*PI()*O467*wp0_ea)</f>
        <v>0.0932011145107853i</v>
      </c>
      <c r="AX467" s="32">
        <f t="shared" si="409"/>
        <v>9.3201114510785305E-2</v>
      </c>
      <c r="AY467" s="32">
        <f t="shared" si="410"/>
        <v>1.5707963267948966</v>
      </c>
      <c r="AZ467" s="32" t="str">
        <f t="shared" ref="AZ467:AZ530" si="438">IMSUM(COMPLEX(1,0),IMDIV(COMPLEX(0,2*PI()*O467),COMPLEX(wp1_ea,0)))</f>
        <v>1+38.0247602604767i</v>
      </c>
      <c r="BA467" s="32">
        <f t="shared" si="411"/>
        <v>38.037907314503087</v>
      </c>
      <c r="BB467" s="32">
        <f t="shared" si="412"/>
        <v>1.5445037335203109</v>
      </c>
      <c r="BC467" s="32" t="str">
        <f t="shared" ref="BC467:BC530" si="439">IMSUM(COMPLEX(1,0),IMDIV(COMPLEX(0,2*PI()*O467),COMPLEX(wz_ea,0)))</f>
        <v>1+1825.18849250288i</v>
      </c>
      <c r="BD467" s="32">
        <f t="shared" si="413"/>
        <v>1825.1887664471685</v>
      </c>
      <c r="BE467" s="32">
        <f t="shared" si="414"/>
        <v>1.570248438232128</v>
      </c>
      <c r="BF467" s="59" t="str">
        <f t="shared" si="415"/>
        <v>-0.000441762401624313+0.0171555589281176i</v>
      </c>
      <c r="BG467" s="50">
        <f t="shared" si="416"/>
        <v>-35.309023783614812</v>
      </c>
      <c r="BH467" s="61">
        <f t="shared" si="417"/>
        <v>91.475062924797683</v>
      </c>
      <c r="BI467" s="59" t="str">
        <f t="shared" si="418"/>
        <v>-0.00411041177859651-0.00428411280211621i</v>
      </c>
      <c r="BJ467" s="64">
        <f t="shared" si="419"/>
        <v>-44.52851874890812</v>
      </c>
      <c r="BK467" s="61">
        <f t="shared" si="420"/>
        <v>-133.81459451390444</v>
      </c>
      <c r="BL467" s="59" t="str">
        <f t="shared" si="425"/>
        <v>0.0193053023434029-0.00769282812980463i</v>
      </c>
      <c r="BM467" s="64">
        <f t="shared" si="421"/>
        <v>-33.646426359810178</v>
      </c>
      <c r="BN467" s="61">
        <f t="shared" si="426"/>
        <v>-21.726424195869384</v>
      </c>
      <c r="BO467" s="50">
        <f t="shared" si="422"/>
        <v>-44.52851874890812</v>
      </c>
      <c r="BP467" s="61">
        <f t="shared" si="423"/>
        <v>-133.81459451390444</v>
      </c>
    </row>
    <row r="468" spans="14:68" x14ac:dyDescent="0.25">
      <c r="N468" s="11">
        <v>50</v>
      </c>
      <c r="O468" s="51">
        <f t="shared" si="424"/>
        <v>316227.7660168382</v>
      </c>
      <c r="P468" s="49" t="str">
        <f t="shared" si="427"/>
        <v>25.6231073841137</v>
      </c>
      <c r="Q468" s="18" t="str">
        <f t="shared" si="428"/>
        <v>1+1718.24639817228i</v>
      </c>
      <c r="R468" s="18">
        <f t="shared" ref="R468:R531" si="440">IMABS(Q468)</f>
        <v>1718.2466891666088</v>
      </c>
      <c r="S468" s="18">
        <f t="shared" ref="S468:S531" si="441">IMARGUMENT(Q468)</f>
        <v>1.5702143381533606</v>
      </c>
      <c r="T468" s="18" t="str">
        <f t="shared" si="429"/>
        <v>1+1.7882258878433i</v>
      </c>
      <c r="U468" s="18">
        <f t="shared" ref="U468:U531" si="442">IMABS(T468)</f>
        <v>2.048841581468162</v>
      </c>
      <c r="V468" s="18">
        <f t="shared" ref="V468:V531" si="443">IMARGUMENT(T468)</f>
        <v>1.0609069664308972</v>
      </c>
      <c r="W468" s="32" t="str">
        <f t="shared" si="430"/>
        <v>1-40.0695060053776i</v>
      </c>
      <c r="X468" s="18">
        <f t="shared" ref="X468:X531" si="444">IMABS(W468)</f>
        <v>40.081982380054399</v>
      </c>
      <c r="Y468" s="18">
        <f t="shared" ref="Y468:Y531" si="445">IMARGUMENT(W468)</f>
        <v>-1.5458448720347497</v>
      </c>
      <c r="Z468" s="32" t="str">
        <f t="shared" si="431"/>
        <v>-1.49999999999999+3.17244518621089i</v>
      </c>
      <c r="AA468" s="18">
        <f t="shared" ref="AA468:AA531" si="446">IMABS(Z468)</f>
        <v>3.5091891455879969</v>
      </c>
      <c r="AB468" s="18">
        <f t="shared" ref="AB468:AB531" si="447">IMARGUMENT(Z468)</f>
        <v>2.0124656275198216</v>
      </c>
      <c r="AC468" s="32" t="str">
        <f>IMDIV(IMSUM(COMPLEX(0,2*PI()*O468*Constants!$B$71*Constants!$B$72),COMPLEX(1,0)),IMSUM(COMPLEX(0,2*PI()*O468*Constants!$B$71*Constants!$B$72),COMPLEX(2,0)))</f>
        <v>0.970222793727455+0.118329713609367i</v>
      </c>
      <c r="AD468" s="18">
        <f t="shared" ref="AD468:AD531" si="448">IMABS(AC468)</f>
        <v>0.97741198610984015</v>
      </c>
      <c r="AE468" s="18">
        <f t="shared" ref="AE468:AE531" si="449">IMARGUMENT(AC468)</f>
        <v>0.12136201497513251</v>
      </c>
      <c r="AF468" s="66" t="str">
        <f t="shared" ref="AF468:AF531" si="450">(IMDIV(IMPRODUCT(P468,T468,W468,AC468),IMPRODUCT(Q468,Z468)))</f>
        <v>-0.236499236352383+0.24579174062548i</v>
      </c>
      <c r="AG468" s="64">
        <f t="shared" ref="AG468:AG531" si="451">20*LOG(IMABS(AF468))</f>
        <v>-9.342505270304402</v>
      </c>
      <c r="AH468" s="61">
        <f t="shared" ref="AH468:AH531" si="452">(180/PI())*IMARGUMENT(AF468)</f>
        <v>133.89619455511644</v>
      </c>
      <c r="AI468" s="50" t="str">
        <f t="shared" si="432"/>
        <v>108.866083054159</v>
      </c>
      <c r="AJ468" s="50" t="str">
        <f t="shared" si="433"/>
        <v>1+1625.65989803936i</v>
      </c>
      <c r="AK468" s="50">
        <f t="shared" ref="AK468:AK531" si="453">IMABS(AJ468)</f>
        <v>1625.6602056067384</v>
      </c>
      <c r="AL468" s="50">
        <f t="shared" ref="AL468:AL531" si="454">IMARGUMENT(AJ468)</f>
        <v>1.5701811920578734</v>
      </c>
      <c r="AM468" s="50" t="str">
        <f t="shared" si="434"/>
        <v>1+1.7882258878433i</v>
      </c>
      <c r="AN468" s="50">
        <f t="shared" ref="AN468:AN531" si="455">IMABS(AM468)</f>
        <v>2.048841581468162</v>
      </c>
      <c r="AO468" s="50">
        <f t="shared" ref="AO468:AO531" si="456">IMARGUMENT(AM468)</f>
        <v>1.0609069664308972</v>
      </c>
      <c r="AP468" s="50" t="str">
        <f t="shared" si="435"/>
        <v>1-8.92271308714193i</v>
      </c>
      <c r="AQ468" s="50">
        <f t="shared" ref="AQ468:AQ531" si="457">IMABS(AP468)</f>
        <v>8.9785749891312854</v>
      </c>
      <c r="AR468" s="50">
        <f t="shared" ref="AR468:AR531" si="458">IMARGUMENT(AP468)</f>
        <v>-1.4591885190269991</v>
      </c>
      <c r="AS468" s="59" t="str">
        <f t="shared" ref="AS468:AS531" si="459">(IMDIV(IMPRODUCT(AI468,AM468,AP468),IMPRODUCT(AJ468)))</f>
        <v>-0.477078814105607-1.1357796920193i</v>
      </c>
      <c r="AT468" s="50">
        <f t="shared" ref="AT468:AT531" si="460">20*LOG(IMABS(AS468))</f>
        <v>1.8115723307981204</v>
      </c>
      <c r="AU468" s="61">
        <f t="shared" ref="AU468:AU531" si="461">(180/PI())*IMARGUMENT(AS468)</f>
        <v>-112.78460739741102</v>
      </c>
      <c r="AV468" s="32" t="str">
        <f t="shared" si="436"/>
        <v>-0.0000333333333333333</v>
      </c>
      <c r="AW468" s="32" t="str">
        <f t="shared" si="437"/>
        <v>0.0953720473516427i</v>
      </c>
      <c r="AX468" s="32">
        <f t="shared" ref="AX468:AX531" si="462">IMABS(AW468)</f>
        <v>9.5372047351642703E-2</v>
      </c>
      <c r="AY468" s="32">
        <f t="shared" ref="AY468:AY531" si="463">IMARGUMENT(AW468)</f>
        <v>1.5707963267948966</v>
      </c>
      <c r="AZ468" s="32" t="str">
        <f t="shared" si="438"/>
        <v>1+38.9104707077014i</v>
      </c>
      <c r="BA468" s="32">
        <f t="shared" ref="BA468:BA531" si="464">IMABS(AZ468)</f>
        <v>38.923318598173111</v>
      </c>
      <c r="BB468" s="32">
        <f t="shared" ref="BB468:BB531" si="465">IMARGUMENT(AZ468)</f>
        <v>1.5451019595643343</v>
      </c>
      <c r="BC468" s="32" t="str">
        <f t="shared" si="439"/>
        <v>1+1867.70259396967i</v>
      </c>
      <c r="BD468" s="32">
        <f t="shared" ref="BD468:BD531" si="466">IMABS(BC468)</f>
        <v>1867.7028616782256</v>
      </c>
      <c r="BE468" s="32">
        <f t="shared" ref="BE468:BE531" si="467">IMARGUMENT(BC468)</f>
        <v>1.5702609096960118</v>
      </c>
      <c r="BF468" s="59" t="str">
        <f t="shared" ref="BF468:BF531" si="468">IMPRODUCT(AV468,IMDIV(BC468,IMPRODUCT(AW468,AZ468)))</f>
        <v>-0.000421892941937373+0.0167655613764324i</v>
      </c>
      <c r="BG468" s="50">
        <f t="shared" ref="BG468:BG531" si="469">20*LOG(IMABS(BF468))</f>
        <v>-35.50888874647508</v>
      </c>
      <c r="BH468" s="61">
        <f t="shared" ref="BH468:BH531" si="470">(180/PI())*IMARGUMENT(BF468)</f>
        <v>91.441501659525215</v>
      </c>
      <c r="BI468" s="59" t="str">
        <f t="shared" ref="BI468:BI531" si="471">IMPRODUCT(AF468,BF468)</f>
        <v>-0.00402105915468599-0.00406874026310166i</v>
      </c>
      <c r="BJ468" s="64">
        <f t="shared" ref="BJ468:BJ531" si="472">20*LOG(IMABS(BI468))</f>
        <v>-44.85139401677948</v>
      </c>
      <c r="BK468" s="61">
        <f t="shared" ref="BK468:BK531" si="473">(180/PI())*IMARGUMENT(BI468)</f>
        <v>-134.66230378535832</v>
      </c>
      <c r="BL468" s="59" t="str">
        <f t="shared" si="425"/>
        <v>0.0192432603210741-0.00751931670362439i</v>
      </c>
      <c r="BM468" s="64">
        <f t="shared" ref="BM468:BM531" si="474">20*LOG(IMABS(BL468))</f>
        <v>-33.697316415676951</v>
      </c>
      <c r="BN468" s="61">
        <f t="shared" si="426"/>
        <v>-21.343105737885768</v>
      </c>
      <c r="BO468" s="50">
        <f t="shared" ref="BO468:BO531" si="475">IF($B$31=0,BM468,BJ468)</f>
        <v>-44.85139401677948</v>
      </c>
      <c r="BP468" s="61">
        <f t="shared" ref="BP468:BP531" si="476">IF($B$31=0,BN468,BK468)</f>
        <v>-134.66230378535832</v>
      </c>
    </row>
    <row r="469" spans="14:68" x14ac:dyDescent="0.25">
      <c r="N469" s="11">
        <v>51</v>
      </c>
      <c r="O469" s="51">
        <f t="shared" si="424"/>
        <v>323593.65692962846</v>
      </c>
      <c r="P469" s="49" t="str">
        <f t="shared" si="427"/>
        <v>25.6231073841137</v>
      </c>
      <c r="Q469" s="18" t="str">
        <f t="shared" si="428"/>
        <v>1+1758.26949826134i</v>
      </c>
      <c r="R469" s="18">
        <f t="shared" si="440"/>
        <v>1758.2697826318306</v>
      </c>
      <c r="S469" s="18">
        <f t="shared" si="441"/>
        <v>1.570227585829324</v>
      </c>
      <c r="T469" s="18" t="str">
        <f t="shared" si="429"/>
        <v>1+1.82987901964508i</v>
      </c>
      <c r="U469" s="18">
        <f t="shared" si="442"/>
        <v>2.0852954770337075</v>
      </c>
      <c r="V469" s="18">
        <f t="shared" si="443"/>
        <v>1.0706563814870658</v>
      </c>
      <c r="W469" s="32" t="str">
        <f t="shared" si="430"/>
        <v>1-41.0028446994545i</v>
      </c>
      <c r="X469" s="18">
        <f t="shared" si="444"/>
        <v>41.015037162577144</v>
      </c>
      <c r="Y469" s="18">
        <f t="shared" si="445"/>
        <v>-1.5464126087649914</v>
      </c>
      <c r="Z469" s="32" t="str">
        <f t="shared" si="431"/>
        <v>-1.61782137012724+3.24634092744441i</v>
      </c>
      <c r="AA469" s="18">
        <f t="shared" si="446"/>
        <v>3.6271304639950595</v>
      </c>
      <c r="AB469" s="18">
        <f t="shared" si="447"/>
        <v>2.0331248831193731</v>
      </c>
      <c r="AC469" s="32" t="str">
        <f>IMDIV(IMSUM(COMPLEX(0,2*PI()*O469*Constants!$B$71*Constants!$B$72),COMPLEX(1,0)),IMSUM(COMPLEX(0,2*PI()*O469*Constants!$B$71*Constants!$B$72),COMPLEX(2,0)))</f>
        <v>0.971486561639399+0.115946983631126i</v>
      </c>
      <c r="AD469" s="18">
        <f t="shared" si="448"/>
        <v>0.97838123574560543</v>
      </c>
      <c r="AE469" s="18">
        <f t="shared" si="449"/>
        <v>0.11878816739113512</v>
      </c>
      <c r="AF469" s="66" t="str">
        <f t="shared" si="450"/>
        <v>-0.229677520430989+0.245521638831242i</v>
      </c>
      <c r="AG469" s="64">
        <f t="shared" si="451"/>
        <v>-9.4679613452617541</v>
      </c>
      <c r="AH469" s="61">
        <f t="shared" si="452"/>
        <v>133.09034817870821</v>
      </c>
      <c r="AI469" s="50" t="str">
        <f t="shared" si="432"/>
        <v>108.866083054159</v>
      </c>
      <c r="AJ469" s="50" t="str">
        <f t="shared" si="433"/>
        <v>1+1663.52638149553i</v>
      </c>
      <c r="AK469" s="50">
        <f t="shared" si="453"/>
        <v>1663.5266820618208</v>
      </c>
      <c r="AL469" s="50">
        <f t="shared" si="454"/>
        <v>1.5701951942305621</v>
      </c>
      <c r="AM469" s="50" t="str">
        <f t="shared" si="434"/>
        <v>1+1.82987901964508i</v>
      </c>
      <c r="AN469" s="50">
        <f t="shared" si="455"/>
        <v>2.0852954770337075</v>
      </c>
      <c r="AO469" s="50">
        <f t="shared" si="456"/>
        <v>1.0706563814870658</v>
      </c>
      <c r="AP469" s="50" t="str">
        <f t="shared" si="435"/>
        <v>1-9.1305497742041i</v>
      </c>
      <c r="AQ469" s="50">
        <f t="shared" si="457"/>
        <v>9.1851477494495732</v>
      </c>
      <c r="AR469" s="50">
        <f t="shared" si="458"/>
        <v>-1.461708684805445</v>
      </c>
      <c r="AS469" s="59" t="str">
        <f t="shared" si="459"/>
        <v>-0.47708067626197-1.15913765337659i</v>
      </c>
      <c r="AT469" s="50">
        <f t="shared" si="460"/>
        <v>1.96233148559361</v>
      </c>
      <c r="AU469" s="61">
        <f t="shared" si="461"/>
        <v>-112.37120419014862</v>
      </c>
      <c r="AV469" s="32" t="str">
        <f t="shared" si="436"/>
        <v>-0.0000333333333333333</v>
      </c>
      <c r="AW469" s="32" t="str">
        <f t="shared" si="437"/>
        <v>0.0975935477144042i</v>
      </c>
      <c r="AX469" s="32">
        <f t="shared" si="462"/>
        <v>9.7593547714404205E-2</v>
      </c>
      <c r="AY469" s="32">
        <f t="shared" si="463"/>
        <v>1.5707963267948966</v>
      </c>
      <c r="AZ469" s="32" t="str">
        <f t="shared" si="438"/>
        <v>1+39.8168120015364i</v>
      </c>
      <c r="BA469" s="32">
        <f t="shared" si="464"/>
        <v>39.829367531580168</v>
      </c>
      <c r="BB469" s="32">
        <f t="shared" si="465"/>
        <v>1.545686586096229</v>
      </c>
      <c r="BC469" s="32" t="str">
        <f t="shared" si="439"/>
        <v>1+1911.20697607375i</v>
      </c>
      <c r="BD469" s="32">
        <f t="shared" si="466"/>
        <v>1911.207237688516</v>
      </c>
      <c r="BE469" s="32">
        <f t="shared" si="467"/>
        <v>1.57027309727488</v>
      </c>
      <c r="BF469" s="59" t="str">
        <f t="shared" si="468"/>
        <v>-0.00040291660124117+0.0163844071984308i</v>
      </c>
      <c r="BG469" s="50">
        <f t="shared" si="469"/>
        <v>-35.70875978308478</v>
      </c>
      <c r="BH469" s="61">
        <f t="shared" si="470"/>
        <v>91.408703323487913</v>
      </c>
      <c r="BI469" s="59" t="str">
        <f t="shared" si="471"/>
        <v>-0.00393018562072358-0.00386205476331628i</v>
      </c>
      <c r="BJ469" s="64">
        <f t="shared" si="472"/>
        <v>-45.176721128346529</v>
      </c>
      <c r="BK469" s="61">
        <f t="shared" si="473"/>
        <v>-135.5009484978039</v>
      </c>
      <c r="BL469" s="59" t="str">
        <f t="shared" si="425"/>
        <v>0.0191840070365529-0.00734964826270969i</v>
      </c>
      <c r="BM469" s="64">
        <f t="shared" si="474"/>
        <v>-33.746428297491171</v>
      </c>
      <c r="BN469" s="61">
        <f t="shared" si="426"/>
        <v>-20.962500866660701</v>
      </c>
      <c r="BO469" s="50">
        <f t="shared" si="475"/>
        <v>-45.176721128346529</v>
      </c>
      <c r="BP469" s="61">
        <f t="shared" si="476"/>
        <v>-135.5009484978039</v>
      </c>
    </row>
    <row r="470" spans="14:68" x14ac:dyDescent="0.25">
      <c r="N470" s="11">
        <v>52</v>
      </c>
      <c r="O470" s="51">
        <f t="shared" si="424"/>
        <v>331131.12148259126</v>
      </c>
      <c r="P470" s="49" t="str">
        <f t="shared" si="427"/>
        <v>25.6231073841137</v>
      </c>
      <c r="Q470" s="18" t="str">
        <f t="shared" si="428"/>
        <v>1+1799.22485611183i</v>
      </c>
      <c r="R470" s="18">
        <f t="shared" si="440"/>
        <v>1799.2251340092587</v>
      </c>
      <c r="S470" s="18">
        <f t="shared" si="441"/>
        <v>1.5702405319515595</v>
      </c>
      <c r="T470" s="18" t="str">
        <f t="shared" si="429"/>
        <v>1+1.87250237752439i</v>
      </c>
      <c r="U470" s="18">
        <f t="shared" si="442"/>
        <v>2.12279654084759</v>
      </c>
      <c r="V470" s="18">
        <f t="shared" si="443"/>
        <v>1.0802853196816677</v>
      </c>
      <c r="W470" s="32" t="str">
        <f t="shared" si="430"/>
        <v>1-41.957923644528i</v>
      </c>
      <c r="X470" s="18">
        <f t="shared" si="444"/>
        <v>41.969838653014172</v>
      </c>
      <c r="Y470" s="18">
        <f t="shared" si="445"/>
        <v>-1.5469674374219202</v>
      </c>
      <c r="Z470" s="32" t="str">
        <f t="shared" si="431"/>
        <v>-1.74119549035797+3.32195792160808i</v>
      </c>
      <c r="AA470" s="18">
        <f t="shared" si="446"/>
        <v>3.7506221042085279</v>
      </c>
      <c r="AB470" s="18">
        <f t="shared" si="447"/>
        <v>2.0535746879326169</v>
      </c>
      <c r="AC470" s="32" t="str">
        <f>IMDIV(IMSUM(COMPLEX(0,2*PI()*O470*Constants!$B$71*Constants!$B$72),COMPLEX(1,0)),IMSUM(COMPLEX(0,2*PI()*O470*Constants!$B$71*Constants!$B$72),COMPLEX(2,0)))</f>
        <v>0.972699808211011+0.113599275626119i</v>
      </c>
      <c r="AD470" s="18">
        <f t="shared" si="448"/>
        <v>0.97931083539217345</v>
      </c>
      <c r="AE470" s="18">
        <f t="shared" si="449"/>
        <v>0.11626093411620908</v>
      </c>
      <c r="AF470" s="66" t="str">
        <f t="shared" si="450"/>
        <v>-0.222932947219455+0.245060015282414i</v>
      </c>
      <c r="AG470" s="64">
        <f t="shared" si="451"/>
        <v>-9.595815816160794</v>
      </c>
      <c r="AH470" s="61">
        <f t="shared" si="452"/>
        <v>132.29302729172767</v>
      </c>
      <c r="AI470" s="50" t="str">
        <f t="shared" si="432"/>
        <v>108.866083054159</v>
      </c>
      <c r="AJ470" s="50" t="str">
        <f t="shared" si="433"/>
        <v>1+1702.27488865854i</v>
      </c>
      <c r="AK470" s="50">
        <f t="shared" si="453"/>
        <v>1702.2751823831084</v>
      </c>
      <c r="AL470" s="50">
        <f t="shared" si="454"/>
        <v>1.5702088776751155</v>
      </c>
      <c r="AM470" s="50" t="str">
        <f t="shared" si="434"/>
        <v>1+1.87250237752439i</v>
      </c>
      <c r="AN470" s="50">
        <f t="shared" si="455"/>
        <v>2.12279654084759</v>
      </c>
      <c r="AO470" s="50">
        <f t="shared" si="456"/>
        <v>1.0802853196816677</v>
      </c>
      <c r="AP470" s="50" t="str">
        <f t="shared" si="435"/>
        <v>1-9.34322759961371i</v>
      </c>
      <c r="AQ470" s="50">
        <f t="shared" si="457"/>
        <v>9.396589912206629</v>
      </c>
      <c r="AR470" s="50">
        <f t="shared" si="458"/>
        <v>-1.4641728296376124</v>
      </c>
      <c r="AS470" s="59" t="str">
        <f t="shared" si="459"/>
        <v>-0.477082454607553-1.18311020475992i</v>
      </c>
      <c r="AT470" s="50">
        <f t="shared" si="460"/>
        <v>2.1148294980302391</v>
      </c>
      <c r="AU470" s="61">
        <f t="shared" si="461"/>
        <v>-111.96147577301988</v>
      </c>
      <c r="AV470" s="32" t="str">
        <f t="shared" si="436"/>
        <v>-0.0000333333333333333</v>
      </c>
      <c r="AW470" s="32" t="str">
        <f t="shared" si="437"/>
        <v>0.0998667934679672i</v>
      </c>
      <c r="AX470" s="32">
        <f t="shared" si="462"/>
        <v>9.9866793467967202E-2</v>
      </c>
      <c r="AY470" s="32">
        <f t="shared" si="463"/>
        <v>1.5707963267948966</v>
      </c>
      <c r="AZ470" s="32" t="str">
        <f t="shared" si="438"/>
        <v>1+40.7442646961326i</v>
      </c>
      <c r="BA470" s="32">
        <f t="shared" si="464"/>
        <v>40.756534514461819</v>
      </c>
      <c r="BB470" s="32">
        <f t="shared" si="465"/>
        <v>1.5462579214932575</v>
      </c>
      <c r="BC470" s="32" t="str">
        <f t="shared" si="439"/>
        <v>1+1955.72470541437i</v>
      </c>
      <c r="BD470" s="32">
        <f t="shared" si="466"/>
        <v>1955.724961074058</v>
      </c>
      <c r="BE470" s="32">
        <f t="shared" si="467"/>
        <v>1.5702850074307333</v>
      </c>
      <c r="BF470" s="59" t="str">
        <f t="shared" si="468"/>
        <v>-0.000384793284005793+0.0160118973641878i</v>
      </c>
      <c r="BG470" s="50">
        <f t="shared" si="469"/>
        <v>-35.908636620425092</v>
      </c>
      <c r="BH470" s="61">
        <f t="shared" si="470"/>
        <v>91.376650618215493</v>
      </c>
      <c r="BI470" s="59" t="str">
        <f t="shared" si="471"/>
        <v>-0.00383809271189464-0.00366387691803284i</v>
      </c>
      <c r="BJ470" s="64">
        <f t="shared" si="472"/>
        <v>-45.504452436585879</v>
      </c>
      <c r="BK470" s="61">
        <f t="shared" si="473"/>
        <v>-136.3303220900568</v>
      </c>
      <c r="BL470" s="59" t="str">
        <f t="shared" si="425"/>
        <v>0.019127417293589-0.00718374243640059i</v>
      </c>
      <c r="BM470" s="64">
        <f t="shared" si="474"/>
        <v>-33.793807122394867</v>
      </c>
      <c r="BN470" s="61">
        <f t="shared" si="426"/>
        <v>-20.584825154804435</v>
      </c>
      <c r="BO470" s="50">
        <f t="shared" si="475"/>
        <v>-45.504452436585879</v>
      </c>
      <c r="BP470" s="61">
        <f t="shared" si="476"/>
        <v>-136.3303220900568</v>
      </c>
    </row>
    <row r="471" spans="14:68" x14ac:dyDescent="0.25">
      <c r="N471" s="11">
        <v>53</v>
      </c>
      <c r="O471" s="51">
        <f t="shared" si="424"/>
        <v>338844.15613920329</v>
      </c>
      <c r="P471" s="49" t="str">
        <f t="shared" si="427"/>
        <v>25.6231073841137</v>
      </c>
      <c r="Q471" s="18" t="str">
        <f t="shared" si="428"/>
        <v>1+1841.13418679658i</v>
      </c>
      <c r="R471" s="18">
        <f t="shared" si="440"/>
        <v>1841.1344583682921</v>
      </c>
      <c r="S471" s="18">
        <f t="shared" si="441"/>
        <v>1.5702531833842552</v>
      </c>
      <c r="T471" s="18" t="str">
        <f t="shared" si="429"/>
        <v>1+1.91611856094976i</v>
      </c>
      <c r="U471" s="18">
        <f t="shared" si="442"/>
        <v>2.1613677011596564</v>
      </c>
      <c r="V471" s="18">
        <f t="shared" si="443"/>
        <v>1.089791743526529</v>
      </c>
      <c r="W471" s="32" t="str">
        <f t="shared" si="430"/>
        <v>1-42.9352492360965i</v>
      </c>
      <c r="X471" s="18">
        <f t="shared" si="444"/>
        <v>42.946893100266585</v>
      </c>
      <c r="Y471" s="18">
        <f t="shared" si="445"/>
        <v>-1.5475096508158861</v>
      </c>
      <c r="Z471" s="32" t="str">
        <f t="shared" si="431"/>
        <v>-1.87038405374222+3.39933626183309i</v>
      </c>
      <c r="AA471" s="18">
        <f t="shared" si="446"/>
        <v>3.8799257118541002</v>
      </c>
      <c r="AB471" s="18">
        <f t="shared" si="447"/>
        <v>2.073808711546735</v>
      </c>
      <c r="AC471" s="32" t="str">
        <f>IMDIV(IMSUM(COMPLEX(0,2*PI()*O471*Constants!$B$71*Constants!$B$72),COMPLEX(1,0)),IMSUM(COMPLEX(0,2*PI()*O471*Constants!$B$71*Constants!$B$72),COMPLEX(2,0)))</f>
        <v>0.973864292780893+0.111286919346842i</v>
      </c>
      <c r="AD471" s="18">
        <f t="shared" si="448"/>
        <v>0.98020224401464195</v>
      </c>
      <c r="AE471" s="18">
        <f t="shared" si="449"/>
        <v>0.11377998892182174</v>
      </c>
      <c r="AF471" s="66" t="str">
        <f t="shared" si="450"/>
        <v>-0.216272652368499+0.244413580120661i</v>
      </c>
      <c r="AG471" s="64">
        <f t="shared" si="451"/>
        <v>-9.7260203812324786</v>
      </c>
      <c r="AH471" s="61">
        <f t="shared" si="452"/>
        <v>131.50444199903427</v>
      </c>
      <c r="AI471" s="50" t="str">
        <f t="shared" si="432"/>
        <v>108.866083054159</v>
      </c>
      <c r="AJ471" s="50" t="str">
        <f t="shared" si="433"/>
        <v>1+1741.92596449978i</v>
      </c>
      <c r="AK471" s="50">
        <f t="shared" si="453"/>
        <v>1741.9262515383621</v>
      </c>
      <c r="AL471" s="50">
        <f t="shared" si="454"/>
        <v>1.5702222496466567</v>
      </c>
      <c r="AM471" s="50" t="str">
        <f t="shared" si="434"/>
        <v>1+1.91611856094976i</v>
      </c>
      <c r="AN471" s="50">
        <f t="shared" si="455"/>
        <v>2.1613677011596564</v>
      </c>
      <c r="AO471" s="50">
        <f t="shared" si="456"/>
        <v>1.089791743526529</v>
      </c>
      <c r="AP471" s="50" t="str">
        <f t="shared" si="435"/>
        <v>1-9.56085932796885i</v>
      </c>
      <c r="AQ471" s="50">
        <f t="shared" si="457"/>
        <v>9.61301363200994</v>
      </c>
      <c r="AR471" s="50">
        <f t="shared" si="458"/>
        <v>-1.466582140282086</v>
      </c>
      <c r="AS471" s="59" t="str">
        <f t="shared" si="459"/>
        <v>-0.477084152914456-1.20771005674007i</v>
      </c>
      <c r="AT471" s="50">
        <f t="shared" si="460"/>
        <v>2.2690209738695333</v>
      </c>
      <c r="AU471" s="61">
        <f t="shared" si="461"/>
        <v>-111.55560729744417</v>
      </c>
      <c r="AV471" s="32" t="str">
        <f t="shared" si="436"/>
        <v>-0.0000333333333333333</v>
      </c>
      <c r="AW471" s="32" t="str">
        <f t="shared" si="437"/>
        <v>0.10219298991732i</v>
      </c>
      <c r="AX471" s="32">
        <f t="shared" si="462"/>
        <v>0.10219298991732</v>
      </c>
      <c r="AY471" s="32">
        <f t="shared" si="463"/>
        <v>1.5707963267948966</v>
      </c>
      <c r="AZ471" s="32" t="str">
        <f t="shared" si="438"/>
        <v>1+41.6933205391846i</v>
      </c>
      <c r="BA471" s="32">
        <f t="shared" si="464"/>
        <v>41.705311143584488</v>
      </c>
      <c r="BB471" s="32">
        <f t="shared" si="465"/>
        <v>1.5468162671921735</v>
      </c>
      <c r="BC471" s="32" t="str">
        <f t="shared" si="439"/>
        <v>1+2001.27938588086i</v>
      </c>
      <c r="BD471" s="32">
        <f t="shared" si="466"/>
        <v>2001.2796357210232</v>
      </c>
      <c r="BE471" s="32">
        <f t="shared" si="467"/>
        <v>1.5702966464784809</v>
      </c>
      <c r="BF471" s="59" t="str">
        <f t="shared" si="468"/>
        <v>-0.00036748469038337+0.0156478372230929i</v>
      </c>
      <c r="BG471" s="50">
        <f t="shared" si="469"/>
        <v>-36.108518997734748</v>
      </c>
      <c r="BH471" s="61">
        <f t="shared" si="470"/>
        <v>91.345326634471817</v>
      </c>
      <c r="BI471" s="59" t="str">
        <f t="shared" si="471"/>
        <v>-0.00374506702814745-0.00347401750888496i</v>
      </c>
      <c r="BJ471" s="64">
        <f t="shared" si="472"/>
        <v>-45.834539378967222</v>
      </c>
      <c r="BK471" s="61">
        <f t="shared" si="473"/>
        <v>-137.15023136649393</v>
      </c>
      <c r="BL471" s="59" t="str">
        <f t="shared" si="425"/>
        <v>0.0190733715027815-0.00702152021024856i</v>
      </c>
      <c r="BM471" s="64">
        <f t="shared" si="474"/>
        <v>-33.839498023865204</v>
      </c>
      <c r="BN471" s="61">
        <f t="shared" si="426"/>
        <v>-20.210280662972337</v>
      </c>
      <c r="BO471" s="50">
        <f t="shared" si="475"/>
        <v>-45.834539378967222</v>
      </c>
      <c r="BP471" s="61">
        <f t="shared" si="476"/>
        <v>-137.15023136649393</v>
      </c>
    </row>
    <row r="472" spans="14:68" x14ac:dyDescent="0.25">
      <c r="N472" s="11">
        <v>54</v>
      </c>
      <c r="O472" s="51">
        <f t="shared" si="424"/>
        <v>346736.85045253241</v>
      </c>
      <c r="P472" s="49" t="str">
        <f t="shared" si="427"/>
        <v>25.6231073841137</v>
      </c>
      <c r="Q472" s="18" t="str">
        <f t="shared" si="428"/>
        <v>1+1884.01971119747i</v>
      </c>
      <c r="R472" s="18">
        <f t="shared" si="440"/>
        <v>1884.0199765874559</v>
      </c>
      <c r="S472" s="18">
        <f t="shared" si="441"/>
        <v>1.5702655468353519</v>
      </c>
      <c r="T472" s="18" t="str">
        <f t="shared" si="429"/>
        <v>1+1.96075069579897i</v>
      </c>
      <c r="U472" s="18">
        <f t="shared" si="442"/>
        <v>2.2010323239507739</v>
      </c>
      <c r="V472" s="18">
        <f t="shared" si="443"/>
        <v>1.0991738196883327</v>
      </c>
      <c r="W472" s="32" t="str">
        <f t="shared" si="430"/>
        <v>1-43.9353396651251i</v>
      </c>
      <c r="X472" s="18">
        <f t="shared" si="444"/>
        <v>43.946718552013813</v>
      </c>
      <c r="Y472" s="18">
        <f t="shared" si="445"/>
        <v>-1.5480395351596115</v>
      </c>
      <c r="Z472" s="32" t="str">
        <f t="shared" si="431"/>
        <v>-2.00566108654355+3.47851697513966i</v>
      </c>
      <c r="AA472" s="18">
        <f t="shared" si="446"/>
        <v>4.0153152728534067</v>
      </c>
      <c r="AB472" s="18">
        <f t="shared" si="447"/>
        <v>2.0938210415259446</v>
      </c>
      <c r="AC472" s="32" t="str">
        <f>IMDIV(IMSUM(COMPLEX(0,2*PI()*O472*Constants!$B$71*Constants!$B$72),COMPLEX(1,0)),IMSUM(COMPLEX(0,2*PI()*O472*Constants!$B$71*Constants!$B$72),COMPLEX(2,0)))</f>
        <v>0.974981735376229+0.10901017726387i</v>
      </c>
      <c r="AD472" s="18">
        <f t="shared" si="448"/>
        <v>0.98105688064675611</v>
      </c>
      <c r="AE472" s="18">
        <f t="shared" si="449"/>
        <v>0.11134497050856702</v>
      </c>
      <c r="AF472" s="66" t="str">
        <f t="shared" si="450"/>
        <v>-0.209703264806154+0.243589287513418i</v>
      </c>
      <c r="AG472" s="64">
        <f t="shared" si="451"/>
        <v>-9.8585259282547746</v>
      </c>
      <c r="AH472" s="61">
        <f t="shared" si="452"/>
        <v>130.72478853193431</v>
      </c>
      <c r="AI472" s="50" t="str">
        <f t="shared" si="432"/>
        <v>108.866083054159</v>
      </c>
      <c r="AJ472" s="50" t="str">
        <f t="shared" si="433"/>
        <v>1+1782.50063254452i</v>
      </c>
      <c r="AK472" s="50">
        <f t="shared" si="453"/>
        <v>1782.5009130493072</v>
      </c>
      <c r="AL472" s="50">
        <f t="shared" si="454"/>
        <v>1.5702353172351626</v>
      </c>
      <c r="AM472" s="50" t="str">
        <f t="shared" si="434"/>
        <v>1+1.96075069579897i</v>
      </c>
      <c r="AN472" s="50">
        <f t="shared" si="455"/>
        <v>2.2010323239507739</v>
      </c>
      <c r="AO472" s="50">
        <f t="shared" si="456"/>
        <v>1.0991738196883327</v>
      </c>
      <c r="AP472" s="50" t="str">
        <f t="shared" si="435"/>
        <v>1-9.78356035049261i</v>
      </c>
      <c r="AQ472" s="50">
        <f t="shared" si="457"/>
        <v>9.8345337017944612</v>
      </c>
      <c r="AR472" s="50">
        <f t="shared" si="458"/>
        <v>-1.4689377822421301</v>
      </c>
      <c r="AS472" s="59" t="str">
        <f t="shared" si="459"/>
        <v>-0.477085774785005-1.23295025249045i</v>
      </c>
      <c r="AT472" s="50">
        <f t="shared" si="460"/>
        <v>2.4248606007832314</v>
      </c>
      <c r="AU472" s="61">
        <f t="shared" si="461"/>
        <v>-111.15377099032671</v>
      </c>
      <c r="AV472" s="32" t="str">
        <f t="shared" si="436"/>
        <v>-0.0000333333333333333</v>
      </c>
      <c r="AW472" s="32" t="str">
        <f t="shared" si="437"/>
        <v>0.104573370442612i</v>
      </c>
      <c r="AX472" s="32">
        <f t="shared" si="462"/>
        <v>0.104573370442612</v>
      </c>
      <c r="AY472" s="32">
        <f t="shared" si="463"/>
        <v>1.5707963267948966</v>
      </c>
      <c r="AZ472" s="32" t="str">
        <f t="shared" si="438"/>
        <v>1+42.6644827326629i</v>
      </c>
      <c r="BA472" s="32">
        <f t="shared" si="464"/>
        <v>42.67620047339841</v>
      </c>
      <c r="BB472" s="32">
        <f t="shared" si="465"/>
        <v>1.5473619178419455</v>
      </c>
      <c r="BC472" s="32" t="str">
        <f t="shared" si="439"/>
        <v>1+2047.89517116782i</v>
      </c>
      <c r="BD472" s="32">
        <f t="shared" si="466"/>
        <v>2047.8954153209274</v>
      </c>
      <c r="BE472" s="32">
        <f t="shared" si="467"/>
        <v>1.5703080205892872</v>
      </c>
      <c r="BF472" s="59" t="str">
        <f t="shared" si="468"/>
        <v>-0.000350954236171853+0.0152920364142168i</v>
      </c>
      <c r="BG472" s="50">
        <f t="shared" si="469"/>
        <v>-36.308406665961087</v>
      </c>
      <c r="BH472" s="61">
        <f t="shared" si="470"/>
        <v>91.314714843696208</v>
      </c>
      <c r="BI472" s="59" t="str">
        <f t="shared" si="471"/>
        <v>-0.00365138000564553-0.00329227865393477i</v>
      </c>
      <c r="BJ472" s="64">
        <f t="shared" si="472"/>
        <v>-46.166932594215865</v>
      </c>
      <c r="BK472" s="61">
        <f t="shared" si="473"/>
        <v>-137.96049662436954</v>
      </c>
      <c r="BL472" s="59" t="str">
        <f t="shared" si="425"/>
        <v>0.0190217554316799-0.00686290392661645i</v>
      </c>
      <c r="BM472" s="64">
        <f t="shared" si="474"/>
        <v>-33.883546065177853</v>
      </c>
      <c r="BN472" s="61">
        <f t="shared" si="426"/>
        <v>-19.83905614663049</v>
      </c>
      <c r="BO472" s="50">
        <f t="shared" si="475"/>
        <v>-46.166932594215865</v>
      </c>
      <c r="BP472" s="61">
        <f t="shared" si="476"/>
        <v>-137.96049662436954</v>
      </c>
    </row>
    <row r="473" spans="14:68" x14ac:dyDescent="0.25">
      <c r="N473" s="11">
        <v>55</v>
      </c>
      <c r="O473" s="51">
        <f t="shared" si="424"/>
        <v>354813.38923357555</v>
      </c>
      <c r="P473" s="49" t="str">
        <f t="shared" si="427"/>
        <v>25.6231073841137</v>
      </c>
      <c r="Q473" s="18" t="str">
        <f t="shared" si="428"/>
        <v>1+1927.90416778717i</v>
      </c>
      <c r="R473" s="18">
        <f t="shared" si="440"/>
        <v>1927.9044271361431</v>
      </c>
      <c r="S473" s="18">
        <f t="shared" si="441"/>
        <v>1.5702776288600997</v>
      </c>
      <c r="T473" s="18" t="str">
        <f t="shared" si="429"/>
        <v>1+2.00642244662069i</v>
      </c>
      <c r="U473" s="18">
        <f t="shared" si="442"/>
        <v>2.241814228321195</v>
      </c>
      <c r="V473" s="18">
        <f t="shared" si="443"/>
        <v>1.108429915047026</v>
      </c>
      <c r="W473" s="32" t="str">
        <f t="shared" si="430"/>
        <v>1-44.958725192797i</v>
      </c>
      <c r="X473" s="18">
        <f t="shared" si="444"/>
        <v>44.96984512939131</v>
      </c>
      <c r="Y473" s="18">
        <f t="shared" si="445"/>
        <v>-1.5485573702138704</v>
      </c>
      <c r="Z473" s="32" t="str">
        <f t="shared" si="431"/>
        <v>-2.1473135294854+3.55954204419004i</v>
      </c>
      <c r="AA473" s="18">
        <f t="shared" si="446"/>
        <v>4.15707769451903</v>
      </c>
      <c r="AB473" s="18">
        <f t="shared" si="447"/>
        <v>2.1136061834677631</v>
      </c>
      <c r="AC473" s="32" t="str">
        <f>IMDIV(IMSUM(COMPLEX(0,2*PI()*O473*Constants!$B$71*Constants!$B$72),COMPLEX(1,0)),IMSUM(COMPLEX(0,2*PI()*O473*Constants!$B$71*Constants!$B$72),COMPLEX(2,0)))</f>
        <v>0.976053815607859+0.106769248611798i</v>
      </c>
      <c r="AD473" s="18">
        <f t="shared" si="448"/>
        <v>0.98187612427015869</v>
      </c>
      <c r="AE473" s="18">
        <f t="shared" si="449"/>
        <v>0.10895548549123736</v>
      </c>
      <c r="AF473" s="66" t="str">
        <f t="shared" si="450"/>
        <v>-0.203230902783501+0.242594296097783i</v>
      </c>
      <c r="AG473" s="64">
        <f t="shared" si="451"/>
        <v>-9.9932826514866733</v>
      </c>
      <c r="AH473" s="61">
        <f t="shared" si="452"/>
        <v>129.95424918160279</v>
      </c>
      <c r="AI473" s="50" t="str">
        <f t="shared" si="432"/>
        <v>108.866083054159</v>
      </c>
      <c r="AJ473" s="50" t="str">
        <f t="shared" si="433"/>
        <v>1+1824.02040601881i</v>
      </c>
      <c r="AK473" s="50">
        <f t="shared" si="453"/>
        <v>1824.0206801385298</v>
      </c>
      <c r="AL473" s="50">
        <f t="shared" si="454"/>
        <v>1.5702480873692239</v>
      </c>
      <c r="AM473" s="50" t="str">
        <f t="shared" si="434"/>
        <v>1+2.00642244662069i</v>
      </c>
      <c r="AN473" s="50">
        <f t="shared" si="455"/>
        <v>2.241814228321195</v>
      </c>
      <c r="AO473" s="50">
        <f t="shared" si="456"/>
        <v>1.108429915047026</v>
      </c>
      <c r="AP473" s="50" t="str">
        <f t="shared" si="435"/>
        <v>1-10.0114487462149i</v>
      </c>
      <c r="AQ473" s="50">
        <f t="shared" si="457"/>
        <v>10.061267613878876</v>
      </c>
      <c r="AR473" s="50">
        <f t="shared" si="458"/>
        <v>-1.4712408998805369</v>
      </c>
      <c r="AS473" s="59" t="str">
        <f t="shared" si="459"/>
        <v>-0.477087323659401-1.2588441747028i</v>
      </c>
      <c r="AT473" s="50">
        <f t="shared" si="460"/>
        <v>2.5823032303605133</v>
      </c>
      <c r="AU473" s="61">
        <f t="shared" si="461"/>
        <v>-110.75612638669129</v>
      </c>
      <c r="AV473" s="32" t="str">
        <f t="shared" si="436"/>
        <v>-0.0000333333333333333</v>
      </c>
      <c r="AW473" s="32" t="str">
        <f t="shared" si="437"/>
        <v>0.107009197153104i</v>
      </c>
      <c r="AX473" s="32">
        <f t="shared" si="462"/>
        <v>0.107009197153104</v>
      </c>
      <c r="AY473" s="32">
        <f t="shared" si="463"/>
        <v>1.5707963267948966</v>
      </c>
      <c r="AZ473" s="32" t="str">
        <f t="shared" si="438"/>
        <v>1+43.6582661996169i</v>
      </c>
      <c r="BA473" s="32">
        <f t="shared" si="464"/>
        <v>43.669717282764857</v>
      </c>
      <c r="BB473" s="32">
        <f t="shared" si="465"/>
        <v>1.5478951614533532</v>
      </c>
      <c r="BC473" s="32" t="str">
        <f t="shared" si="439"/>
        <v>1+2095.59677758162i</v>
      </c>
      <c r="BD473" s="32">
        <f t="shared" si="466"/>
        <v>2095.5970161771247</v>
      </c>
      <c r="BE473" s="32">
        <f t="shared" si="467"/>
        <v>1.5703191357938442</v>
      </c>
      <c r="BF473" s="59" t="str">
        <f t="shared" si="468"/>
        <v>-0.000335166976312356+0.014944308778052i</v>
      </c>
      <c r="BG473" s="50">
        <f t="shared" si="469"/>
        <v>-36.508299387235226</v>
      </c>
      <c r="BH473" s="61">
        <f t="shared" si="470"/>
        <v>91.284799089619796</v>
      </c>
      <c r="BI473" s="59" t="str">
        <f t="shared" si="471"/>
        <v>-0.00355728778150027-0.00311845496113262i</v>
      </c>
      <c r="BJ473" s="64">
        <f t="shared" si="472"/>
        <v>-46.501582038721907</v>
      </c>
      <c r="BK473" s="61">
        <f t="shared" si="473"/>
        <v>-138.76095172877748</v>
      </c>
      <c r="BL473" s="59" t="str">
        <f t="shared" si="425"/>
        <v>0.0189724599659186-0.00670781728317696i</v>
      </c>
      <c r="BM473" s="64">
        <f t="shared" si="474"/>
        <v>-33.925996156874703</v>
      </c>
      <c r="BN473" s="61">
        <f t="shared" si="426"/>
        <v>-19.471327297071458</v>
      </c>
      <c r="BO473" s="50">
        <f t="shared" si="475"/>
        <v>-46.501582038721907</v>
      </c>
      <c r="BP473" s="61">
        <f t="shared" si="476"/>
        <v>-138.76095172877748</v>
      </c>
    </row>
    <row r="474" spans="14:68" x14ac:dyDescent="0.25">
      <c r="N474" s="11">
        <v>56</v>
      </c>
      <c r="O474" s="51">
        <f t="shared" si="424"/>
        <v>363078.05477010203</v>
      </c>
      <c r="P474" s="49" t="str">
        <f t="shared" si="427"/>
        <v>25.6231073841137</v>
      </c>
      <c r="Q474" s="18" t="str">
        <f t="shared" si="428"/>
        <v>1+1972.81082468548i</v>
      </c>
      <c r="R474" s="18">
        <f t="shared" si="440"/>
        <v>1972.8110781309508</v>
      </c>
      <c r="S474" s="18">
        <f t="shared" si="441"/>
        <v>1.5702894358645343</v>
      </c>
      <c r="T474" s="18" t="str">
        <f t="shared" si="429"/>
        <v>1+2.05315802918177i</v>
      </c>
      <c r="U474" s="18">
        <f t="shared" si="442"/>
        <v>2.2837377022752792</v>
      </c>
      <c r="V474" s="18">
        <f t="shared" si="443"/>
        <v>1.1175585922309883</v>
      </c>
      <c r="W474" s="32" t="str">
        <f t="shared" si="430"/>
        <v>1-46.0059484316655i</v>
      </c>
      <c r="X474" s="18">
        <f t="shared" si="444"/>
        <v>46.016815308070434</v>
      </c>
      <c r="Y474" s="18">
        <f t="shared" si="445"/>
        <v>-1.5490634294301537</v>
      </c>
      <c r="Z474" s="32" t="str">
        <f t="shared" si="431"/>
        <v>-2.29564184639103+3.64245442954839i</v>
      </c>
      <c r="AA474" s="18">
        <f t="shared" si="446"/>
        <v>4.3055134140121201</v>
      </c>
      <c r="AB474" s="18">
        <f t="shared" si="447"/>
        <v>2.1331590594973444</v>
      </c>
      <c r="AC474" s="32" t="str">
        <f>IMDIV(IMSUM(COMPLEX(0,2*PI()*O474*Constants!$B$71*Constants!$B$72),COMPLEX(1,0)),IMSUM(COMPLEX(0,2*PI()*O474*Constants!$B$71*Constants!$B$72),COMPLEX(2,0)))</f>
        <v>0.977082171795898+0.104564273308135i</v>
      </c>
      <c r="AD474" s="18">
        <f t="shared" si="448"/>
        <v>0.98266131382783495</v>
      </c>
      <c r="AE474" s="18">
        <f t="shared" si="449"/>
        <v>0.1066111112319805</v>
      </c>
      <c r="AF474" s="66" t="str">
        <f t="shared" si="450"/>
        <v>-0.196861173115396+0.241435930241657i</v>
      </c>
      <c r="AG474" s="64">
        <f t="shared" si="451"/>
        <v>-10.130240167569323</v>
      </c>
      <c r="AH474" s="61">
        <f t="shared" si="452"/>
        <v>129.19299228348973</v>
      </c>
      <c r="AI474" s="50" t="str">
        <f t="shared" si="432"/>
        <v>108.866083054159</v>
      </c>
      <c r="AJ474" s="50" t="str">
        <f t="shared" si="433"/>
        <v>1+1866.50729925615i</v>
      </c>
      <c r="AK474" s="50">
        <f t="shared" si="453"/>
        <v>1866.5075671361437</v>
      </c>
      <c r="AL474" s="50">
        <f t="shared" si="454"/>
        <v>1.5702605668197178</v>
      </c>
      <c r="AM474" s="50" t="str">
        <f t="shared" si="434"/>
        <v>1+2.05315802918177i</v>
      </c>
      <c r="AN474" s="50">
        <f t="shared" si="455"/>
        <v>2.2837377022752792</v>
      </c>
      <c r="AO474" s="50">
        <f t="shared" si="456"/>
        <v>1.1175585922309883</v>
      </c>
      <c r="AP474" s="50" t="str">
        <f t="shared" si="435"/>
        <v>1-10.2446453445797i</v>
      </c>
      <c r="AQ474" s="50">
        <f t="shared" si="457"/>
        <v>10.293335622441274</v>
      </c>
      <c r="AR474" s="50">
        <f t="shared" si="458"/>
        <v>-1.4734926165548594</v>
      </c>
      <c r="AS474" s="59" t="str">
        <f t="shared" si="459"/>
        <v>-0.477088802823006-1.2854055526829i</v>
      </c>
      <c r="AT474" s="50">
        <f t="shared" si="460"/>
        <v>2.7413039559001278</v>
      </c>
      <c r="AU474" s="61">
        <f t="shared" si="461"/>
        <v>-110.36282059345477</v>
      </c>
      <c r="AV474" s="32" t="str">
        <f t="shared" si="436"/>
        <v>-0.0000333333333333333</v>
      </c>
      <c r="AW474" s="32" t="str">
        <f t="shared" si="437"/>
        <v>0.109501761556361i</v>
      </c>
      <c r="AX474" s="32">
        <f t="shared" si="462"/>
        <v>0.109501761556361</v>
      </c>
      <c r="AY474" s="32">
        <f t="shared" si="463"/>
        <v>1.5707963267948966</v>
      </c>
      <c r="AZ474" s="32" t="str">
        <f t="shared" si="438"/>
        <v>1+44.6751978571959i</v>
      </c>
      <c r="BA474" s="32">
        <f t="shared" si="464"/>
        <v>44.686388347902998</v>
      </c>
      <c r="BB474" s="32">
        <f t="shared" si="465"/>
        <v>1.5484162795455054</v>
      </c>
      <c r="BC474" s="32" t="str">
        <f t="shared" si="439"/>
        <v>1+2144.4094971454i</v>
      </c>
      <c r="BD474" s="32">
        <f t="shared" si="466"/>
        <v>2144.4097303098092</v>
      </c>
      <c r="BE474" s="32">
        <f t="shared" si="467"/>
        <v>1.57032999798557</v>
      </c>
      <c r="BF474" s="59" t="str">
        <f t="shared" si="468"/>
        <v>-0.00032008953176696+0.014604472269638i</v>
      </c>
      <c r="BG474" s="50">
        <f t="shared" si="469"/>
        <v>-36.708196934371571</v>
      </c>
      <c r="BH474" s="61">
        <f t="shared" si="470"/>
        <v>91.255563580053689</v>
      </c>
      <c r="BI474" s="59" t="str">
        <f t="shared" si="471"/>
        <v>-0.00346303114738293-0.00295233465759498i</v>
      </c>
      <c r="BJ474" s="64">
        <f t="shared" si="472"/>
        <v>-46.838437101940897</v>
      </c>
      <c r="BK474" s="61">
        <f t="shared" si="473"/>
        <v>-139.55144413645652</v>
      </c>
      <c r="BL474" s="59" t="str">
        <f t="shared" si="425"/>
        <v>0.018925380880903-0.00655618532949446i</v>
      </c>
      <c r="BM474" s="64">
        <f t="shared" si="474"/>
        <v>-33.966892978471442</v>
      </c>
      <c r="BN474" s="61">
        <f t="shared" si="426"/>
        <v>-19.107257013401071</v>
      </c>
      <c r="BO474" s="50">
        <f t="shared" si="475"/>
        <v>-46.838437101940897</v>
      </c>
      <c r="BP474" s="61">
        <f t="shared" si="476"/>
        <v>-139.55144413645652</v>
      </c>
    </row>
    <row r="475" spans="14:68" x14ac:dyDescent="0.25">
      <c r="N475" s="11">
        <v>57</v>
      </c>
      <c r="O475" s="51">
        <f t="shared" si="424"/>
        <v>371535.2290971732</v>
      </c>
      <c r="P475" s="49" t="str">
        <f t="shared" si="427"/>
        <v>25.6231073841137</v>
      </c>
      <c r="Q475" s="18" t="str">
        <f t="shared" si="428"/>
        <v>1+2018.76349199626i</v>
      </c>
      <c r="R475" s="18">
        <f t="shared" si="440"/>
        <v>2018.7637396726084</v>
      </c>
      <c r="S475" s="18">
        <f t="shared" si="441"/>
        <v>1.570300974108872</v>
      </c>
      <c r="T475" s="18" t="str">
        <f t="shared" si="429"/>
        <v>1+2.10098222330667i</v>
      </c>
      <c r="U475" s="18">
        <f t="shared" si="442"/>
        <v>2.3268275188871734</v>
      </c>
      <c r="V475" s="18">
        <f t="shared" si="443"/>
        <v>1.1265586046843072</v>
      </c>
      <c r="W475" s="32" t="str">
        <f t="shared" si="430"/>
        <v>1-47.0775646333531i</v>
      </c>
      <c r="X475" s="18">
        <f t="shared" si="444"/>
        <v>47.088184205886925</v>
      </c>
      <c r="Y475" s="18">
        <f t="shared" si="445"/>
        <v>-1.5495579800903643</v>
      </c>
      <c r="Z475" s="32" t="str">
        <f t="shared" si="431"/>
        <v>-2.45096066150722+3.72729809245886i</v>
      </c>
      <c r="AA475" s="18">
        <f t="shared" si="446"/>
        <v>4.4609370354560447</v>
      </c>
      <c r="AB475" s="18">
        <f t="shared" si="447"/>
        <v>2.1524750052863402</v>
      </c>
      <c r="AC475" s="32" t="str">
        <f>IMDIV(IMSUM(COMPLEX(0,2*PI()*O475*Constants!$B$71*Constants!$B$72),COMPLEX(1,0)),IMSUM(COMPLEX(0,2*PI()*O475*Constants!$B$71*Constants!$B$72),COMPLEX(2,0)))</f>
        <v>0.978068400307413+0.102395335739561i</v>
      </c>
      <c r="AD475" s="18">
        <f t="shared" si="448"/>
        <v>0.98341374835880735</v>
      </c>
      <c r="AE475" s="18">
        <f t="shared" si="449"/>
        <v>0.10431139852505418</v>
      </c>
      <c r="AF475" s="66" t="str">
        <f t="shared" si="450"/>
        <v>-0.190599173439949+0.240121642384327i</v>
      </c>
      <c r="AG475" s="64">
        <f t="shared" si="451"/>
        <v>-10.269347629770602</v>
      </c>
      <c r="AH475" s="61">
        <f t="shared" si="452"/>
        <v>128.44117225112856</v>
      </c>
      <c r="AI475" s="50" t="str">
        <f t="shared" si="432"/>
        <v>108.866083054159</v>
      </c>
      <c r="AJ475" s="50" t="str">
        <f t="shared" si="433"/>
        <v>1+1909.9838393697i</v>
      </c>
      <c r="AK475" s="50">
        <f t="shared" si="453"/>
        <v>1909.984101152002</v>
      </c>
      <c r="AL475" s="50">
        <f t="shared" si="454"/>
        <v>1.570272762203399</v>
      </c>
      <c r="AM475" s="50" t="str">
        <f t="shared" si="434"/>
        <v>1+2.10098222330667i</v>
      </c>
      <c r="AN475" s="50">
        <f t="shared" si="455"/>
        <v>2.3268275188871734</v>
      </c>
      <c r="AO475" s="50">
        <f t="shared" si="456"/>
        <v>1.1265586046843072</v>
      </c>
      <c r="AP475" s="50" t="str">
        <f t="shared" si="435"/>
        <v>1-10.48327378951i</v>
      </c>
      <c r="AQ475" s="50">
        <f t="shared" si="457"/>
        <v>10.530860807447194</v>
      </c>
      <c r="AR475" s="50">
        <f t="shared" si="458"/>
        <v>-1.4756940347711927</v>
      </c>
      <c r="AS475" s="59" t="str">
        <f t="shared" si="459"/>
        <v>-0.477090215413314-1.31264846963001i</v>
      </c>
      <c r="AT475" s="50">
        <f t="shared" si="460"/>
        <v>2.9018181858020977</v>
      </c>
      <c r="AU475" s="61">
        <f t="shared" si="461"/>
        <v>-109.97398858106807</v>
      </c>
      <c r="AV475" s="32" t="str">
        <f t="shared" si="436"/>
        <v>-0.0000333333333333333</v>
      </c>
      <c r="AW475" s="32" t="str">
        <f t="shared" si="437"/>
        <v>0.112052385243022i</v>
      </c>
      <c r="AX475" s="32">
        <f t="shared" si="462"/>
        <v>0.112052385243022</v>
      </c>
      <c r="AY475" s="32">
        <f t="shared" si="463"/>
        <v>1.5707963267948966</v>
      </c>
      <c r="AZ475" s="32" t="str">
        <f t="shared" si="438"/>
        <v>1+45.7158168960247i</v>
      </c>
      <c r="BA475" s="32">
        <f t="shared" si="464"/>
        <v>45.726752721692989</v>
      </c>
      <c r="BB475" s="32">
        <f t="shared" si="465"/>
        <v>1.5489255472893277</v>
      </c>
      <c r="BC475" s="32" t="str">
        <f t="shared" si="439"/>
        <v>1+2194.35921100919i</v>
      </c>
      <c r="BD475" s="32">
        <f t="shared" si="466"/>
        <v>2194.3594388661295</v>
      </c>
      <c r="BE475" s="32">
        <f t="shared" si="467"/>
        <v>1.5703406129237318</v>
      </c>
      <c r="BF475" s="59" t="str">
        <f t="shared" si="468"/>
        <v>-0.000305690019630514+0.0142723488730853i</v>
      </c>
      <c r="BG475" s="50">
        <f t="shared" si="469"/>
        <v>-36.908099090387971</v>
      </c>
      <c r="BH475" s="61">
        <f t="shared" si="470"/>
        <v>91.226992878847</v>
      </c>
      <c r="BI475" s="59" t="str">
        <f t="shared" si="471"/>
        <v>-0.00336883558701692-0.00279370068783082i</v>
      </c>
      <c r="BJ475" s="64">
        <f t="shared" si="472"/>
        <v>-47.177446720158578</v>
      </c>
      <c r="BK475" s="61">
        <f t="shared" si="473"/>
        <v>-140.33183487002444</v>
      </c>
      <c r="BL475" s="59" t="str">
        <f t="shared" si="425"/>
        <v>0.0188804186235962-0.00640793446186507i</v>
      </c>
      <c r="BM475" s="64">
        <f t="shared" si="474"/>
        <v>-34.006280904585893</v>
      </c>
      <c r="BN475" s="61">
        <f t="shared" si="426"/>
        <v>-18.746995702221088</v>
      </c>
      <c r="BO475" s="50">
        <f t="shared" si="475"/>
        <v>-47.177446720158578</v>
      </c>
      <c r="BP475" s="61">
        <f t="shared" si="476"/>
        <v>-140.33183487002444</v>
      </c>
    </row>
    <row r="476" spans="14:68" x14ac:dyDescent="0.25">
      <c r="N476" s="11">
        <v>58</v>
      </c>
      <c r="O476" s="51">
        <f t="shared" si="424"/>
        <v>380189.39632056188</v>
      </c>
      <c r="P476" s="49" t="str">
        <f t="shared" si="427"/>
        <v>25.6231073841137</v>
      </c>
      <c r="Q476" s="18" t="str">
        <f t="shared" si="428"/>
        <v>1+2065.786534432i</v>
      </c>
      <c r="R476" s="18">
        <f t="shared" si="440"/>
        <v>2065.786776470547</v>
      </c>
      <c r="S476" s="18">
        <f t="shared" si="441"/>
        <v>1.5703122497108311</v>
      </c>
      <c r="T476" s="18" t="str">
        <f t="shared" si="429"/>
        <v>1+2.14992038601615i</v>
      </c>
      <c r="U476" s="18">
        <f t="shared" si="442"/>
        <v>2.3711089528336382</v>
      </c>
      <c r="V476" s="18">
        <f t="shared" si="443"/>
        <v>1.1354288913210882</v>
      </c>
      <c r="W476" s="32" t="str">
        <f t="shared" si="430"/>
        <v>1-48.1741419829544i</v>
      </c>
      <c r="X476" s="18">
        <f t="shared" si="444"/>
        <v>48.184519877174772</v>
      </c>
      <c r="Y476" s="18">
        <f t="shared" si="445"/>
        <v>-1.5500412834435944</v>
      </c>
      <c r="Z476" s="32" t="str">
        <f t="shared" si="431"/>
        <v>-2.61359942686483+3.81411801815457i</v>
      </c>
      <c r="AA476" s="18">
        <f t="shared" si="446"/>
        <v>4.6236779970624591</v>
      </c>
      <c r="AB476" s="18">
        <f t="shared" si="447"/>
        <v>2.1715497656891074</v>
      </c>
      <c r="AC476" s="32" t="str">
        <f>IMDIV(IMSUM(COMPLEX(0,2*PI()*O476*Constants!$B$71*Constants!$B$72),COMPLEX(1,0)),IMSUM(COMPLEX(0,2*PI()*O476*Constants!$B$71*Constants!$B$72),COMPLEX(2,0)))</f>
        <v>0.979014055088476+0.100262468411328i</v>
      </c>
      <c r="AD476" s="18">
        <f t="shared" si="448"/>
        <v>0.9841346872419009</v>
      </c>
      <c r="AE476" s="18">
        <f t="shared" si="449"/>
        <v>0.10205587413700984</v>
      </c>
      <c r="AF476" s="66" t="str">
        <f t="shared" si="450"/>
        <v>-0.184449497299731+0.238658976690799i</v>
      </c>
      <c r="AG476" s="64">
        <f t="shared" si="451"/>
        <v>-10.410553839997352</v>
      </c>
      <c r="AH476" s="61">
        <f t="shared" si="452"/>
        <v>127.69892965739366</v>
      </c>
      <c r="AI476" s="50" t="str">
        <f t="shared" si="432"/>
        <v>108.866083054159</v>
      </c>
      <c r="AJ476" s="50" t="str">
        <f t="shared" si="433"/>
        <v>1+1954.4730781965i</v>
      </c>
      <c r="AK476" s="50">
        <f t="shared" si="453"/>
        <v>1954.4733340199095</v>
      </c>
      <c r="AL476" s="50">
        <f t="shared" si="454"/>
        <v>1.5702846799864065</v>
      </c>
      <c r="AM476" s="50" t="str">
        <f t="shared" si="434"/>
        <v>1+2.14992038601615i</v>
      </c>
      <c r="AN476" s="50">
        <f t="shared" si="455"/>
        <v>2.3711089528336382</v>
      </c>
      <c r="AO476" s="50">
        <f t="shared" si="456"/>
        <v>1.1354288913210882</v>
      </c>
      <c r="AP476" s="50" t="str">
        <f t="shared" si="435"/>
        <v>1-10.7274606049661i</v>
      </c>
      <c r="AQ476" s="50">
        <f t="shared" si="457"/>
        <v>10.773969140066237</v>
      </c>
      <c r="AR476" s="50">
        <f t="shared" si="458"/>
        <v>-1.4778462363548062</v>
      </c>
      <c r="AS476" s="59" t="str">
        <f t="shared" si="459"/>
        <v>-0.477091564426625-1.3405873701041i</v>
      </c>
      <c r="AT476" s="50">
        <f t="shared" si="460"/>
        <v>3.0638017124219736</v>
      </c>
      <c r="AU476" s="61">
        <f t="shared" si="461"/>
        <v>-109.58975349977909</v>
      </c>
      <c r="AV476" s="32" t="str">
        <f t="shared" si="436"/>
        <v>-0.0000333333333333333</v>
      </c>
      <c r="AW476" s="32" t="str">
        <f t="shared" si="437"/>
        <v>0.114662420587528i</v>
      </c>
      <c r="AX476" s="32">
        <f t="shared" si="462"/>
        <v>0.114662420587528</v>
      </c>
      <c r="AY476" s="32">
        <f t="shared" si="463"/>
        <v>1.5707963267948966</v>
      </c>
      <c r="AZ476" s="32" t="str">
        <f t="shared" si="438"/>
        <v>1+46.7806750660921i</v>
      </c>
      <c r="BA476" s="32">
        <f t="shared" si="464"/>
        <v>46.79136201949342</v>
      </c>
      <c r="BB476" s="32">
        <f t="shared" si="465"/>
        <v>1.5494232336480698</v>
      </c>
      <c r="BC476" s="32" t="str">
        <f t="shared" si="439"/>
        <v>1+2245.47240317243i</v>
      </c>
      <c r="BD476" s="32">
        <f t="shared" si="466"/>
        <v>2245.4726258427131</v>
      </c>
      <c r="BE476" s="32">
        <f t="shared" si="467"/>
        <v>1.570350986236501</v>
      </c>
      <c r="BF476" s="59" t="str">
        <f t="shared" si="468"/>
        <v>-0.000291937986335616+0.013947764517498i</v>
      </c>
      <c r="BG476" s="50">
        <f t="shared" si="469"/>
        <v>-37.10800564804957</v>
      </c>
      <c r="BH476" s="61">
        <f t="shared" si="470"/>
        <v>91.199071898011098</v>
      </c>
      <c r="BI476" s="59" t="str">
        <f t="shared" si="471"/>
        <v>-0.00327491139204801-0.00264233177478356i</v>
      </c>
      <c r="BJ476" s="64">
        <f t="shared" si="472"/>
        <v>-47.518559488046918</v>
      </c>
      <c r="BK476" s="61">
        <f t="shared" si="473"/>
        <v>-141.10199844459524</v>
      </c>
      <c r="BL476" s="59" t="str">
        <f t="shared" si="425"/>
        <v>0.0188374781039603-0.00626299241657214i</v>
      </c>
      <c r="BM476" s="64">
        <f t="shared" si="474"/>
        <v>-34.044203935627614</v>
      </c>
      <c r="BN476" s="61">
        <f t="shared" si="426"/>
        <v>-18.390681601768033</v>
      </c>
      <c r="BO476" s="50">
        <f t="shared" si="475"/>
        <v>-47.518559488046918</v>
      </c>
      <c r="BP476" s="61">
        <f t="shared" si="476"/>
        <v>-141.10199844459524</v>
      </c>
    </row>
    <row r="477" spans="14:68" x14ac:dyDescent="0.25">
      <c r="N477" s="11">
        <v>59</v>
      </c>
      <c r="O477" s="51">
        <f t="shared" si="424"/>
        <v>389045.14499428123</v>
      </c>
      <c r="P477" s="49" t="str">
        <f t="shared" si="427"/>
        <v>25.6231073841137</v>
      </c>
      <c r="Q477" s="18" t="str">
        <f t="shared" si="428"/>
        <v>1+2113.90488423221i</v>
      </c>
      <c r="R477" s="18">
        <f t="shared" si="440"/>
        <v>2113.9051207612874</v>
      </c>
      <c r="S477" s="18">
        <f t="shared" si="441"/>
        <v>1.5703232686488728</v>
      </c>
      <c r="T477" s="18" t="str">
        <f t="shared" si="429"/>
        <v>1+2.19999846497186i</v>
      </c>
      <c r="U477" s="18">
        <f t="shared" si="442"/>
        <v>2.4166077972808373</v>
      </c>
      <c r="V477" s="18">
        <f t="shared" si="443"/>
        <v>1.1441685708205842</v>
      </c>
      <c r="W477" s="32" t="str">
        <f t="shared" si="430"/>
        <v>1-49.2962619002954i</v>
      </c>
      <c r="X477" s="18">
        <f t="shared" si="444"/>
        <v>49.306403613957848</v>
      </c>
      <c r="Y477" s="18">
        <f t="shared" si="445"/>
        <v>-1.5505135948400335</v>
      </c>
      <c r="Z477" s="32" t="str">
        <f t="shared" si="431"/>
        <v>-2.78390312109053+3.90296023970933i</v>
      </c>
      <c r="AA477" s="18">
        <f t="shared" si="446"/>
        <v>4.7940812696876032</v>
      </c>
      <c r="AB477" s="18">
        <f t="shared" si="447"/>
        <v>2.1903794890934662</v>
      </c>
      <c r="AC477" s="32" t="str">
        <f>IMDIV(IMSUM(COMPLEX(0,2*PI()*O477*Constants!$B$71*Constants!$B$72),COMPLEX(1,0)),IMSUM(COMPLEX(0,2*PI()*O477*Constants!$B$71*Constants!$B$72),COMPLEX(2,0)))</f>
        <v>0.979920647373647+0.0981656554569021i</v>
      </c>
      <c r="AD477" s="18">
        <f t="shared" si="448"/>
        <v>0.98482535053707398</v>
      </c>
      <c r="AE477" s="18">
        <f t="shared" si="449"/>
        <v>9.9844043206486738E-2</v>
      </c>
      <c r="AF477" s="66" t="str">
        <f t="shared" si="450"/>
        <v>-0.178416241831358+0.237055534225311i</v>
      </c>
      <c r="AG477" s="64">
        <f t="shared" si="451"/>
        <v>-10.553807358039833</v>
      </c>
      <c r="AH477" s="61">
        <f t="shared" si="452"/>
        <v>126.96639136095135</v>
      </c>
      <c r="AI477" s="50" t="str">
        <f t="shared" si="432"/>
        <v>108.866083054159</v>
      </c>
      <c r="AJ477" s="50" t="str">
        <f t="shared" si="433"/>
        <v>1+1999.99860451987i</v>
      </c>
      <c r="AK477" s="50">
        <f t="shared" si="453"/>
        <v>1999.998854520029</v>
      </c>
      <c r="AL477" s="50">
        <f t="shared" si="454"/>
        <v>1.570296326487693</v>
      </c>
      <c r="AM477" s="50" t="str">
        <f t="shared" si="434"/>
        <v>1+2.19999846497186i</v>
      </c>
      <c r="AN477" s="50">
        <f t="shared" si="455"/>
        <v>2.4166077972808373</v>
      </c>
      <c r="AO477" s="50">
        <f t="shared" si="456"/>
        <v>1.1441685708205842</v>
      </c>
      <c r="AP477" s="50" t="str">
        <f t="shared" si="435"/>
        <v>1-10.9773352620297i</v>
      </c>
      <c r="AQ477" s="50">
        <f t="shared" si="457"/>
        <v>11.022789549610417</v>
      </c>
      <c r="AR477" s="50">
        <f t="shared" si="458"/>
        <v>-1.4799502826360045</v>
      </c>
      <c r="AS477" s="59" t="str">
        <f t="shared" si="459"/>
        <v>-0.477092852724368-1.36923706768445i</v>
      </c>
      <c r="AT477" s="50">
        <f t="shared" si="460"/>
        <v>3.2272107762916571</v>
      </c>
      <c r="AU477" s="61">
        <f t="shared" si="461"/>
        <v>-109.21022701734363</v>
      </c>
      <c r="AV477" s="32" t="str">
        <f t="shared" si="436"/>
        <v>-0.0000333333333333333</v>
      </c>
      <c r="AW477" s="32" t="str">
        <f t="shared" si="437"/>
        <v>0.117333251465166i</v>
      </c>
      <c r="AX477" s="32">
        <f t="shared" si="462"/>
        <v>0.117333251465166</v>
      </c>
      <c r="AY477" s="32">
        <f t="shared" si="463"/>
        <v>1.5707963267948966</v>
      </c>
      <c r="AZ477" s="32" t="str">
        <f t="shared" si="438"/>
        <v>1+47.8703369692951i</v>
      </c>
      <c r="BA477" s="32">
        <f t="shared" si="464"/>
        <v>47.880780711616019</v>
      </c>
      <c r="BB477" s="32">
        <f t="shared" si="465"/>
        <v>1.5499096015148788</v>
      </c>
      <c r="BC477" s="32" t="str">
        <f t="shared" si="439"/>
        <v>1+2297.77617452617i</v>
      </c>
      <c r="BD477" s="32">
        <f t="shared" si="466"/>
        <v>2297.7763921278593</v>
      </c>
      <c r="BE477" s="32">
        <f t="shared" si="467"/>
        <v>1.5703611234239363</v>
      </c>
      <c r="BF477" s="59" t="str">
        <f t="shared" si="468"/>
        <v>-0.000278804343816401+0.013630548994307i</v>
      </c>
      <c r="BG477" s="50">
        <f t="shared" si="469"/>
        <v>-37.307916409430668</v>
      </c>
      <c r="BH477" s="61">
        <f t="shared" si="470"/>
        <v>91.171785890008323</v>
      </c>
      <c r="BI477" s="59" t="str">
        <f t="shared" si="471"/>
        <v>-0.00318145385039974-0.00249800343833019i</v>
      </c>
      <c r="BJ477" s="64">
        <f t="shared" si="472"/>
        <v>-47.861723767470501</v>
      </c>
      <c r="BK477" s="61">
        <f t="shared" si="473"/>
        <v>-141.86182274904024</v>
      </c>
      <c r="BL477" s="59" t="str">
        <f t="shared" si="425"/>
        <v>0.0187964684956375-0.00612128826170834i</v>
      </c>
      <c r="BM477" s="64">
        <f t="shared" si="474"/>
        <v>-34.080705633138997</v>
      </c>
      <c r="BN477" s="61">
        <f t="shared" si="426"/>
        <v>-18.038441127335268</v>
      </c>
      <c r="BO477" s="50">
        <f t="shared" si="475"/>
        <v>-47.861723767470501</v>
      </c>
      <c r="BP477" s="61">
        <f t="shared" si="476"/>
        <v>-141.86182274904024</v>
      </c>
    </row>
    <row r="478" spans="14:68" x14ac:dyDescent="0.25">
      <c r="N478" s="11">
        <v>60</v>
      </c>
      <c r="O478" s="51">
        <f t="shared" si="424"/>
        <v>398107.17055349716</v>
      </c>
      <c r="P478" s="49" t="str">
        <f t="shared" si="427"/>
        <v>25.6231073841137</v>
      </c>
      <c r="Q478" s="18" t="str">
        <f t="shared" si="428"/>
        <v>1+2163.14405438288i</v>
      </c>
      <c r="R478" s="18">
        <f t="shared" si="440"/>
        <v>2163.1442855278983</v>
      </c>
      <c r="S478" s="18">
        <f t="shared" si="441"/>
        <v>1.5703340367653738</v>
      </c>
      <c r="T478" s="18" t="str">
        <f t="shared" si="429"/>
        <v>1+2.25124301223412i</v>
      </c>
      <c r="U478" s="18">
        <f t="shared" si="442"/>
        <v>2.4633503811136888</v>
      </c>
      <c r="V478" s="18">
        <f t="shared" si="443"/>
        <v>1.1527769356156026</v>
      </c>
      <c r="W478" s="32" t="str">
        <f t="shared" si="430"/>
        <v>1-50.4445193482089i</v>
      </c>
      <c r="X478" s="18">
        <f t="shared" si="444"/>
        <v>50.454430254159263</v>
      </c>
      <c r="Y478" s="18">
        <f t="shared" si="445"/>
        <v>-1.5509751638620539</v>
      </c>
      <c r="Z478" s="32" t="str">
        <f t="shared" si="431"/>
        <v>-2.96223298115277+3.99387186244496i</v>
      </c>
      <c r="AA478" s="18">
        <f t="shared" si="446"/>
        <v>4.9725080883050161</v>
      </c>
      <c r="AB478" s="18">
        <f t="shared" si="447"/>
        <v>2.2089607205869632</v>
      </c>
      <c r="AC478" s="32" t="str">
        <f>IMDIV(IMSUM(COMPLEX(0,2*PI()*O478*Constants!$B$71*Constants!$B$72),COMPLEX(1,0)),IMSUM(COMPLEX(0,2*PI()*O478*Constants!$B$71*Constants!$B$72),COMPLEX(2,0)))</f>
        <v>0.980789645556828+0.0961048360060707i</v>
      </c>
      <c r="AD478" s="18">
        <f t="shared" si="448"/>
        <v>0.98548691941356692</v>
      </c>
      <c r="AE478" s="18">
        <f t="shared" si="449"/>
        <v>9.767539150801996E-2</v>
      </c>
      <c r="AF478" s="66" t="str">
        <f t="shared" si="450"/>
        <v>-0.172503017837541+0.235318939819661i</v>
      </c>
      <c r="AG478" s="64">
        <f t="shared" si="451"/>
        <v>-10.699056607567826</v>
      </c>
      <c r="AH478" s="61">
        <f t="shared" si="452"/>
        <v>126.24367067538147</v>
      </c>
      <c r="AI478" s="50" t="str">
        <f t="shared" si="432"/>
        <v>108.866083054159</v>
      </c>
      <c r="AJ478" s="50" t="str">
        <f t="shared" si="433"/>
        <v>1+2046.58455657647i</v>
      </c>
      <c r="AK478" s="50">
        <f t="shared" si="453"/>
        <v>2046.5848008859311</v>
      </c>
      <c r="AL478" s="50">
        <f t="shared" si="454"/>
        <v>1.5703077078823753</v>
      </c>
      <c r="AM478" s="50" t="str">
        <f t="shared" si="434"/>
        <v>1+2.25124301223412i</v>
      </c>
      <c r="AN478" s="50">
        <f t="shared" si="455"/>
        <v>2.4633503811136888</v>
      </c>
      <c r="AO478" s="50">
        <f t="shared" si="456"/>
        <v>1.1527769356156026</v>
      </c>
      <c r="AP478" s="50" t="str">
        <f t="shared" si="435"/>
        <v>1-11.2330302475514i</v>
      </c>
      <c r="AQ478" s="50">
        <f t="shared" si="457"/>
        <v>11.277453992032271</v>
      </c>
      <c r="AR478" s="50">
        <f t="shared" si="458"/>
        <v>-1.4820072146497321</v>
      </c>
      <c r="AS478" s="59" t="str">
        <f t="shared" si="459"/>
        <v>-0.477094083039187-1.39861275282407i</v>
      </c>
      <c r="AT478" s="50">
        <f t="shared" si="460"/>
        <v>3.3920021256571915</v>
      </c>
      <c r="AU478" s="61">
        <f t="shared" si="461"/>
        <v>-108.83550967509235</v>
      </c>
      <c r="AV478" s="32" t="str">
        <f t="shared" si="436"/>
        <v>-0.0000333333333333333</v>
      </c>
      <c r="AW478" s="32" t="str">
        <f t="shared" si="437"/>
        <v>0.120066293985819i</v>
      </c>
      <c r="AX478" s="32">
        <f t="shared" si="462"/>
        <v>0.120066293985819</v>
      </c>
      <c r="AY478" s="32">
        <f t="shared" si="463"/>
        <v>1.5707963267948966</v>
      </c>
      <c r="AZ478" s="32" t="str">
        <f t="shared" si="438"/>
        <v>1+48.9853803587979i</v>
      </c>
      <c r="BA478" s="32">
        <f t="shared" si="464"/>
        <v>48.995586422616711</v>
      </c>
      <c r="BB478" s="32">
        <f t="shared" si="465"/>
        <v>1.5503849078474912</v>
      </c>
      <c r="BC478" s="32" t="str">
        <f t="shared" si="439"/>
        <v>1+2351.2982572223i</v>
      </c>
      <c r="BD478" s="32">
        <f t="shared" si="466"/>
        <v>2351.2984698707701</v>
      </c>
      <c r="BE478" s="32">
        <f t="shared" si="467"/>
        <v>1.5703710298609004</v>
      </c>
      <c r="BF478" s="59" t="str">
        <f t="shared" si="468"/>
        <v>-0.000266261308501961+0.0133205358760083i</v>
      </c>
      <c r="BG478" s="50">
        <f t="shared" si="469"/>
        <v>-37.507831185497913</v>
      </c>
      <c r="BH478" s="61">
        <f t="shared" si="470"/>
        <v>91.145120440201836</v>
      </c>
      <c r="BI478" s="59" t="str">
        <f t="shared" si="471"/>
        <v>-0.00308864350092207-0.00236048896665634i</v>
      </c>
      <c r="BJ478" s="64">
        <f t="shared" si="472"/>
        <v>-48.206887793065746</v>
      </c>
      <c r="BK478" s="61">
        <f t="shared" si="473"/>
        <v>-142.6112088844167</v>
      </c>
      <c r="BL478" s="59" t="str">
        <f t="shared" si="425"/>
        <v>0.0187573030454643-0.00598275238770031i</v>
      </c>
      <c r="BM478" s="64">
        <f t="shared" si="474"/>
        <v>-34.115829059840728</v>
      </c>
      <c r="BN478" s="61">
        <f t="shared" si="426"/>
        <v>-17.690389234890532</v>
      </c>
      <c r="BO478" s="50">
        <f t="shared" si="475"/>
        <v>-48.206887793065746</v>
      </c>
      <c r="BP478" s="61">
        <f t="shared" si="476"/>
        <v>-142.6112088844167</v>
      </c>
    </row>
    <row r="479" spans="14:68" x14ac:dyDescent="0.25">
      <c r="N479" s="11">
        <v>61</v>
      </c>
      <c r="O479" s="51">
        <f t="shared" si="424"/>
        <v>407380.27780411334</v>
      </c>
      <c r="P479" s="49" t="str">
        <f t="shared" si="427"/>
        <v>25.6231073841137</v>
      </c>
      <c r="Q479" s="18" t="str">
        <f t="shared" si="428"/>
        <v>1+2213.53015214378i</v>
      </c>
      <c r="R479" s="18">
        <f t="shared" si="440"/>
        <v>2213.5303780272966</v>
      </c>
      <c r="S479" s="18">
        <f t="shared" si="441"/>
        <v>1.5703445597697216</v>
      </c>
      <c r="T479" s="18" t="str">
        <f t="shared" si="429"/>
        <v>1+2.30368119834019i</v>
      </c>
      <c r="U479" s="18">
        <f t="shared" si="442"/>
        <v>2.5113635864976014</v>
      </c>
      <c r="V479" s="18">
        <f t="shared" si="443"/>
        <v>1.1612534456247947</v>
      </c>
      <c r="W479" s="32" t="str">
        <f t="shared" si="430"/>
        <v>1-51.6195231479931i</v>
      </c>
      <c r="X479" s="18">
        <f t="shared" si="444"/>
        <v>51.629208496995147</v>
      </c>
      <c r="Y479" s="18">
        <f t="shared" si="445"/>
        <v>-1.551426234452526</v>
      </c>
      <c r="Z479" s="32" t="str">
        <f t="shared" si="431"/>
        <v>-3.14896726859389+4.08690108890722i</v>
      </c>
      <c r="AA479" s="18">
        <f t="shared" si="446"/>
        <v>5.1593367179499623</v>
      </c>
      <c r="AB479" s="18">
        <f t="shared" si="447"/>
        <v>2.2272903940416517</v>
      </c>
      <c r="AC479" s="32" t="str">
        <f>IMDIV(IMSUM(COMPLEX(0,2*PI()*O479*Constants!$B$71*Constants!$B$72),COMPLEX(1,0)),IMSUM(COMPLEX(0,2*PI()*O479*Constants!$B$71*Constants!$B$72),COMPLEX(2,0)))</f>
        <v>0.98162247520823+0.0940799074107379i</v>
      </c>
      <c r="AD479" s="18">
        <f t="shared" si="448"/>
        <v>0.98612053665479726</v>
      </c>
      <c r="AE479" s="18">
        <f t="shared" si="449"/>
        <v>9.55493875844413E-2</v>
      </c>
      <c r="AF479" s="66" t="str">
        <f t="shared" si="450"/>
        <v>-0.166712962007219+0.233456810782378i</v>
      </c>
      <c r="AG479" s="64">
        <f t="shared" si="451"/>
        <v>-10.846249978445739</v>
      </c>
      <c r="AH479" s="61">
        <f t="shared" si="452"/>
        <v>125.53086757821896</v>
      </c>
      <c r="AI479" s="50" t="str">
        <f t="shared" si="432"/>
        <v>108.866083054159</v>
      </c>
      <c r="AJ479" s="50" t="str">
        <f t="shared" si="433"/>
        <v>1+2094.25563485472i</v>
      </c>
      <c r="AK479" s="50">
        <f t="shared" si="453"/>
        <v>2094.2558736030196</v>
      </c>
      <c r="AL479" s="50">
        <f t="shared" si="454"/>
        <v>1.5703188302050075</v>
      </c>
      <c r="AM479" s="50" t="str">
        <f t="shared" si="434"/>
        <v>1+2.30368119834019i</v>
      </c>
      <c r="AN479" s="50">
        <f t="shared" si="455"/>
        <v>2.5113635864976014</v>
      </c>
      <c r="AO479" s="50">
        <f t="shared" si="456"/>
        <v>1.1612534456247947</v>
      </c>
      <c r="AP479" s="50" t="str">
        <f t="shared" si="435"/>
        <v>1-11.4946811343971i</v>
      </c>
      <c r="AQ479" s="50">
        <f t="shared" si="457"/>
        <v>11.538097520018827</v>
      </c>
      <c r="AR479" s="50">
        <f t="shared" si="458"/>
        <v>-1.4840180533475162</v>
      </c>
      <c r="AS479" s="59" t="str">
        <f t="shared" si="459"/>
        <v>-0.477095257980742-1.42873000090395i</v>
      </c>
      <c r="AT479" s="50">
        <f t="shared" si="460"/>
        <v>3.5581330713189057</v>
      </c>
      <c r="AU479" s="61">
        <f t="shared" si="461"/>
        <v>-108.46569125937492</v>
      </c>
      <c r="AV479" s="32" t="str">
        <f t="shared" si="436"/>
        <v>-0.0000333333333333333</v>
      </c>
      <c r="AW479" s="32" t="str">
        <f t="shared" si="437"/>
        <v>0.12286299724481i</v>
      </c>
      <c r="AX479" s="32">
        <f t="shared" si="462"/>
        <v>0.12286299724480999</v>
      </c>
      <c r="AY479" s="32">
        <f t="shared" si="463"/>
        <v>1.5707963267948966</v>
      </c>
      <c r="AZ479" s="32" t="str">
        <f t="shared" si="438"/>
        <v>1+50.1263964453652i</v>
      </c>
      <c r="BA479" s="32">
        <f t="shared" si="464"/>
        <v>50.136370237562289</v>
      </c>
      <c r="BB479" s="32">
        <f t="shared" si="465"/>
        <v>1.5508494038000886</v>
      </c>
      <c r="BC479" s="32" t="str">
        <f t="shared" si="439"/>
        <v>1+2406.06702937753i</v>
      </c>
      <c r="BD479" s="32">
        <f t="shared" si="466"/>
        <v>2406.0672371855308</v>
      </c>
      <c r="BE479" s="32">
        <f t="shared" si="467"/>
        <v>1.5703807107999093</v>
      </c>
      <c r="BF479" s="59" t="str">
        <f t="shared" si="468"/>
        <v>-0.000254282343015906+0.0130175624363099i</v>
      </c>
      <c r="BG479" s="50">
        <f t="shared" si="469"/>
        <v>-37.707749795711493</v>
      </c>
      <c r="BH479" s="61">
        <f t="shared" si="470"/>
        <v>91.119061459464035</v>
      </c>
      <c r="BI479" s="59" t="str">
        <f t="shared" si="471"/>
        <v>-0.00299664644795107-0.0022295603367099i</v>
      </c>
      <c r="BJ479" s="64">
        <f t="shared" si="472"/>
        <v>-48.553999774157234</v>
      </c>
      <c r="BK479" s="61">
        <f t="shared" si="473"/>
        <v>-143.35007096231692</v>
      </c>
      <c r="BL479" s="59" t="str">
        <f t="shared" si="425"/>
        <v>0.0187198988914374-0.00584731649666471i</v>
      </c>
      <c r="BM479" s="64">
        <f t="shared" si="474"/>
        <v>-34.149616724392587</v>
      </c>
      <c r="BN479" s="61">
        <f t="shared" si="426"/>
        <v>-17.346629799910879</v>
      </c>
      <c r="BO479" s="50">
        <f t="shared" si="475"/>
        <v>-48.553999774157234</v>
      </c>
      <c r="BP479" s="61">
        <f t="shared" si="476"/>
        <v>-143.35007096231692</v>
      </c>
    </row>
    <row r="480" spans="14:68" x14ac:dyDescent="0.25">
      <c r="N480" s="11">
        <v>62</v>
      </c>
      <c r="O480" s="51">
        <f t="shared" si="424"/>
        <v>416869.38347033598</v>
      </c>
      <c r="P480" s="49" t="str">
        <f t="shared" si="427"/>
        <v>25.6231073841137</v>
      </c>
      <c r="Q480" s="18" t="str">
        <f t="shared" si="428"/>
        <v>1+2265.08989289088i</v>
      </c>
      <c r="R480" s="18">
        <f t="shared" si="440"/>
        <v>2265.0901136326606</v>
      </c>
      <c r="S480" s="18">
        <f t="shared" si="441"/>
        <v>1.5703548432413434</v>
      </c>
      <c r="T480" s="18" t="str">
        <f t="shared" si="429"/>
        <v>1+2.35734082671045i</v>
      </c>
      <c r="U480" s="18">
        <f t="shared" si="442"/>
        <v>2.5606748667638204</v>
      </c>
      <c r="V480" s="18">
        <f t="shared" si="443"/>
        <v>1.169597721777313</v>
      </c>
      <c r="W480" s="32" t="str">
        <f t="shared" si="430"/>
        <v>1-52.8218963022156i</v>
      </c>
      <c r="X480" s="18">
        <f t="shared" si="444"/>
        <v>52.831361225715334</v>
      </c>
      <c r="Y480" s="18">
        <f t="shared" si="445"/>
        <v>-1.5518670450404113</v>
      </c>
      <c r="Z480" s="32" t="str">
        <f t="shared" si="431"/>
        <v>-3.34450207187345+4.18209724442335i</v>
      </c>
      <c r="AA480" s="18">
        <f t="shared" si="446"/>
        <v>5.3549632557636828</v>
      </c>
      <c r="AB480" s="18">
        <f t="shared" si="447"/>
        <v>2.2453658232214662</v>
      </c>
      <c r="AC480" s="32" t="str">
        <f>IMDIV(IMSUM(COMPLEX(0,2*PI()*O480*Constants!$B$71*Constants!$B$72),COMPLEX(1,0)),IMSUM(COMPLEX(0,2*PI()*O480*Constants!$B$71*Constants!$B$72),COMPLEX(2,0)))</f>
        <v>0.982420519223063+0.0920907283285447i</v>
      </c>
      <c r="AD480" s="18">
        <f t="shared" si="448"/>
        <v>0.98672730723062207</v>
      </c>
      <c r="AE480" s="18">
        <f t="shared" si="449"/>
        <v>9.3465484752607034E-2</v>
      </c>
      <c r="AF480" s="66" t="str">
        <f t="shared" si="450"/>
        <v>-0.161048751044649+0.231476727565319i</v>
      </c>
      <c r="AG480" s="64">
        <f t="shared" si="451"/>
        <v>-10.995335924989384</v>
      </c>
      <c r="AH480" s="61">
        <f t="shared" si="452"/>
        <v>124.82806895700635</v>
      </c>
      <c r="AI480" s="50" t="str">
        <f t="shared" si="432"/>
        <v>108.866083054159</v>
      </c>
      <c r="AJ480" s="50" t="str">
        <f t="shared" si="433"/>
        <v>1+2143.03711519132i</v>
      </c>
      <c r="AK480" s="50">
        <f t="shared" si="453"/>
        <v>2143.0373485050454</v>
      </c>
      <c r="AL480" s="50">
        <f t="shared" si="454"/>
        <v>1.5703296993527815</v>
      </c>
      <c r="AM480" s="50" t="str">
        <f t="shared" si="434"/>
        <v>1+2.35734082671045i</v>
      </c>
      <c r="AN480" s="50">
        <f t="shared" si="455"/>
        <v>2.5606748667638204</v>
      </c>
      <c r="AO480" s="50">
        <f t="shared" si="456"/>
        <v>1.169597721777313</v>
      </c>
      <c r="AP480" s="50" t="str">
        <f t="shared" si="435"/>
        <v>1-11.7624266533303i</v>
      </c>
      <c r="AQ480" s="50">
        <f t="shared" si="457"/>
        <v>11.804858354718831</v>
      </c>
      <c r="AR480" s="50">
        <f t="shared" si="458"/>
        <v>-1.4859837998204335</v>
      </c>
      <c r="AS480" s="59" t="str">
        <f t="shared" si="459"/>
        <v>-0.477096380041239-1.45960478049126i</v>
      </c>
      <c r="AT480" s="50">
        <f t="shared" si="460"/>
        <v>3.7255615367946247</v>
      </c>
      <c r="AU480" s="61">
        <f t="shared" si="461"/>
        <v>-108.10085118552925</v>
      </c>
      <c r="AV480" s="32" t="str">
        <f t="shared" si="436"/>
        <v>-0.0000333333333333333</v>
      </c>
      <c r="AW480" s="32" t="str">
        <f t="shared" si="437"/>
        <v>0.125724844091224i</v>
      </c>
      <c r="AX480" s="32">
        <f t="shared" si="462"/>
        <v>0.125724844091224</v>
      </c>
      <c r="AY480" s="32">
        <f t="shared" si="463"/>
        <v>1.5707963267948966</v>
      </c>
      <c r="AZ480" s="32" t="str">
        <f t="shared" si="438"/>
        <v>1+51.2939902108292i</v>
      </c>
      <c r="BA480" s="32">
        <f t="shared" si="464"/>
        <v>51.303737015432333</v>
      </c>
      <c r="BB480" s="32">
        <f t="shared" si="465"/>
        <v>1.5513033348523695</v>
      </c>
      <c r="BC480" s="32" t="str">
        <f t="shared" si="439"/>
        <v>1+2462.11153011981i</v>
      </c>
      <c r="BD480" s="32">
        <f t="shared" si="466"/>
        <v>2462.1117331975233</v>
      </c>
      <c r="BE480" s="32">
        <f t="shared" si="467"/>
        <v>1.5703901713739179</v>
      </c>
      <c r="BF480" s="59" t="str">
        <f t="shared" si="468"/>
        <v>-0.000242842100463777+0.0127214695716839i</v>
      </c>
      <c r="BG480" s="50">
        <f t="shared" si="469"/>
        <v>-37.907672067643752</v>
      </c>
      <c r="BH480" s="61">
        <f t="shared" si="470"/>
        <v>91.09359517694088</v>
      </c>
      <c r="BI480" s="59" t="str">
        <f t="shared" si="471"/>
        <v>-0.00290561472929442-0.00210498908070264i</v>
      </c>
      <c r="BJ480" s="64">
        <f t="shared" si="472"/>
        <v>-48.903007992633135</v>
      </c>
      <c r="BK480" s="61">
        <f t="shared" si="473"/>
        <v>-144.07833586605281</v>
      </c>
      <c r="BL480" s="59" t="str">
        <f t="shared" si="425"/>
        <v>0.0186841768887568-0.00571491359071369i</v>
      </c>
      <c r="BM480" s="64">
        <f t="shared" si="474"/>
        <v>-34.18211053084913</v>
      </c>
      <c r="BN480" s="61">
        <f t="shared" si="426"/>
        <v>-17.00725600858836</v>
      </c>
      <c r="BO480" s="50">
        <f t="shared" si="475"/>
        <v>-48.903007992633135</v>
      </c>
      <c r="BP480" s="61">
        <f t="shared" si="476"/>
        <v>-144.07833586605281</v>
      </c>
    </row>
    <row r="481" spans="14:68" x14ac:dyDescent="0.25">
      <c r="N481" s="11">
        <v>63</v>
      </c>
      <c r="O481" s="51">
        <f t="shared" si="424"/>
        <v>426579.51880159322</v>
      </c>
      <c r="P481" s="49" t="str">
        <f t="shared" si="427"/>
        <v>25.6231073841137</v>
      </c>
      <c r="Q481" s="18" t="str">
        <f t="shared" si="428"/>
        <v>1+2317.8506142812i</v>
      </c>
      <c r="R481" s="18">
        <f t="shared" si="440"/>
        <v>2317.8508299982841</v>
      </c>
      <c r="S481" s="18">
        <f t="shared" si="441"/>
        <v>1.5703648926326632</v>
      </c>
      <c r="T481" s="18" t="str">
        <f t="shared" si="429"/>
        <v>1+2.41225034839012i</v>
      </c>
      <c r="U481" s="18">
        <f t="shared" si="442"/>
        <v>2.6113122646110818</v>
      </c>
      <c r="V481" s="18">
        <f t="shared" si="443"/>
        <v>1.177809539375942</v>
      </c>
      <c r="W481" s="32" t="str">
        <f t="shared" si="430"/>
        <v>1-54.0522763250379i</v>
      </c>
      <c r="X481" s="18">
        <f t="shared" si="444"/>
        <v>54.061525837866</v>
      </c>
      <c r="Y481" s="18">
        <f t="shared" si="445"/>
        <v>-1.5522978286636799</v>
      </c>
      <c r="Z481" s="32" t="str">
        <f t="shared" si="431"/>
        <v>-3.54925214652497+4.27951080325506i</v>
      </c>
      <c r="AA481" s="18">
        <f t="shared" si="446"/>
        <v>5.5598024708427252</v>
      </c>
      <c r="AB481" s="18">
        <f t="shared" si="447"/>
        <v>2.2631846920163023</v>
      </c>
      <c r="AC481" s="32" t="str">
        <f>IMDIV(IMSUM(COMPLEX(0,2*PI()*O481*Constants!$B$71*Constants!$B$72),COMPLEX(1,0)),IMSUM(COMPLEX(0,2*PI()*O481*Constants!$B$71*Constants!$B$72),COMPLEX(2,0)))</f>
        <v>0.983185118088421+0.090137121665212i</v>
      </c>
      <c r="AD481" s="18">
        <f t="shared" si="448"/>
        <v>0.98730829892826877</v>
      </c>
      <c r="AE481" s="18">
        <f t="shared" si="449"/>
        <v>9.1423122987256064E-2</v>
      </c>
      <c r="AF481" s="66" t="str">
        <f t="shared" si="450"/>
        <v>-0.155512617466966+0.229386206475862i</v>
      </c>
      <c r="AG481" s="64">
        <f t="shared" si="451"/>
        <v>-11.146263059840564</v>
      </c>
      <c r="AH481" s="61">
        <f t="shared" si="452"/>
        <v>124.1353488892982</v>
      </c>
      <c r="AI481" s="50" t="str">
        <f t="shared" si="432"/>
        <v>108.866083054159</v>
      </c>
      <c r="AJ481" s="50" t="str">
        <f t="shared" si="433"/>
        <v>1+2192.95486217284i</v>
      </c>
      <c r="AK481" s="50">
        <f t="shared" si="453"/>
        <v>2192.955090175697</v>
      </c>
      <c r="AL481" s="50">
        <f t="shared" si="454"/>
        <v>1.5703403210886526</v>
      </c>
      <c r="AM481" s="50" t="str">
        <f t="shared" si="434"/>
        <v>1+2.41225034839012i</v>
      </c>
      <c r="AN481" s="50">
        <f t="shared" si="455"/>
        <v>2.6113122646110818</v>
      </c>
      <c r="AO481" s="50">
        <f t="shared" si="456"/>
        <v>1.177809539375942</v>
      </c>
      <c r="AP481" s="50" t="str">
        <f t="shared" si="435"/>
        <v>1-12.0364087665693i</v>
      </c>
      <c r="AQ481" s="50">
        <f t="shared" si="457"/>
        <v>12.077877959142752</v>
      </c>
      <c r="AR481" s="50">
        <f t="shared" si="458"/>
        <v>-1.4879054355318897</v>
      </c>
      <c r="AS481" s="59" t="str">
        <f t="shared" si="459"/>
        <v>-0.477097451600722-1.4912534618062i</v>
      </c>
      <c r="AT481" s="50">
        <f t="shared" si="460"/>
        <v>3.894246103861283</v>
      </c>
      <c r="AU481" s="61">
        <f t="shared" si="461"/>
        <v>-107.74105889166127</v>
      </c>
      <c r="AV481" s="32" t="str">
        <f t="shared" si="436"/>
        <v>-0.0000333333333333333</v>
      </c>
      <c r="AW481" s="32" t="str">
        <f t="shared" si="437"/>
        <v>0.12865335191414i</v>
      </c>
      <c r="AX481" s="32">
        <f t="shared" si="462"/>
        <v>0.12865335191414001</v>
      </c>
      <c r="AY481" s="32">
        <f t="shared" si="463"/>
        <v>1.5707963267948966</v>
      </c>
      <c r="AZ481" s="32" t="str">
        <f t="shared" si="438"/>
        <v>1+52.4887807288591i</v>
      </c>
      <c r="BA481" s="32">
        <f t="shared" si="464"/>
        <v>52.498305709825054</v>
      </c>
      <c r="BB481" s="32">
        <f t="shared" si="465"/>
        <v>1.5517469409358846</v>
      </c>
      <c r="BC481" s="32" t="str">
        <f t="shared" si="439"/>
        <v>1+2519.46147498524i</v>
      </c>
      <c r="BD481" s="32">
        <f t="shared" si="466"/>
        <v>2519.4616734403403</v>
      </c>
      <c r="BE481" s="32">
        <f t="shared" si="467"/>
        <v>1.5703994165990409</v>
      </c>
      <c r="BF481" s="59" t="str">
        <f t="shared" si="468"/>
        <v>-0.00023191637119494+0.0124321017243177i</v>
      </c>
      <c r="BG481" s="50">
        <f t="shared" si="469"/>
        <v>-38.107597836615533</v>
      </c>
      <c r="BH481" s="61">
        <f t="shared" si="470"/>
        <v>91.068708132969334</v>
      </c>
      <c r="BI481" s="59" t="str">
        <f t="shared" si="471"/>
        <v>-0.00281568673114529-0.00198654709637228i</v>
      </c>
      <c r="BJ481" s="64">
        <f t="shared" si="472"/>
        <v>-49.253860896456118</v>
      </c>
      <c r="BK481" s="61">
        <f t="shared" si="473"/>
        <v>-144.79594297773247</v>
      </c>
      <c r="BL481" s="59" t="str">
        <f t="shared" si="425"/>
        <v>0.0186500614435972-0.00558547795931893i</v>
      </c>
      <c r="BM481" s="64">
        <f t="shared" si="474"/>
        <v>-34.213351732754248</v>
      </c>
      <c r="BN481" s="61">
        <f t="shared" si="426"/>
        <v>-16.672350758691934</v>
      </c>
      <c r="BO481" s="50">
        <f t="shared" si="475"/>
        <v>-49.253860896456118</v>
      </c>
      <c r="BP481" s="61">
        <f t="shared" si="476"/>
        <v>-144.79594297773247</v>
      </c>
    </row>
    <row r="482" spans="14:68" x14ac:dyDescent="0.25">
      <c r="N482" s="11">
        <v>64</v>
      </c>
      <c r="O482" s="51">
        <f t="shared" si="424"/>
        <v>436515.83224016649</v>
      </c>
      <c r="P482" s="49" t="str">
        <f t="shared" si="427"/>
        <v>25.6231073841137</v>
      </c>
      <c r="Q482" s="18" t="str">
        <f t="shared" si="428"/>
        <v>1+2371.84029074759i</v>
      </c>
      <c r="R482" s="18">
        <f t="shared" si="440"/>
        <v>2371.8405015543549</v>
      </c>
      <c r="S482" s="18">
        <f t="shared" si="441"/>
        <v>1.5703747132719927</v>
      </c>
      <c r="T482" s="18" t="str">
        <f t="shared" si="429"/>
        <v>1+2.46843887713441i</v>
      </c>
      <c r="U482" s="18">
        <f t="shared" si="442"/>
        <v>2.6633044306178344</v>
      </c>
      <c r="V482" s="18">
        <f t="shared" si="443"/>
        <v>1.1858888213422358</v>
      </c>
      <c r="W482" s="32" t="str">
        <f t="shared" si="430"/>
        <v>1-55.3113155802341i</v>
      </c>
      <c r="X482" s="18">
        <f t="shared" si="444"/>
        <v>55.320354583247635</v>
      </c>
      <c r="Y482" s="18">
        <f t="shared" si="445"/>
        <v>-1.5527188130896044</v>
      </c>
      <c r="Z482" s="32" t="str">
        <f t="shared" si="431"/>
        <v>-3.76365179490811+4.37919341536068i</v>
      </c>
      <c r="AA482" s="18">
        <f t="shared" si="446"/>
        <v>5.7742886836781349</v>
      </c>
      <c r="AB482" s="18">
        <f t="shared" si="447"/>
        <v>2.2807450439058639</v>
      </c>
      <c r="AC482" s="32" t="str">
        <f>IMDIV(IMSUM(COMPLEX(0,2*PI()*O482*Constants!$B$71*Constants!$B$72),COMPLEX(1,0)),IMSUM(COMPLEX(0,2*PI()*O482*Constants!$B$71*Constants!$B$72),COMPLEX(2,0)))</f>
        <v>0.983917570255648+0.0882188773772032i</v>
      </c>
      <c r="AD482" s="18">
        <f t="shared" si="448"/>
        <v>0.9878645430338473</v>
      </c>
      <c r="AE482" s="18">
        <f t="shared" si="449"/>
        <v>8.942173068787633E-2</v>
      </c>
      <c r="AF482" s="66" t="str">
        <f t="shared" si="450"/>
        <v>-0.150106366831751+0.227192674495584i</v>
      </c>
      <c r="AG482" s="64">
        <f t="shared" si="451"/>
        <v>-11.298980243188213</v>
      </c>
      <c r="AH482" s="61">
        <f t="shared" si="452"/>
        <v>123.45276895349018</v>
      </c>
      <c r="AI482" s="50" t="str">
        <f t="shared" si="432"/>
        <v>108.866083054159</v>
      </c>
      <c r="AJ482" s="50" t="str">
        <f t="shared" si="433"/>
        <v>1+2244.03534284947i</v>
      </c>
      <c r="AK482" s="50">
        <f t="shared" si="453"/>
        <v>2244.0355656623492</v>
      </c>
      <c r="AL482" s="50">
        <f t="shared" si="454"/>
        <v>1.5703507010443967</v>
      </c>
      <c r="AM482" s="50" t="str">
        <f t="shared" si="434"/>
        <v>1+2.46843887713441i</v>
      </c>
      <c r="AN482" s="50">
        <f t="shared" si="455"/>
        <v>2.6633044306178344</v>
      </c>
      <c r="AO482" s="50">
        <f t="shared" si="456"/>
        <v>1.1858888213422358</v>
      </c>
      <c r="AP482" s="50" t="str">
        <f t="shared" si="435"/>
        <v>1-12.316772743057i</v>
      </c>
      <c r="AQ482" s="50">
        <f t="shared" si="457"/>
        <v>12.357301113273554</v>
      </c>
      <c r="AR482" s="50">
        <f t="shared" si="458"/>
        <v>-1.4897839225590657</v>
      </c>
      <c r="AS482" s="59" t="str">
        <f t="shared" si="459"/>
        <v>-0.477098474932102-1.52369282540167i</v>
      </c>
      <c r="AT482" s="50">
        <f t="shared" si="460"/>
        <v>4.0641460535548593</v>
      </c>
      <c r="AU482" s="61">
        <f t="shared" si="461"/>
        <v>-107.38637423967938</v>
      </c>
      <c r="AV482" s="32" t="str">
        <f t="shared" si="436"/>
        <v>-0.0000333333333333333</v>
      </c>
      <c r="AW482" s="32" t="str">
        <f t="shared" si="437"/>
        <v>0.131650073447169i</v>
      </c>
      <c r="AX482" s="32">
        <f t="shared" si="462"/>
        <v>0.131650073447169</v>
      </c>
      <c r="AY482" s="32">
        <f t="shared" si="463"/>
        <v>1.5707963267948966</v>
      </c>
      <c r="AZ482" s="32" t="str">
        <f t="shared" si="438"/>
        <v>1+53.7114014932025i</v>
      </c>
      <c r="BA482" s="32">
        <f t="shared" si="464"/>
        <v>53.720709697136321</v>
      </c>
      <c r="BB482" s="32">
        <f t="shared" si="465"/>
        <v>1.5521804565576858</v>
      </c>
      <c r="BC482" s="32" t="str">
        <f t="shared" si="439"/>
        <v>1+2578.14727167373i</v>
      </c>
      <c r="BD482" s="32">
        <f t="shared" si="466"/>
        <v>2578.1474656114415</v>
      </c>
      <c r="BE482" s="32">
        <f t="shared" si="467"/>
        <v>1.5704084513772127</v>
      </c>
      <c r="BF482" s="59" t="str">
        <f t="shared" si="468"/>
        <v>-0.000221482031930543+0.0121493068064596i</v>
      </c>
      <c r="BG482" s="50">
        <f t="shared" si="469"/>
        <v>-38.307526945348421</v>
      </c>
      <c r="BH482" s="61">
        <f t="shared" si="470"/>
        <v>91.044387172145207</v>
      </c>
      <c r="BI482" s="59" t="str">
        <f t="shared" si="471"/>
        <v>-0.00272698764349535-0.00187400739942893i</v>
      </c>
      <c r="BJ482" s="64">
        <f t="shared" si="472"/>
        <v>-49.606507188536639</v>
      </c>
      <c r="BK482" s="61">
        <f t="shared" si="473"/>
        <v>-145.50284387436457</v>
      </c>
      <c r="BL482" s="59" t="str">
        <f t="shared" si="425"/>
        <v>0.0186174803542651-0.00545894516583613i</v>
      </c>
      <c r="BM482" s="64">
        <f t="shared" si="474"/>
        <v>-34.243380891793556</v>
      </c>
      <c r="BN482" s="61">
        <f t="shared" si="426"/>
        <v>-16.341987067534177</v>
      </c>
      <c r="BO482" s="50">
        <f t="shared" si="475"/>
        <v>-49.606507188536639</v>
      </c>
      <c r="BP482" s="61">
        <f t="shared" si="476"/>
        <v>-145.50284387436457</v>
      </c>
    </row>
    <row r="483" spans="14:68" x14ac:dyDescent="0.25">
      <c r="N483" s="11">
        <v>65</v>
      </c>
      <c r="O483" s="51">
        <f t="shared" si="424"/>
        <v>446683.59215096442</v>
      </c>
      <c r="P483" s="49" t="str">
        <f t="shared" si="427"/>
        <v>25.6231073841137</v>
      </c>
      <c r="Q483" s="18" t="str">
        <f t="shared" si="428"/>
        <v>1+2427.08754833117i</v>
      </c>
      <c r="R483" s="18">
        <f t="shared" si="440"/>
        <v>2427.0877543393872</v>
      </c>
      <c r="S483" s="18">
        <f t="shared" si="441"/>
        <v>1.5703843103663579</v>
      </c>
      <c r="T483" s="18" t="str">
        <f t="shared" si="429"/>
        <v>1+2.52593620484503i</v>
      </c>
      <c r="U483" s="18">
        <f t="shared" si="442"/>
        <v>2.7166806420606222</v>
      </c>
      <c r="V483" s="18">
        <f t="shared" si="443"/>
        <v>1.1938356313844396</v>
      </c>
      <c r="W483" s="32" t="str">
        <f t="shared" si="430"/>
        <v>1-56.599681627083i</v>
      </c>
      <c r="X483" s="18">
        <f t="shared" si="444"/>
        <v>56.608514909747967</v>
      </c>
      <c r="Y483" s="18">
        <f t="shared" si="445"/>
        <v>-1.553130220932476</v>
      </c>
      <c r="Z483" s="32" t="str">
        <f t="shared" si="431"/>
        <v>-3.98815578742222+4.48119793378062i</v>
      </c>
      <c r="AA483" s="18">
        <f t="shared" si="446"/>
        <v>5.9988766870530892</v>
      </c>
      <c r="AB483" s="18">
        <f t="shared" si="447"/>
        <v>2.2980452707544261</v>
      </c>
      <c r="AC483" s="32" t="str">
        <f>IMDIV(IMSUM(COMPLEX(0,2*PI()*O483*Constants!$B$71*Constants!$B$72),COMPLEX(1,0)),IMSUM(COMPLEX(0,2*PI()*O483*Constants!$B$71*Constants!$B$72),COMPLEX(2,0)))</f>
        <v>0.984619132606331+0.0863357551368673i</v>
      </c>
      <c r="AD483" s="18">
        <f t="shared" si="448"/>
        <v>0.98839703505701437</v>
      </c>
      <c r="AE483" s="18">
        <f t="shared" si="449"/>
        <v>8.7460726333451047E-2</v>
      </c>
      <c r="AF483" s="66" t="str">
        <f t="shared" si="450"/>
        <v>-0.144831396160874+0.224903446240646i</v>
      </c>
      <c r="AG483" s="64">
        <f t="shared" si="451"/>
        <v>-11.453436667118213</v>
      </c>
      <c r="AH483" s="61">
        <f t="shared" si="452"/>
        <v>122.78037856728584</v>
      </c>
      <c r="AI483" s="50" t="str">
        <f t="shared" si="432"/>
        <v>108.866083054159</v>
      </c>
      <c r="AJ483" s="50" t="str">
        <f t="shared" si="433"/>
        <v>1+2296.30564076821i</v>
      </c>
      <c r="AK483" s="50">
        <f t="shared" si="453"/>
        <v>2296.305858509249</v>
      </c>
      <c r="AL483" s="50">
        <f t="shared" si="454"/>
        <v>1.5703608447235942</v>
      </c>
      <c r="AM483" s="50" t="str">
        <f t="shared" si="434"/>
        <v>1+2.52593620484503i</v>
      </c>
      <c r="AN483" s="50">
        <f t="shared" si="455"/>
        <v>2.7166806420606222</v>
      </c>
      <c r="AO483" s="50">
        <f t="shared" si="456"/>
        <v>1.1938356313844396</v>
      </c>
      <c r="AP483" s="50" t="str">
        <f t="shared" si="435"/>
        <v>1-12.6036672354848i</v>
      </c>
      <c r="AQ483" s="50">
        <f t="shared" si="457"/>
        <v>12.64327599093024</v>
      </c>
      <c r="AR483" s="50">
        <f t="shared" si="458"/>
        <v>-1.4916202038419781</v>
      </c>
      <c r="AS483" s="59" t="str">
        <f t="shared" si="459"/>
        <v>-0.477099452205991-1.55694007106057i</v>
      </c>
      <c r="AT483" s="50">
        <f t="shared" si="460"/>
        <v>4.2352214027368085</v>
      </c>
      <c r="AU483" s="61">
        <f t="shared" si="461"/>
        <v>-107.0368479211853</v>
      </c>
      <c r="AV483" s="32" t="str">
        <f t="shared" si="436"/>
        <v>-0.0000333333333333333</v>
      </c>
      <c r="AW483" s="32" t="str">
        <f t="shared" si="437"/>
        <v>0.134716597591735i</v>
      </c>
      <c r="AX483" s="32">
        <f t="shared" si="462"/>
        <v>0.13471659759173499</v>
      </c>
      <c r="AY483" s="32">
        <f t="shared" si="463"/>
        <v>1.5707963267948966</v>
      </c>
      <c r="AZ483" s="32" t="str">
        <f t="shared" si="438"/>
        <v>1+54.9625007535724i</v>
      </c>
      <c r="BA483" s="32">
        <f t="shared" si="464"/>
        <v>54.971597112385652</v>
      </c>
      <c r="BB483" s="32">
        <f t="shared" si="465"/>
        <v>1.5526041109213358</v>
      </c>
      <c r="BC483" s="32" t="str">
        <f t="shared" si="439"/>
        <v>1+2638.20003617148i</v>
      </c>
      <c r="BD483" s="32">
        <f t="shared" si="466"/>
        <v>2638.2002256946303</v>
      </c>
      <c r="BE483" s="32">
        <f t="shared" si="467"/>
        <v>1.5704172804987866</v>
      </c>
      <c r="BF483" s="59" t="str">
        <f t="shared" si="468"/>
        <v>-0.000211516997153637+0.0118729361261498i</v>
      </c>
      <c r="BG483" s="50">
        <f t="shared" si="469"/>
        <v>-38.507459243632823</v>
      </c>
      <c r="BH483" s="61">
        <f t="shared" si="470"/>
        <v>91.020619436538766</v>
      </c>
      <c r="BI483" s="59" t="str">
        <f t="shared" si="471"/>
        <v>-0.00263962994975664-0.00176714481727748i</v>
      </c>
      <c r="BJ483" s="64">
        <f t="shared" si="472"/>
        <v>-49.960895910751034</v>
      </c>
      <c r="BK483" s="61">
        <f t="shared" si="473"/>
        <v>-146.19900199617538</v>
      </c>
      <c r="BL483" s="59" t="str">
        <f t="shared" si="425"/>
        <v>0.0185863646594195-0.00533525203328389i</v>
      </c>
      <c r="BM483" s="64">
        <f t="shared" si="474"/>
        <v>-34.272237840896032</v>
      </c>
      <c r="BN483" s="61">
        <f t="shared" si="426"/>
        <v>-16.016228484646565</v>
      </c>
      <c r="BO483" s="50">
        <f t="shared" si="475"/>
        <v>-49.960895910751034</v>
      </c>
      <c r="BP483" s="61">
        <f t="shared" si="476"/>
        <v>-146.19900199617538</v>
      </c>
    </row>
    <row r="484" spans="14:68" x14ac:dyDescent="0.25">
      <c r="N484" s="11">
        <v>66</v>
      </c>
      <c r="O484" s="51">
        <f t="shared" ref="O484:O518" si="477">10^(5+(N484/100))</f>
        <v>457088.18961487547</v>
      </c>
      <c r="P484" s="49" t="str">
        <f t="shared" si="427"/>
        <v>25.6231073841137</v>
      </c>
      <c r="Q484" s="18" t="str">
        <f t="shared" si="428"/>
        <v>1+2483.62167985915i</v>
      </c>
      <c r="R484" s="18">
        <f t="shared" si="440"/>
        <v>2483.6218811780482</v>
      </c>
      <c r="S484" s="18">
        <f t="shared" si="441"/>
        <v>1.5703936890042578</v>
      </c>
      <c r="T484" s="18" t="str">
        <f t="shared" si="429"/>
        <v>1+2.58477281736615i</v>
      </c>
      <c r="U484" s="18">
        <f t="shared" si="442"/>
        <v>2.771470822035647</v>
      </c>
      <c r="V484" s="18">
        <f t="shared" si="443"/>
        <v>1.2016501671261159</v>
      </c>
      <c r="W484" s="32" t="str">
        <f t="shared" si="430"/>
        <v>1-57.9180575743156i</v>
      </c>
      <c r="X484" s="18">
        <f t="shared" si="444"/>
        <v>57.926689817231377</v>
      </c>
      <c r="Y484" s="18">
        <f t="shared" si="445"/>
        <v>-1.5535322697687914</v>
      </c>
      <c r="Z484" s="32" t="str">
        <f t="shared" si="431"/>
        <v>-4.22324032713509+4.58557844266069i</v>
      </c>
      <c r="AA484" s="18">
        <f t="shared" si="446"/>
        <v>6.2340427103553386</v>
      </c>
      <c r="AB484" s="18">
        <f t="shared" si="447"/>
        <v>2.3150841010349819</v>
      </c>
      <c r="AC484" s="32" t="str">
        <f>IMDIV(IMSUM(COMPLEX(0,2*PI()*O484*Constants!$B$71*Constants!$B$72),COMPLEX(1,0)),IMSUM(COMPLEX(0,2*PI()*O484*Constants!$B$71*Constants!$B$72),COMPLEX(2,0)))</f>
        <v>0.985291021000843+0.0844874868627358i</v>
      </c>
      <c r="AD484" s="18">
        <f t="shared" si="448"/>
        <v>0.98890673549190899</v>
      </c>
      <c r="AE484" s="18">
        <f t="shared" si="449"/>
        <v>8.5539520029963206E-2</v>
      </c>
      <c r="AF484" s="66" t="str">
        <f t="shared" si="450"/>
        <v>-0.139688713334253+0.222525703075256i</v>
      </c>
      <c r="AG484" s="64">
        <f t="shared" si="451"/>
        <v>-11.609581934923563</v>
      </c>
      <c r="AH484" s="61">
        <f t="shared" si="452"/>
        <v>122.11821535061038</v>
      </c>
      <c r="AI484" s="50" t="str">
        <f t="shared" si="432"/>
        <v>108.866083054159</v>
      </c>
      <c r="AJ484" s="50" t="str">
        <f t="shared" si="433"/>
        <v>1+2349.79347033287i</v>
      </c>
      <c r="AK484" s="50">
        <f t="shared" si="453"/>
        <v>2349.7936831175189</v>
      </c>
      <c r="AL484" s="50">
        <f t="shared" si="454"/>
        <v>1.5703707575045502</v>
      </c>
      <c r="AM484" s="50" t="str">
        <f t="shared" si="434"/>
        <v>1+2.58477281736615i</v>
      </c>
      <c r="AN484" s="50">
        <f t="shared" si="455"/>
        <v>2.771470822035647</v>
      </c>
      <c r="AO484" s="50">
        <f t="shared" si="456"/>
        <v>1.2016501671261159</v>
      </c>
      <c r="AP484" s="50" t="str">
        <f t="shared" si="435"/>
        <v>1-12.8972443591101i</v>
      </c>
      <c r="AQ484" s="50">
        <f t="shared" si="457"/>
        <v>12.935954238423902</v>
      </c>
      <c r="AR484" s="50">
        <f t="shared" si="458"/>
        <v>-1.4934152034391681</v>
      </c>
      <c r="AS484" s="59" t="str">
        <f t="shared" si="459"/>
        <v>-0.477100385495336-1.59101282691535i</v>
      </c>
      <c r="AT484" s="50">
        <f t="shared" si="460"/>
        <v>4.4074329363548852</v>
      </c>
      <c r="AU484" s="61">
        <f t="shared" si="461"/>
        <v>-106.69252186599191</v>
      </c>
      <c r="AV484" s="32" t="str">
        <f t="shared" si="436"/>
        <v>-0.0000333333333333333</v>
      </c>
      <c r="AW484" s="32" t="str">
        <f t="shared" si="437"/>
        <v>0.137854550259528i</v>
      </c>
      <c r="AX484" s="32">
        <f t="shared" si="462"/>
        <v>0.137854550259528</v>
      </c>
      <c r="AY484" s="32">
        <f t="shared" si="463"/>
        <v>1.5707963267948966</v>
      </c>
      <c r="AZ484" s="32" t="str">
        <f t="shared" si="438"/>
        <v>1+56.2427418593561i</v>
      </c>
      <c r="BA484" s="32">
        <f t="shared" si="464"/>
        <v>56.251631192865567</v>
      </c>
      <c r="BB484" s="32">
        <f t="shared" si="465"/>
        <v>1.5530181280453264</v>
      </c>
      <c r="BC484" s="32" t="str">
        <f t="shared" si="439"/>
        <v>1+2699.6516092491i</v>
      </c>
      <c r="BD484" s="32">
        <f t="shared" si="466"/>
        <v>2699.6517944581769</v>
      </c>
      <c r="BE484" s="32">
        <f t="shared" si="467"/>
        <v>1.570425908645074</v>
      </c>
      <c r="BF484" s="59" t="str">
        <f t="shared" si="468"/>
        <v>-0.00020200017266211+0.0116028443143293i</v>
      </c>
      <c r="BG484" s="50">
        <f t="shared" si="469"/>
        <v>-38.707394588010153</v>
      </c>
      <c r="BH484" s="61">
        <f t="shared" si="470"/>
        <v>90.997392359055254</v>
      </c>
      <c r="BI484" s="59" t="str">
        <f t="shared" si="471"/>
        <v>-0.0025537139445064-0.00166573662372927i</v>
      </c>
      <c r="BJ484" s="64">
        <f t="shared" si="472"/>
        <v>-50.316976522933707</v>
      </c>
      <c r="BK484" s="61">
        <f t="shared" si="473"/>
        <v>-146.88439229033443</v>
      </c>
      <c r="BL484" s="59" t="str">
        <f t="shared" si="425"/>
        <v>0.018556648493047-0.00521433662946434i</v>
      </c>
      <c r="BM484" s="64">
        <f t="shared" si="474"/>
        <v>-34.299961651655252</v>
      </c>
      <c r="BN484" s="61">
        <f t="shared" si="426"/>
        <v>-15.695129506936624</v>
      </c>
      <c r="BO484" s="50">
        <f t="shared" si="475"/>
        <v>-50.316976522933707</v>
      </c>
      <c r="BP484" s="61">
        <f t="shared" si="476"/>
        <v>-146.88439229033443</v>
      </c>
    </row>
    <row r="485" spans="14:68" x14ac:dyDescent="0.25">
      <c r="N485" s="11">
        <v>67</v>
      </c>
      <c r="O485" s="51">
        <f t="shared" si="477"/>
        <v>467735.14128719864</v>
      </c>
      <c r="P485" s="49" t="str">
        <f t="shared" si="427"/>
        <v>25.6231073841137</v>
      </c>
      <c r="Q485" s="18" t="str">
        <f t="shared" si="428"/>
        <v>1+2541.47266047642i</v>
      </c>
      <c r="R485" s="18">
        <f t="shared" si="440"/>
        <v>2541.4728572127415</v>
      </c>
      <c r="S485" s="18">
        <f t="shared" si="441"/>
        <v>1.5704028541583641</v>
      </c>
      <c r="T485" s="18" t="str">
        <f t="shared" si="429"/>
        <v>1+2.64497991064856i</v>
      </c>
      <c r="U485" s="18">
        <f t="shared" si="442"/>
        <v>2.8277055588824065</v>
      </c>
      <c r="V485" s="18">
        <f t="shared" si="443"/>
        <v>1.2093327532305649</v>
      </c>
      <c r="W485" s="32" t="str">
        <f t="shared" si="430"/>
        <v>1-59.2671424423104i</v>
      </c>
      <c r="X485" s="18">
        <f t="shared" si="444"/>
        <v>59.275578219677541</v>
      </c>
      <c r="Y485" s="18">
        <f t="shared" si="445"/>
        <v>-1.5539251722499599</v>
      </c>
      <c r="Z485" s="32" t="str">
        <f t="shared" si="431"/>
        <v>-4.46940405987386+4.69239028592837i</v>
      </c>
      <c r="AA485" s="18">
        <f t="shared" si="446"/>
        <v>6.4802854293535459</v>
      </c>
      <c r="AB485" s="18">
        <f t="shared" si="447"/>
        <v>2.331860587577975</v>
      </c>
      <c r="AC485" s="32" t="str">
        <f>IMDIV(IMSUM(COMPLEX(0,2*PI()*O485*Constants!$B$71*Constants!$B$72),COMPLEX(1,0)),IMSUM(COMPLEX(0,2*PI()*O485*Constants!$B$71*Constants!$B$72),COMPLEX(2,0)))</f>
        <v>0.985934410899175+0.0826737791180459i</v>
      </c>
      <c r="AD485" s="18">
        <f t="shared" si="448"/>
        <v>0.98939457060808789</v>
      </c>
      <c r="AE485" s="18">
        <f t="shared" si="449"/>
        <v>8.3657514955473675E-2</v>
      </c>
      <c r="AF485" s="66" t="str">
        <f t="shared" si="450"/>
        <v>-0.13467895723661+0.220066474367711i</v>
      </c>
      <c r="AG485" s="64">
        <f t="shared" si="451"/>
        <v>-11.76736613525674</v>
      </c>
      <c r="AH485" s="61">
        <f t="shared" si="452"/>
        <v>121.46630550979935</v>
      </c>
      <c r="AI485" s="50" t="str">
        <f t="shared" si="432"/>
        <v>108.866083054159</v>
      </c>
      <c r="AJ485" s="50" t="str">
        <f t="shared" si="433"/>
        <v>1+2404.5271914987i</v>
      </c>
      <c r="AK485" s="50">
        <f t="shared" si="453"/>
        <v>2404.5273994397794</v>
      </c>
      <c r="AL485" s="50">
        <f t="shared" si="454"/>
        <v>1.5703804446431444</v>
      </c>
      <c r="AM485" s="50" t="str">
        <f t="shared" si="434"/>
        <v>1+2.64497991064856i</v>
      </c>
      <c r="AN485" s="50">
        <f t="shared" si="455"/>
        <v>2.8277055588824065</v>
      </c>
      <c r="AO485" s="50">
        <f t="shared" si="456"/>
        <v>1.2093327532305649</v>
      </c>
      <c r="AP485" s="50" t="str">
        <f t="shared" si="435"/>
        <v>1-13.1976597724099i</v>
      </c>
      <c r="AQ485" s="50">
        <f t="shared" si="457"/>
        <v>13.235491055049167</v>
      </c>
      <c r="AR485" s="50">
        <f t="shared" si="458"/>
        <v>-1.4951698267890987</v>
      </c>
      <c r="AS485" s="59" t="str">
        <f t="shared" si="459"/>
        <v>-0.477101276779754-1.62592915879476i</v>
      </c>
      <c r="AT485" s="50">
        <f t="shared" si="460"/>
        <v>4.5807422355458973</v>
      </c>
      <c r="AU485" s="61">
        <f t="shared" si="461"/>
        <v>-106.35342965120422</v>
      </c>
      <c r="AV485" s="32" t="str">
        <f t="shared" si="436"/>
        <v>-0.0000333333333333333</v>
      </c>
      <c r="AW485" s="32" t="str">
        <f t="shared" si="437"/>
        <v>0.14106559523459i</v>
      </c>
      <c r="AX485" s="32">
        <f t="shared" si="462"/>
        <v>0.14106559523459</v>
      </c>
      <c r="AY485" s="32">
        <f t="shared" si="463"/>
        <v>1.5707963267948966</v>
      </c>
      <c r="AZ485" s="32" t="str">
        <f t="shared" si="438"/>
        <v>1+57.5528036113345i</v>
      </c>
      <c r="BA485" s="32">
        <f t="shared" si="464"/>
        <v>57.561490629802471</v>
      </c>
      <c r="BB485" s="32">
        <f t="shared" si="465"/>
        <v>1.5534227268789571</v>
      </c>
      <c r="BC485" s="32" t="str">
        <f t="shared" si="439"/>
        <v>1+2762.53457334406i</v>
      </c>
      <c r="BD485" s="32">
        <f t="shared" si="466"/>
        <v>2762.5347543372641</v>
      </c>
      <c r="BE485" s="32">
        <f t="shared" si="467"/>
        <v>1.5704343403908274</v>
      </c>
      <c r="BF485" s="59" t="str">
        <f t="shared" si="468"/>
        <v>-0.000192911411189207+0.0113388892533129i</v>
      </c>
      <c r="BG485" s="50">
        <f t="shared" si="469"/>
        <v>-38.907332841470648</v>
      </c>
      <c r="BH485" s="61">
        <f t="shared" si="470"/>
        <v>90.974693656937873</v>
      </c>
      <c r="BI485" s="59" t="str">
        <f t="shared" si="471"/>
        <v>-0.00246932827352449-0.00156956311498329i</v>
      </c>
      <c r="BJ485" s="64">
        <f t="shared" si="472"/>
        <v>-50.674698976727399</v>
      </c>
      <c r="BK485" s="61">
        <f t="shared" si="473"/>
        <v>-147.55900083326279</v>
      </c>
      <c r="BL485" s="59" t="str">
        <f t="shared" si="425"/>
        <v>0.0185282689458897-0.00509613825150304i</v>
      </c>
      <c r="BM485" s="64">
        <f t="shared" si="474"/>
        <v>-34.326590605924764</v>
      </c>
      <c r="BN485" s="61">
        <f t="shared" si="426"/>
        <v>-15.378735994266378</v>
      </c>
      <c r="BO485" s="50">
        <f t="shared" si="475"/>
        <v>-50.674698976727399</v>
      </c>
      <c r="BP485" s="61">
        <f t="shared" si="476"/>
        <v>-147.55900083326279</v>
      </c>
    </row>
    <row r="486" spans="14:68" x14ac:dyDescent="0.25">
      <c r="N486" s="11">
        <v>68</v>
      </c>
      <c r="O486" s="51">
        <f t="shared" si="477"/>
        <v>478630.09232263872</v>
      </c>
      <c r="P486" s="49" t="str">
        <f t="shared" si="427"/>
        <v>25.6231073841137</v>
      </c>
      <c r="Q486" s="18" t="str">
        <f t="shared" si="428"/>
        <v>1+2600.67116353865i</v>
      </c>
      <c r="R486" s="18">
        <f t="shared" si="440"/>
        <v>2600.6713557967059</v>
      </c>
      <c r="S486" s="18">
        <f t="shared" si="441"/>
        <v>1.5704118106881562</v>
      </c>
      <c r="T486" s="18" t="str">
        <f t="shared" si="429"/>
        <v>1+2.70658940729005i</v>
      </c>
      <c r="U486" s="18">
        <f t="shared" si="442"/>
        <v>2.8854161259088267</v>
      </c>
      <c r="V486" s="18">
        <f t="shared" si="443"/>
        <v>1.2168838345530493</v>
      </c>
      <c r="W486" s="32" t="str">
        <f t="shared" si="430"/>
        <v>1-60.6476515337215i</v>
      </c>
      <c r="X486" s="18">
        <f t="shared" si="444"/>
        <v>60.65589531575403</v>
      </c>
      <c r="Y486" s="18">
        <f t="shared" si="445"/>
        <v>-1.5543091362125725</v>
      </c>
      <c r="Z486" s="32" t="str">
        <f t="shared" si="431"/>
        <v>-4.72716913191942+4.80169009663679i</v>
      </c>
      <c r="AA486" s="18">
        <f t="shared" si="446"/>
        <v>6.7381270235809314</v>
      </c>
      <c r="AB486" s="18">
        <f t="shared" si="447"/>
        <v>2.3483740949356902</v>
      </c>
      <c r="AC486" s="32" t="str">
        <f>IMDIV(IMSUM(COMPLEX(0,2*PI()*O486*Constants!$B$71*Constants!$B$72),COMPLEX(1,0)),IMSUM(COMPLEX(0,2*PI()*O486*Constants!$B$71*Constants!$B$72),COMPLEX(2,0)))</f>
        <v>0.986550438044509+0.080894315380939i</v>
      </c>
      <c r="AD486" s="18">
        <f t="shared" si="448"/>
        <v>0.98986143326566856</v>
      </c>
      <c r="AE486" s="18">
        <f t="shared" si="449"/>
        <v>8.1814108707564323E-2</v>
      </c>
      <c r="AF486" s="66" t="str">
        <f t="shared" si="450"/>
        <v>-0.129802418451648+0.217532620858868i</v>
      </c>
      <c r="AG486" s="64">
        <f t="shared" si="451"/>
        <v>-11.92673991105017</v>
      </c>
      <c r="AH486" s="61">
        <f t="shared" si="452"/>
        <v>120.82466423994998</v>
      </c>
      <c r="AI486" s="50" t="str">
        <f t="shared" si="432"/>
        <v>108.866083054159</v>
      </c>
      <c r="AJ486" s="50" t="str">
        <f t="shared" si="433"/>
        <v>1+2460.53582480914i</v>
      </c>
      <c r="AK486" s="50">
        <f t="shared" si="453"/>
        <v>2460.5360280169029</v>
      </c>
      <c r="AL486" s="50">
        <f t="shared" si="454"/>
        <v>1.5703899112756186</v>
      </c>
      <c r="AM486" s="50" t="str">
        <f t="shared" si="434"/>
        <v>1+2.70658940729005i</v>
      </c>
      <c r="AN486" s="50">
        <f t="shared" si="455"/>
        <v>2.8854161259088267</v>
      </c>
      <c r="AO486" s="50">
        <f t="shared" si="456"/>
        <v>1.2168838345530493</v>
      </c>
      <c r="AP486" s="50" t="str">
        <f t="shared" si="435"/>
        <v>1-13.5050727596126i</v>
      </c>
      <c r="AQ486" s="50">
        <f t="shared" si="457"/>
        <v>13.54204527545342</v>
      </c>
      <c r="AR486" s="50">
        <f t="shared" si="458"/>
        <v>-1.4968849609764179</v>
      </c>
      <c r="AS486" s="59" t="str">
        <f t="shared" si="459"/>
        <v>-0.477102127949776-1.6617075798025i</v>
      </c>
      <c r="AT486" s="50">
        <f t="shared" si="460"/>
        <v>4.7551117017417628</v>
      </c>
      <c r="AU486" s="61">
        <f t="shared" si="461"/>
        <v>-106.01959690898474</v>
      </c>
      <c r="AV486" s="32" t="str">
        <f t="shared" si="436"/>
        <v>-0.0000333333333333333</v>
      </c>
      <c r="AW486" s="32" t="str">
        <f t="shared" si="437"/>
        <v>0.144351435055469i</v>
      </c>
      <c r="AX486" s="32">
        <f t="shared" si="462"/>
        <v>0.14435143505546899</v>
      </c>
      <c r="AY486" s="32">
        <f t="shared" si="463"/>
        <v>1.5707963267948966</v>
      </c>
      <c r="AZ486" s="32" t="str">
        <f t="shared" si="438"/>
        <v>1+58.8933806215891i</v>
      </c>
      <c r="BA486" s="32">
        <f t="shared" si="464"/>
        <v>58.90186992820658</v>
      </c>
      <c r="BB486" s="32">
        <f t="shared" si="465"/>
        <v>1.5538181214157183</v>
      </c>
      <c r="BC486" s="32" t="str">
        <f t="shared" si="439"/>
        <v>1+2826.88226983628i</v>
      </c>
      <c r="BD486" s="32">
        <f t="shared" si="466"/>
        <v>2826.882446709576</v>
      </c>
      <c r="BE486" s="32">
        <f t="shared" si="467"/>
        <v>1.5704425802066648</v>
      </c>
      <c r="BF486" s="59" t="str">
        <f t="shared" si="468"/>
        <v>-0.000184231470000676+0.0110809320066193i</v>
      </c>
      <c r="BG486" s="50">
        <f t="shared" si="469"/>
        <v>-39.107273873162882</v>
      </c>
      <c r="BH486" s="61">
        <f t="shared" si="470"/>
        <v>90.952511325410384</v>
      </c>
      <c r="BI486" s="59" t="str">
        <f t="shared" si="471"/>
        <v>-0.00238655049059782-0.00147840812767139i</v>
      </c>
      <c r="BJ486" s="64">
        <f t="shared" si="472"/>
        <v>-51.034013784213059</v>
      </c>
      <c r="BK486" s="61">
        <f t="shared" si="473"/>
        <v>-148.22282443463956</v>
      </c>
      <c r="BL486" s="59" t="str">
        <f t="shared" si="425"/>
        <v>0.0185011659330481-0.00498059740988657i</v>
      </c>
      <c r="BM486" s="64">
        <f t="shared" si="474"/>
        <v>-34.352162171421099</v>
      </c>
      <c r="BN486" s="61">
        <f t="shared" si="426"/>
        <v>-15.067085583574325</v>
      </c>
      <c r="BO486" s="50">
        <f t="shared" si="475"/>
        <v>-51.034013784213059</v>
      </c>
      <c r="BP486" s="61">
        <f t="shared" si="476"/>
        <v>-148.22282443463956</v>
      </c>
    </row>
    <row r="487" spans="14:68" x14ac:dyDescent="0.25">
      <c r="N487" s="11">
        <v>69</v>
      </c>
      <c r="O487" s="51">
        <f t="shared" si="477"/>
        <v>489778.81936844654</v>
      </c>
      <c r="P487" s="49" t="str">
        <f t="shared" si="427"/>
        <v>25.6231073841137</v>
      </c>
      <c r="Q487" s="18" t="str">
        <f t="shared" si="428"/>
        <v>1+2661.24857687574i</v>
      </c>
      <c r="R487" s="18">
        <f t="shared" si="440"/>
        <v>2661.2487647574681</v>
      </c>
      <c r="S487" s="18">
        <f t="shared" si="441"/>
        <v>1.5704205633424995</v>
      </c>
      <c r="T487" s="18" t="str">
        <f t="shared" si="429"/>
        <v>1+2.76963397346123i</v>
      </c>
      <c r="U487" s="18">
        <f t="shared" si="442"/>
        <v>2.9446345014195976</v>
      </c>
      <c r="V487" s="18">
        <f t="shared" si="443"/>
        <v>1.224303969350067</v>
      </c>
      <c r="W487" s="32" t="str">
        <f t="shared" si="430"/>
        <v>1-62.0603168127424i</v>
      </c>
      <c r="X487" s="18">
        <f t="shared" si="444"/>
        <v>62.068372968025805</v>
      </c>
      <c r="Y487" s="18">
        <f t="shared" si="445"/>
        <v>-1.5546843647862874</v>
      </c>
      <c r="Z487" s="32" t="str">
        <f t="shared" si="431"/>
        <v>-4.99708229754873+4.91353582699233i</v>
      </c>
      <c r="AA487" s="18">
        <f t="shared" si="446"/>
        <v>7.0081142835724428</v>
      </c>
      <c r="AB487" s="18">
        <f t="shared" si="447"/>
        <v>2.3646242864491445</v>
      </c>
      <c r="AC487" s="32" t="str">
        <f>IMDIV(IMSUM(COMPLEX(0,2*PI()*O487*Constants!$B$71*Constants!$B$72),COMPLEX(1,0)),IMSUM(COMPLEX(0,2*PI()*O487*Constants!$B$71*Constants!$B$72),COMPLEX(2,0)))</f>
        <v>0.987140199200764+0.0791487581900185i</v>
      </c>
      <c r="AD487" s="18">
        <f t="shared" si="448"/>
        <v>0.99030818374945595</v>
      </c>
      <c r="AE487" s="18">
        <f t="shared" si="449"/>
        <v>8.0008694557803364E-2</v>
      </c>
      <c r="AF487" s="66" t="str">
        <f t="shared" si="450"/>
        <v>-0.125059060310774+0.214930820095406i</v>
      </c>
      <c r="AG487" s="64">
        <f t="shared" si="451"/>
        <v>-12.087654523174905</v>
      </c>
      <c r="AH487" s="61">
        <f t="shared" si="452"/>
        <v>120.19329614240255</v>
      </c>
      <c r="AI487" s="50" t="str">
        <f t="shared" si="432"/>
        <v>108.866083054159</v>
      </c>
      <c r="AJ487" s="50" t="str">
        <f t="shared" si="433"/>
        <v>1+2517.84906678294i</v>
      </c>
      <c r="AK487" s="50">
        <f t="shared" si="453"/>
        <v>2517.8492653651292</v>
      </c>
      <c r="AL487" s="50">
        <f t="shared" si="454"/>
        <v>1.5703991624212998</v>
      </c>
      <c r="AM487" s="50" t="str">
        <f t="shared" si="434"/>
        <v>1+2.76963397346123i</v>
      </c>
      <c r="AN487" s="50">
        <f t="shared" si="455"/>
        <v>2.9446345014195976</v>
      </c>
      <c r="AO487" s="50">
        <f t="shared" si="456"/>
        <v>1.224303969350067</v>
      </c>
      <c r="AP487" s="50" t="str">
        <f t="shared" si="435"/>
        <v>1-13.8196463151533i</v>
      </c>
      <c r="AQ487" s="50">
        <f t="shared" si="457"/>
        <v>13.85577945392933</v>
      </c>
      <c r="AR487" s="50">
        <f t="shared" si="458"/>
        <v>-1.4985614750023009</v>
      </c>
      <c r="AS487" s="59" t="str">
        <f t="shared" si="459"/>
        <v>-0.477102940810851-1.69836706013321i</v>
      </c>
      <c r="AT487" s="50">
        <f t="shared" si="460"/>
        <v>4.9305045769553644</v>
      </c>
      <c r="AU487" s="61">
        <f t="shared" si="461"/>
        <v>-105.69104173127822</v>
      </c>
      <c r="AV487" s="32" t="str">
        <f t="shared" si="436"/>
        <v>-0.0000333333333333333</v>
      </c>
      <c r="AW487" s="32" t="str">
        <f t="shared" si="437"/>
        <v>0.147713811917932i</v>
      </c>
      <c r="AX487" s="32">
        <f t="shared" si="462"/>
        <v>0.14771381191793201</v>
      </c>
      <c r="AY487" s="32">
        <f t="shared" si="463"/>
        <v>1.5707963267948966</v>
      </c>
      <c r="AZ487" s="32" t="str">
        <f t="shared" si="438"/>
        <v>1+60.2651836817954i</v>
      </c>
      <c r="BA487" s="32">
        <f t="shared" si="464"/>
        <v>60.273479775109536</v>
      </c>
      <c r="BB487" s="32">
        <f t="shared" si="465"/>
        <v>1.554204520804225</v>
      </c>
      <c r="BC487" s="32" t="str">
        <f t="shared" si="439"/>
        <v>1+2892.72881672618i</v>
      </c>
      <c r="BD487" s="32">
        <f t="shared" si="466"/>
        <v>2892.7289895733484</v>
      </c>
      <c r="BE487" s="32">
        <f t="shared" si="467"/>
        <v>1.5704506324614413</v>
      </c>
      <c r="BF487" s="59" t="str">
        <f t="shared" si="468"/>
        <v>-0.000175941970381333+0.0108288367501406i</v>
      </c>
      <c r="BG487" s="50">
        <f t="shared" si="469"/>
        <v>-39.307217558118111</v>
      </c>
      <c r="BH487" s="61">
        <f t="shared" si="470"/>
        <v>90.930833631456764</v>
      </c>
      <c r="BI487" s="59" t="str">
        <f t="shared" si="471"/>
        <v>-0.00230544762590187-0.00139205950021462i</v>
      </c>
      <c r="BJ487" s="64">
        <f t="shared" si="472"/>
        <v>-51.39487208129303</v>
      </c>
      <c r="BK487" s="61">
        <f t="shared" si="473"/>
        <v>-148.87587022614062</v>
      </c>
      <c r="BL487" s="59" t="str">
        <f t="shared" si="425"/>
        <v>0.0184752820674797-0.00486765581206211i</v>
      </c>
      <c r="BM487" s="64">
        <f t="shared" si="474"/>
        <v>-34.376712981162768</v>
      </c>
      <c r="BN487" s="61">
        <f t="shared" si="426"/>
        <v>-14.760208099821483</v>
      </c>
      <c r="BO487" s="50">
        <f t="shared" si="475"/>
        <v>-51.39487208129303</v>
      </c>
      <c r="BP487" s="61">
        <f t="shared" si="476"/>
        <v>-148.87587022614062</v>
      </c>
    </row>
    <row r="488" spans="14:68" x14ac:dyDescent="0.25">
      <c r="N488" s="11">
        <v>70</v>
      </c>
      <c r="O488" s="51">
        <f t="shared" si="477"/>
        <v>501187.23362727347</v>
      </c>
      <c r="P488" s="49" t="str">
        <f t="shared" si="427"/>
        <v>25.6231073841137</v>
      </c>
      <c r="Q488" s="18" t="str">
        <f t="shared" si="428"/>
        <v>1+2723.23701943408i</v>
      </c>
      <c r="R488" s="18">
        <f t="shared" si="440"/>
        <v>2723.2372030390984</v>
      </c>
      <c r="S488" s="18">
        <f t="shared" si="441"/>
        <v>1.5704291167621613</v>
      </c>
      <c r="T488" s="18" t="str">
        <f t="shared" si="429"/>
        <v>1+2.83414703622559i</v>
      </c>
      <c r="U488" s="18">
        <f t="shared" si="442"/>
        <v>3.0053933890501412</v>
      </c>
      <c r="V488" s="18">
        <f t="shared" si="443"/>
        <v>1.2315938225719303</v>
      </c>
      <c r="W488" s="32" t="str">
        <f t="shared" si="430"/>
        <v>1-63.5058872932029i</v>
      </c>
      <c r="X488" s="18">
        <f t="shared" si="444"/>
        <v>63.513760090999099</v>
      </c>
      <c r="Y488" s="18">
        <f t="shared" si="445"/>
        <v>-1.555051056499372</v>
      </c>
      <c r="Z488" s="32" t="str">
        <f t="shared" si="431"/>
        <v>-5.27971607877398+5.02798677908168i</v>
      </c>
      <c r="AA488" s="18">
        <f t="shared" si="446"/>
        <v>7.2908197703059878</v>
      </c>
      <c r="AB488" s="18">
        <f t="shared" si="447"/>
        <v>2.3806111110994101</v>
      </c>
      <c r="AC488" s="32" t="str">
        <f>IMDIV(IMSUM(COMPLEX(0,2*PI()*O488*Constants!$B$71*Constants!$B$72),COMPLEX(1,0)),IMSUM(COMPLEX(0,2*PI()*O488*Constants!$B$71*Constants!$B$72),COMPLEX(2,0)))</f>
        <v>0.987704752935981+0.077436751169223i</v>
      </c>
      <c r="AD488" s="18">
        <f t="shared" si="448"/>
        <v>0.99073565061724289</v>
      </c>
      <c r="AE488" s="18">
        <f t="shared" si="449"/>
        <v>7.8240662617851273E-2</v>
      </c>
      <c r="AF488" s="66" t="str">
        <f t="shared" si="450"/>
        <v>-0.120448540117299+0.212267553865094i</v>
      </c>
      <c r="AG488" s="64">
        <f t="shared" si="451"/>
        <v>-12.250061908846696</v>
      </c>
      <c r="AH488" s="61">
        <f t="shared" si="452"/>
        <v>119.57219565441667</v>
      </c>
      <c r="AI488" s="50" t="str">
        <f t="shared" si="432"/>
        <v>108.866083054159</v>
      </c>
      <c r="AJ488" s="50" t="str">
        <f t="shared" si="433"/>
        <v>1+2576.49730565963i</v>
      </c>
      <c r="AK488" s="50">
        <f t="shared" si="453"/>
        <v>2576.4974997215377</v>
      </c>
      <c r="AL488" s="50">
        <f t="shared" si="454"/>
        <v>1.5704082029852617</v>
      </c>
      <c r="AM488" s="50" t="str">
        <f t="shared" si="434"/>
        <v>1+2.83414703622559i</v>
      </c>
      <c r="AN488" s="50">
        <f t="shared" si="455"/>
        <v>3.0053933890501412</v>
      </c>
      <c r="AO488" s="50">
        <f t="shared" si="456"/>
        <v>1.2315938225719303</v>
      </c>
      <c r="AP488" s="50" t="str">
        <f t="shared" si="435"/>
        <v>1-14.141547230095i</v>
      </c>
      <c r="AQ488" s="50">
        <f t="shared" si="457"/>
        <v>14.176859950673405</v>
      </c>
      <c r="AR488" s="50">
        <f t="shared" si="458"/>
        <v>-1.5002002200581344</v>
      </c>
      <c r="AS488" s="59" t="str">
        <f t="shared" si="459"/>
        <v>-0.477103717087163-1.73592703713068i</v>
      </c>
      <c r="AT488" s="50">
        <f t="shared" si="460"/>
        <v>5.1068849604293014</v>
      </c>
      <c r="AU488" s="61">
        <f t="shared" si="461"/>
        <v>-105.36777506995227</v>
      </c>
      <c r="AV488" s="32" t="str">
        <f t="shared" si="436"/>
        <v>-0.0000333333333333333</v>
      </c>
      <c r="AW488" s="32" t="str">
        <f t="shared" si="437"/>
        <v>0.151154508598698i</v>
      </c>
      <c r="AX488" s="32">
        <f t="shared" si="462"/>
        <v>0.151154508598698</v>
      </c>
      <c r="AY488" s="32">
        <f t="shared" si="463"/>
        <v>1.5707963267948966</v>
      </c>
      <c r="AZ488" s="32" t="str">
        <f t="shared" si="438"/>
        <v>1+61.6689401400938i</v>
      </c>
      <c r="BA488" s="32">
        <f t="shared" si="464"/>
        <v>61.677047416380702</v>
      </c>
      <c r="BB488" s="32">
        <f t="shared" si="465"/>
        <v>1.5545821294567539</v>
      </c>
      <c r="BC488" s="32" t="str">
        <f t="shared" si="439"/>
        <v>1+2960.10912672451i</v>
      </c>
      <c r="BD488" s="32">
        <f t="shared" si="466"/>
        <v>2960.1092956371972</v>
      </c>
      <c r="BE488" s="32">
        <f t="shared" si="467"/>
        <v>1.5704585014245649</v>
      </c>
      <c r="BF488" s="59" t="str">
        <f t="shared" si="468"/>
        <v>-0.000168025358927706+0.0105824707046418i</v>
      </c>
      <c r="BG488" s="50">
        <f t="shared" si="469"/>
        <v>-39.507163776985628</v>
      </c>
      <c r="BH488" s="61">
        <f t="shared" si="470"/>
        <v>90.909649107735376</v>
      </c>
      <c r="BI488" s="59" t="str">
        <f t="shared" si="471"/>
        <v>-0.00222607676113781-0.00131030947913508i</v>
      </c>
      <c r="BJ488" s="64">
        <f t="shared" si="472"/>
        <v>-51.75722568583231</v>
      </c>
      <c r="BK488" s="61">
        <f t="shared" si="473"/>
        <v>-149.51815523784794</v>
      </c>
      <c r="BL488" s="59" t="str">
        <f t="shared" si="425"/>
        <v>0.0184505625391404-0.00475725634566442i</v>
      </c>
      <c r="BM488" s="64">
        <f t="shared" si="474"/>
        <v>-34.400278816556316</v>
      </c>
      <c r="BN488" s="61">
        <f t="shared" si="426"/>
        <v>-14.458125962216876</v>
      </c>
      <c r="BO488" s="50">
        <f t="shared" si="475"/>
        <v>-51.75722568583231</v>
      </c>
      <c r="BP488" s="61">
        <f t="shared" si="476"/>
        <v>-149.51815523784794</v>
      </c>
    </row>
    <row r="489" spans="14:68" x14ac:dyDescent="0.25">
      <c r="N489" s="11">
        <v>71</v>
      </c>
      <c r="O489" s="51">
        <f t="shared" si="477"/>
        <v>512861.38399136515</v>
      </c>
      <c r="P489" s="49" t="str">
        <f t="shared" si="427"/>
        <v>25.6231073841137</v>
      </c>
      <c r="Q489" s="18" t="str">
        <f t="shared" si="428"/>
        <v>1+2786.66935830641i</v>
      </c>
      <c r="R489" s="18">
        <f t="shared" si="440"/>
        <v>2786.6695377320684</v>
      </c>
      <c r="S489" s="18">
        <f t="shared" si="441"/>
        <v>1.5704374754822734</v>
      </c>
      <c r="T489" s="18" t="str">
        <f t="shared" si="429"/>
        <v>1+2.9001628012629i</v>
      </c>
      <c r="U489" s="18">
        <f t="shared" si="442"/>
        <v>3.0677262384099842</v>
      </c>
      <c r="V489" s="18">
        <f t="shared" si="443"/>
        <v>1.2387541592621216</v>
      </c>
      <c r="W489" s="32" t="str">
        <f t="shared" si="430"/>
        <v>1-64.9851294357057i</v>
      </c>
      <c r="X489" s="18">
        <f t="shared" si="444"/>
        <v>64.992823048206048</v>
      </c>
      <c r="Y489" s="18">
        <f t="shared" si="445"/>
        <v>-1.5554094053819485</v>
      </c>
      <c r="Z489" s="32" t="str">
        <f t="shared" si="431"/>
        <v>-5.57566997973841+5.14510363631455i</v>
      </c>
      <c r="AA489" s="18">
        <f t="shared" si="446"/>
        <v>7.586843029308918</v>
      </c>
      <c r="AB489" s="18">
        <f t="shared" si="447"/>
        <v>2.3963347902202243</v>
      </c>
      <c r="AC489" s="32" t="str">
        <f>IMDIV(IMSUM(COMPLEX(0,2*PI()*O489*Constants!$B$71*Constants!$B$72),COMPLEX(1,0)),IMSUM(COMPLEX(0,2*PI()*O489*Constants!$B$71*Constants!$B$72),COMPLEX(2,0)))</f>
        <v>0.988245120444137+0.0757579209360893i</v>
      </c>
      <c r="AD489" s="18">
        <f t="shared" si="448"/>
        <v>0.99114463155798094</v>
      </c>
      <c r="AE489" s="18">
        <f t="shared" si="449"/>
        <v>7.6509400921656756E-2</v>
      </c>
      <c r="AF489" s="66" t="str">
        <f t="shared" si="450"/>
        <v>-0.115970230381686+0.209549097558295i</v>
      </c>
      <c r="AG489" s="64">
        <f t="shared" si="451"/>
        <v>-12.41391473482534</v>
      </c>
      <c r="AH489" s="61">
        <f t="shared" si="452"/>
        <v>118.96134748824264</v>
      </c>
      <c r="AI489" s="50" t="str">
        <f t="shared" si="432"/>
        <v>108.866083054159</v>
      </c>
      <c r="AJ489" s="50" t="str">
        <f t="shared" si="433"/>
        <v>1+2636.51163751173i</v>
      </c>
      <c r="AK489" s="50">
        <f t="shared" si="453"/>
        <v>2636.5118271562492</v>
      </c>
      <c r="AL489" s="50">
        <f t="shared" si="454"/>
        <v>1.570417037760925</v>
      </c>
      <c r="AM489" s="50" t="str">
        <f t="shared" si="434"/>
        <v>1+2.9001628012629i</v>
      </c>
      <c r="AN489" s="50">
        <f t="shared" si="455"/>
        <v>3.0677262384099842</v>
      </c>
      <c r="AO489" s="50">
        <f t="shared" si="456"/>
        <v>1.2387541592621216</v>
      </c>
      <c r="AP489" s="50" t="str">
        <f t="shared" si="435"/>
        <v>1-14.4709461805634i</v>
      </c>
      <c r="AQ489" s="50">
        <f t="shared" si="457"/>
        <v>14.505457020058433</v>
      </c>
      <c r="AR489" s="50">
        <f t="shared" si="458"/>
        <v>-1.5018020298018768</v>
      </c>
      <c r="AS489" s="59" t="str">
        <f t="shared" si="459"/>
        <v>-0.477104458425293-1.7744074255938i</v>
      </c>
      <c r="AT489" s="50">
        <f t="shared" si="460"/>
        <v>5.2842178218403237</v>
      </c>
      <c r="AU489" s="61">
        <f t="shared" si="461"/>
        <v>-105.04980113096947</v>
      </c>
      <c r="AV489" s="32" t="str">
        <f t="shared" si="436"/>
        <v>-0.0000333333333333333</v>
      </c>
      <c r="AW489" s="32" t="str">
        <f t="shared" si="437"/>
        <v>0.154675349400688i</v>
      </c>
      <c r="AX489" s="32">
        <f t="shared" si="462"/>
        <v>0.154675349400688</v>
      </c>
      <c r="AY489" s="32">
        <f t="shared" si="463"/>
        <v>1.5707963267948966</v>
      </c>
      <c r="AZ489" s="32" t="str">
        <f t="shared" si="438"/>
        <v>1+63.105394286739i</v>
      </c>
      <c r="BA489" s="32">
        <f t="shared" si="464"/>
        <v>63.113317042323104</v>
      </c>
      <c r="BB489" s="32">
        <f t="shared" si="465"/>
        <v>1.5549511471554225</v>
      </c>
      <c r="BC489" s="32" t="str">
        <f t="shared" si="439"/>
        <v>1+3029.05892576348i</v>
      </c>
      <c r="BD489" s="32">
        <f t="shared" si="466"/>
        <v>3029.0590908312447</v>
      </c>
      <c r="BE489" s="32">
        <f t="shared" si="467"/>
        <v>1.57046619126826</v>
      </c>
      <c r="BF489" s="59" t="str">
        <f t="shared" si="468"/>
        <v>-0.000160464870566998+0.0103417040695735i</v>
      </c>
      <c r="BG489" s="50">
        <f t="shared" si="469"/>
        <v>-39.707112415780529</v>
      </c>
      <c r="BH489" s="61">
        <f t="shared" si="470"/>
        <v>90.888946546624879</v>
      </c>
      <c r="BI489" s="59" t="str">
        <f t="shared" si="471"/>
        <v>-0.00214848560698625-0.00123295507230478i</v>
      </c>
      <c r="BJ489" s="64">
        <f t="shared" si="472"/>
        <v>-52.121027150605876</v>
      </c>
      <c r="BK489" s="61">
        <f t="shared" si="473"/>
        <v>-150.14970596513248</v>
      </c>
      <c r="BL489" s="59" t="str">
        <f t="shared" si="425"/>
        <v>0.018426954999513-0.00464934306142748i</v>
      </c>
      <c r="BM489" s="64">
        <f t="shared" si="474"/>
        <v>-34.422894593940207</v>
      </c>
      <c r="BN489" s="61">
        <f t="shared" si="426"/>
        <v>-14.160854584344559</v>
      </c>
      <c r="BO489" s="50">
        <f t="shared" si="475"/>
        <v>-52.121027150605876</v>
      </c>
      <c r="BP489" s="61">
        <f t="shared" si="476"/>
        <v>-150.14970596513248</v>
      </c>
    </row>
    <row r="490" spans="14:68" x14ac:dyDescent="0.25">
      <c r="N490" s="11">
        <v>72</v>
      </c>
      <c r="O490" s="51">
        <f t="shared" si="477"/>
        <v>524807.46024977288</v>
      </c>
      <c r="P490" s="49" t="str">
        <f t="shared" si="427"/>
        <v>25.6231073841137</v>
      </c>
      <c r="Q490" s="18" t="str">
        <f t="shared" si="428"/>
        <v>1+2851.57922615846i</v>
      </c>
      <c r="R490" s="18">
        <f t="shared" si="440"/>
        <v>2851.5794014998919</v>
      </c>
      <c r="S490" s="18">
        <f t="shared" si="441"/>
        <v>1.5704456439347347</v>
      </c>
      <c r="T490" s="18" t="str">
        <f t="shared" si="429"/>
        <v>1+2.96771627100565i</v>
      </c>
      <c r="U490" s="18">
        <f t="shared" si="442"/>
        <v>3.1316672660408358</v>
      </c>
      <c r="V490" s="18">
        <f t="shared" si="443"/>
        <v>1.2457858380842051</v>
      </c>
      <c r="W490" s="32" t="str">
        <f t="shared" si="430"/>
        <v>1-66.4988275540155i</v>
      </c>
      <c r="X490" s="18">
        <f t="shared" si="444"/>
        <v>66.506346058543102</v>
      </c>
      <c r="Y490" s="18">
        <f t="shared" si="445"/>
        <v>-1.5557596010669907</v>
      </c>
      <c r="Z490" s="32" t="str">
        <f t="shared" si="431"/>
        <v>-5.8855717583454+5.26494849559891i</v>
      </c>
      <c r="AA490" s="18">
        <f t="shared" si="446"/>
        <v>7.896811862007489</v>
      </c>
      <c r="AB490" s="18">
        <f t="shared" si="447"/>
        <v>2.4117958041435221</v>
      </c>
      <c r="AC490" s="32" t="str">
        <f>IMDIV(IMSUM(COMPLEX(0,2*PI()*O490*Constants!$B$71*Constants!$B$72),COMPLEX(1,0)),IMSUM(COMPLEX(0,2*PI()*O490*Constants!$B$71*Constants!$B$72),COMPLEX(2,0)))</f>
        <v>0.988762286398544+0.0741118788976465i</v>
      </c>
      <c r="AD490" s="18">
        <f t="shared" si="448"/>
        <v>0.99153589425588418</v>
      </c>
      <c r="AE490" s="18">
        <f t="shared" si="449"/>
        <v>7.4814296428121069E-2</v>
      </c>
      <c r="AF490" s="66" t="str">
        <f t="shared" si="450"/>
        <v>-0.111623239918456+0.206781511369231i</v>
      </c>
      <c r="AG490" s="64">
        <f t="shared" si="451"/>
        <v>-12.579166445485424</v>
      </c>
      <c r="AH490" s="61">
        <f t="shared" si="452"/>
        <v>118.36072707692026</v>
      </c>
      <c r="AI490" s="50" t="str">
        <f t="shared" si="432"/>
        <v>108.866083054159</v>
      </c>
      <c r="AJ490" s="50" t="str">
        <f t="shared" si="433"/>
        <v>1+2697.92388273241i</v>
      </c>
      <c r="AK490" s="50">
        <f t="shared" si="453"/>
        <v>2697.9240680600933</v>
      </c>
      <c r="AL490" s="50">
        <f t="shared" si="454"/>
        <v>1.5704256714325993</v>
      </c>
      <c r="AM490" s="50" t="str">
        <f t="shared" si="434"/>
        <v>1+2.96771627100565i</v>
      </c>
      <c r="AN490" s="50">
        <f t="shared" si="455"/>
        <v>3.1316672660408358</v>
      </c>
      <c r="AO490" s="50">
        <f t="shared" si="456"/>
        <v>1.2457858380842051</v>
      </c>
      <c r="AP490" s="50" t="str">
        <f t="shared" si="435"/>
        <v>1-14.8080178182425i</v>
      </c>
      <c r="AQ490" s="50">
        <f t="shared" si="457"/>
        <v>14.84174490096725</v>
      </c>
      <c r="AR490" s="50">
        <f t="shared" si="458"/>
        <v>-1.5033677206364751</v>
      </c>
      <c r="AS490" s="59" t="str">
        <f t="shared" si="459"/>
        <v>-0.477105166397722-1.81382862833573i</v>
      </c>
      <c r="AT490" s="50">
        <f t="shared" si="460"/>
        <v>5.4624690112562124</v>
      </c>
      <c r="AU490" s="61">
        <f t="shared" si="461"/>
        <v>-104.73711776136597</v>
      </c>
      <c r="AV490" s="32" t="str">
        <f t="shared" si="436"/>
        <v>-0.0000333333333333333</v>
      </c>
      <c r="AW490" s="32" t="str">
        <f t="shared" si="437"/>
        <v>0.158278201120301i</v>
      </c>
      <c r="AX490" s="32">
        <f t="shared" si="462"/>
        <v>0.158278201120301</v>
      </c>
      <c r="AY490" s="32">
        <f t="shared" si="463"/>
        <v>1.5707963267948966</v>
      </c>
      <c r="AZ490" s="32" t="str">
        <f t="shared" si="438"/>
        <v>1+64.5753077487341i</v>
      </c>
      <c r="BA490" s="32">
        <f t="shared" si="464"/>
        <v>64.583050182255406</v>
      </c>
      <c r="BB490" s="32">
        <f t="shared" si="465"/>
        <v>1.5553117691560636</v>
      </c>
      <c r="BC490" s="32" t="str">
        <f t="shared" si="439"/>
        <v>1+3099.61477193924i</v>
      </c>
      <c r="BD490" s="32">
        <f t="shared" si="466"/>
        <v>3099.6149332496043</v>
      </c>
      <c r="BE490" s="32">
        <f t="shared" si="467"/>
        <v>1.57047370606978</v>
      </c>
      <c r="BF490" s="59" t="str">
        <f t="shared" si="468"/>
        <v>-0.000153244493226031+0.0101064099581832i</v>
      </c>
      <c r="BG490" s="50">
        <f t="shared" si="469"/>
        <v>-39.907063365642941</v>
      </c>
      <c r="BH490" s="61">
        <f t="shared" si="470"/>
        <v>90.868714994399539</v>
      </c>
      <c r="BI490" s="59" t="str">
        <f t="shared" si="471"/>
        <v>-0.00207271307883662-0.00115979835139485i</v>
      </c>
      <c r="BJ490" s="64">
        <f t="shared" si="472"/>
        <v>-52.486229811128347</v>
      </c>
      <c r="BK490" s="61">
        <f t="shared" si="473"/>
        <v>-150.77055792868015</v>
      </c>
      <c r="BL490" s="59" t="str">
        <f t="shared" si="425"/>
        <v>0.0184044094512901-0.00454386115583441i</v>
      </c>
      <c r="BM490" s="64">
        <f t="shared" si="474"/>
        <v>-34.444594354386744</v>
      </c>
      <c r="BN490" s="61">
        <f t="shared" si="426"/>
        <v>-13.868402766966437</v>
      </c>
      <c r="BO490" s="50">
        <f t="shared" si="475"/>
        <v>-52.486229811128347</v>
      </c>
      <c r="BP490" s="61">
        <f t="shared" si="476"/>
        <v>-150.77055792868015</v>
      </c>
    </row>
    <row r="491" spans="14:68" x14ac:dyDescent="0.25">
      <c r="N491" s="11">
        <v>73</v>
      </c>
      <c r="O491" s="51">
        <f t="shared" si="477"/>
        <v>537031.7963702539</v>
      </c>
      <c r="P491" s="49" t="str">
        <f t="shared" si="427"/>
        <v>25.6231073841137</v>
      </c>
      <c r="Q491" s="18" t="str">
        <f t="shared" si="428"/>
        <v>1+2918.00103906133i</v>
      </c>
      <c r="R491" s="18">
        <f t="shared" si="440"/>
        <v>2918.001210411504</v>
      </c>
      <c r="S491" s="18">
        <f t="shared" si="441"/>
        <v>1.5704536264505631</v>
      </c>
      <c r="T491" s="18" t="str">
        <f t="shared" si="429"/>
        <v>1+3.03684326319766i</v>
      </c>
      <c r="U491" s="18">
        <f t="shared" si="442"/>
        <v>3.1972514766951021</v>
      </c>
      <c r="V491" s="18">
        <f t="shared" si="443"/>
        <v>1.2526898049943702</v>
      </c>
      <c r="W491" s="32" t="str">
        <f t="shared" si="430"/>
        <v>1-68.0477842309105i</v>
      </c>
      <c r="X491" s="18">
        <f t="shared" si="444"/>
        <v>68.055131612072813</v>
      </c>
      <c r="Y491" s="18">
        <f t="shared" si="445"/>
        <v>-1.5561018288891135</v>
      </c>
      <c r="Z491" s="32" t="str">
        <f t="shared" si="431"/>
        <v>-6.21007875781651+5.38758490026547i</v>
      </c>
      <c r="AA491" s="18">
        <f t="shared" si="446"/>
        <v>8.2213836570161565</v>
      </c>
      <c r="AB491" s="18">
        <f t="shared" si="447"/>
        <v>2.4269948788439226</v>
      </c>
      <c r="AC491" s="32" t="str">
        <f>IMDIV(IMSUM(COMPLEX(0,2*PI()*O491*Constants!$B$71*Constants!$B$72),COMPLEX(1,0)),IMSUM(COMPLEX(0,2*PI()*O491*Constants!$B$71*Constants!$B$72),COMPLEX(2,0)))</f>
        <v>0.989257199830638+0.0724982229382368i</v>
      </c>
      <c r="AD491" s="18">
        <f t="shared" si="448"/>
        <v>0.99191017725697173</v>
      </c>
      <c r="AE491" s="18">
        <f t="shared" si="449"/>
        <v>7.3154735948446611E-2</v>
      </c>
      <c r="AF491" s="66" t="str">
        <f t="shared" si="450"/>
        <v>-0.107406434670655+0.203970633241895i</v>
      </c>
      <c r="AG491" s="64">
        <f t="shared" si="451"/>
        <v>-12.745771305865382</v>
      </c>
      <c r="AH491" s="61">
        <f t="shared" si="452"/>
        <v>117.77030102429542</v>
      </c>
      <c r="AI491" s="50" t="str">
        <f t="shared" si="432"/>
        <v>108.866083054159</v>
      </c>
      <c r="AJ491" s="50" t="str">
        <f t="shared" si="433"/>
        <v>1+2760.76660290697i</v>
      </c>
      <c r="AK491" s="50">
        <f t="shared" si="453"/>
        <v>2760.7667840160807</v>
      </c>
      <c r="AL491" s="50">
        <f t="shared" si="454"/>
        <v>1.5704341085779663</v>
      </c>
      <c r="AM491" s="50" t="str">
        <f t="shared" si="434"/>
        <v>1+3.03684326319766i</v>
      </c>
      <c r="AN491" s="50">
        <f t="shared" si="455"/>
        <v>3.1972514766951021</v>
      </c>
      <c r="AO491" s="50">
        <f t="shared" si="456"/>
        <v>1.2526898049943702</v>
      </c>
      <c r="AP491" s="50" t="str">
        <f t="shared" si="435"/>
        <v>1-15.1529408629762i</v>
      </c>
      <c r="AQ491" s="50">
        <f t="shared" si="457"/>
        <v>15.185901909233245</v>
      </c>
      <c r="AR491" s="50">
        <f t="shared" si="458"/>
        <v>-1.504898091989747</v>
      </c>
      <c r="AS491" s="59" t="str">
        <f t="shared" si="459"/>
        <v>-0.477105842506156-1.85421154700164i</v>
      </c>
      <c r="AT491" s="50">
        <f t="shared" si="460"/>
        <v>5.6416052660434</v>
      </c>
      <c r="AU491" s="61">
        <f t="shared" si="461"/>
        <v>-104.42971682796649</v>
      </c>
      <c r="AV491" s="32" t="str">
        <f t="shared" si="436"/>
        <v>-0.0000333333333333333</v>
      </c>
      <c r="AW491" s="32" t="str">
        <f t="shared" si="437"/>
        <v>0.161964974037208i</v>
      </c>
      <c r="AX491" s="32">
        <f t="shared" si="462"/>
        <v>0.161964974037208</v>
      </c>
      <c r="AY491" s="32">
        <f t="shared" si="463"/>
        <v>1.5707963267948966</v>
      </c>
      <c r="AZ491" s="32" t="str">
        <f t="shared" si="438"/>
        <v>1+66.0794598936528i</v>
      </c>
      <c r="BA491" s="32">
        <f t="shared" si="464"/>
        <v>66.087026108282927</v>
      </c>
      <c r="BB491" s="32">
        <f t="shared" si="465"/>
        <v>1.5556641862898344</v>
      </c>
      <c r="BC491" s="32" t="str">
        <f t="shared" si="439"/>
        <v>1+3171.81407489534i</v>
      </c>
      <c r="BD491" s="32">
        <f t="shared" si="466"/>
        <v>3171.8142325338317</v>
      </c>
      <c r="BE491" s="32">
        <f t="shared" si="467"/>
        <v>1.5704810498135686</v>
      </c>
      <c r="BF491" s="59" t="str">
        <f t="shared" si="468"/>
        <v>-0.000146348934077232+0.00987646433391009i</v>
      </c>
      <c r="BG491" s="50">
        <f t="shared" si="469"/>
        <v>-40.107016522607559</v>
      </c>
      <c r="BH491" s="61">
        <f t="shared" si="470"/>
        <v>90.848943745531315</v>
      </c>
      <c r="BI491" s="59" t="str">
        <f t="shared" si="471"/>
        <v>-0.00199878986715155-0.00109064670601518i</v>
      </c>
      <c r="BJ491" s="64">
        <f t="shared" si="472"/>
        <v>-52.85278782847292</v>
      </c>
      <c r="BK491" s="61">
        <f t="shared" si="473"/>
        <v>-151.38075523017329</v>
      </c>
      <c r="BL491" s="59" t="str">
        <f t="shared" si="425"/>
        <v>0.0183828781429787-0.00444075695355479i</v>
      </c>
      <c r="BM491" s="64">
        <f t="shared" si="474"/>
        <v>-34.465411256564174</v>
      </c>
      <c r="BN491" s="61">
        <f t="shared" si="426"/>
        <v>-13.580773082435217</v>
      </c>
      <c r="BO491" s="50">
        <f t="shared" si="475"/>
        <v>-52.85278782847292</v>
      </c>
      <c r="BP491" s="61">
        <f t="shared" si="476"/>
        <v>-151.38075523017329</v>
      </c>
    </row>
    <row r="492" spans="14:68" x14ac:dyDescent="0.25">
      <c r="N492" s="11">
        <v>74</v>
      </c>
      <c r="O492" s="51">
        <f t="shared" si="477"/>
        <v>549540.87385762564</v>
      </c>
      <c r="P492" s="49" t="str">
        <f t="shared" si="427"/>
        <v>25.6231073841137</v>
      </c>
      <c r="Q492" s="18" t="str">
        <f t="shared" si="428"/>
        <v>1+2985.97001473941i</v>
      </c>
      <c r="R492" s="18">
        <f t="shared" si="440"/>
        <v>2985.9701821891781</v>
      </c>
      <c r="S492" s="18">
        <f t="shared" si="441"/>
        <v>1.5704614272621893</v>
      </c>
      <c r="T492" s="18" t="str">
        <f t="shared" si="429"/>
        <v>1+3.10758042988518i</v>
      </c>
      <c r="U492" s="18">
        <f t="shared" si="442"/>
        <v>3.2645146849425197</v>
      </c>
      <c r="V492" s="18">
        <f t="shared" si="443"/>
        <v>1.2594670870752938</v>
      </c>
      <c r="W492" s="32" t="str">
        <f t="shared" si="430"/>
        <v>1-69.6328207437234i</v>
      </c>
      <c r="X492" s="18">
        <f t="shared" si="444"/>
        <v>69.640000895516323</v>
      </c>
      <c r="Y492" s="18">
        <f t="shared" si="445"/>
        <v>-1.5564362699812004</v>
      </c>
      <c r="Z492" s="32" t="str">
        <f t="shared" si="431"/>
        <v>-6.54987930100506+5.51307787375926i</v>
      </c>
      <c r="AA492" s="18">
        <f t="shared" si="446"/>
        <v>8.561246784193786</v>
      </c>
      <c r="AB492" s="18">
        <f t="shared" si="447"/>
        <v>2.441932972643015</v>
      </c>
      <c r="AC492" s="32" t="str">
        <f>IMDIV(IMSUM(COMPLEX(0,2*PI()*O492*Constants!$B$71*Constants!$B$72),COMPLEX(1,0)),IMSUM(COMPLEX(0,2*PI()*O492*Constants!$B$71*Constants!$B$72),COMPLEX(2,0)))</f>
        <v>0.989730775028467+0.0709165390036107i</v>
      </c>
      <c r="AD492" s="18">
        <f t="shared" si="448"/>
        <v>0.99226819083486739</v>
      </c>
      <c r="AE492" s="18">
        <f t="shared" si="449"/>
        <v>7.1530107002260604E-2</v>
      </c>
      <c r="AF492" s="66" t="str">
        <f t="shared" si="450"/>
        <v>-0.10331845814295+0.201122073458837i</v>
      </c>
      <c r="AG492" s="64">
        <f t="shared" si="451"/>
        <v>-12.913684439828934</v>
      </c>
      <c r="AH492" s="61">
        <f t="shared" si="452"/>
        <v>117.19002755689682</v>
      </c>
      <c r="AI492" s="50" t="str">
        <f t="shared" si="432"/>
        <v>108.866083054159</v>
      </c>
      <c r="AJ492" s="50" t="str">
        <f t="shared" si="433"/>
        <v>1+2825.07311807744i</v>
      </c>
      <c r="AK492" s="50">
        <f t="shared" si="453"/>
        <v>2825.0732950640045</v>
      </c>
      <c r="AL492" s="50">
        <f t="shared" si="454"/>
        <v>1.5704423536705072</v>
      </c>
      <c r="AM492" s="50" t="str">
        <f t="shared" si="434"/>
        <v>1+3.10758042988518i</v>
      </c>
      <c r="AN492" s="50">
        <f t="shared" si="455"/>
        <v>3.2645146849425197</v>
      </c>
      <c r="AO492" s="50">
        <f t="shared" si="456"/>
        <v>1.2594670870752938</v>
      </c>
      <c r="AP492" s="50" t="str">
        <f t="shared" si="435"/>
        <v>1-15.5058981975282i</v>
      </c>
      <c r="AQ492" s="50">
        <f t="shared" si="457"/>
        <v>15.538110532240022</v>
      </c>
      <c r="AR492" s="50">
        <f t="shared" si="458"/>
        <v>-1.5063939265952191</v>
      </c>
      <c r="AS492" s="59" t="str">
        <f t="shared" si="459"/>
        <v>-0.4771064881847-1.89557759315111i</v>
      </c>
      <c r="AT492" s="50">
        <f t="shared" si="460"/>
        <v>5.821594214927349</v>
      </c>
      <c r="AU492" s="61">
        <f t="shared" si="461"/>
        <v>-104.1275845869073</v>
      </c>
      <c r="AV492" s="32" t="str">
        <f t="shared" si="436"/>
        <v>-0.0000333333333333333</v>
      </c>
      <c r="AW492" s="32" t="str">
        <f t="shared" si="437"/>
        <v>0.165737622927209i</v>
      </c>
      <c r="AX492" s="32">
        <f t="shared" si="462"/>
        <v>0.16573762292720901</v>
      </c>
      <c r="AY492" s="32">
        <f t="shared" si="463"/>
        <v>1.5707963267948966</v>
      </c>
      <c r="AZ492" s="32" t="str">
        <f t="shared" si="438"/>
        <v>1+67.6186482428719i</v>
      </c>
      <c r="BA492" s="32">
        <f t="shared" si="464"/>
        <v>67.626042248480303</v>
      </c>
      <c r="BB492" s="32">
        <f t="shared" si="465"/>
        <v>1.5560085850626069</v>
      </c>
      <c r="BC492" s="32" t="str">
        <f t="shared" si="439"/>
        <v>1+3245.69511565786i</v>
      </c>
      <c r="BD492" s="32">
        <f t="shared" si="466"/>
        <v>3245.6952697080615</v>
      </c>
      <c r="BE492" s="32">
        <f t="shared" si="467"/>
        <v>1.5704882263933728</v>
      </c>
      <c r="BF492" s="59" t="str">
        <f t="shared" si="468"/>
        <v>-0.000139763587291753+0.00965174594804602i</v>
      </c>
      <c r="BG492" s="50">
        <f t="shared" si="469"/>
        <v>-40.306971787384029</v>
      </c>
      <c r="BH492" s="61">
        <f t="shared" si="470"/>
        <v>90.829622337116064</v>
      </c>
      <c r="BI492" s="59" t="str">
        <f t="shared" si="471"/>
        <v>-0.00192673899922543-0.00102531305220974i</v>
      </c>
      <c r="BJ492" s="64">
        <f t="shared" si="472"/>
        <v>-53.220656227212977</v>
      </c>
      <c r="BK492" s="61">
        <f t="shared" si="473"/>
        <v>-151.9803501059871</v>
      </c>
      <c r="BL492" s="59" t="str">
        <f t="shared" si="425"/>
        <v>0.0183623154682119-0.00433997788971448i</v>
      </c>
      <c r="BM492" s="64">
        <f t="shared" si="474"/>
        <v>-34.485377572456684</v>
      </c>
      <c r="BN492" s="61">
        <f t="shared" si="426"/>
        <v>-13.297962249791246</v>
      </c>
      <c r="BO492" s="50">
        <f t="shared" si="475"/>
        <v>-53.220656227212977</v>
      </c>
      <c r="BP492" s="61">
        <f t="shared" si="476"/>
        <v>-151.9803501059871</v>
      </c>
    </row>
    <row r="493" spans="14:68" x14ac:dyDescent="0.25">
      <c r="N493" s="11">
        <v>75</v>
      </c>
      <c r="O493" s="51">
        <f t="shared" si="477"/>
        <v>562341.32519035018</v>
      </c>
      <c r="P493" s="49" t="str">
        <f t="shared" si="427"/>
        <v>25.6231073841137</v>
      </c>
      <c r="Q493" s="18" t="str">
        <f t="shared" si="428"/>
        <v>1+3055.52219124331i</v>
      </c>
      <c r="R493" s="18">
        <f t="shared" si="440"/>
        <v>3055.5223548814561</v>
      </c>
      <c r="S493" s="18">
        <f t="shared" si="441"/>
        <v>1.5704690505057037</v>
      </c>
      <c r="T493" s="18" t="str">
        <f t="shared" si="429"/>
        <v>1+3.17996527685032i</v>
      </c>
      <c r="U493" s="18">
        <f t="shared" si="442"/>
        <v>3.3334935371129388</v>
      </c>
      <c r="V493" s="18">
        <f t="shared" si="443"/>
        <v>1.2661187865445602</v>
      </c>
      <c r="W493" s="32" t="str">
        <f t="shared" si="430"/>
        <v>1-71.2547774997942i</v>
      </c>
      <c r="X493" s="18">
        <f t="shared" si="444"/>
        <v>71.261794227658754</v>
      </c>
      <c r="Y493" s="18">
        <f t="shared" si="445"/>
        <v>-1.5567631013689136</v>
      </c>
      <c r="Z493" s="32" t="str">
        <f t="shared" si="431"/>
        <v>-6.90569415042096+5.64149395411594i</v>
      </c>
      <c r="AA493" s="18">
        <f t="shared" si="446"/>
        <v>8.9171220544234426</v>
      </c>
      <c r="AB493" s="18">
        <f t="shared" si="447"/>
        <v>2.4566112630285244</v>
      </c>
      <c r="AC493" s="32" t="str">
        <f>IMDIV(IMSUM(COMPLEX(0,2*PI()*O493*Constants!$B$71*Constants!$B$72),COMPLEX(1,0)),IMSUM(COMPLEX(0,2*PI()*O493*Constants!$B$71*Constants!$B$72),COMPLEX(2,0)))</f>
        <v>0.990183892449775+0.0693664025856538i</v>
      </c>
      <c r="AD493" s="18">
        <f t="shared" si="448"/>
        <v>0.99261061785307481</v>
      </c>
      <c r="AE493" s="18">
        <f t="shared" si="449"/>
        <v>6.993979860645326E-2</v>
      </c>
      <c r="AF493" s="66" t="str">
        <f t="shared" si="450"/>
        <v>-0.099357751339502+0.198241210766301i</v>
      </c>
      <c r="AG493" s="64">
        <f t="shared" si="451"/>
        <v>-13.082861863492091</v>
      </c>
      <c r="AH493" s="61">
        <f t="shared" si="452"/>
        <v>116.61985697550605</v>
      </c>
      <c r="AI493" s="50" t="str">
        <f t="shared" si="432"/>
        <v>108.866083054159</v>
      </c>
      <c r="AJ493" s="50" t="str">
        <f t="shared" si="433"/>
        <v>1+2890.87752440939i</v>
      </c>
      <c r="AK493" s="50">
        <f t="shared" si="453"/>
        <v>2890.8776973672479</v>
      </c>
      <c r="AL493" s="50">
        <f t="shared" si="454"/>
        <v>1.5704504110818751</v>
      </c>
      <c r="AM493" s="50" t="str">
        <f t="shared" si="434"/>
        <v>1+3.17996527685032i</v>
      </c>
      <c r="AN493" s="50">
        <f t="shared" si="455"/>
        <v>3.3334935371129388</v>
      </c>
      <c r="AO493" s="50">
        <f t="shared" si="456"/>
        <v>1.2661187865445602</v>
      </c>
      <c r="AP493" s="50" t="str">
        <f t="shared" si="435"/>
        <v>1-15.8670769645494i</v>
      </c>
      <c r="AQ493" s="50">
        <f t="shared" si="457"/>
        <v>15.898557525729629</v>
      </c>
      <c r="AR493" s="50">
        <f t="shared" si="458"/>
        <v>-1.5078559907734239</v>
      </c>
      <c r="AS493" s="59" t="str">
        <f t="shared" si="459"/>
        <v>-0.477107104802931-1.93794869961082i</v>
      </c>
      <c r="AT493" s="50">
        <f t="shared" si="460"/>
        <v>6.0024043794040596</v>
      </c>
      <c r="AU493" s="61">
        <f t="shared" si="461"/>
        <v>-103.83070204318251</v>
      </c>
      <c r="AV493" s="32" t="str">
        <f t="shared" si="436"/>
        <v>-0.0000333333333333333</v>
      </c>
      <c r="AW493" s="32" t="str">
        <f t="shared" si="437"/>
        <v>0.169598148098684i</v>
      </c>
      <c r="AX493" s="32">
        <f t="shared" si="462"/>
        <v>0.16959814809868401</v>
      </c>
      <c r="AY493" s="32">
        <f t="shared" si="463"/>
        <v>1.5707963267948966</v>
      </c>
      <c r="AZ493" s="32" t="str">
        <f t="shared" si="438"/>
        <v>1+69.1936888944283i</v>
      </c>
      <c r="BA493" s="32">
        <f t="shared" si="464"/>
        <v>69.200914609699566</v>
      </c>
      <c r="BB493" s="32">
        <f t="shared" si="465"/>
        <v>1.5563451477521875</v>
      </c>
      <c r="BC493" s="32" t="str">
        <f t="shared" si="439"/>
        <v>1+3321.29706693256i</v>
      </c>
      <c r="BD493" s="32">
        <f t="shared" si="466"/>
        <v>3321.2972174761512</v>
      </c>
      <c r="BE493" s="32">
        <f t="shared" si="467"/>
        <v>1.5704952396143073</v>
      </c>
      <c r="BF493" s="59" t="str">
        <f t="shared" si="468"/>
        <v>-0.000133474503233041+0.00943213627864689i</v>
      </c>
      <c r="BG493" s="50">
        <f t="shared" si="469"/>
        <v>-40.50692906514675</v>
      </c>
      <c r="BH493" s="61">
        <f t="shared" si="470"/>
        <v>90.810740543421886</v>
      </c>
      <c r="BI493" s="59" t="str">
        <f t="shared" si="471"/>
        <v>-0.00185657638948932-0.000963615998101442i</v>
      </c>
      <c r="BJ493" s="64">
        <f t="shared" si="472"/>
        <v>-53.589790928638841</v>
      </c>
      <c r="BK493" s="61">
        <f t="shared" si="473"/>
        <v>-152.56940248107205</v>
      </c>
      <c r="BL493" s="59" t="str">
        <f t="shared" si="425"/>
        <v>0.0183426778695583-0.00424147249204024i</v>
      </c>
      <c r="BM493" s="64">
        <f t="shared" si="474"/>
        <v>-34.504524685742687</v>
      </c>
      <c r="BN493" s="61">
        <f t="shared" si="426"/>
        <v>-13.019961499760633</v>
      </c>
      <c r="BO493" s="50">
        <f t="shared" si="475"/>
        <v>-53.589790928638841</v>
      </c>
      <c r="BP493" s="61">
        <f t="shared" si="476"/>
        <v>-152.56940248107205</v>
      </c>
    </row>
    <row r="494" spans="14:68" x14ac:dyDescent="0.25">
      <c r="N494" s="11">
        <v>76</v>
      </c>
      <c r="O494" s="51">
        <f t="shared" si="477"/>
        <v>575439.93733715697</v>
      </c>
      <c r="P494" s="49" t="str">
        <f t="shared" si="427"/>
        <v>25.6231073841137</v>
      </c>
      <c r="Q494" s="18" t="str">
        <f t="shared" si="428"/>
        <v>1+3126.69444605761i</v>
      </c>
      <c r="R494" s="18">
        <f t="shared" si="440"/>
        <v>3126.6946059708971</v>
      </c>
      <c r="S494" s="18">
        <f t="shared" si="441"/>
        <v>1.570476500223047</v>
      </c>
      <c r="T494" s="18" t="str">
        <f t="shared" si="429"/>
        <v>1+3.25403618349706i</v>
      </c>
      <c r="U494" s="18">
        <f t="shared" si="442"/>
        <v>3.4042255335844169</v>
      </c>
      <c r="V494" s="18">
        <f t="shared" si="443"/>
        <v>1.2726460749486872</v>
      </c>
      <c r="W494" s="32" t="str">
        <f t="shared" si="430"/>
        <v>1-72.9145144820636i</v>
      </c>
      <c r="X494" s="18">
        <f t="shared" si="444"/>
        <v>72.921371504896015</v>
      </c>
      <c r="Y494" s="18">
        <f t="shared" si="445"/>
        <v>-1.5570824960631267</v>
      </c>
      <c r="Z494" s="32" t="str">
        <f t="shared" si="431"/>
        <v>-7.2782780370648+5.77290122924107i</v>
      </c>
      <c r="AA494" s="18">
        <f t="shared" si="446"/>
        <v>9.2897642482138849</v>
      </c>
      <c r="AB494" s="18">
        <f t="shared" si="447"/>
        <v>2.471031133638276</v>
      </c>
      <c r="AC494" s="32" t="str">
        <f>IMDIV(IMSUM(COMPLEX(0,2*PI()*O494*Constants!$B$71*Constants!$B$72),COMPLEX(1,0)),IMSUM(COMPLEX(0,2*PI()*O494*Constants!$B$71*Constants!$B$72),COMPLEX(2,0)))</f>
        <v>0.990617399645005+0.0678473801121001i</v>
      </c>
      <c r="AD494" s="18">
        <f t="shared" si="448"/>
        <v>0.99293811462120196</v>
      </c>
      <c r="AE494" s="18">
        <f t="shared" si="449"/>
        <v>6.8383202000542639E-2</v>
      </c>
      <c r="AF494" s="66" t="str">
        <f t="shared" si="450"/>
        <v>-0.0955225721171567+0.195333189926079i</v>
      </c>
      <c r="AG494" s="64">
        <f t="shared" si="451"/>
        <v>-13.253260514091462</v>
      </c>
      <c r="AH494" s="61">
        <f t="shared" si="452"/>
        <v>116.05973210440109</v>
      </c>
      <c r="AI494" s="50" t="str">
        <f t="shared" si="432"/>
        <v>108.866083054159</v>
      </c>
      <c r="AJ494" s="50" t="str">
        <f t="shared" si="433"/>
        <v>1+2958.21471227005i</v>
      </c>
      <c r="AK494" s="50">
        <f t="shared" si="453"/>
        <v>2958.2148812909068</v>
      </c>
      <c r="AL494" s="50">
        <f t="shared" si="454"/>
        <v>1.5704582850842117</v>
      </c>
      <c r="AM494" s="50" t="str">
        <f t="shared" si="434"/>
        <v>1+3.25403618349706i</v>
      </c>
      <c r="AN494" s="50">
        <f t="shared" si="455"/>
        <v>3.4042255335844169</v>
      </c>
      <c r="AO494" s="50">
        <f t="shared" si="456"/>
        <v>1.2726460749486872</v>
      </c>
      <c r="AP494" s="50" t="str">
        <f t="shared" si="435"/>
        <v>1-16.2366686658027i</v>
      </c>
      <c r="AQ494" s="50">
        <f t="shared" si="457"/>
        <v>16.267434012869369</v>
      </c>
      <c r="AR494" s="50">
        <f t="shared" si="458"/>
        <v>-1.5092850347132067</v>
      </c>
      <c r="AS494" s="59" t="str">
        <f t="shared" si="459"/>
        <v>-0.477107693668776-1.98134733210364i</v>
      </c>
      <c r="AT494" s="50">
        <f t="shared" si="460"/>
        <v>6.1840051727001955</v>
      </c>
      <c r="AU494" s="61">
        <f t="shared" si="461"/>
        <v>-103.53904529955142</v>
      </c>
      <c r="AV494" s="32" t="str">
        <f t="shared" si="436"/>
        <v>-0.0000333333333333333</v>
      </c>
      <c r="AW494" s="32" t="str">
        <f t="shared" si="437"/>
        <v>0.173548596453176i</v>
      </c>
      <c r="AX494" s="32">
        <f t="shared" si="462"/>
        <v>0.173548596453176</v>
      </c>
      <c r="AY494" s="32">
        <f t="shared" si="463"/>
        <v>1.5707963267948966</v>
      </c>
      <c r="AZ494" s="32" t="str">
        <f t="shared" si="438"/>
        <v>1+70.805416955723i</v>
      </c>
      <c r="BA494" s="32">
        <f t="shared" si="464"/>
        <v>70.812478210226388</v>
      </c>
      <c r="BB494" s="32">
        <f t="shared" si="465"/>
        <v>1.5566740525034022</v>
      </c>
      <c r="BC494" s="32" t="str">
        <f t="shared" si="439"/>
        <v>1+3398.66001387471i</v>
      </c>
      <c r="BD494" s="32">
        <f t="shared" si="466"/>
        <v>3398.660160991511</v>
      </c>
      <c r="BE494" s="32">
        <f t="shared" si="467"/>
        <v>1.5705020931948719</v>
      </c>
      <c r="BF494" s="59" t="str">
        <f t="shared" si="468"/>
        <v>-0.000127468359026912+0.00921751947067662i</v>
      </c>
      <c r="BG494" s="50">
        <f t="shared" si="469"/>
        <v>-40.706888265334115</v>
      </c>
      <c r="BH494" s="61">
        <f t="shared" si="470"/>
        <v>90.792288370556392</v>
      </c>
      <c r="BI494" s="59" t="str">
        <f t="shared" si="471"/>
        <v>-0.0017883113758952-0.000905379969562373i</v>
      </c>
      <c r="BJ494" s="64">
        <f t="shared" si="472"/>
        <v>-53.96014877942558</v>
      </c>
      <c r="BK494" s="61">
        <f t="shared" si="473"/>
        <v>-153.14797952504247</v>
      </c>
      <c r="BL494" s="59" t="str">
        <f t="shared" si="425"/>
        <v>0.0183239237466295-0.00414519036291596i</v>
      </c>
      <c r="BM494" s="64">
        <f t="shared" si="474"/>
        <v>-34.522883092633933</v>
      </c>
      <c r="BN494" s="61">
        <f t="shared" si="426"/>
        <v>-12.746756928995081</v>
      </c>
      <c r="BO494" s="50">
        <f t="shared" si="475"/>
        <v>-53.96014877942558</v>
      </c>
      <c r="BP494" s="61">
        <f t="shared" si="476"/>
        <v>-153.14797952504247</v>
      </c>
    </row>
    <row r="495" spans="14:68" x14ac:dyDescent="0.25">
      <c r="N495" s="11">
        <v>77</v>
      </c>
      <c r="O495" s="51">
        <f t="shared" si="477"/>
        <v>588843.65535558888</v>
      </c>
      <c r="P495" s="49" t="str">
        <f t="shared" si="427"/>
        <v>25.6231073841137</v>
      </c>
      <c r="Q495" s="18" t="str">
        <f t="shared" si="428"/>
        <v>1+3199.5245156539i</v>
      </c>
      <c r="R495" s="18">
        <f t="shared" si="440"/>
        <v>3199.5246719271167</v>
      </c>
      <c r="S495" s="18">
        <f t="shared" si="441"/>
        <v>1.5704837803641549</v>
      </c>
      <c r="T495" s="18" t="str">
        <f t="shared" si="429"/>
        <v>1+3.32983242320055i</v>
      </c>
      <c r="U495" s="18">
        <f t="shared" si="442"/>
        <v>3.4767490514268706</v>
      </c>
      <c r="V495" s="18">
        <f t="shared" si="443"/>
        <v>1.2790501875517417</v>
      </c>
      <c r="W495" s="32" t="str">
        <f t="shared" si="430"/>
        <v>1-74.6129117050493i</v>
      </c>
      <c r="X495" s="18">
        <f t="shared" si="444"/>
        <v>74.619612657165959</v>
      </c>
      <c r="Y495" s="18">
        <f t="shared" si="445"/>
        <v>-1.5573946231503257</v>
      </c>
      <c r="Z495" s="32" t="str">
        <f t="shared" si="431"/>
        <v>-7.66842126131329+5.90736937301134i</v>
      </c>
      <c r="AA495" s="18">
        <f t="shared" si="446"/>
        <v>9.6799637163655792</v>
      </c>
      <c r="AB495" s="18">
        <f t="shared" si="447"/>
        <v>2.485194161453419</v>
      </c>
      <c r="AC495" s="32" t="str">
        <f>IMDIV(IMSUM(COMPLEX(0,2*PI()*O495*Constants!$B$71*Constants!$B$72),COMPLEX(1,0)),IMSUM(COMPLEX(0,2*PI()*O495*Constants!$B$71*Constants!$B$72),COMPLEX(2,0)))</f>
        <v>0.991032112186058+0.0663590302455346i</v>
      </c>
      <c r="AD495" s="18">
        <f t="shared" si="448"/>
        <v>0.99325131174294823</v>
      </c>
      <c r="AE495" s="18">
        <f t="shared" si="449"/>
        <v>6.6859711312211315E-2</v>
      </c>
      <c r="AF495" s="66" t="str">
        <f t="shared" si="450"/>
        <v>-0.0918110138785752+0.192402920583003i</v>
      </c>
      <c r="AG495" s="64">
        <f t="shared" si="451"/>
        <v>-13.424838274479853</v>
      </c>
      <c r="AH495" s="61">
        <f t="shared" si="452"/>
        <v>115.50958873645168</v>
      </c>
      <c r="AI495" s="50" t="str">
        <f t="shared" si="432"/>
        <v>108.866083054159</v>
      </c>
      <c r="AJ495" s="50" t="str">
        <f t="shared" si="433"/>
        <v>1+3027.12038472777i</v>
      </c>
      <c r="AK495" s="50">
        <f t="shared" si="453"/>
        <v>3027.1205499012431</v>
      </c>
      <c r="AL495" s="50">
        <f t="shared" si="454"/>
        <v>1.5704659798524134</v>
      </c>
      <c r="AM495" s="50" t="str">
        <f t="shared" si="434"/>
        <v>1+3.32983242320055i</v>
      </c>
      <c r="AN495" s="50">
        <f t="shared" si="455"/>
        <v>3.4767490514268706</v>
      </c>
      <c r="AO495" s="50">
        <f t="shared" si="456"/>
        <v>1.2790501875517417</v>
      </c>
      <c r="AP495" s="50" t="str">
        <f t="shared" si="435"/>
        <v>1-16.6148692637004i</v>
      </c>
      <c r="AQ495" s="50">
        <f t="shared" si="457"/>
        <v>16.644935585632531</v>
      </c>
      <c r="AR495" s="50">
        <f t="shared" si="458"/>
        <v>-1.5106817927526404</v>
      </c>
      <c r="AS495" s="59" t="str">
        <f t="shared" si="459"/>
        <v>-0.477108256031299-2.02579650116025i</v>
      </c>
      <c r="AT495" s="50">
        <f t="shared" si="460"/>
        <v>6.3663668964752986</v>
      </c>
      <c r="AU495" s="61">
        <f t="shared" si="461"/>
        <v>-103.25258589427268</v>
      </c>
      <c r="AV495" s="32" t="str">
        <f t="shared" si="436"/>
        <v>-0.0000333333333333333</v>
      </c>
      <c r="AW495" s="32" t="str">
        <f t="shared" si="437"/>
        <v>0.177591062570696i</v>
      </c>
      <c r="AX495" s="32">
        <f t="shared" si="462"/>
        <v>0.17759106257069601</v>
      </c>
      <c r="AY495" s="32">
        <f t="shared" si="463"/>
        <v>1.5707963267948966</v>
      </c>
      <c r="AZ495" s="32" t="str">
        <f t="shared" si="438"/>
        <v>1+72.4546869863082i</v>
      </c>
      <c r="BA495" s="32">
        <f t="shared" si="464"/>
        <v>72.461587522520503</v>
      </c>
      <c r="BB495" s="32">
        <f t="shared" si="465"/>
        <v>1.5569954734210973</v>
      </c>
      <c r="BC495" s="32" t="str">
        <f t="shared" si="439"/>
        <v>1+3477.8249753428i</v>
      </c>
      <c r="BD495" s="32">
        <f t="shared" si="466"/>
        <v>3477.8251191108143</v>
      </c>
      <c r="BE495" s="32">
        <f t="shared" si="467"/>
        <v>1.5705087907689232</v>
      </c>
      <c r="BF495" s="59" t="str">
        <f t="shared" si="468"/>
        <v>-0.000121732430447094+0.00900778227736546i</v>
      </c>
      <c r="BG495" s="50">
        <f t="shared" si="469"/>
        <v>-40.906849301457513</v>
      </c>
      <c r="BH495" s="61">
        <f t="shared" si="470"/>
        <v>90.774256051251328</v>
      </c>
      <c r="BI495" s="59" t="str">
        <f t="shared" si="471"/>
        <v>-0.00172194724027968-0.000850435298830072i</v>
      </c>
      <c r="BJ495" s="64">
        <f t="shared" si="472"/>
        <v>-54.331687575937352</v>
      </c>
      <c r="BK495" s="61">
        <f t="shared" si="473"/>
        <v>-153.71615521229702</v>
      </c>
      <c r="BL495" s="59" t="str">
        <f t="shared" si="425"/>
        <v>0.0183060133682933-0.00405108216138602i</v>
      </c>
      <c r="BM495" s="64">
        <f t="shared" si="474"/>
        <v>-34.540482404982221</v>
      </c>
      <c r="BN495" s="61">
        <f t="shared" si="426"/>
        <v>-12.47832984302136</v>
      </c>
      <c r="BO495" s="50">
        <f t="shared" si="475"/>
        <v>-54.331687575937352</v>
      </c>
      <c r="BP495" s="61">
        <f t="shared" si="476"/>
        <v>-153.71615521229702</v>
      </c>
    </row>
    <row r="496" spans="14:68" x14ac:dyDescent="0.25">
      <c r="N496" s="11">
        <v>78</v>
      </c>
      <c r="O496" s="51">
        <f t="shared" si="477"/>
        <v>602559.58607435878</v>
      </c>
      <c r="P496" s="49" t="str">
        <f t="shared" si="427"/>
        <v>25.6231073841137</v>
      </c>
      <c r="Q496" s="18" t="str">
        <f t="shared" si="428"/>
        <v>1+3274.05101549911i</v>
      </c>
      <c r="R496" s="18">
        <f t="shared" si="440"/>
        <v>3274.0511682151141</v>
      </c>
      <c r="S496" s="18">
        <f t="shared" si="441"/>
        <v>1.5704908947890512</v>
      </c>
      <c r="T496" s="18" t="str">
        <f t="shared" si="429"/>
        <v>1+3.40739418413036i</v>
      </c>
      <c r="U496" s="18">
        <f t="shared" si="442"/>
        <v>3.5511033674120784</v>
      </c>
      <c r="V496" s="18">
        <f t="shared" si="443"/>
        <v>1.2853324179255834</v>
      </c>
      <c r="W496" s="32" t="str">
        <f t="shared" si="430"/>
        <v>1-76.3508696814395i</v>
      </c>
      <c r="X496" s="18">
        <f t="shared" si="444"/>
        <v>76.357418114497293</v>
      </c>
      <c r="Y496" s="18">
        <f t="shared" si="445"/>
        <v>-1.5576996478810161</v>
      </c>
      <c r="Z496" s="32" t="str">
        <f t="shared" si="431"/>
        <v>-8.07695136925251+6.04496968221645i</v>
      </c>
      <c r="AA496" s="18">
        <f t="shared" si="446"/>
        <v>10.088548056097371</v>
      </c>
      <c r="AB496" s="18">
        <f t="shared" si="447"/>
        <v>2.4991021042404356</v>
      </c>
      <c r="AC496" s="32" t="str">
        <f>IMDIV(IMSUM(COMPLEX(0,2*PI()*O496*Constants!$B$71*Constants!$B$72),COMPLEX(1,0)),IMSUM(COMPLEX(0,2*PI()*O496*Constants!$B$71*Constants!$B$72),COMPLEX(2,0)))</f>
        <v>0.991428814597034+0.0649009050959291i</v>
      </c>
      <c r="AD496" s="18">
        <f t="shared" si="448"/>
        <v>0.99355081495389586</v>
      </c>
      <c r="AE496" s="18">
        <f t="shared" si="449"/>
        <v>6.5368724166515416E-2</v>
      </c>
      <c r="AF496" s="66" t="str">
        <f t="shared" si="450"/>
        <v>-0.0882210235430435+0.189455077336749i</v>
      </c>
      <c r="AG496" s="64">
        <f t="shared" si="451"/>
        <v>-13.597553993453708</v>
      </c>
      <c r="AH496" s="61">
        <f t="shared" si="452"/>
        <v>114.96935607240387</v>
      </c>
      <c r="AI496" s="50" t="str">
        <f t="shared" si="432"/>
        <v>108.866083054159</v>
      </c>
      <c r="AJ496" s="50" t="str">
        <f t="shared" si="433"/>
        <v>1+3097.63107648215i</v>
      </c>
      <c r="AK496" s="50">
        <f t="shared" si="453"/>
        <v>3097.6312378958155</v>
      </c>
      <c r="AL496" s="50">
        <f t="shared" si="454"/>
        <v>1.5704734994663445</v>
      </c>
      <c r="AM496" s="50" t="str">
        <f t="shared" si="434"/>
        <v>1+3.40739418413036i</v>
      </c>
      <c r="AN496" s="50">
        <f t="shared" si="455"/>
        <v>3.5511033674120784</v>
      </c>
      <c r="AO496" s="50">
        <f t="shared" si="456"/>
        <v>1.2853324179255834</v>
      </c>
      <c r="AP496" s="50" t="str">
        <f t="shared" si="435"/>
        <v>1-17.0018792852055i</v>
      </c>
      <c r="AQ496" s="50">
        <f t="shared" si="457"/>
        <v>17.031262408544467</v>
      </c>
      <c r="AR496" s="50">
        <f t="shared" si="458"/>
        <v>-1.512046983659163</v>
      </c>
      <c r="AS496" s="59" t="str">
        <f t="shared" si="459"/>
        <v>-0.477108793083341-2.07131977431963i</v>
      </c>
      <c r="AT496" s="50">
        <f t="shared" si="460"/>
        <v>6.5494607354549439</v>
      </c>
      <c r="AU496" s="61">
        <f t="shared" si="461"/>
        <v>-102.97129112723781</v>
      </c>
      <c r="AV496" s="32" t="str">
        <f t="shared" si="436"/>
        <v>-0.0000333333333333333</v>
      </c>
      <c r="AW496" s="32" t="str">
        <f t="shared" si="437"/>
        <v>0.181727689820286i</v>
      </c>
      <c r="AX496" s="32">
        <f t="shared" si="462"/>
        <v>0.181727689820286</v>
      </c>
      <c r="AY496" s="32">
        <f t="shared" si="463"/>
        <v>1.5707963267948966</v>
      </c>
      <c r="AZ496" s="32" t="str">
        <f t="shared" si="438"/>
        <v>1+74.1423734509847i</v>
      </c>
      <c r="BA496" s="32">
        <f t="shared" si="464"/>
        <v>74.149116926267453</v>
      </c>
      <c r="BB496" s="32">
        <f t="shared" si="465"/>
        <v>1.5573095806610942</v>
      </c>
      <c r="BC496" s="32" t="str">
        <f t="shared" si="439"/>
        <v>1+3558.83392564727i</v>
      </c>
      <c r="BD496" s="32">
        <f t="shared" si="466"/>
        <v>3558.8340661427246</v>
      </c>
      <c r="BE496" s="32">
        <f t="shared" si="467"/>
        <v>1.5705153358876012</v>
      </c>
      <c r="BF496" s="59" t="str">
        <f t="shared" si="468"/>
        <v>-0.000116254565057832+0.00880281400276712i</v>
      </c>
      <c r="BG496" s="50">
        <f t="shared" si="469"/>
        <v>-41.106812090917586</v>
      </c>
      <c r="BH496" s="61">
        <f t="shared" si="470"/>
        <v>90.756634039761678</v>
      </c>
      <c r="BI496" s="59" t="str">
        <f t="shared" si="471"/>
        <v>-0.00165748171095431-0.000798618278996933i</v>
      </c>
      <c r="BJ496" s="64">
        <f t="shared" si="472"/>
        <v>-54.704366084371287</v>
      </c>
      <c r="BK496" s="61">
        <f t="shared" si="473"/>
        <v>-154.27400988783447</v>
      </c>
      <c r="BL496" s="59" t="str">
        <f t="shared" si="425"/>
        <v>0.0182889087888144-0.00395909958513814i</v>
      </c>
      <c r="BM496" s="64">
        <f t="shared" si="474"/>
        <v>-34.557351355462657</v>
      </c>
      <c r="BN496" s="61">
        <f t="shared" si="426"/>
        <v>-12.21465708747616</v>
      </c>
      <c r="BO496" s="50">
        <f t="shared" si="475"/>
        <v>-54.704366084371287</v>
      </c>
      <c r="BP496" s="61">
        <f t="shared" si="476"/>
        <v>-154.27400988783447</v>
      </c>
    </row>
    <row r="497" spans="14:68" x14ac:dyDescent="0.25">
      <c r="N497" s="11">
        <v>79</v>
      </c>
      <c r="O497" s="51">
        <f t="shared" si="477"/>
        <v>616595.00186148309</v>
      </c>
      <c r="P497" s="49" t="str">
        <f t="shared" si="427"/>
        <v>25.6231073841137</v>
      </c>
      <c r="Q497" s="18" t="str">
        <f t="shared" si="428"/>
        <v>1+3350.31346052993i</v>
      </c>
      <c r="R497" s="18">
        <f t="shared" si="440"/>
        <v>3350.3136097696943</v>
      </c>
      <c r="S497" s="18">
        <f t="shared" si="441"/>
        <v>1.5704978472698956</v>
      </c>
      <c r="T497" s="18" t="str">
        <f t="shared" si="429"/>
        <v>1+3.4867625905588i</v>
      </c>
      <c r="U497" s="18">
        <f t="shared" si="442"/>
        <v>3.6273286814018268</v>
      </c>
      <c r="V497" s="18">
        <f t="shared" si="443"/>
        <v>1.2914941127470145</v>
      </c>
      <c r="W497" s="32" t="str">
        <f t="shared" si="430"/>
        <v>1-78.1293098995583i</v>
      </c>
      <c r="X497" s="18">
        <f t="shared" si="444"/>
        <v>78.135709284431655</v>
      </c>
      <c r="Y497" s="18">
        <f t="shared" si="445"/>
        <v>-1.5579977317561813</v>
      </c>
      <c r="Z497" s="32" t="str">
        <f t="shared" si="431"/>
        <v>-8.50473490801403+6.18577511436172i</v>
      </c>
      <c r="AA497" s="18">
        <f t="shared" si="446"/>
        <v>10.51638386618942</v>
      </c>
      <c r="AB497" s="18">
        <f t="shared" si="447"/>
        <v>2.5127568882763325</v>
      </c>
      <c r="AC497" s="32" t="str">
        <f>IMDIV(IMSUM(COMPLEX(0,2*PI()*O497*Constants!$B$71*Constants!$B$72),COMPLEX(1,0)),IMSUM(COMPLEX(0,2*PI()*O497*Constants!$B$71*Constants!$B$72),COMPLEX(2,0)))</f>
        <v>0.991808261283621+0.0634725513508967i</v>
      </c>
      <c r="AD497" s="18">
        <f t="shared" si="448"/>
        <v>0.99383720594744884</v>
      </c>
      <c r="AE497" s="18">
        <f t="shared" si="449"/>
        <v>6.3909642242131387E-2</v>
      </c>
      <c r="AF497" s="66" t="str">
        <f t="shared" si="450"/>
        <v>-0.0847504187452398+0.186494100907856i</v>
      </c>
      <c r="AG497" s="64">
        <f t="shared" si="451"/>
        <v>-13.771367502119285</v>
      </c>
      <c r="AH497" s="61">
        <f t="shared" si="452"/>
        <v>114.43895715287141</v>
      </c>
      <c r="AI497" s="50" t="str">
        <f t="shared" si="432"/>
        <v>108.866083054159</v>
      </c>
      <c r="AJ497" s="50" t="str">
        <f t="shared" si="433"/>
        <v>1+3169.78417323527i</v>
      </c>
      <c r="AK497" s="50">
        <f t="shared" si="453"/>
        <v>3169.7843309747118</v>
      </c>
      <c r="AL497" s="50">
        <f t="shared" si="454"/>
        <v>1.5704808479130006</v>
      </c>
      <c r="AM497" s="50" t="str">
        <f t="shared" si="434"/>
        <v>1+3.4867625905588i</v>
      </c>
      <c r="AN497" s="50">
        <f t="shared" si="455"/>
        <v>3.6273286814018268</v>
      </c>
      <c r="AO497" s="50">
        <f t="shared" si="456"/>
        <v>1.2914941127470145</v>
      </c>
      <c r="AP497" s="50" t="str">
        <f t="shared" si="435"/>
        <v>1-17.3979039281542i</v>
      </c>
      <c r="AQ497" s="50">
        <f t="shared" si="457"/>
        <v>17.426619324851373</v>
      </c>
      <c r="AR497" s="50">
        <f t="shared" si="458"/>
        <v>-1.5133813109086049</v>
      </c>
      <c r="AS497" s="59" t="str">
        <f t="shared" si="459"/>
        <v>-0.477109305964074-2.11794128862492i</v>
      </c>
      <c r="AT497" s="50">
        <f t="shared" si="460"/>
        <v>6.7332587501781642</v>
      </c>
      <c r="AU497" s="61">
        <f t="shared" si="461"/>
        <v>-102.69512437418399</v>
      </c>
      <c r="AV497" s="32" t="str">
        <f t="shared" si="436"/>
        <v>-0.0000333333333333333</v>
      </c>
      <c r="AW497" s="32" t="str">
        <f t="shared" si="437"/>
        <v>0.185960671496469i</v>
      </c>
      <c r="AX497" s="32">
        <f t="shared" si="462"/>
        <v>0.185960671496469</v>
      </c>
      <c r="AY497" s="32">
        <f t="shared" si="463"/>
        <v>1.5707963267948966</v>
      </c>
      <c r="AZ497" s="32" t="str">
        <f t="shared" si="438"/>
        <v>1+75.8693711834554i</v>
      </c>
      <c r="BA497" s="32">
        <f t="shared" si="464"/>
        <v>75.87596117198737</v>
      </c>
      <c r="BB497" s="32">
        <f t="shared" si="465"/>
        <v>1.5576165405191396</v>
      </c>
      <c r="BC497" s="32" t="str">
        <f t="shared" si="439"/>
        <v>1+3641.72981680586i</v>
      </c>
      <c r="BD497" s="32">
        <f t="shared" si="466"/>
        <v>3641.7299541032476</v>
      </c>
      <c r="BE497" s="32">
        <f t="shared" si="467"/>
        <v>1.5705217320212121</v>
      </c>
      <c r="BF497" s="59" t="str">
        <f t="shared" si="468"/>
        <v>-0.000111023156557676+0.00860250644549359i</v>
      </c>
      <c r="BG497" s="50">
        <f t="shared" si="469"/>
        <v>-41.306776554829916</v>
      </c>
      <c r="BH497" s="61">
        <f t="shared" si="470"/>
        <v>90.739413006876859</v>
      </c>
      <c r="BI497" s="59" t="str">
        <f t="shared" si="471"/>
        <v>-0.00159490744609768-0.000749771187276382i</v>
      </c>
      <c r="BJ497" s="64">
        <f t="shared" si="472"/>
        <v>-55.078144056949213</v>
      </c>
      <c r="BK497" s="61">
        <f t="shared" si="473"/>
        <v>-154.82162984025169</v>
      </c>
      <c r="BL497" s="59" t="str">
        <f t="shared" si="425"/>
        <v>0.018272573767744-0.00386919535249395i</v>
      </c>
      <c r="BM497" s="64">
        <f t="shared" si="474"/>
        <v>-34.573517804651772</v>
      </c>
      <c r="BN497" s="61">
        <f t="shared" si="426"/>
        <v>-11.955711367307167</v>
      </c>
      <c r="BO497" s="50">
        <f t="shared" si="475"/>
        <v>-55.078144056949213</v>
      </c>
      <c r="BP497" s="61">
        <f t="shared" si="476"/>
        <v>-154.82162984025169</v>
      </c>
    </row>
    <row r="498" spans="14:68" x14ac:dyDescent="0.25">
      <c r="N498" s="11">
        <v>80</v>
      </c>
      <c r="O498" s="51">
        <f t="shared" si="477"/>
        <v>630957.34448019415</v>
      </c>
      <c r="P498" s="49" t="str">
        <f t="shared" si="427"/>
        <v>25.6231073841137</v>
      </c>
      <c r="Q498" s="18" t="str">
        <f t="shared" si="428"/>
        <v>1+3428.35228610416i</v>
      </c>
      <c r="R498" s="18">
        <f t="shared" si="440"/>
        <v>3428.352431946812</v>
      </c>
      <c r="S498" s="18">
        <f t="shared" si="441"/>
        <v>1.5705046414929826</v>
      </c>
      <c r="T498" s="18" t="str">
        <f t="shared" si="429"/>
        <v>1+3.5679797246655i</v>
      </c>
      <c r="U498" s="18">
        <f t="shared" si="442"/>
        <v>3.7054661401265152</v>
      </c>
      <c r="V498" s="18">
        <f t="shared" si="443"/>
        <v>1.2975366668054775</v>
      </c>
      <c r="W498" s="32" t="str">
        <f t="shared" si="430"/>
        <v>1-79.9491753119492i</v>
      </c>
      <c r="X498" s="18">
        <f t="shared" si="444"/>
        <v>79.955429040564766</v>
      </c>
      <c r="Y498" s="18">
        <f t="shared" si="445"/>
        <v>-1.5582890326118282</v>
      </c>
      <c r="Z498" s="32" t="str">
        <f t="shared" si="431"/>
        <v>-8.95267926383741+6.32986032635102i</v>
      </c>
      <c r="AA498" s="18">
        <f t="shared" si="446"/>
        <v>10.964378584865493</v>
      </c>
      <c r="AB498" s="18">
        <f t="shared" si="447"/>
        <v>2.5261605963868732</v>
      </c>
      <c r="AC498" s="32" t="str">
        <f>IMDIV(IMSUM(COMPLEX(0,2*PI()*O498*Constants!$B$71*Constants!$B$72),COMPLEX(1,0)),IMSUM(COMPLEX(0,2*PI()*O498*Constants!$B$71*Constants!$B$72),COMPLEX(2,0)))</f>
        <v>0.992171177458107+0.0620735113277337i</v>
      </c>
      <c r="AD498" s="18">
        <f t="shared" si="448"/>
        <v>0.99411104318741017</v>
      </c>
      <c r="AE498" s="18">
        <f t="shared" si="449"/>
        <v>6.2481871777836116E-2</v>
      </c>
      <c r="AF498" s="66" t="str">
        <f t="shared" si="450"/>
        <v>-0.0813969042237348+0.183524200289861i</v>
      </c>
      <c r="AG498" s="64">
        <f t="shared" si="451"/>
        <v>-13.946239626517706</v>
      </c>
      <c r="AH498" s="61">
        <f t="shared" si="452"/>
        <v>113.91830928171917</v>
      </c>
      <c r="AI498" s="50" t="str">
        <f t="shared" si="432"/>
        <v>108.866083054159</v>
      </c>
      <c r="AJ498" s="50" t="str">
        <f t="shared" si="433"/>
        <v>1+3243.6179315141i</v>
      </c>
      <c r="AK498" s="50">
        <f t="shared" si="453"/>
        <v>3243.6180856629539</v>
      </c>
      <c r="AL498" s="50">
        <f t="shared" si="454"/>
        <v>1.5704880290886218</v>
      </c>
      <c r="AM498" s="50" t="str">
        <f t="shared" si="434"/>
        <v>1+3.5679797246655i</v>
      </c>
      <c r="AN498" s="50">
        <f t="shared" si="455"/>
        <v>3.7054661401265152</v>
      </c>
      <c r="AO498" s="50">
        <f t="shared" si="456"/>
        <v>1.2975366668054775</v>
      </c>
      <c r="AP498" s="50" t="str">
        <f t="shared" si="435"/>
        <v>1-17.8031531700539i</v>
      </c>
      <c r="AQ498" s="50">
        <f t="shared" si="457"/>
        <v>17.831215965166265</v>
      </c>
      <c r="AR498" s="50">
        <f t="shared" si="458"/>
        <v>-1.5146854629627835</v>
      </c>
      <c r="AS498" s="59" t="str">
        <f t="shared" si="459"/>
        <v>-0.477109795761364-2.16568576342111i</v>
      </c>
      <c r="AT498" s="50">
        <f t="shared" si="460"/>
        <v>6.917733868035123</v>
      </c>
      <c r="AU498" s="61">
        <f t="shared" si="461"/>
        <v>-102.42404538875715</v>
      </c>
      <c r="AV498" s="32" t="str">
        <f t="shared" si="436"/>
        <v>-0.0000333333333333333</v>
      </c>
      <c r="AW498" s="32" t="str">
        <f t="shared" si="437"/>
        <v>0.19029225198216i</v>
      </c>
      <c r="AX498" s="32">
        <f t="shared" si="462"/>
        <v>0.19029225198215999</v>
      </c>
      <c r="AY498" s="32">
        <f t="shared" si="463"/>
        <v>1.5707963267948966</v>
      </c>
      <c r="AZ498" s="32" t="str">
        <f t="shared" si="438"/>
        <v>1+77.6365958607771i</v>
      </c>
      <c r="BA498" s="32">
        <f t="shared" si="464"/>
        <v>77.643035855443173</v>
      </c>
      <c r="BB498" s="32">
        <f t="shared" si="465"/>
        <v>1.5579165155178956</v>
      </c>
      <c r="BC498" s="32" t="str">
        <f t="shared" si="439"/>
        <v>1+3726.55660131731i</v>
      </c>
      <c r="BD498" s="32">
        <f t="shared" si="466"/>
        <v>3726.5567354894283</v>
      </c>
      <c r="BE498" s="32">
        <f t="shared" si="467"/>
        <v>1.5705279825610687</v>
      </c>
      <c r="BF498" s="59" t="str">
        <f t="shared" si="468"/>
        <v>-0.000106027120271099+0.00840675384361159i</v>
      </c>
      <c r="BG498" s="50">
        <f t="shared" si="469"/>
        <v>-41.506742617857981</v>
      </c>
      <c r="BH498" s="61">
        <f t="shared" si="470"/>
        <v>90.722583835042144</v>
      </c>
      <c r="BI498" s="59" t="str">
        <f t="shared" si="471"/>
        <v>-0.00153421249682871-0.000703742279897757i</v>
      </c>
      <c r="BJ498" s="64">
        <f t="shared" si="472"/>
        <v>-55.452982244375669</v>
      </c>
      <c r="BK498" s="61">
        <f t="shared" si="473"/>
        <v>-155.35910688323872</v>
      </c>
      <c r="BL498" s="59" t="str">
        <f t="shared" ref="BL498:BL560" si="478">IMPRODUCT(AS498,BF498)</f>
        <v>0.018256973693393-0.00378132318443393i</v>
      </c>
      <c r="BM498" s="64">
        <f t="shared" si="474"/>
        <v>-34.589008749822874</v>
      </c>
      <c r="BN498" s="61">
        <f t="shared" ref="BN498:BN560" si="479">(180/PI())*IMARGUMENT(BL498)</f>
        <v>-11.701461553715033</v>
      </c>
      <c r="BO498" s="50">
        <f t="shared" si="475"/>
        <v>-55.452982244375669</v>
      </c>
      <c r="BP498" s="61">
        <f t="shared" si="476"/>
        <v>-155.35910688323872</v>
      </c>
    </row>
    <row r="499" spans="14:68" x14ac:dyDescent="0.25">
      <c r="N499" s="11">
        <v>81</v>
      </c>
      <c r="O499" s="51">
        <f t="shared" si="477"/>
        <v>645654.22903465747</v>
      </c>
      <c r="P499" s="49" t="str">
        <f t="shared" si="427"/>
        <v>25.6231073841137</v>
      </c>
      <c r="Q499" s="18" t="str">
        <f t="shared" si="428"/>
        <v>1+3508.20886944009i</v>
      </c>
      <c r="R499" s="18">
        <f t="shared" si="440"/>
        <v>3508.2090119629584</v>
      </c>
      <c r="S499" s="18">
        <f t="shared" si="441"/>
        <v>1.5705112810606967</v>
      </c>
      <c r="T499" s="18" t="str">
        <f t="shared" si="429"/>
        <v>1+3.65108864885003i</v>
      </c>
      <c r="U499" s="18">
        <f t="shared" si="442"/>
        <v>3.785557861367534</v>
      </c>
      <c r="V499" s="18">
        <f t="shared" si="443"/>
        <v>1.3034615182234854</v>
      </c>
      <c r="W499" s="32" t="str">
        <f t="shared" si="430"/>
        <v>1-81.8114308353433i</v>
      </c>
      <c r="X499" s="18">
        <f t="shared" si="444"/>
        <v>81.817542222473051</v>
      </c>
      <c r="Y499" s="18">
        <f t="shared" si="445"/>
        <v>-1.5585737047016635</v>
      </c>
      <c r="Z499" s="32" t="str">
        <f t="shared" si="431"/>
        <v>-9.4217345867584+6.47730171407098i</v>
      </c>
      <c r="AA499" s="18">
        <f t="shared" si="446"/>
        <v>11.43348241431395</v>
      </c>
      <c r="AB499" s="18">
        <f t="shared" si="447"/>
        <v>2.5393154563231679</v>
      </c>
      <c r="AC499" s="32" t="str">
        <f>IMDIV(IMSUM(COMPLEX(0,2*PI()*O499*Constants!$B$71*Constants!$B$72),COMPLEX(1,0)),IMSUM(COMPLEX(0,2*PI()*O499*Constants!$B$71*Constants!$B$72),COMPLEX(2,0)))</f>
        <v>0.992518260057405+0.0607033239512382i</v>
      </c>
      <c r="AD499" s="18">
        <f t="shared" si="448"/>
        <v>0.99437286270599101</v>
      </c>
      <c r="AE499" s="18">
        <f t="shared" si="449"/>
        <v>6.1084824032288418E-2</v>
      </c>
      <c r="AF499" s="66" t="str">
        <f t="shared" si="450"/>
        <v>-0.0781580873716794+0.180549355782602i</v>
      </c>
      <c r="AG499" s="64">
        <f t="shared" si="451"/>
        <v>-14.122132196728568</v>
      </c>
      <c r="AH499" s="61">
        <f t="shared" si="452"/>
        <v>113.40732443967912</v>
      </c>
      <c r="AI499" s="50" t="str">
        <f t="shared" si="432"/>
        <v>108.866083054159</v>
      </c>
      <c r="AJ499" s="50" t="str">
        <f t="shared" si="433"/>
        <v>1+3319.17149895458i</v>
      </c>
      <c r="AK499" s="50">
        <f t="shared" si="453"/>
        <v>3319.1716495945784</v>
      </c>
      <c r="AL499" s="50">
        <f t="shared" si="454"/>
        <v>1.5704950468007599</v>
      </c>
      <c r="AM499" s="50" t="str">
        <f t="shared" si="434"/>
        <v>1+3.65108864885003i</v>
      </c>
      <c r="AN499" s="50">
        <f t="shared" si="455"/>
        <v>3.785557861367534</v>
      </c>
      <c r="AO499" s="50">
        <f t="shared" si="456"/>
        <v>1.3034615182234854</v>
      </c>
      <c r="AP499" s="50" t="str">
        <f t="shared" si="435"/>
        <v>1-18.2178418794171i</v>
      </c>
      <c r="AQ499" s="50">
        <f t="shared" si="457"/>
        <v>18.24526685865251</v>
      </c>
      <c r="AR499" s="50">
        <f t="shared" si="458"/>
        <v>-1.5159601135453926</v>
      </c>
      <c r="AS499" s="59" t="str">
        <f t="shared" si="459"/>
        <v>-0.477110263514154-2.21457851346174i</v>
      </c>
      <c r="AT499" s="50">
        <f t="shared" si="460"/>
        <v>7.1028598727663939</v>
      </c>
      <c r="AU499" s="61">
        <f t="shared" si="461"/>
        <v>-102.15801059228789</v>
      </c>
      <c r="AV499" s="32" t="str">
        <f t="shared" si="436"/>
        <v>-0.0000333333333333333</v>
      </c>
      <c r="AW499" s="32" t="str">
        <f t="shared" si="437"/>
        <v>0.194724727938668i</v>
      </c>
      <c r="AX499" s="32">
        <f t="shared" si="462"/>
        <v>0.19472472793866799</v>
      </c>
      <c r="AY499" s="32">
        <f t="shared" si="463"/>
        <v>1.5707963267948966</v>
      </c>
      <c r="AZ499" s="32" t="str">
        <f t="shared" si="438"/>
        <v>1+79.4449844888664i</v>
      </c>
      <c r="BA499" s="32">
        <f t="shared" si="464"/>
        <v>79.451277903103758</v>
      </c>
      <c r="BB499" s="32">
        <f t="shared" si="465"/>
        <v>1.5582096644920076</v>
      </c>
      <c r="BC499" s="32" t="str">
        <f t="shared" si="439"/>
        <v>1+3813.35925546559i</v>
      </c>
      <c r="BD499" s="32">
        <f t="shared" si="466"/>
        <v>3813.3593865835778</v>
      </c>
      <c r="BE499" s="32">
        <f t="shared" si="467"/>
        <v>1.5705340908212877</v>
      </c>
      <c r="BF499" s="59" t="str">
        <f t="shared" si="468"/>
        <v>-0.000101255869736861+0.00821545282068132i</v>
      </c>
      <c r="BG499" s="50">
        <f t="shared" si="469"/>
        <v>-41.706710208053664</v>
      </c>
      <c r="BH499" s="61">
        <f t="shared" si="470"/>
        <v>90.706137613587657</v>
      </c>
      <c r="BI499" s="59" t="str">
        <f t="shared" si="471"/>
        <v>-0.00147538074912258-0.000660385761406918i</v>
      </c>
      <c r="BJ499" s="64">
        <f t="shared" si="472"/>
        <v>-55.828842404782257</v>
      </c>
      <c r="BK499" s="61">
        <f t="shared" si="473"/>
        <v>-155.88653794673317</v>
      </c>
      <c r="BL499" s="59" t="str">
        <f t="shared" si="478"/>
        <v>0.018242075509732-0.00369543778668223i</v>
      </c>
      <c r="BM499" s="64">
        <f t="shared" si="474"/>
        <v>-34.603850335287277</v>
      </c>
      <c r="BN499" s="61">
        <f t="shared" si="479"/>
        <v>-11.451872978700246</v>
      </c>
      <c r="BO499" s="50">
        <f t="shared" si="475"/>
        <v>-55.828842404782257</v>
      </c>
      <c r="BP499" s="61">
        <f t="shared" si="476"/>
        <v>-155.88653794673317</v>
      </c>
    </row>
    <row r="500" spans="14:68" x14ac:dyDescent="0.25">
      <c r="N500" s="11">
        <v>82</v>
      </c>
      <c r="O500" s="51">
        <f t="shared" si="477"/>
        <v>660693.44800759677</v>
      </c>
      <c r="P500" s="49" t="str">
        <f t="shared" si="427"/>
        <v>25.6231073841137</v>
      </c>
      <c r="Q500" s="18" t="str">
        <f t="shared" si="428"/>
        <v>1+3589.92555155523i</v>
      </c>
      <c r="R500" s="18">
        <f t="shared" si="440"/>
        <v>3589.9256908338821</v>
      </c>
      <c r="S500" s="18">
        <f t="shared" si="441"/>
        <v>1.5705177694934223</v>
      </c>
      <c r="T500" s="18" t="str">
        <f t="shared" si="429"/>
        <v>1+3.73613342856404i</v>
      </c>
      <c r="U500" s="18">
        <f t="shared" si="442"/>
        <v>3.8676469585568025</v>
      </c>
      <c r="V500" s="18">
        <f t="shared" si="443"/>
        <v>1.3092701438905969</v>
      </c>
      <c r="W500" s="32" t="str">
        <f t="shared" si="430"/>
        <v>1-83.7170638622682i</v>
      </c>
      <c r="X500" s="18">
        <f t="shared" si="444"/>
        <v>83.723036147282016</v>
      </c>
      <c r="Y500" s="18">
        <f t="shared" si="445"/>
        <v>-1.5588518987779365</v>
      </c>
      <c r="Z500" s="32" t="str">
        <f t="shared" si="431"/>
        <v>-9.9128958060041+6.62817745289694i</v>
      </c>
      <c r="AA500" s="18">
        <f t="shared" si="446"/>
        <v>11.924690335928435</v>
      </c>
      <c r="AB500" s="18">
        <f t="shared" si="447"/>
        <v>2.5522238294977138</v>
      </c>
      <c r="AC500" s="32" t="str">
        <f>IMDIV(IMSUM(COMPLEX(0,2*PI()*O500*Constants!$B$71*Constants!$B$72),COMPLEX(1,0)),IMSUM(COMPLEX(0,2*PI()*O500*Constants!$B$71*Constants!$B$72),COMPLEX(2,0)))</f>
        <v>0.992850178651731+0.0593615256611753i</v>
      </c>
      <c r="AD500" s="18">
        <f t="shared" si="448"/>
        <v>0.99462317888615304</v>
      </c>
      <c r="AE500" s="18">
        <f t="shared" si="449"/>
        <v>5.9717915700031717E-2</v>
      </c>
      <c r="AF500" s="66" t="str">
        <f t="shared" si="450"/>
        <v>-0.0750314929318702+0.177573322805452i</v>
      </c>
      <c r="AG500" s="64">
        <f t="shared" si="451"/>
        <v>-14.299008052676252</v>
      </c>
      <c r="AH500" s="61">
        <f t="shared" si="452"/>
        <v>112.90590968720808</v>
      </c>
      <c r="AI500" s="50" t="str">
        <f t="shared" si="432"/>
        <v>108.866083054159</v>
      </c>
      <c r="AJ500" s="50" t="str">
        <f t="shared" si="433"/>
        <v>1+3396.48493505822i</v>
      </c>
      <c r="AK500" s="50">
        <f t="shared" si="453"/>
        <v>3396.4850822692333</v>
      </c>
      <c r="AL500" s="50">
        <f t="shared" si="454"/>
        <v>1.5705019047702959</v>
      </c>
      <c r="AM500" s="50" t="str">
        <f t="shared" si="434"/>
        <v>1+3.73613342856404i</v>
      </c>
      <c r="AN500" s="50">
        <f t="shared" si="455"/>
        <v>3.8676469585568025</v>
      </c>
      <c r="AO500" s="50">
        <f t="shared" si="456"/>
        <v>1.3092701438905969</v>
      </c>
      <c r="AP500" s="50" t="str">
        <f t="shared" si="435"/>
        <v>1-18.6421899296864i</v>
      </c>
      <c r="AQ500" s="50">
        <f t="shared" si="457"/>
        <v>18.668991546800296</v>
      </c>
      <c r="AR500" s="50">
        <f t="shared" si="458"/>
        <v>-1.5172059219159126</v>
      </c>
      <c r="AS500" s="59" t="str">
        <f t="shared" si="459"/>
        <v>-0.477110710214606-2.26464546233092i</v>
      </c>
      <c r="AT500" s="50">
        <f t="shared" si="460"/>
        <v>7.2886113925833911</v>
      </c>
      <c r="AU500" s="61">
        <f t="shared" si="461"/>
        <v>-101.89697335121438</v>
      </c>
      <c r="AV500" s="32" t="str">
        <f t="shared" si="436"/>
        <v>-0.0000333333333333333</v>
      </c>
      <c r="AW500" s="32" t="str">
        <f t="shared" si="437"/>
        <v>0.199260449523415i</v>
      </c>
      <c r="AX500" s="32">
        <f t="shared" si="462"/>
        <v>0.19926044952341501</v>
      </c>
      <c r="AY500" s="32">
        <f t="shared" si="463"/>
        <v>1.5707963267948966</v>
      </c>
      <c r="AZ500" s="32" t="str">
        <f t="shared" si="438"/>
        <v>1+81.2954958993101i</v>
      </c>
      <c r="BA500" s="32">
        <f t="shared" si="464"/>
        <v>81.301646068912675</v>
      </c>
      <c r="BB500" s="32">
        <f t="shared" si="465"/>
        <v>1.5584961426712891</v>
      </c>
      <c r="BC500" s="32" t="str">
        <f t="shared" si="439"/>
        <v>1+3902.18380316689i</v>
      </c>
      <c r="BD500" s="32">
        <f t="shared" si="466"/>
        <v>3902.1839313002679</v>
      </c>
      <c r="BE500" s="32">
        <f t="shared" si="467"/>
        <v>1.5705400600405481</v>
      </c>
      <c r="BF500" s="59" t="str">
        <f t="shared" si="468"/>
        <v>-0.0000966992943443239+0.00802850233291919i</v>
      </c>
      <c r="BG500" s="50">
        <f t="shared" si="469"/>
        <v>-41.906679256704827</v>
      </c>
      <c r="BH500" s="61">
        <f t="shared" si="470"/>
        <v>90.690065634062847</v>
      </c>
      <c r="BI500" s="59" t="str">
        <f t="shared" si="471"/>
        <v>-0.00141839234398767-0.000619561731055594i</v>
      </c>
      <c r="BJ500" s="64">
        <f t="shared" si="472"/>
        <v>-56.205687309381076</v>
      </c>
      <c r="BK500" s="61">
        <f t="shared" si="473"/>
        <v>-156.40402467872906</v>
      </c>
      <c r="BL500" s="59" t="str">
        <f t="shared" si="478"/>
        <v>0.0182278476465605-0.00361149483187122i</v>
      </c>
      <c r="BM500" s="64">
        <f t="shared" si="474"/>
        <v>-34.618067864121443</v>
      </c>
      <c r="BN500" s="61">
        <f t="shared" si="479"/>
        <v>-11.206907717151541</v>
      </c>
      <c r="BO500" s="50">
        <f t="shared" si="475"/>
        <v>-56.205687309381076</v>
      </c>
      <c r="BP500" s="61">
        <f t="shared" si="476"/>
        <v>-156.40402467872906</v>
      </c>
    </row>
    <row r="501" spans="14:68" x14ac:dyDescent="0.25">
      <c r="N501" s="11">
        <v>83</v>
      </c>
      <c r="O501" s="51">
        <f t="shared" si="477"/>
        <v>676082.97539198259</v>
      </c>
      <c r="P501" s="49" t="str">
        <f t="shared" si="427"/>
        <v>25.6231073841137</v>
      </c>
      <c r="Q501" s="18" t="str">
        <f t="shared" si="428"/>
        <v>1+3673.54565971609i</v>
      </c>
      <c r="R501" s="18">
        <f t="shared" si="440"/>
        <v>3673.5457958243728</v>
      </c>
      <c r="S501" s="18">
        <f t="shared" si="441"/>
        <v>1.57052411023141</v>
      </c>
      <c r="T501" s="18" t="str">
        <f t="shared" si="429"/>
        <v>1+3.82315915567545i</v>
      </c>
      <c r="U501" s="18">
        <f t="shared" si="442"/>
        <v>3.9517775658082042</v>
      </c>
      <c r="V501" s="18">
        <f t="shared" si="443"/>
        <v>1.3149640551106017</v>
      </c>
      <c r="W501" s="32" t="str">
        <f t="shared" si="430"/>
        <v>1-85.6670847845795i</v>
      </c>
      <c r="X501" s="18">
        <f t="shared" si="444"/>
        <v>85.672921133158127</v>
      </c>
      <c r="Y501" s="18">
        <f t="shared" si="445"/>
        <v>-1.5591237621704903</v>
      </c>
      <c r="Z501" s="32" t="str">
        <f t="shared" si="431"/>
        <v>-10.4272047403719+6.78256753914274i</v>
      </c>
      <c r="AA501" s="18">
        <f t="shared" si="446"/>
        <v>12.439044220544721</v>
      </c>
      <c r="AB501" s="18">
        <f t="shared" si="447"/>
        <v>2.5648882000971454</v>
      </c>
      <c r="AC501" s="32" t="str">
        <f>IMDIV(IMSUM(COMPLEX(0,2*PI()*O501*Constants!$B$71*Constants!$B$72),COMPLEX(1,0)),IMSUM(COMPLEX(0,2*PI()*O501*Constants!$B$71*Constants!$B$72),COMPLEX(2,0)))</f>
        <v>0.993167576341903+0.058047651253129i</v>
      </c>
      <c r="AD501" s="18">
        <f t="shared" si="448"/>
        <v>0.99486248522740817</v>
      </c>
      <c r="AE501" s="18">
        <f t="shared" si="449"/>
        <v>5.8380569286485155E-2</v>
      </c>
      <c r="AF501" s="66" t="str">
        <f t="shared" si="450"/>
        <v>-0.0720145768271196+0.174599636393655i</v>
      </c>
      <c r="AG501" s="64">
        <f t="shared" si="451"/>
        <v>-14.476831046862715</v>
      </c>
      <c r="AH501" s="61">
        <f t="shared" si="452"/>
        <v>112.41396755573319</v>
      </c>
      <c r="AI501" s="50" t="str">
        <f t="shared" si="432"/>
        <v>108.866083054159</v>
      </c>
      <c r="AJ501" s="50" t="str">
        <f t="shared" si="433"/>
        <v>1+3475.59923243223i</v>
      </c>
      <c r="AK501" s="50">
        <f t="shared" si="453"/>
        <v>3475.5993762923122</v>
      </c>
      <c r="AL501" s="50">
        <f t="shared" si="454"/>
        <v>1.5705086066334135</v>
      </c>
      <c r="AM501" s="50" t="str">
        <f t="shared" si="434"/>
        <v>1+3.82315915567545i</v>
      </c>
      <c r="AN501" s="50">
        <f t="shared" si="455"/>
        <v>3.9517775658082042</v>
      </c>
      <c r="AO501" s="50">
        <f t="shared" si="456"/>
        <v>1.3149640551106017</v>
      </c>
      <c r="AP501" s="50" t="str">
        <f t="shared" si="435"/>
        <v>1-19.0764223158149i</v>
      </c>
      <c r="AQ501" s="50">
        <f t="shared" si="457"/>
        <v>19.102614699860347</v>
      </c>
      <c r="AR501" s="50">
        <f t="shared" si="458"/>
        <v>-1.5184235331413249</v>
      </c>
      <c r="AS501" s="59" t="str">
        <f t="shared" si="459"/>
        <v>-0.477111136810229-2.31591315618851i</v>
      </c>
      <c r="AT501" s="50">
        <f t="shared" si="460"/>
        <v>7.4749638870671644</v>
      </c>
      <c r="AU501" s="61">
        <f t="shared" si="461"/>
        <v>-101.64088424216135</v>
      </c>
      <c r="AV501" s="32" t="str">
        <f t="shared" si="436"/>
        <v>-0.0000333333333333333</v>
      </c>
      <c r="AW501" s="32" t="str">
        <f t="shared" si="437"/>
        <v>0.203901821636024i</v>
      </c>
      <c r="AX501" s="32">
        <f t="shared" si="462"/>
        <v>0.20390182163602399</v>
      </c>
      <c r="AY501" s="32">
        <f t="shared" si="463"/>
        <v>1.5707963267948966</v>
      </c>
      <c r="AZ501" s="32" t="str">
        <f t="shared" si="438"/>
        <v>1+83.1891112577528i</v>
      </c>
      <c r="BA501" s="32">
        <f t="shared" si="464"/>
        <v>83.195121442634928</v>
      </c>
      <c r="BB501" s="32">
        <f t="shared" si="465"/>
        <v>1.5587761017620649</v>
      </c>
      <c r="BC501" s="32" t="str">
        <f t="shared" si="439"/>
        <v>1+3993.07734037214i</v>
      </c>
      <c r="BD501" s="32">
        <f t="shared" si="466"/>
        <v>3993.0774655888467</v>
      </c>
      <c r="BE501" s="32">
        <f t="shared" si="467"/>
        <v>1.570545893383807</v>
      </c>
      <c r="BF501" s="59" t="str">
        <f t="shared" si="468"/>
        <v>-0.0000923477379710479+0.00784580361746536i</v>
      </c>
      <c r="BG501" s="50">
        <f t="shared" si="469"/>
        <v>-42.106649698190083</v>
      </c>
      <c r="BH501" s="61">
        <f t="shared" si="470"/>
        <v>90.674359385674251</v>
      </c>
      <c r="BI501" s="59" t="str">
        <f t="shared" si="471"/>
        <v>-0.00136322407555455-0.000581136108851974i</v>
      </c>
      <c r="BJ501" s="64">
        <f t="shared" si="472"/>
        <v>-56.583480745052782</v>
      </c>
      <c r="BK501" s="61">
        <f t="shared" si="473"/>
        <v>-156.91167305859258</v>
      </c>
      <c r="BL501" s="59" t="str">
        <f t="shared" si="478"/>
        <v>0.0182142599528047-0.00352945094180731i</v>
      </c>
      <c r="BM501" s="64">
        <f t="shared" si="474"/>
        <v>-34.631685811122892</v>
      </c>
      <c r="BN501" s="61">
        <f t="shared" si="479"/>
        <v>-10.966524856487084</v>
      </c>
      <c r="BO501" s="50">
        <f t="shared" si="475"/>
        <v>-56.583480745052782</v>
      </c>
      <c r="BP501" s="61">
        <f t="shared" si="476"/>
        <v>-156.91167305859258</v>
      </c>
    </row>
    <row r="502" spans="14:68" x14ac:dyDescent="0.25">
      <c r="N502" s="11">
        <v>84</v>
      </c>
      <c r="O502" s="51">
        <f t="shared" si="477"/>
        <v>691830.97091893724</v>
      </c>
      <c r="P502" s="49" t="str">
        <f t="shared" si="427"/>
        <v>25.6231073841137</v>
      </c>
      <c r="Q502" s="18" t="str">
        <f t="shared" si="428"/>
        <v>1+3759.11353041085i</v>
      </c>
      <c r="R502" s="18">
        <f t="shared" si="440"/>
        <v>3759.1136634209302</v>
      </c>
      <c r="S502" s="18">
        <f t="shared" si="441"/>
        <v>1.570530306636601</v>
      </c>
      <c r="T502" s="18" t="str">
        <f t="shared" si="429"/>
        <v>1+3.91221197237669i</v>
      </c>
      <c r="U502" s="18">
        <f t="shared" si="442"/>
        <v>4.0379948633953848</v>
      </c>
      <c r="V502" s="18">
        <f t="shared" si="443"/>
        <v>1.3205447934604631</v>
      </c>
      <c r="W502" s="32" t="str">
        <f t="shared" si="430"/>
        <v>1-87.6625275291813i</v>
      </c>
      <c r="X502" s="18">
        <f t="shared" si="444"/>
        <v>87.668231034990498</v>
      </c>
      <c r="Y502" s="18">
        <f t="shared" si="445"/>
        <v>-1.5593894388640552</v>
      </c>
      <c r="Z502" s="32" t="str">
        <f t="shared" si="431"/>
        <v>-10.965752308066+6.94055383247568i</v>
      </c>
      <c r="AA502" s="18">
        <f t="shared" si="446"/>
        <v>12.977635038147268</v>
      </c>
      <c r="AB502" s="18">
        <f t="shared" si="447"/>
        <v>2.577311164585133</v>
      </c>
      <c r="AC502" s="32" t="str">
        <f>IMDIV(IMSUM(COMPLEX(0,2*PI()*O502*Constants!$B$71*Constants!$B$72),COMPLEX(1,0)),IMSUM(COMPLEX(0,2*PI()*O502*Constants!$B$71*Constants!$B$72),COMPLEX(2,0)))</f>
        <v>0.993471070643482+0.0567612346563787i</v>
      </c>
      <c r="AD502" s="18">
        <f t="shared" si="448"/>
        <v>0.99509125509433694</v>
      </c>
      <c r="AE502" s="18">
        <f t="shared" si="449"/>
        <v>5.7072213444575887E-2</v>
      </c>
      <c r="AF502" s="66" t="str">
        <f t="shared" si="450"/>
        <v>-0.0691047391247394+0.171631616285804i</v>
      </c>
      <c r="AG502" s="64">
        <f t="shared" si="451"/>
        <v>-14.655566044247498</v>
      </c>
      <c r="AH502" s="61">
        <f t="shared" si="452"/>
        <v>111.93139642658008</v>
      </c>
      <c r="AI502" s="50" t="str">
        <f t="shared" si="432"/>
        <v>108.866083054159</v>
      </c>
      <c r="AJ502" s="50" t="str">
        <f t="shared" si="433"/>
        <v>1+3556.55633852427i</v>
      </c>
      <c r="AK502" s="50">
        <f t="shared" si="453"/>
        <v>3556.5564791096963</v>
      </c>
      <c r="AL502" s="50">
        <f t="shared" si="454"/>
        <v>1.5705151559435269</v>
      </c>
      <c r="AM502" s="50" t="str">
        <f t="shared" si="434"/>
        <v>1+3.91221197237669i</v>
      </c>
      <c r="AN502" s="50">
        <f t="shared" si="455"/>
        <v>4.0379948633953848</v>
      </c>
      <c r="AO502" s="50">
        <f t="shared" si="456"/>
        <v>1.3205447934604631</v>
      </c>
      <c r="AP502" s="50" t="str">
        <f t="shared" si="435"/>
        <v>1-19.5207692735616i</v>
      </c>
      <c r="AQ502" s="50">
        <f t="shared" si="457"/>
        <v>19.546366235994522</v>
      </c>
      <c r="AR502" s="50">
        <f t="shared" si="458"/>
        <v>-1.519613578365409</v>
      </c>
      <c r="AS502" s="59" t="str">
        <f t="shared" si="459"/>
        <v>-0.477111544205888-2.36840877784519i</v>
      </c>
      <c r="AT502" s="50">
        <f t="shared" si="460"/>
        <v>7.6618936329895639</v>
      </c>
      <c r="AU502" s="61">
        <f t="shared" si="461"/>
        <v>-101.38969130474543</v>
      </c>
      <c r="AV502" s="32" t="str">
        <f t="shared" si="436"/>
        <v>-0.0000333333333333333</v>
      </c>
      <c r="AW502" s="32" t="str">
        <f t="shared" si="437"/>
        <v>0.208651305193423i</v>
      </c>
      <c r="AX502" s="32">
        <f t="shared" si="462"/>
        <v>0.20865130519342301</v>
      </c>
      <c r="AY502" s="32">
        <f t="shared" si="463"/>
        <v>1.5707963267948966</v>
      </c>
      <c r="AZ502" s="32" t="str">
        <f t="shared" si="438"/>
        <v>1+85.1268345841224i</v>
      </c>
      <c r="BA502" s="32">
        <f t="shared" si="464"/>
        <v>85.132707970042517</v>
      </c>
      <c r="BB502" s="32">
        <f t="shared" si="465"/>
        <v>1.559049690026711</v>
      </c>
      <c r="BC502" s="32" t="str">
        <f t="shared" si="439"/>
        <v>1+4086.08806003788i</v>
      </c>
      <c r="BD502" s="32">
        <f t="shared" si="466"/>
        <v>4086.0881824043058</v>
      </c>
      <c r="BE502" s="32">
        <f t="shared" si="467"/>
        <v>1.5705515939439785</v>
      </c>
      <c r="BF502" s="59" t="str">
        <f t="shared" si="468"/>
        <v>-0.0000881919785770782+0.00766726014173843i</v>
      </c>
      <c r="BG502" s="50">
        <f t="shared" si="469"/>
        <v>-42.306621469839627</v>
      </c>
      <c r="BH502" s="61">
        <f t="shared" si="470"/>
        <v>90.659010550824419</v>
      </c>
      <c r="BI502" s="59" t="str">
        <f t="shared" si="471"/>
        <v>-0.00130984976693783-0.000544980543722974i</v>
      </c>
      <c r="BJ502" s="64">
        <f t="shared" si="472"/>
        <v>-56.962187514087105</v>
      </c>
      <c r="BK502" s="61">
        <f t="shared" si="473"/>
        <v>-157.40959302259554</v>
      </c>
      <c r="BL502" s="59" t="str">
        <f t="shared" si="478"/>
        <v>0.0182012836328013-0.00344926366985559i</v>
      </c>
      <c r="BM502" s="64">
        <f t="shared" si="474"/>
        <v>-34.64472783685008</v>
      </c>
      <c r="BN502" s="61">
        <f t="shared" si="479"/>
        <v>-10.730680753921021</v>
      </c>
      <c r="BO502" s="50">
        <f t="shared" si="475"/>
        <v>-56.962187514087105</v>
      </c>
      <c r="BP502" s="61">
        <f t="shared" si="476"/>
        <v>-157.40959302259554</v>
      </c>
    </row>
    <row r="503" spans="14:68" x14ac:dyDescent="0.25">
      <c r="N503" s="11">
        <v>85</v>
      </c>
      <c r="O503" s="51">
        <f t="shared" si="477"/>
        <v>707945.78438413853</v>
      </c>
      <c r="P503" s="49" t="str">
        <f t="shared" si="427"/>
        <v>25.6231073841137</v>
      </c>
      <c r="Q503" s="18" t="str">
        <f t="shared" si="428"/>
        <v>1+3846.67453285719i</v>
      </c>
      <c r="R503" s="18">
        <f t="shared" si="440"/>
        <v>3846.6746628395908</v>
      </c>
      <c r="S503" s="18">
        <f t="shared" si="441"/>
        <v>1.5705363619944095</v>
      </c>
      <c r="T503" s="18" t="str">
        <f t="shared" si="429"/>
        <v>1+4.00333909564994i</v>
      </c>
      <c r="U503" s="18">
        <f t="shared" si="442"/>
        <v>4.1263451036915555</v>
      </c>
      <c r="V503" s="18">
        <f t="shared" si="443"/>
        <v>1.3260139268586679</v>
      </c>
      <c r="W503" s="32" t="str">
        <f t="shared" si="430"/>
        <v>1-89.7044501062301i</v>
      </c>
      <c r="X503" s="18">
        <f t="shared" si="444"/>
        <v>89.710023792556896</v>
      </c>
      <c r="Y503" s="18">
        <f t="shared" si="445"/>
        <v>-1.5596490695738241</v>
      </c>
      <c r="Z503" s="32" t="str">
        <f t="shared" si="431"/>
        <v>-11.5296808406818+7.1022200993197i</v>
      </c>
      <c r="AA503" s="18">
        <f t="shared" si="446"/>
        <v>13.541605171735208</v>
      </c>
      <c r="AB503" s="18">
        <f t="shared" si="447"/>
        <v>2.5894954216057107</v>
      </c>
      <c r="AC503" s="32" t="str">
        <f>IMDIV(IMSUM(COMPLEX(0,2*PI()*O503*Constants!$B$71*Constants!$B$72),COMPLEX(1,0)),IMSUM(COMPLEX(0,2*PI()*O503*Constants!$B$71*Constants!$B$72),COMPLEX(2,0)))</f>
        <v>0.993761254356228+0.0555018096522823i</v>
      </c>
      <c r="AD503" s="18">
        <f t="shared" si="448"/>
        <v>0.9953099424472468</v>
      </c>
      <c r="AE503" s="18">
        <f t="shared" si="449"/>
        <v>5.5792283275504638E-2</v>
      </c>
      <c r="AF503" s="66" t="str">
        <f t="shared" si="450"/>
        <v>-0.0662993361408266+0.168672372515664i</v>
      </c>
      <c r="AG503" s="64">
        <f t="shared" si="451"/>
        <v>-14.835178919494659</v>
      </c>
      <c r="AH503" s="61">
        <f t="shared" si="452"/>
        <v>111.45809089700255</v>
      </c>
      <c r="AI503" s="50" t="str">
        <f t="shared" si="432"/>
        <v>108.866083054159</v>
      </c>
      <c r="AJ503" s="50" t="str">
        <f t="shared" si="433"/>
        <v>1+3639.39917786358i</v>
      </c>
      <c r="AK503" s="50">
        <f t="shared" si="453"/>
        <v>3639.3993152488915</v>
      </c>
      <c r="AL503" s="50">
        <f t="shared" si="454"/>
        <v>1.5705215561731642</v>
      </c>
      <c r="AM503" s="50" t="str">
        <f t="shared" si="434"/>
        <v>1+4.00333909564994i</v>
      </c>
      <c r="AN503" s="50">
        <f t="shared" si="455"/>
        <v>4.1263451036915555</v>
      </c>
      <c r="AO503" s="50">
        <f t="shared" si="456"/>
        <v>1.3260139268586679</v>
      </c>
      <c r="AP503" s="50" t="str">
        <f t="shared" si="435"/>
        <v>1-19.975466401565i</v>
      </c>
      <c r="AQ503" s="50">
        <f t="shared" si="457"/>
        <v>20.000481443206617</v>
      </c>
      <c r="AR503" s="50">
        <f t="shared" si="458"/>
        <v>-1.5207766750754346</v>
      </c>
      <c r="AS503" s="59" t="str">
        <f t="shared" si="459"/>
        <v>-0.477111933265723-2.42216016117517i</v>
      </c>
      <c r="AT503" s="50">
        <f t="shared" si="460"/>
        <v>7.8493777091958838</v>
      </c>
      <c r="AU503" s="61">
        <f t="shared" si="461"/>
        <v>-101.1433402822304</v>
      </c>
      <c r="AV503" s="32" t="str">
        <f t="shared" si="436"/>
        <v>-0.0000333333333333333</v>
      </c>
      <c r="AW503" s="32" t="str">
        <f t="shared" si="437"/>
        <v>0.213511418434663i</v>
      </c>
      <c r="AX503" s="32">
        <f t="shared" si="462"/>
        <v>0.21351141843466301</v>
      </c>
      <c r="AY503" s="32">
        <f t="shared" si="463"/>
        <v>1.5707963267948966</v>
      </c>
      <c r="AZ503" s="32" t="str">
        <f t="shared" si="438"/>
        <v>1+87.1096932849755i</v>
      </c>
      <c r="BA503" s="32">
        <f t="shared" si="464"/>
        <v>87.115432985220863</v>
      </c>
      <c r="BB503" s="32">
        <f t="shared" si="465"/>
        <v>1.5593170523614268</v>
      </c>
      <c r="BC503" s="32" t="str">
        <f t="shared" si="439"/>
        <v>1+4181.26527767883i</v>
      </c>
      <c r="BD503" s="32">
        <f t="shared" si="466"/>
        <v>4181.2653972598564</v>
      </c>
      <c r="BE503" s="32">
        <f t="shared" si="467"/>
        <v>1.5705571647435739</v>
      </c>
      <c r="BF503" s="59" t="str">
        <f t="shared" si="468"/>
        <v>-0.0000842232087132716+0.00749277755385736i</v>
      </c>
      <c r="BG503" s="50">
        <f t="shared" si="469"/>
        <v>-42.506594511802874</v>
      </c>
      <c r="BH503" s="61">
        <f t="shared" si="470"/>
        <v>90.644011000749771</v>
      </c>
      <c r="BI503" s="59" t="str">
        <f t="shared" si="471"/>
        <v>-0.00125824062391589-0.000510972306106179i</v>
      </c>
      <c r="BJ503" s="64">
        <f t="shared" si="472"/>
        <v>-57.341773431297554</v>
      </c>
      <c r="BK503" s="61">
        <f t="shared" si="473"/>
        <v>-157.89789810224761</v>
      </c>
      <c r="BL503" s="59" t="str">
        <f t="shared" si="478"/>
        <v>0.0181888911854359-0.00337089148345927i</v>
      </c>
      <c r="BM503" s="64">
        <f t="shared" si="474"/>
        <v>-34.657216802606982</v>
      </c>
      <c r="BN503" s="61">
        <f t="shared" si="479"/>
        <v>-10.499329281480602</v>
      </c>
      <c r="BO503" s="50">
        <f t="shared" si="475"/>
        <v>-57.341773431297554</v>
      </c>
      <c r="BP503" s="61">
        <f t="shared" si="476"/>
        <v>-157.89789810224761</v>
      </c>
    </row>
    <row r="504" spans="14:68" x14ac:dyDescent="0.25">
      <c r="N504" s="11">
        <v>86</v>
      </c>
      <c r="O504" s="51">
        <f t="shared" si="477"/>
        <v>724435.96007499192</v>
      </c>
      <c r="P504" s="49" t="str">
        <f t="shared" si="427"/>
        <v>25.6231073841137</v>
      </c>
      <c r="Q504" s="18" t="str">
        <f t="shared" si="428"/>
        <v>1+3936.27509305762i</v>
      </c>
      <c r="R504" s="18">
        <f t="shared" si="440"/>
        <v>3936.2752200812602</v>
      </c>
      <c r="S504" s="18">
        <f t="shared" si="441"/>
        <v>1.5705422795154647</v>
      </c>
      <c r="T504" s="18" t="str">
        <f t="shared" si="429"/>
        <v>1+4.09658884230216i</v>
      </c>
      <c r="U504" s="18">
        <f t="shared" si="442"/>
        <v>4.2168756375869751</v>
      </c>
      <c r="V504" s="18">
        <f t="shared" si="443"/>
        <v>1.3313730458397801</v>
      </c>
      <c r="W504" s="32" t="str">
        <f t="shared" si="430"/>
        <v>1-91.7939351701039i</v>
      </c>
      <c r="X504" s="18">
        <f t="shared" si="444"/>
        <v>91.799381991455888</v>
      </c>
      <c r="Y504" s="18">
        <f t="shared" si="445"/>
        <v>-1.5599027918193458</v>
      </c>
      <c r="Z504" s="32" t="str">
        <f t="shared" si="431"/>
        <v>-12.1201865062444+7.26765205726938i</v>
      </c>
      <c r="AA504" s="18">
        <f t="shared" si="446"/>
        <v>14.132150840253606</v>
      </c>
      <c r="AB504" s="18">
        <f t="shared" si="447"/>
        <v>2.6014437622940152</v>
      </c>
      <c r="AC504" s="32" t="str">
        <f>IMDIV(IMSUM(COMPLEX(0,2*PI()*O504*Constants!$B$71*Constants!$B$72),COMPLEX(1,0)),IMSUM(COMPLEX(0,2*PI()*O504*Constants!$B$71*Constants!$B$72),COMPLEX(2,0)))</f>
        <v>0.994038696417549+0.0542689105365433i</v>
      </c>
      <c r="AD504" s="18">
        <f t="shared" si="448"/>
        <v>0.99551898255448834</v>
      </c>
      <c r="AE504" s="18">
        <f t="shared" si="449"/>
        <v>5.4540220596035499E-2</v>
      </c>
      <c r="AF504" s="66" t="str">
        <f t="shared" si="450"/>
        <v>-0.0635956916961386+0.165724811427i</v>
      </c>
      <c r="AG504" s="64">
        <f t="shared" si="451"/>
        <v>-15.015636551800355</v>
      </c>
      <c r="AH504" s="61">
        <f t="shared" si="452"/>
        <v>110.99394213286645</v>
      </c>
      <c r="AI504" s="50" t="str">
        <f t="shared" si="432"/>
        <v>108.866083054159</v>
      </c>
      <c r="AJ504" s="50" t="str">
        <f t="shared" si="433"/>
        <v>1+3724.17167482015i</v>
      </c>
      <c r="AK504" s="50">
        <f t="shared" si="453"/>
        <v>3724.171809078191</v>
      </c>
      <c r="AL504" s="50">
        <f t="shared" si="454"/>
        <v>1.5705278107158105</v>
      </c>
      <c r="AM504" s="50" t="str">
        <f t="shared" si="434"/>
        <v>1+4.09658884230216i</v>
      </c>
      <c r="AN504" s="50">
        <f t="shared" si="455"/>
        <v>4.2168756375869751</v>
      </c>
      <c r="AO504" s="50">
        <f t="shared" si="456"/>
        <v>1.3313730458397801</v>
      </c>
      <c r="AP504" s="50" t="str">
        <f t="shared" si="435"/>
        <v>1-20.4407547862612i</v>
      </c>
      <c r="AQ504" s="50">
        <f t="shared" si="457"/>
        <v>20.46520110411965</v>
      </c>
      <c r="AR504" s="50">
        <f t="shared" si="458"/>
        <v>-1.5219134273660857</v>
      </c>
      <c r="AS504" s="59" t="str">
        <f>(IMDIV(IMPRODUCT(AI504,AM504,AP504),IMPRODUCT(AJ504)))</f>
        <v>-0.477112304814985-2.47719580587407i</v>
      </c>
      <c r="AT504" s="50">
        <f t="shared" si="460"/>
        <v>8.037393980678246</v>
      </c>
      <c r="AU504" s="61">
        <f t="shared" si="461"/>
        <v>-100.90177485020672</v>
      </c>
      <c r="AV504" s="32" t="str">
        <f t="shared" si="436"/>
        <v>-0.0000333333333333333</v>
      </c>
      <c r="AW504" s="32" t="str">
        <f t="shared" si="437"/>
        <v>0.218484738256115i</v>
      </c>
      <c r="AX504" s="32">
        <f t="shared" si="462"/>
        <v>0.218484738256115</v>
      </c>
      <c r="AY504" s="32">
        <f t="shared" si="463"/>
        <v>1.5707963267948966</v>
      </c>
      <c r="AZ504" s="32" t="str">
        <f t="shared" si="438"/>
        <v>1+89.1387386982415i</v>
      </c>
      <c r="BA504" s="32">
        <f t="shared" si="464"/>
        <v>89.14434775527485</v>
      </c>
      <c r="BB504" s="32">
        <f t="shared" si="465"/>
        <v>1.5595783303722792</v>
      </c>
      <c r="BC504" s="32" t="str">
        <f t="shared" si="439"/>
        <v>1+4278.6594575156i</v>
      </c>
      <c r="BD504" s="32">
        <f t="shared" si="466"/>
        <v>4278.6595743746302</v>
      </c>
      <c r="BE504" s="32">
        <f t="shared" si="467"/>
        <v>1.5705626087363034</v>
      </c>
      <c r="BF504" s="59" t="str">
        <f t="shared" si="468"/>
        <v>-0.0000804330169029193+0.00732226363411346i</v>
      </c>
      <c r="BG504" s="50">
        <f t="shared" si="469"/>
        <v>-42.706568766921258</v>
      </c>
      <c r="BH504" s="61">
        <f t="shared" si="470"/>
        <v>90.629352791255442</v>
      </c>
      <c r="BI504" s="59" t="str">
        <f t="shared" si="471"/>
        <v>-0.00120836556663708-0.000478994167151668i</v>
      </c>
      <c r="BJ504" s="64">
        <f t="shared" si="472"/>
        <v>-57.722205318721642</v>
      </c>
      <c r="BK504" s="61">
        <f t="shared" si="473"/>
        <v>-158.37670507587802</v>
      </c>
      <c r="BL504" s="59" t="str">
        <f t="shared" si="478"/>
        <v>0.0181770563460079-0.00329429374680911i</v>
      </c>
      <c r="BM504" s="64">
        <f t="shared" si="474"/>
        <v>-34.669174786242991</v>
      </c>
      <c r="BN504" s="61">
        <f t="shared" si="479"/>
        <v>-10.272422058951246</v>
      </c>
      <c r="BO504" s="50">
        <f t="shared" si="475"/>
        <v>-57.722205318721642</v>
      </c>
      <c r="BP504" s="61">
        <f t="shared" si="476"/>
        <v>-158.37670507587802</v>
      </c>
    </row>
    <row r="505" spans="14:68" x14ac:dyDescent="0.25">
      <c r="N505" s="11">
        <v>87</v>
      </c>
      <c r="O505" s="51">
        <f t="shared" si="477"/>
        <v>741310.24130091805</v>
      </c>
      <c r="P505" s="49" t="str">
        <f t="shared" si="427"/>
        <v>25.6231073841137</v>
      </c>
      <c r="Q505" s="18" t="str">
        <f t="shared" si="428"/>
        <v>1+4027.96271841512i</v>
      </c>
      <c r="R505" s="18">
        <f t="shared" si="440"/>
        <v>4027.9628425473488</v>
      </c>
      <c r="S505" s="18">
        <f t="shared" si="441"/>
        <v>1.5705480623373129</v>
      </c>
      <c r="T505" s="18" t="str">
        <f t="shared" si="429"/>
        <v>1+4.19201065458332i</v>
      </c>
      <c r="U505" s="18">
        <f t="shared" si="442"/>
        <v>4.309634941400498</v>
      </c>
      <c r="V505" s="18">
        <f t="shared" si="443"/>
        <v>1.3366237600313042</v>
      </c>
      <c r="W505" s="32" t="str">
        <f t="shared" si="430"/>
        <v>1-93.9320905934409i</v>
      </c>
      <c r="X505" s="18">
        <f t="shared" si="444"/>
        <v>93.937413437109242</v>
      </c>
      <c r="Y505" s="18">
        <f t="shared" si="445"/>
        <v>-1.5601507399967716</v>
      </c>
      <c r="Z505" s="32" t="str">
        <f t="shared" si="431"/>
        <v>-12.7385218464406+7.43693742053854i</v>
      </c>
      <c r="AA505" s="18">
        <f t="shared" si="446"/>
        <v>14.750524635729093</v>
      </c>
      <c r="AB505" s="18">
        <f t="shared" si="447"/>
        <v>2.6131590609986719</v>
      </c>
      <c r="AC505" s="32" t="str">
        <f>IMDIV(IMSUM(COMPLEX(0,2*PI()*O505*Constants!$B$71*Constants!$B$72),COMPLEX(1,0)),IMSUM(COMPLEX(0,2*PI()*O505*Constants!$B$71*Constants!$B$72),COMPLEX(2,0)))</f>
        <v>0.994303942738849+0.0530620727285801i</v>
      </c>
      <c r="AD505" s="18">
        <f t="shared" si="448"/>
        <v>0.99571879268610453</v>
      </c>
      <c r="AE505" s="18">
        <f t="shared" si="449"/>
        <v>5.3315474174547892E-2</v>
      </c>
      <c r="AF505" s="66" t="str">
        <f t="shared" si="450"/>
        <v>-0.0609911075405308+0.162791642035694i</v>
      </c>
      <c r="AG505" s="64">
        <f t="shared" si="451"/>
        <v>-15.196906817507525</v>
      </c>
      <c r="AH505" s="61">
        <f t="shared" si="452"/>
        <v>110.53883820764322</v>
      </c>
      <c r="AI505" s="50" t="str">
        <f t="shared" si="432"/>
        <v>108.866083054159</v>
      </c>
      <c r="AJ505" s="50" t="str">
        <f t="shared" si="433"/>
        <v>1+3810.91877689393i</v>
      </c>
      <c r="AK505" s="50">
        <f t="shared" si="453"/>
        <v>3810.9189080958845</v>
      </c>
      <c r="AL505" s="50">
        <f t="shared" si="454"/>
        <v>1.5705339228877047</v>
      </c>
      <c r="AM505" s="50" t="str">
        <f t="shared" si="434"/>
        <v>1+4.19201065458332i</v>
      </c>
      <c r="AN505" s="50">
        <f t="shared" si="455"/>
        <v>4.309634941400498</v>
      </c>
      <c r="AO505" s="50">
        <f t="shared" si="456"/>
        <v>1.3366237600313042</v>
      </c>
      <c r="AP505" s="50" t="str">
        <f t="shared" si="435"/>
        <v>1-20.9168811297103i</v>
      </c>
      <c r="AQ505" s="50">
        <f t="shared" si="457"/>
        <v>20.940771623663508</v>
      </c>
      <c r="AR505" s="50">
        <f t="shared" si="458"/>
        <v>-1.5230244262004546</v>
      </c>
      <c r="AS505" s="59" t="str">
        <f t="shared" si="459"/>
        <v>-0.477112659641779-2.5335448925698i</v>
      </c>
      <c r="AT505" s="50">
        <f t="shared" si="460"/>
        <v>8.225921081961161</v>
      </c>
      <c r="AU505" s="61">
        <f t="shared" si="461"/>
        <v>-100.66493683350949</v>
      </c>
      <c r="AV505" s="32" t="str">
        <f t="shared" si="436"/>
        <v>-0.0000333333333333333</v>
      </c>
      <c r="AW505" s="32" t="str">
        <f t="shared" si="437"/>
        <v>0.223573901577777i</v>
      </c>
      <c r="AX505" s="32">
        <f t="shared" si="462"/>
        <v>0.22357390157777701</v>
      </c>
      <c r="AY505" s="32">
        <f t="shared" si="463"/>
        <v>1.5707963267948966</v>
      </c>
      <c r="AZ505" s="32" t="str">
        <f t="shared" si="438"/>
        <v>1+91.2150466506555i</v>
      </c>
      <c r="BA505" s="32">
        <f t="shared" si="464"/>
        <v>91.220528037724364</v>
      </c>
      <c r="BB505" s="32">
        <f t="shared" si="465"/>
        <v>1.5598336624495546</v>
      </c>
      <c r="BC505" s="32" t="str">
        <f t="shared" si="439"/>
        <v>1+4378.32223923147i</v>
      </c>
      <c r="BD505" s="32">
        <f t="shared" si="466"/>
        <v>4378.3223534304634</v>
      </c>
      <c r="BE505" s="32">
        <f t="shared" si="467"/>
        <v>1.5705679288086427</v>
      </c>
      <c r="BF505" s="59" t="str">
        <f t="shared" si="468"/>
        <v>-0.0000768133698576966+0.00715562824747213i</v>
      </c>
      <c r="BG505" s="50">
        <f t="shared" si="469"/>
        <v>-42.906544180607604</v>
      </c>
      <c r="BH505" s="61">
        <f t="shared" si="470"/>
        <v>90.615028158545016</v>
      </c>
      <c r="BI505" s="59" t="str">
        <f t="shared" si="471"/>
        <v>-0.00116019153970144-0.000448934266571062i</v>
      </c>
      <c r="BJ505" s="64">
        <f t="shared" si="472"/>
        <v>-58.103450998115136</v>
      </c>
      <c r="BK505" s="61">
        <f t="shared" si="473"/>
        <v>-158.84613363381172</v>
      </c>
      <c r="BL505" s="59" t="str">
        <f t="shared" si="478"/>
        <v>0.0181657540307001-0.00321943070367523i</v>
      </c>
      <c r="BM505" s="64">
        <f t="shared" si="474"/>
        <v>-34.680623098646414</v>
      </c>
      <c r="BN505" s="61">
        <f t="shared" si="479"/>
        <v>-10.049908674964476</v>
      </c>
      <c r="BO505" s="50">
        <f t="shared" si="475"/>
        <v>-58.103450998115136</v>
      </c>
      <c r="BP505" s="61">
        <f t="shared" si="476"/>
        <v>-158.84613363381172</v>
      </c>
    </row>
    <row r="506" spans="14:68" x14ac:dyDescent="0.25">
      <c r="N506" s="11">
        <v>88</v>
      </c>
      <c r="O506" s="51">
        <f t="shared" si="477"/>
        <v>758577.57502918423</v>
      </c>
      <c r="P506" s="49" t="str">
        <f t="shared" si="427"/>
        <v>25.6231073841137</v>
      </c>
      <c r="Q506" s="18" t="str">
        <f t="shared" si="428"/>
        <v>1+4121.78602292233i</v>
      </c>
      <c r="R506" s="18">
        <f t="shared" si="440"/>
        <v>4121.786144228965</v>
      </c>
      <c r="S506" s="18">
        <f t="shared" si="441"/>
        <v>1.570553713526081</v>
      </c>
      <c r="T506" s="18" t="str">
        <f t="shared" si="429"/>
        <v>1+4.28965512640136i</v>
      </c>
      <c r="U506" s="18">
        <f t="shared" si="442"/>
        <v>4.4046726443018978</v>
      </c>
      <c r="V506" s="18">
        <f t="shared" si="443"/>
        <v>1.3417676948283441</v>
      </c>
      <c r="W506" s="32" t="str">
        <f t="shared" si="430"/>
        <v>1-96.1200500545491i</v>
      </c>
      <c r="X506" s="18">
        <f t="shared" si="444"/>
        <v>96.12525174213603</v>
      </c>
      <c r="Y506" s="18">
        <f t="shared" si="445"/>
        <v>-1.5603930454494892</v>
      </c>
      <c r="Z506" s="32" t="str">
        <f t="shared" si="431"/>
        <v>-13.3859984334289+7.6101659464676i</v>
      </c>
      <c r="AA506" s="18">
        <f t="shared" si="446"/>
        <v>15.398038179993453</v>
      </c>
      <c r="AB506" s="18">
        <f t="shared" si="447"/>
        <v>2.6246442664176066</v>
      </c>
      <c r="AC506" s="32" t="str">
        <f>IMDIV(IMSUM(COMPLEX(0,2*PI()*O506*Constants!$B$71*Constants!$B$72),COMPLEX(1,0)),IMSUM(COMPLEX(0,2*PI()*O506*Constants!$B$71*Constants!$B$72),COMPLEX(2,0)))</f>
        <v>0.99455751702385+0.051880833331101i</v>
      </c>
      <c r="AD506" s="18">
        <f t="shared" si="448"/>
        <v>0.99590977278856696</v>
      </c>
      <c r="AE506" s="18">
        <f t="shared" si="449"/>
        <v>5.2117499937988039E-2</v>
      </c>
      <c r="AF506" s="66" t="str">
        <f t="shared" si="450"/>
        <v>-0.0584828729673326+0.159875382668968i</v>
      </c>
      <c r="AG506" s="64">
        <f t="shared" si="451"/>
        <v>-15.378958580712389</v>
      </c>
      <c r="AH506" s="61">
        <f t="shared" si="452"/>
        <v>110.09266442747874</v>
      </c>
      <c r="AI506" s="50" t="str">
        <f t="shared" si="432"/>
        <v>108.866083054159</v>
      </c>
      <c r="AJ506" s="50" t="str">
        <f t="shared" si="433"/>
        <v>1+3899.6864785467i</v>
      </c>
      <c r="AK506" s="50">
        <f t="shared" si="453"/>
        <v>3899.686606762134</v>
      </c>
      <c r="AL506" s="50">
        <f t="shared" si="454"/>
        <v>1.5705398959295995</v>
      </c>
      <c r="AM506" s="50" t="str">
        <f t="shared" si="434"/>
        <v>1+4.28965512640136i</v>
      </c>
      <c r="AN506" s="50">
        <f t="shared" si="455"/>
        <v>4.4046726443018978</v>
      </c>
      <c r="AO506" s="50">
        <f t="shared" si="456"/>
        <v>1.3417676948283441</v>
      </c>
      <c r="AP506" s="50" t="str">
        <f t="shared" si="435"/>
        <v>1-21.4040978804021i</v>
      </c>
      <c r="AQ506" s="50">
        <f t="shared" si="457"/>
        <v>21.427445159743932</v>
      </c>
      <c r="AR506" s="50">
        <f t="shared" si="458"/>
        <v>-1.5241102496679844</v>
      </c>
      <c r="AS506" s="59" t="str">
        <f t="shared" si="459"/>
        <v>-0.477112998498737-2.59123729829464i</v>
      </c>
      <c r="AT506" s="50">
        <f t="shared" si="460"/>
        <v>8.4149383999132539</v>
      </c>
      <c r="AU506" s="61">
        <f t="shared" si="461"/>
        <v>-100.43276641162569</v>
      </c>
      <c r="AV506" s="32" t="str">
        <f t="shared" si="436"/>
        <v>-0.0000333333333333333</v>
      </c>
      <c r="AW506" s="32" t="str">
        <f t="shared" si="437"/>
        <v>0.228781606741406i</v>
      </c>
      <c r="AX506" s="32">
        <f t="shared" si="462"/>
        <v>0.22878160674140599</v>
      </c>
      <c r="AY506" s="32">
        <f t="shared" si="463"/>
        <v>1.5707963267948966</v>
      </c>
      <c r="AZ506" s="32" t="str">
        <f t="shared" si="438"/>
        <v>1+93.3397180281778i</v>
      </c>
      <c r="BA506" s="32">
        <f t="shared" si="464"/>
        <v>93.345074650887398</v>
      </c>
      <c r="BB506" s="32">
        <f t="shared" si="465"/>
        <v>1.5600831838404534</v>
      </c>
      <c r="BC506" s="32" t="str">
        <f t="shared" si="439"/>
        <v>1+4480.30646535254i</v>
      </c>
      <c r="BD506" s="32">
        <f t="shared" si="466"/>
        <v>4480.3065769520472</v>
      </c>
      <c r="BE506" s="32">
        <f t="shared" si="467"/>
        <v>1.5705731277813633</v>
      </c>
      <c r="BF506" s="59" t="str">
        <f t="shared" si="468"/>
        <v>-0.0000733565954907249+0.00699278329708736i</v>
      </c>
      <c r="BG506" s="50">
        <f t="shared" si="469"/>
        <v>-43.106520700730286</v>
      </c>
      <c r="BH506" s="61">
        <f t="shared" si="470"/>
        <v>90.601029515142955</v>
      </c>
      <c r="BI506" s="59" t="str">
        <f t="shared" si="471"/>
        <v>-0.00111368380108761-0.000420685971027018i</v>
      </c>
      <c r="BJ506" s="64">
        <f t="shared" si="472"/>
        <v>-58.485479281442672</v>
      </c>
      <c r="BK506" s="61">
        <f t="shared" si="473"/>
        <v>-159.30630605737829</v>
      </c>
      <c r="BL506" s="59" t="str">
        <f t="shared" si="478"/>
        <v>0.0181549602835388-0.00314626346041376i</v>
      </c>
      <c r="BM506" s="64">
        <f t="shared" si="474"/>
        <v>-34.691582300817018</v>
      </c>
      <c r="BN506" s="61">
        <f t="shared" si="479"/>
        <v>-9.8317368964827292</v>
      </c>
      <c r="BO506" s="50">
        <f t="shared" si="475"/>
        <v>-58.485479281442672</v>
      </c>
      <c r="BP506" s="61">
        <f t="shared" si="476"/>
        <v>-159.30630605737829</v>
      </c>
    </row>
    <row r="507" spans="14:68" x14ac:dyDescent="0.25">
      <c r="N507" s="11">
        <v>89</v>
      </c>
      <c r="O507" s="51">
        <f t="shared" si="477"/>
        <v>776247.11662869214</v>
      </c>
      <c r="P507" s="49" t="str">
        <f t="shared" si="427"/>
        <v>25.6231073841137</v>
      </c>
      <c r="Q507" s="18" t="str">
        <f t="shared" si="428"/>
        <v>1+4217.79475293718i</v>
      </c>
      <c r="R507" s="18">
        <f t="shared" si="440"/>
        <v>4217.7948714825397</v>
      </c>
      <c r="S507" s="18">
        <f t="shared" si="441"/>
        <v>1.5705592360781029</v>
      </c>
      <c r="T507" s="18" t="str">
        <f t="shared" si="429"/>
        <v>1+4.38957403014773i</v>
      </c>
      <c r="U507" s="18">
        <f t="shared" si="442"/>
        <v>4.50203955626196</v>
      </c>
      <c r="V507" s="18">
        <f t="shared" si="443"/>
        <v>1.3468064882610309</v>
      </c>
      <c r="W507" s="32" t="str">
        <f t="shared" si="430"/>
        <v>1-98.3589736384955i</v>
      </c>
      <c r="X507" s="18">
        <f t="shared" si="444"/>
        <v>98.364056927407447</v>
      </c>
      <c r="Y507" s="18">
        <f t="shared" si="445"/>
        <v>-1.5606298365371822</v>
      </c>
      <c r="Z507" s="32" t="str">
        <f t="shared" si="431"/>
        <v>-14.0639896518589+7.78742948311394i</v>
      </c>
      <c r="AA507" s="18">
        <f t="shared" si="446"/>
        <v>16.076064906626449</v>
      </c>
      <c r="AB507" s="18">
        <f t="shared" si="447"/>
        <v>2.6359023931465524</v>
      </c>
      <c r="AC507" s="32" t="str">
        <f>IMDIV(IMSUM(COMPLEX(0,2*PI()*O507*Constants!$B$71*Constants!$B$72),COMPLEX(1,0)),IMSUM(COMPLEX(0,2*PI()*O507*Constants!$B$71*Constants!$B$72),COMPLEX(2,0)))</f>
        <v>0.994799921568127+0.0507247316428477i</v>
      </c>
      <c r="AD507" s="18">
        <f t="shared" si="448"/>
        <v>0.99609230614044542</v>
      </c>
      <c r="AE507" s="18">
        <f t="shared" si="449"/>
        <v>5.0945761151733833E-2</v>
      </c>
      <c r="AF507" s="66" t="str">
        <f t="shared" si="450"/>
        <v>-0.0560682736427788+0.156978367817294i</v>
      </c>
      <c r="AG507" s="64">
        <f t="shared" si="451"/>
        <v>-15.561761682052762</v>
      </c>
      <c r="AH507" s="61">
        <f t="shared" si="452"/>
        <v>109.65530364219957</v>
      </c>
      <c r="AI507" s="50" t="str">
        <f t="shared" si="432"/>
        <v>108.866083054159</v>
      </c>
      <c r="AJ507" s="50" t="str">
        <f t="shared" si="433"/>
        <v>1+3990.52184558885i</v>
      </c>
      <c r="AK507" s="50">
        <f t="shared" si="453"/>
        <v>3990.5219708857435</v>
      </c>
      <c r="AL507" s="50">
        <f t="shared" si="454"/>
        <v>1.5705457330084791</v>
      </c>
      <c r="AM507" s="50" t="str">
        <f t="shared" si="434"/>
        <v>1+4.38957403014773i</v>
      </c>
      <c r="AN507" s="50">
        <f t="shared" si="455"/>
        <v>4.50203955626196</v>
      </c>
      <c r="AO507" s="50">
        <f t="shared" si="456"/>
        <v>1.3468064882610309</v>
      </c>
      <c r="AP507" s="50" t="str">
        <f t="shared" si="435"/>
        <v>1-21.9026633671068i</v>
      </c>
      <c r="AQ507" s="50">
        <f t="shared" si="457"/>
        <v>21.92547975695862</v>
      </c>
      <c r="AR507" s="50">
        <f t="shared" si="458"/>
        <v>-1.5251714632392297</v>
      </c>
      <c r="AS507" s="59" t="str">
        <f t="shared" si="459"/>
        <v>-0.477113322104622-2.65030361232629i</v>
      </c>
      <c r="AT507" s="50">
        <f t="shared" si="460"/>
        <v>8.604426056088899</v>
      </c>
      <c r="AU507" s="61">
        <f t="shared" si="461"/>
        <v>-100.20520231287335</v>
      </c>
      <c r="AV507" s="32" t="str">
        <f t="shared" si="436"/>
        <v>-0.0000333333333333333</v>
      </c>
      <c r="AW507" s="32" t="str">
        <f t="shared" si="437"/>
        <v>0.234110614941212i</v>
      </c>
      <c r="AX507" s="32">
        <f t="shared" si="462"/>
        <v>0.23411061494121199</v>
      </c>
      <c r="AY507" s="32">
        <f t="shared" si="463"/>
        <v>1.5707963267948966</v>
      </c>
      <c r="AZ507" s="32" t="str">
        <f t="shared" si="438"/>
        <v>1+95.513879359696i</v>
      </c>
      <c r="BA507" s="32">
        <f t="shared" si="464"/>
        <v>95.519114057546417</v>
      </c>
      <c r="BB507" s="32">
        <f t="shared" si="465"/>
        <v>1.5603270267201652</v>
      </c>
      <c r="BC507" s="32" t="str">
        <f t="shared" si="439"/>
        <v>1+4584.66620926542i</v>
      </c>
      <c r="BD507" s="32">
        <f t="shared" si="466"/>
        <v>4584.6663183246128</v>
      </c>
      <c r="BE507" s="32">
        <f t="shared" si="467"/>
        <v>1.570578208411028</v>
      </c>
      <c r="BF507" s="59" t="str">
        <f t="shared" si="468"/>
        <v>-0.0000700553666911466+0.00683364267880956i</v>
      </c>
      <c r="BG507" s="50">
        <f t="shared" si="469"/>
        <v>-43.306498277502925</v>
      </c>
      <c r="BH507" s="61">
        <f t="shared" si="470"/>
        <v>90.587349445908217</v>
      </c>
      <c r="BI507" s="59" t="str">
        <f t="shared" si="471"/>
        <v>-0.00106880619049634-0.000394147724812485i</v>
      </c>
      <c r="BJ507" s="64">
        <f t="shared" si="472"/>
        <v>-58.868259959555694</v>
      </c>
      <c r="BK507" s="61">
        <f t="shared" si="473"/>
        <v>-159.75734691189214</v>
      </c>
      <c r="BL507" s="59" t="str">
        <f t="shared" si="478"/>
        <v>0.0181446522257294-0.00307475396915837i</v>
      </c>
      <c r="BM507" s="64">
        <f t="shared" si="474"/>
        <v>-34.702072221413999</v>
      </c>
      <c r="BN507" s="61">
        <f t="shared" si="479"/>
        <v>-9.6178528669651069</v>
      </c>
      <c r="BO507" s="50">
        <f t="shared" si="475"/>
        <v>-58.868259959555694</v>
      </c>
      <c r="BP507" s="61">
        <f t="shared" si="476"/>
        <v>-159.75734691189214</v>
      </c>
    </row>
    <row r="508" spans="14:68" x14ac:dyDescent="0.25">
      <c r="N508" s="11">
        <v>90</v>
      </c>
      <c r="O508" s="51">
        <f t="shared" si="477"/>
        <v>794328.23472428333</v>
      </c>
      <c r="P508" s="49" t="str">
        <f t="shared" si="427"/>
        <v>25.6231073841137</v>
      </c>
      <c r="Q508" s="18" t="str">
        <f t="shared" si="428"/>
        <v>1+4316.03981355916i</v>
      </c>
      <c r="R508" s="18">
        <f t="shared" si="440"/>
        <v>4316.0399294060971</v>
      </c>
      <c r="S508" s="18">
        <f t="shared" si="441"/>
        <v>1.5705646329215073</v>
      </c>
      <c r="T508" s="18" t="str">
        <f t="shared" si="429"/>
        <v>1+4.49182034414777i</v>
      </c>
      <c r="U508" s="18">
        <f t="shared" si="442"/>
        <v>4.6017876965479179</v>
      </c>
      <c r="V508" s="18">
        <f t="shared" si="443"/>
        <v>1.3517417880492704</v>
      </c>
      <c r="W508" s="32" t="str">
        <f t="shared" si="430"/>
        <v>1-100.6500484522i</v>
      </c>
      <c r="X508" s="18">
        <f t="shared" si="444"/>
        <v>100.65501603710669</v>
      </c>
      <c r="Y508" s="18">
        <f t="shared" si="445"/>
        <v>-1.5608612387033436</v>
      </c>
      <c r="Z508" s="32" t="str">
        <f t="shared" si="431"/>
        <v>-14.7739336120049+7.96882201795104i</v>
      </c>
      <c r="AA508" s="18">
        <f t="shared" si="446"/>
        <v>16.786042974021882</v>
      </c>
      <c r="AB508" s="18">
        <f t="shared" si="447"/>
        <v>2.6469365136376943</v>
      </c>
      <c r="AC508" s="32" t="str">
        <f>IMDIV(IMSUM(COMPLEX(0,2*PI()*O508*Constants!$B$71*Constants!$B$72),COMPLEX(1,0)),IMSUM(COMPLEX(0,2*PI()*O508*Constants!$B$71*Constants!$B$72),COMPLEX(2,0)))</f>
        <v>0.995031638039269+0.0495933096273324i</v>
      </c>
      <c r="AD508" s="18">
        <f t="shared" si="448"/>
        <v>0.99626675998896153</v>
      </c>
      <c r="AE508" s="18">
        <f t="shared" si="449"/>
        <v>4.9799728574268093E-2</v>
      </c>
      <c r="AF508" s="66" t="str">
        <f t="shared" si="450"/>
        <v>-0.0537445996785469+0.15410275513997i</v>
      </c>
      <c r="AG508" s="64">
        <f t="shared" si="451"/>
        <v>-15.745286925867507</v>
      </c>
      <c r="AH508" s="61">
        <f t="shared" si="452"/>
        <v>109.22663654220197</v>
      </c>
      <c r="AI508" s="50" t="str">
        <f t="shared" si="432"/>
        <v>108.866083054159</v>
      </c>
      <c r="AJ508" s="50" t="str">
        <f t="shared" si="433"/>
        <v>1+4083.47304013434i</v>
      </c>
      <c r="AK508" s="50">
        <f t="shared" si="453"/>
        <v>4083.4731625791278</v>
      </c>
      <c r="AL508" s="50">
        <f t="shared" si="454"/>
        <v>1.5705514372192386</v>
      </c>
      <c r="AM508" s="50" t="str">
        <f t="shared" si="434"/>
        <v>1+4.49182034414777i</v>
      </c>
      <c r="AN508" s="50">
        <f t="shared" si="455"/>
        <v>4.6017876965479179</v>
      </c>
      <c r="AO508" s="50">
        <f t="shared" si="456"/>
        <v>1.3517417880492704</v>
      </c>
      <c r="AP508" s="50" t="str">
        <f t="shared" si="435"/>
        <v>1-22.4128419358448i</v>
      </c>
      <c r="AQ508" s="50">
        <f t="shared" si="457"/>
        <v>22.435139483434536</v>
      </c>
      <c r="AR508" s="50">
        <f t="shared" si="458"/>
        <v>-1.5262086200173433</v>
      </c>
      <c r="AS508" s="59" t="str">
        <f t="shared" si="459"/>
        <v>-0.477113631145846-2.71077515240681i</v>
      </c>
      <c r="AT508" s="50">
        <f t="shared" si="460"/>
        <v>8.7943648886990431</v>
      </c>
      <c r="AU508" s="61">
        <f t="shared" si="461"/>
        <v>-99.98218199765671</v>
      </c>
      <c r="AV508" s="32" t="str">
        <f t="shared" si="436"/>
        <v>-0.0000333333333333333</v>
      </c>
      <c r="AW508" s="32" t="str">
        <f t="shared" si="437"/>
        <v>0.239563751687881i</v>
      </c>
      <c r="AX508" s="32">
        <f t="shared" si="462"/>
        <v>0.23956375168788099</v>
      </c>
      <c r="AY508" s="32">
        <f t="shared" si="463"/>
        <v>1.5707963267948966</v>
      </c>
      <c r="AZ508" s="32" t="str">
        <f t="shared" si="438"/>
        <v>1+97.7386834143265i</v>
      </c>
      <c r="BA508" s="32">
        <f t="shared" si="464"/>
        <v>97.743798962215209</v>
      </c>
      <c r="BB508" s="32">
        <f t="shared" si="465"/>
        <v>1.5605653202613561</v>
      </c>
      <c r="BC508" s="32" t="str">
        <f t="shared" si="439"/>
        <v>1+4691.45680388768i</v>
      </c>
      <c r="BD508" s="32">
        <f t="shared" si="466"/>
        <v>4691.4569104643815</v>
      </c>
      <c r="BE508" s="32">
        <f t="shared" si="467"/>
        <v>1.5705831733914535</v>
      </c>
      <c r="BF508" s="59" t="str">
        <f t="shared" si="468"/>
        <v>-0.0000669026858262113+0.00667812223666886i</v>
      </c>
      <c r="BG508" s="50">
        <f t="shared" si="469"/>
        <v>-43.506476863378879</v>
      </c>
      <c r="BH508" s="61">
        <f t="shared" si="470"/>
        <v>90.573980704136503</v>
      </c>
      <c r="BI508" s="59" t="str">
        <f t="shared" si="471"/>
        <v>-0.00102552137776502-0.000369222894426253i</v>
      </c>
      <c r="BJ508" s="64">
        <f t="shared" si="472"/>
        <v>-59.251763789246404</v>
      </c>
      <c r="BK508" s="61">
        <f t="shared" si="473"/>
        <v>-160.1993827536615</v>
      </c>
      <c r="BL508" s="59" t="str">
        <f t="shared" si="478"/>
        <v>0.0181348080072653-0.00300486501120593i</v>
      </c>
      <c r="BM508" s="64">
        <f t="shared" si="474"/>
        <v>-34.712111974679836</v>
      </c>
      <c r="BN508" s="61">
        <f t="shared" si="479"/>
        <v>-9.4082012935202215</v>
      </c>
      <c r="BO508" s="50">
        <f t="shared" si="475"/>
        <v>-59.251763789246404</v>
      </c>
      <c r="BP508" s="61">
        <f t="shared" si="476"/>
        <v>-160.1993827536615</v>
      </c>
    </row>
    <row r="509" spans="14:68" x14ac:dyDescent="0.25">
      <c r="N509" s="11">
        <v>91</v>
      </c>
      <c r="O509" s="51">
        <f t="shared" si="477"/>
        <v>812830.51616410096</v>
      </c>
      <c r="P509" s="49" t="str">
        <f t="shared" si="427"/>
        <v>25.6231073841137</v>
      </c>
      <c r="Q509" s="18" t="str">
        <f t="shared" si="428"/>
        <v>1+4416.57329561982i</v>
      </c>
      <c r="R509" s="18">
        <f t="shared" si="440"/>
        <v>4416.5734088297595</v>
      </c>
      <c r="S509" s="18">
        <f t="shared" si="441"/>
        <v>1.5705699069177708</v>
      </c>
      <c r="T509" s="18" t="str">
        <f t="shared" si="429"/>
        <v>1+4.59644828075054i</v>
      </c>
      <c r="U509" s="18">
        <f t="shared" si="442"/>
        <v>4.7039703227820846</v>
      </c>
      <c r="V509" s="18">
        <f t="shared" si="443"/>
        <v>1.3565752488390213</v>
      </c>
      <c r="W509" s="32" t="str">
        <f t="shared" si="430"/>
        <v>1-102.994489253855i</v>
      </c>
      <c r="X509" s="18">
        <f t="shared" si="444"/>
        <v>102.99934376811559</v>
      </c>
      <c r="Y509" s="18">
        <f t="shared" si="445"/>
        <v>-1.5610873745412805</v>
      </c>
      <c r="Z509" s="32" t="str">
        <f t="shared" si="431"/>
        <v>-15.5173362001899+8.15443972770187i</v>
      </c>
      <c r="AA509" s="18">
        <f t="shared" si="446"/>
        <v>17.529478315752769</v>
      </c>
      <c r="AB509" s="18">
        <f t="shared" si="447"/>
        <v>2.6577497505639069</v>
      </c>
      <c r="AC509" s="32" t="str">
        <f>IMDIV(IMSUM(COMPLEX(0,2*PI()*O509*Constants!$B$71*Constants!$B$72),COMPLEX(1,0)),IMSUM(COMPLEX(0,2*PI()*O509*Constants!$B$71*Constants!$B$72),COMPLEX(2,0)))</f>
        <v>0.995253128237187+0.0484861123402751i</v>
      </c>
      <c r="AD509" s="18">
        <f t="shared" si="448"/>
        <v>0.99643348616743121</v>
      </c>
      <c r="AE509" s="18">
        <f t="shared" si="449"/>
        <v>4.8678880588461718E-2</v>
      </c>
      <c r="AF509" s="66" t="str">
        <f t="shared" si="450"/>
        <v>-0.0515091529778825+0.15125053257086i</v>
      </c>
      <c r="AG509" s="64">
        <f t="shared" si="451"/>
        <v>-15.929506065901993</v>
      </c>
      <c r="AH509" s="61">
        <f t="shared" si="452"/>
        <v>108.80654194124975</v>
      </c>
      <c r="AI509" s="50" t="str">
        <f t="shared" si="432"/>
        <v>108.866083054159</v>
      </c>
      <c r="AJ509" s="50" t="str">
        <f t="shared" si="433"/>
        <v>1+4178.58934613686i</v>
      </c>
      <c r="AK509" s="50">
        <f t="shared" si="453"/>
        <v>4178.5894657944646</v>
      </c>
      <c r="AL509" s="50">
        <f t="shared" si="454"/>
        <v>1.5705570115863241</v>
      </c>
      <c r="AM509" s="50" t="str">
        <f t="shared" si="434"/>
        <v>1+4.59644828075054i</v>
      </c>
      <c r="AN509" s="50">
        <f t="shared" si="455"/>
        <v>4.7039703227820846</v>
      </c>
      <c r="AO509" s="50">
        <f t="shared" si="456"/>
        <v>1.3565752488390213</v>
      </c>
      <c r="AP509" s="50" t="str">
        <f t="shared" si="435"/>
        <v>1-22.9349040900462i</v>
      </c>
      <c r="AQ509" s="50">
        <f t="shared" si="457"/>
        <v>22.956694570857056</v>
      </c>
      <c r="AR509" s="50">
        <f t="shared" si="458"/>
        <v>-1.5272222609861894</v>
      </c>
      <c r="AS509" s="59" t="str">
        <f t="shared" si="459"/>
        <v>-0.477113926277924-2.77268398134766i</v>
      </c>
      <c r="AT509" s="50">
        <f t="shared" si="460"/>
        <v>8.9847364342998013</v>
      </c>
      <c r="AU509" s="61">
        <f t="shared" si="461"/>
        <v>-99.763641831125923</v>
      </c>
      <c r="AV509" s="32" t="str">
        <f t="shared" si="436"/>
        <v>-0.0000333333333333333</v>
      </c>
      <c r="AW509" s="32" t="str">
        <f t="shared" si="437"/>
        <v>0.245143908306695i</v>
      </c>
      <c r="AX509" s="32">
        <f t="shared" si="462"/>
        <v>0.245143908306695</v>
      </c>
      <c r="AY509" s="32">
        <f t="shared" si="463"/>
        <v>1.5707963267948966</v>
      </c>
      <c r="AZ509" s="32" t="str">
        <f t="shared" si="438"/>
        <v>1+100.015309812627i</v>
      </c>
      <c r="BA509" s="32">
        <f t="shared" si="464"/>
        <v>100.02030892231718</v>
      </c>
      <c r="BB509" s="32">
        <f t="shared" si="465"/>
        <v>1.5607981907021036</v>
      </c>
      <c r="BC509" s="32" t="str">
        <f t="shared" si="439"/>
        <v>1+4800.73487100612i</v>
      </c>
      <c r="BD509" s="32">
        <f t="shared" si="466"/>
        <v>4800.7349751568399</v>
      </c>
      <c r="BE509" s="32">
        <f t="shared" si="467"/>
        <v>1.5705880253551365</v>
      </c>
      <c r="BF509" s="59" t="str">
        <f t="shared" si="468"/>
        <v>-0.0000638918699383736+0.00652613971931559i</v>
      </c>
      <c r="BG509" s="50">
        <f t="shared" si="469"/>
        <v>-43.706456412950487</v>
      </c>
      <c r="BH509" s="61">
        <f t="shared" si="470"/>
        <v>90.560916207749713</v>
      </c>
      <c r="BI509" s="59" t="str">
        <f t="shared" si="471"/>
        <v>-0.000983791092075627-0.000345819608512389i</v>
      </c>
      <c r="BJ509" s="64">
        <f t="shared" si="472"/>
        <v>-59.635962478852484</v>
      </c>
      <c r="BK509" s="61">
        <f t="shared" si="473"/>
        <v>-160.63254185100052</v>
      </c>
      <c r="BL509" s="59" t="str">
        <f t="shared" si="478"/>
        <v>0.0181254067607066-0.00293656018060449i</v>
      </c>
      <c r="BM509" s="64">
        <f t="shared" si="474"/>
        <v>-34.721719978650682</v>
      </c>
      <c r="BN509" s="61">
        <f t="shared" si="479"/>
        <v>-9.2027256233762014</v>
      </c>
      <c r="BO509" s="50">
        <f t="shared" si="475"/>
        <v>-59.635962478852484</v>
      </c>
      <c r="BP509" s="61">
        <f t="shared" si="476"/>
        <v>-160.63254185100052</v>
      </c>
    </row>
    <row r="510" spans="14:68" x14ac:dyDescent="0.25">
      <c r="N510" s="11">
        <v>92</v>
      </c>
      <c r="O510" s="51">
        <f t="shared" si="477"/>
        <v>831763.77110267128</v>
      </c>
      <c r="P510" s="49" t="str">
        <f t="shared" si="427"/>
        <v>25.6231073841137</v>
      </c>
      <c r="Q510" s="18" t="str">
        <f t="shared" si="428"/>
        <v>1+4519.44850330207i</v>
      </c>
      <c r="R510" s="18">
        <f t="shared" si="440"/>
        <v>4519.4486139350365</v>
      </c>
      <c r="S510" s="18">
        <f t="shared" si="441"/>
        <v>1.570575060863235</v>
      </c>
      <c r="T510" s="18" t="str">
        <f t="shared" si="429"/>
        <v>1+4.70351331507294i</v>
      </c>
      <c r="U510" s="18">
        <f t="shared" si="442"/>
        <v>4.8086419605818476</v>
      </c>
      <c r="V510" s="18">
        <f t="shared" si="443"/>
        <v>1.3613085296140373</v>
      </c>
      <c r="W510" s="32" t="str">
        <f t="shared" si="430"/>
        <v>1-105.393539097005i</v>
      </c>
      <c r="X510" s="18">
        <f t="shared" si="444"/>
        <v>105.39828311406178</v>
      </c>
      <c r="Y510" s="18">
        <f t="shared" si="445"/>
        <v>-1.5613083638586427</v>
      </c>
      <c r="Z510" s="32" t="str">
        <f t="shared" si="431"/>
        <v>-16.2957742729734+8.34438102933309i</v>
      </c>
      <c r="AA510" s="18">
        <f t="shared" si="446"/>
        <v>18.307947834708173</v>
      </c>
      <c r="AB510" s="18">
        <f t="shared" si="447"/>
        <v>2.6683452695826069</v>
      </c>
      <c r="AC510" s="32" t="str">
        <f>IMDIV(IMSUM(COMPLEX(0,2*PI()*O510*Constants!$B$71*Constants!$B$72),COMPLEX(1,0)),IMSUM(COMPLEX(0,2*PI()*O510*Constants!$B$71*Constants!$B$72),COMPLEX(2,0)))</f>
        <v>0.995464834834234+0.0474026883183061i</v>
      </c>
      <c r="AD510" s="18">
        <f t="shared" si="448"/>
        <v>0.99659282169367014</v>
      </c>
      <c r="AE510" s="18">
        <f t="shared" si="449"/>
        <v>4.7582703311150845E-2</v>
      </c>
      <c r="AF510" s="66" t="str">
        <f t="shared" si="450"/>
        <v>-0.049359253887559+0.148423525475954i</v>
      </c>
      <c r="AG510" s="64">
        <f t="shared" si="451"/>
        <v>-16.114391789729453</v>
      </c>
      <c r="AH510" s="61">
        <f t="shared" si="452"/>
        <v>108.39489704527318</v>
      </c>
      <c r="AI510" s="50" t="str">
        <f t="shared" si="432"/>
        <v>108.866083054159</v>
      </c>
      <c r="AJ510" s="50" t="str">
        <f t="shared" si="433"/>
        <v>1+4275.92119552085i</v>
      </c>
      <c r="AK510" s="50">
        <f t="shared" si="453"/>
        <v>4275.9213124547159</v>
      </c>
      <c r="AL510" s="50">
        <f t="shared" si="454"/>
        <v>1.5705624590653378</v>
      </c>
      <c r="AM510" s="50" t="str">
        <f t="shared" si="434"/>
        <v>1+4.70351331507294i</v>
      </c>
      <c r="AN510" s="50">
        <f t="shared" si="455"/>
        <v>4.8086419605818476</v>
      </c>
      <c r="AO510" s="50">
        <f t="shared" si="456"/>
        <v>1.3613085296140373</v>
      </c>
      <c r="AP510" s="50" t="str">
        <f t="shared" si="435"/>
        <v>1-23.4691266339755i</v>
      </c>
      <c r="AQ510" s="50">
        <f t="shared" si="457"/>
        <v>23.490421557766435</v>
      </c>
      <c r="AR510" s="50">
        <f t="shared" si="458"/>
        <v>-1.5282129152550137</v>
      </c>
      <c r="AS510" s="59" t="str">
        <f t="shared" si="459"/>
        <v>-0.477114208126875-2.83606292402989i</v>
      </c>
      <c r="AT510" s="50">
        <f t="shared" si="460"/>
        <v>9.1755229092822148</v>
      </c>
      <c r="AU510" s="61">
        <f t="shared" si="461"/>
        <v>-99.549517245583829</v>
      </c>
      <c r="AV510" s="32" t="str">
        <f t="shared" si="436"/>
        <v>-0.0000333333333333333</v>
      </c>
      <c r="AW510" s="32" t="str">
        <f t="shared" si="437"/>
        <v>0.250854043470556i</v>
      </c>
      <c r="AX510" s="32">
        <f t="shared" si="462"/>
        <v>0.25085404347055601</v>
      </c>
      <c r="AY510" s="32">
        <f t="shared" si="463"/>
        <v>1.5707963267948966</v>
      </c>
      <c r="AZ510" s="32" t="str">
        <f t="shared" si="438"/>
        <v>1+102.34496565205i</v>
      </c>
      <c r="BA510" s="32">
        <f t="shared" si="464"/>
        <v>102.34985097360571</v>
      </c>
      <c r="BB510" s="32">
        <f t="shared" si="465"/>
        <v>1.5610257614123142</v>
      </c>
      <c r="BC510" s="32" t="str">
        <f t="shared" si="439"/>
        <v>1+4912.55835129841i</v>
      </c>
      <c r="BD510" s="32">
        <f t="shared" si="466"/>
        <v>4912.5584530783717</v>
      </c>
      <c r="BE510" s="32">
        <f t="shared" si="467"/>
        <v>1.570592766874652</v>
      </c>
      <c r="BF510" s="59" t="str">
        <f t="shared" si="468"/>
        <v>-0.0000610165366063343+0.00637761473739963i</v>
      </c>
      <c r="BG510" s="50">
        <f t="shared" si="469"/>
        <v>-43.90643688285305</v>
      </c>
      <c r="BH510" s="61">
        <f t="shared" si="470"/>
        <v>90.54814903557056</v>
      </c>
      <c r="BI510" s="59" t="str">
        <f t="shared" si="471"/>
        <v>-0.000943576332730562-0.000323850594495791i</v>
      </c>
      <c r="BJ510" s="64">
        <f t="shared" si="472"/>
        <v>-60.02082867258251</v>
      </c>
      <c r="BK510" s="61">
        <f t="shared" si="473"/>
        <v>-161.05695391915626</v>
      </c>
      <c r="BL510" s="59" t="str">
        <f t="shared" si="478"/>
        <v>0.0181164285570313-0.00286980386795078i</v>
      </c>
      <c r="BM510" s="64">
        <f t="shared" si="474"/>
        <v>-34.730913973570836</v>
      </c>
      <c r="BN510" s="61">
        <f t="shared" si="479"/>
        <v>-9.0013682100132701</v>
      </c>
      <c r="BO510" s="50">
        <f t="shared" si="475"/>
        <v>-60.02082867258251</v>
      </c>
      <c r="BP510" s="61">
        <f t="shared" si="476"/>
        <v>-161.05695391915626</v>
      </c>
    </row>
    <row r="511" spans="14:68" x14ac:dyDescent="0.25">
      <c r="N511" s="11">
        <v>93</v>
      </c>
      <c r="O511" s="51">
        <f t="shared" si="477"/>
        <v>851138.03820237669</v>
      </c>
      <c r="P511" s="49" t="str">
        <f t="shared" si="427"/>
        <v>25.6231073841137</v>
      </c>
      <c r="Q511" s="18" t="str">
        <f t="shared" si="428"/>
        <v>1+4624.71998240275i</v>
      </c>
      <c r="R511" s="18">
        <f t="shared" si="440"/>
        <v>4624.7200905174032</v>
      </c>
      <c r="S511" s="18">
        <f t="shared" si="441"/>
        <v>1.5705800974905884</v>
      </c>
      <c r="T511" s="18" t="str">
        <f t="shared" si="429"/>
        <v>1+4.81307221441335i</v>
      </c>
      <c r="U511" s="18">
        <f t="shared" si="442"/>
        <v>4.9158584337995164</v>
      </c>
      <c r="V511" s="18">
        <f t="shared" si="443"/>
        <v>1.3659432912767977</v>
      </c>
      <c r="W511" s="32" t="str">
        <f t="shared" si="430"/>
        <v>1-107.848469989632i</v>
      </c>
      <c r="X511" s="18">
        <f t="shared" si="444"/>
        <v>107.85310602437258</v>
      </c>
      <c r="Y511" s="18">
        <f t="shared" si="445"/>
        <v>-1.561524323740503</v>
      </c>
      <c r="Z511" s="32" t="str">
        <f t="shared" si="431"/>
        <v>-17.1108990018747+8.53874663223701i</v>
      </c>
      <c r="AA511" s="18">
        <f t="shared" si="446"/>
        <v>19.123102747773316</v>
      </c>
      <c r="AB511" s="18">
        <f t="shared" si="447"/>
        <v>2.6787262724916956</v>
      </c>
      <c r="AC511" s="32" t="str">
        <f>IMDIV(IMSUM(COMPLEX(0,2*PI()*O511*Constants!$B$71*Constants!$B$72),COMPLEX(1,0)),IMSUM(COMPLEX(0,2*PI()*O511*Constants!$B$71*Constants!$B$72),COMPLEX(2,0)))</f>
        <v>0.995667182094905+0.0463425899313864i</v>
      </c>
      <c r="AD511" s="18">
        <f t="shared" si="448"/>
        <v>0.99674508934950734</v>
      </c>
      <c r="AE511" s="18">
        <f t="shared" si="449"/>
        <v>4.651069068260686E-2</v>
      </c>
      <c r="AF511" s="66" t="str">
        <f t="shared" si="450"/>
        <v>-0.0472922471892524+0.145623403819471i</v>
      </c>
      <c r="AG511" s="64">
        <f t="shared" si="451"/>
        <v>-16.299917702046155</v>
      </c>
      <c r="AH511" s="61">
        <f t="shared" si="452"/>
        <v>107.9915777073292</v>
      </c>
      <c r="AI511" s="50" t="str">
        <f t="shared" si="432"/>
        <v>108.866083054159</v>
      </c>
      <c r="AJ511" s="50" t="str">
        <f t="shared" si="433"/>
        <v>1+4375.52019492123i</v>
      </c>
      <c r="AK511" s="50">
        <f t="shared" si="453"/>
        <v>4375.5203091933545</v>
      </c>
      <c r="AL511" s="50">
        <f t="shared" si="454"/>
        <v>1.5705677825446038</v>
      </c>
      <c r="AM511" s="50" t="str">
        <f t="shared" si="434"/>
        <v>1+4.81307221441335i</v>
      </c>
      <c r="AN511" s="50">
        <f t="shared" si="455"/>
        <v>4.9158584337995164</v>
      </c>
      <c r="AO511" s="50">
        <f t="shared" si="456"/>
        <v>1.3659432912767977</v>
      </c>
      <c r="AP511" s="50" t="str">
        <f t="shared" si="435"/>
        <v>1-24.0157928194967i</v>
      </c>
      <c r="AQ511" s="50">
        <f t="shared" si="457"/>
        <v>24.036603436196831</v>
      </c>
      <c r="AR511" s="50">
        <f t="shared" si="458"/>
        <v>-1.5291811002995999</v>
      </c>
      <c r="AS511" s="59" t="str">
        <f t="shared" si="459"/>
        <v>-0.47711447729053-2.90094558480821i</v>
      </c>
      <c r="AT511" s="50">
        <f t="shared" si="460"/>
        <v>9.3667071912379498</v>
      </c>
      <c r="AU511" s="61">
        <f t="shared" si="461"/>
        <v>-99.339742892995346</v>
      </c>
      <c r="AV511" s="32" t="str">
        <f t="shared" si="436"/>
        <v>-0.0000333333333333333</v>
      </c>
      <c r="AW511" s="32" t="str">
        <f t="shared" si="437"/>
        <v>0.256697184768712i</v>
      </c>
      <c r="AX511" s="32">
        <f t="shared" si="462"/>
        <v>0.25669718476871201</v>
      </c>
      <c r="AY511" s="32">
        <f t="shared" si="463"/>
        <v>1.5707963267948966</v>
      </c>
      <c r="AZ511" s="32" t="str">
        <f t="shared" si="438"/>
        <v>1+104.728886146957i</v>
      </c>
      <c r="BA511" s="32">
        <f t="shared" si="464"/>
        <v>104.73366027014562</v>
      </c>
      <c r="BB511" s="32">
        <f t="shared" si="465"/>
        <v>1.5612481529586519</v>
      </c>
      <c r="BC511" s="32" t="str">
        <f t="shared" si="439"/>
        <v>1+5026.98653505395i</v>
      </c>
      <c r="BD511" s="32">
        <f t="shared" si="466"/>
        <v>5026.9866345171167</v>
      </c>
      <c r="BE511" s="32">
        <f t="shared" si="467"/>
        <v>1.5705974004640151</v>
      </c>
      <c r="BF511" s="59" t="str">
        <f t="shared" si="468"/>
        <v>-0.0000582705904403576+0.00623246872187139i</v>
      </c>
      <c r="BG511" s="50">
        <f t="shared" si="469"/>
        <v>-44.106418231672713</v>
      </c>
      <c r="BH511" s="61">
        <f t="shared" si="470"/>
        <v>90.535672423680523</v>
      </c>
      <c r="BI511" s="59" t="str">
        <f t="shared" si="471"/>
        <v>-0.000904837562310331-0.000303233013116521i</v>
      </c>
      <c r="BJ511" s="64">
        <f t="shared" si="472"/>
        <v>-60.406335933718864</v>
      </c>
      <c r="BK511" s="61">
        <f t="shared" si="473"/>
        <v>-161.47274986899029</v>
      </c>
      <c r="BL511" s="59" t="str">
        <f t="shared" si="478"/>
        <v>0.0181078543634674-0.00280456124440312i</v>
      </c>
      <c r="BM511" s="64">
        <f t="shared" si="474"/>
        <v>-34.739711040434784</v>
      </c>
      <c r="BN511" s="61">
        <f t="shared" si="479"/>
        <v>-8.8040704693148371</v>
      </c>
      <c r="BO511" s="50">
        <f t="shared" si="475"/>
        <v>-60.406335933718864</v>
      </c>
      <c r="BP511" s="61">
        <f t="shared" si="476"/>
        <v>-161.47274986899029</v>
      </c>
    </row>
    <row r="512" spans="14:68" x14ac:dyDescent="0.25">
      <c r="N512" s="11">
        <v>94</v>
      </c>
      <c r="O512" s="51">
        <f t="shared" si="477"/>
        <v>870963.58995608077</v>
      </c>
      <c r="P512" s="49" t="str">
        <f t="shared" si="427"/>
        <v>25.6231073841137</v>
      </c>
      <c r="Q512" s="18" t="str">
        <f t="shared" si="428"/>
        <v>1+4732.4435492535i</v>
      </c>
      <c r="R512" s="18">
        <f t="shared" si="440"/>
        <v>4732.4436549071625</v>
      </c>
      <c r="S512" s="18">
        <f t="shared" si="441"/>
        <v>1.570585019470317</v>
      </c>
      <c r="T512" s="18" t="str">
        <f t="shared" si="429"/>
        <v>1+4.92518306835039i</v>
      </c>
      <c r="U512" s="18">
        <f t="shared" si="442"/>
        <v>5.0256768953808955</v>
      </c>
      <c r="V512" s="18">
        <f t="shared" si="443"/>
        <v>1.3704811943922202</v>
      </c>
      <c r="W512" s="32" t="str">
        <f t="shared" si="430"/>
        <v>1-110.360583568592i</v>
      </c>
      <c r="X512" s="18">
        <f t="shared" si="444"/>
        <v>110.36511407868059</v>
      </c>
      <c r="Y512" s="18">
        <f t="shared" si="445"/>
        <v>-1.5617353686110269</v>
      </c>
      <c r="Z512" s="32" t="str">
        <f t="shared" si="431"/>
        <v>-17.9644393757296+8.73763959162902i</v>
      </c>
      <c r="AA512" s="18">
        <f t="shared" si="446"/>
        <v>19.976672088149897</v>
      </c>
      <c r="AB512" s="18">
        <f t="shared" si="447"/>
        <v>2.6888959907690602</v>
      </c>
      <c r="AC512" s="32" t="str">
        <f>IMDIV(IMSUM(COMPLEX(0,2*PI()*O512*Constants!$B$71*Constants!$B$72),COMPLEX(1,0)),IMSUM(COMPLEX(0,2*PI()*O512*Constants!$B$71*Constants!$B$72),COMPLEX(2,0)))</f>
        <v>0.995860576574995+0.0453053737012631i</v>
      </c>
      <c r="AD512" s="18">
        <f t="shared" si="448"/>
        <v>0.99689059824159876</v>
      </c>
      <c r="AE512" s="18">
        <f t="shared" si="449"/>
        <v>4.5462344537390981E-2</v>
      </c>
      <c r="AF512" s="66" t="str">
        <f t="shared" si="450"/>
        <v>-0.0453055074647079+0.14285168929997i</v>
      </c>
      <c r="AG512" s="64">
        <f t="shared" si="451"/>
        <v>-16.486058306991637</v>
      </c>
      <c r="AH512" s="61">
        <f t="shared" si="452"/>
        <v>107.59645866892829</v>
      </c>
      <c r="AI512" s="50" t="str">
        <f t="shared" si="432"/>
        <v>108.866083054159</v>
      </c>
      <c r="AJ512" s="50" t="str">
        <f t="shared" si="433"/>
        <v>1+4477.43915304582i</v>
      </c>
      <c r="AK512" s="50">
        <f t="shared" si="453"/>
        <v>4477.4392647167942</v>
      </c>
      <c r="AL512" s="50">
        <f t="shared" si="454"/>
        <v>1.5705729848467</v>
      </c>
      <c r="AM512" s="50" t="str">
        <f t="shared" si="434"/>
        <v>1+4.92518306835039i</v>
      </c>
      <c r="AN512" s="50">
        <f t="shared" si="455"/>
        <v>5.0256768953808955</v>
      </c>
      <c r="AO512" s="50">
        <f t="shared" si="456"/>
        <v>1.3704811943922202</v>
      </c>
      <c r="AP512" s="50" t="str">
        <f t="shared" si="435"/>
        <v>1-24.5751924962574i</v>
      </c>
      <c r="AQ512" s="50">
        <f t="shared" si="457"/>
        <v>24.595529801736454</v>
      </c>
      <c r="AR512" s="50">
        <f t="shared" si="458"/>
        <v>-1.530127322199861</v>
      </c>
      <c r="AS512" s="59" t="str">
        <f t="shared" si="459"/>
        <v>-0.477114734339828-2.96736636532862i</v>
      </c>
      <c r="AT512" s="50">
        <f t="shared" si="460"/>
        <v>9.558272800271201</v>
      </c>
      <c r="AU512" s="61">
        <f t="shared" si="461"/>
        <v>-99.134252787964058</v>
      </c>
      <c r="AV512" s="32" t="str">
        <f t="shared" si="436"/>
        <v>-0.0000333333333333333</v>
      </c>
      <c r="AW512" s="32" t="str">
        <f t="shared" si="437"/>
        <v>0.262676430312021i</v>
      </c>
      <c r="AX512" s="32">
        <f t="shared" si="462"/>
        <v>0.26267643031202098</v>
      </c>
      <c r="AY512" s="32">
        <f t="shared" si="463"/>
        <v>1.5707963267948966</v>
      </c>
      <c r="AZ512" s="32" t="str">
        <f t="shared" si="438"/>
        <v>1+107.16833528355i</v>
      </c>
      <c r="BA512" s="32">
        <f t="shared" si="464"/>
        <v>107.17300073921317</v>
      </c>
      <c r="BB512" s="32">
        <f t="shared" si="465"/>
        <v>1.5614654831680157</v>
      </c>
      <c r="BC512" s="32" t="str">
        <f t="shared" si="439"/>
        <v>1+5144.08009361042i</v>
      </c>
      <c r="BD512" s="32">
        <f t="shared" si="466"/>
        <v>5144.0801908095273</v>
      </c>
      <c r="BE512" s="32">
        <f t="shared" si="467"/>
        <v>1.5706019285800155</v>
      </c>
      <c r="BF512" s="59" t="str">
        <f t="shared" si="468"/>
        <v>-0.0000556482101834863+0.00609062488318586i</v>
      </c>
      <c r="BG512" s="50">
        <f t="shared" si="469"/>
        <v>-44.306400419858974</v>
      </c>
      <c r="BH512" s="61">
        <f t="shared" si="470"/>
        <v>90.523479761859249</v>
      </c>
      <c r="BI512" s="59" t="str">
        <f t="shared" si="471"/>
        <v>-0.000867534883053667-0.000283888291941143i</v>
      </c>
      <c r="BJ512" s="64">
        <f t="shared" si="472"/>
        <v>-60.792458726850612</v>
      </c>
      <c r="BK512" s="61">
        <f t="shared" si="473"/>
        <v>-161.88006156921247</v>
      </c>
      <c r="BL512" s="59" t="str">
        <f t="shared" si="478"/>
        <v>0.0180996660032175-0.00274079824591555i</v>
      </c>
      <c r="BM512" s="64">
        <f t="shared" si="474"/>
        <v>-34.748127619587748</v>
      </c>
      <c r="BN512" s="61">
        <f t="shared" si="479"/>
        <v>-8.6107730261047752</v>
      </c>
      <c r="BO512" s="50">
        <f t="shared" si="475"/>
        <v>-60.792458726850612</v>
      </c>
      <c r="BP512" s="61">
        <f t="shared" si="476"/>
        <v>-161.88006156921247</v>
      </c>
    </row>
    <row r="513" spans="14:68" x14ac:dyDescent="0.25">
      <c r="N513" s="11">
        <v>95</v>
      </c>
      <c r="O513" s="51">
        <f t="shared" si="477"/>
        <v>891250.93813374708</v>
      </c>
      <c r="P513" s="49" t="str">
        <f t="shared" si="427"/>
        <v>25.6231073841137</v>
      </c>
      <c r="Q513" s="18" t="str">
        <f t="shared" si="428"/>
        <v>1+4842.67632031538i</v>
      </c>
      <c r="R513" s="18">
        <f t="shared" si="440"/>
        <v>4842.6764235640712</v>
      </c>
      <c r="S513" s="18">
        <f t="shared" si="441"/>
        <v>1.5705898294121186</v>
      </c>
      <c r="T513" s="18" t="str">
        <f t="shared" si="429"/>
        <v>1+5.03990531954279i</v>
      </c>
      <c r="U513" s="18">
        <f t="shared" si="442"/>
        <v>5.1381558588617873</v>
      </c>
      <c r="V513" s="18">
        <f t="shared" si="443"/>
        <v>1.3749238970876476</v>
      </c>
      <c r="W513" s="32" t="str">
        <f t="shared" si="430"/>
        <v>1-112.931211789755i</v>
      </c>
      <c r="X513" s="18">
        <f t="shared" si="444"/>
        <v>112.93563917693341</v>
      </c>
      <c r="Y513" s="18">
        <f t="shared" si="445"/>
        <v>-1.5619416102937553</v>
      </c>
      <c r="Z513" s="32" t="str">
        <f t="shared" si="431"/>
        <v>-18.858205868107+8.94116536318886i</v>
      </c>
      <c r="AA513" s="18">
        <f t="shared" si="446"/>
        <v>20.870466372742928</v>
      </c>
      <c r="AB513" s="18">
        <f t="shared" si="447"/>
        <v>2.6988576794859496</v>
      </c>
      <c r="AC513" s="32" t="str">
        <f>IMDIV(IMSUM(COMPLEX(0,2*PI()*O513*Constants!$B$71*Constants!$B$72),COMPLEX(1,0)),IMSUM(COMPLEX(0,2*PI()*O513*Constants!$B$71*Constants!$B$72),COMPLEX(2,0)))</f>
        <v>0.996045407800144+0.0442906005881705i</v>
      </c>
      <c r="AD513" s="18">
        <f t="shared" si="448"/>
        <v>0.99702964434374575</v>
      </c>
      <c r="AE513" s="18">
        <f t="shared" si="449"/>
        <v>4.4437174658009206E-2</v>
      </c>
      <c r="AF513" s="66" t="str">
        <f t="shared" si="450"/>
        <v>-0.0433964438695414+0.140109762422479i</v>
      </c>
      <c r="AG513" s="64">
        <f t="shared" si="451"/>
        <v>-16.672788989634487</v>
      </c>
      <c r="AH513" s="61">
        <f t="shared" si="452"/>
        <v>107.20941378798931</v>
      </c>
      <c r="AI513" s="50" t="str">
        <f t="shared" si="432"/>
        <v>108.866083054159</v>
      </c>
      <c r="AJ513" s="50" t="str">
        <f t="shared" si="433"/>
        <v>1+4581.73210867527i</v>
      </c>
      <c r="AK513" s="50">
        <f t="shared" si="453"/>
        <v>4581.7322178043032</v>
      </c>
      <c r="AL513" s="50">
        <f t="shared" si="454"/>
        <v>1.5705780687299549</v>
      </c>
      <c r="AM513" s="50" t="str">
        <f t="shared" si="434"/>
        <v>1+5.03990531954279i</v>
      </c>
      <c r="AN513" s="50">
        <f t="shared" si="455"/>
        <v>5.1381558588617873</v>
      </c>
      <c r="AO513" s="50">
        <f t="shared" si="456"/>
        <v>1.3749238970876476</v>
      </c>
      <c r="AP513" s="50" t="str">
        <f t="shared" si="435"/>
        <v>1-25.1476222653708i</v>
      </c>
      <c r="AQ513" s="50">
        <f t="shared" si="457"/>
        <v>25.167497007087796</v>
      </c>
      <c r="AR513" s="50">
        <f t="shared" si="458"/>
        <v>-1.5310520758738189</v>
      </c>
      <c r="AS513" s="59" t="str">
        <f t="shared" si="459"/>
        <v>-0.477114979820003-3.0353604827685i</v>
      </c>
      <c r="AT513" s="50">
        <f t="shared" si="460"/>
        <v>9.7502038803176774</v>
      </c>
      <c r="AU513" s="61">
        <f t="shared" si="461"/>
        <v>-98.932980441545723</v>
      </c>
      <c r="AV513" s="32" t="str">
        <f t="shared" si="436"/>
        <v>-0.0000333333333333333</v>
      </c>
      <c r="AW513" s="32" t="str">
        <f t="shared" si="437"/>
        <v>0.268794950375615i</v>
      </c>
      <c r="AX513" s="32">
        <f t="shared" si="462"/>
        <v>0.26879495037561502</v>
      </c>
      <c r="AY513" s="32">
        <f t="shared" si="463"/>
        <v>1.5707963267948966</v>
      </c>
      <c r="AZ513" s="32" t="str">
        <f t="shared" si="438"/>
        <v>1+109.664606490051i</v>
      </c>
      <c r="BA513" s="32">
        <f t="shared" si="464"/>
        <v>109.66916575144417</v>
      </c>
      <c r="BB513" s="32">
        <f t="shared" si="465"/>
        <v>1.5616778671895919</v>
      </c>
      <c r="BC513" s="32" t="str">
        <f t="shared" si="439"/>
        <v>1+5263.90111152247i</v>
      </c>
      <c r="BD513" s="32">
        <f t="shared" si="466"/>
        <v>5263.9012065090556</v>
      </c>
      <c r="BE513" s="32">
        <f t="shared" si="467"/>
        <v>1.5706063536235197</v>
      </c>
      <c r="BF513" s="59" t="str">
        <f t="shared" si="468"/>
        <v>-0.0000531438363915633+0.00595200817139306i</v>
      </c>
      <c r="BG513" s="50">
        <f t="shared" si="469"/>
        <v>-44.50638340964062</v>
      </c>
      <c r="BH513" s="61">
        <f t="shared" si="470"/>
        <v>90.511564590103873</v>
      </c>
      <c r="BI513" s="59" t="str">
        <f t="shared" si="471"/>
        <v>-0.000831628197317557-0.000265741958811952i</v>
      </c>
      <c r="BJ513" s="64">
        <f t="shared" si="472"/>
        <v>-61.179172399275103</v>
      </c>
      <c r="BK513" s="61">
        <f t="shared" si="473"/>
        <v>-162.27902162190679</v>
      </c>
      <c r="BL513" s="59" t="str">
        <f t="shared" si="478"/>
        <v>0.0180918461169892-0.00267848155769703i</v>
      </c>
      <c r="BM513" s="64">
        <f t="shared" si="474"/>
        <v>-34.756179529322957</v>
      </c>
      <c r="BN513" s="61">
        <f t="shared" si="479"/>
        <v>-8.4214158514418624</v>
      </c>
      <c r="BO513" s="50">
        <f t="shared" si="475"/>
        <v>-61.179172399275103</v>
      </c>
      <c r="BP513" s="61">
        <f t="shared" si="476"/>
        <v>-162.27902162190679</v>
      </c>
    </row>
    <row r="514" spans="14:68" x14ac:dyDescent="0.25">
      <c r="N514" s="11">
        <v>96</v>
      </c>
      <c r="O514" s="51">
        <f t="shared" si="477"/>
        <v>912010.83935591124</v>
      </c>
      <c r="P514" s="49" t="str">
        <f t="shared" si="427"/>
        <v>25.6231073841137</v>
      </c>
      <c r="Q514" s="18" t="str">
        <f t="shared" si="428"/>
        <v>1+4955.47674246267i</v>
      </c>
      <c r="R514" s="18">
        <f t="shared" si="440"/>
        <v>4955.4768433611353</v>
      </c>
      <c r="S514" s="18">
        <f t="shared" si="441"/>
        <v>1.5705945298662869</v>
      </c>
      <c r="T514" s="18" t="str">
        <f t="shared" si="429"/>
        <v>1+5.15729979524663i</v>
      </c>
      <c r="U514" s="18">
        <f t="shared" si="442"/>
        <v>5.2533552305218167</v>
      </c>
      <c r="V514" s="18">
        <f t="shared" si="443"/>
        <v>1.3792730531025579</v>
      </c>
      <c r="W514" s="32" t="str">
        <f t="shared" si="430"/>
        <v>1-115.56171763423i</v>
      </c>
      <c r="X514" s="18">
        <f t="shared" si="444"/>
        <v>115.56604424558932</v>
      </c>
      <c r="Y514" s="18">
        <f t="shared" si="445"/>
        <v>-1.5621431580705374</v>
      </c>
      <c r="Z514" s="32" t="str">
        <f t="shared" si="431"/>
        <v>-19.7940942775668+9.14943185897457i</v>
      </c>
      <c r="AA514" s="18">
        <f t="shared" si="446"/>
        <v>21.80638144239483</v>
      </c>
      <c r="AB514" s="18">
        <f t="shared" si="447"/>
        <v>2.7086146115838501</v>
      </c>
      <c r="AC514" s="32" t="str">
        <f>IMDIV(IMSUM(COMPLEX(0,2*PI()*O514*Constants!$B$71*Constants!$B$72),COMPLEX(1,0)),IMSUM(COMPLEX(0,2*PI()*O514*Constants!$B$71*Constants!$B$72),COMPLEX(2,0)))</f>
        <v>0.996222048923839+0.0432978362478634i</v>
      </c>
      <c r="AD514" s="18">
        <f t="shared" si="448"/>
        <v>0.9971625110210266</v>
      </c>
      <c r="AE514" s="18">
        <f t="shared" si="449"/>
        <v>4.3434698812686204E-2</v>
      </c>
      <c r="AF514" s="66" t="str">
        <f t="shared" si="450"/>
        <v>-0.0415625043505816+0.137398869476918i</v>
      </c>
      <c r="AG514" s="64">
        <f t="shared" si="451"/>
        <v>-16.860085996754449</v>
      </c>
      <c r="AH514" s="61">
        <f t="shared" si="452"/>
        <v>106.83031625371585</v>
      </c>
      <c r="AI514" s="50" t="str">
        <f t="shared" si="432"/>
        <v>108.866083054159</v>
      </c>
      <c r="AJ514" s="50" t="str">
        <f t="shared" si="433"/>
        <v>1+4688.45435931512i</v>
      </c>
      <c r="AK514" s="50">
        <f t="shared" si="453"/>
        <v>4688.4544659600733</v>
      </c>
      <c r="AL514" s="50">
        <f t="shared" si="454"/>
        <v>1.5705830368899092</v>
      </c>
      <c r="AM514" s="50" t="str">
        <f t="shared" si="434"/>
        <v>1+5.15729979524663i</v>
      </c>
      <c r="AN514" s="50">
        <f t="shared" si="455"/>
        <v>5.2533552305218167</v>
      </c>
      <c r="AO514" s="50">
        <f t="shared" si="456"/>
        <v>1.3792730531025579</v>
      </c>
      <c r="AP514" s="50" t="str">
        <f t="shared" si="435"/>
        <v>1-25.7333856366774i</v>
      </c>
      <c r="AQ514" s="50">
        <f t="shared" si="457"/>
        <v>25.75280831920967</v>
      </c>
      <c r="AR514" s="50">
        <f t="shared" si="458"/>
        <v>-1.5319558453079363</v>
      </c>
      <c r="AS514" s="59" t="str">
        <f t="shared" si="459"/>
        <v>-0.477115214251753-3.10496398850929i</v>
      </c>
      <c r="AT514" s="50">
        <f t="shared" si="460"/>
        <v>9.9424851805286067</v>
      </c>
      <c r="AU514" s="61">
        <f t="shared" si="461"/>
        <v>-98.735858986272575</v>
      </c>
      <c r="AV514" s="32" t="str">
        <f t="shared" si="436"/>
        <v>-0.0000333333333333333</v>
      </c>
      <c r="AW514" s="32" t="str">
        <f t="shared" si="437"/>
        <v>0.27505598907982i</v>
      </c>
      <c r="AX514" s="32">
        <f t="shared" si="462"/>
        <v>0.27505598907981998</v>
      </c>
      <c r="AY514" s="32">
        <f t="shared" si="463"/>
        <v>1.5707963267948966</v>
      </c>
      <c r="AZ514" s="32" t="str">
        <f t="shared" si="438"/>
        <v>1+112.219023322496i</v>
      </c>
      <c r="BA514" s="32">
        <f t="shared" si="464"/>
        <v>112.22347880659778</v>
      </c>
      <c r="BB514" s="32">
        <f t="shared" si="465"/>
        <v>1.5618854175555157</v>
      </c>
      <c r="BC514" s="32" t="str">
        <f t="shared" si="439"/>
        <v>1+5386.51311947982i</v>
      </c>
      <c r="BD514" s="32">
        <f t="shared" si="466"/>
        <v>5386.5132123042467</v>
      </c>
      <c r="BE514" s="32">
        <f t="shared" si="467"/>
        <v>1.5706106779407436</v>
      </c>
      <c r="BF514" s="59" t="str">
        <f t="shared" si="468"/>
        <v>-0.0000507521596661569+0.00581654523709676i</v>
      </c>
      <c r="BG514" s="50">
        <f t="shared" si="469"/>
        <v>-44.706367164945988</v>
      </c>
      <c r="BH514" s="61">
        <f t="shared" si="470"/>
        <v>90.499920595226257</v>
      </c>
      <c r="BI514" s="59" t="str">
        <f t="shared" si="471"/>
        <v>-0.000797077352981521-0.000248723476083831i</v>
      </c>
      <c r="BJ514" s="64">
        <f t="shared" si="472"/>
        <v>-61.566453161700437</v>
      </c>
      <c r="BK514" s="61">
        <f t="shared" si="473"/>
        <v>-162.66976315105788</v>
      </c>
      <c r="BL514" s="59" t="str">
        <f t="shared" si="478"/>
        <v>0.0180843781262535-0.00261757859889994i</v>
      </c>
      <c r="BM514" s="64">
        <f t="shared" si="474"/>
        <v>-34.763881984417395</v>
      </c>
      <c r="BN514" s="61">
        <f t="shared" si="479"/>
        <v>-8.2359383910463393</v>
      </c>
      <c r="BO514" s="50">
        <f t="shared" si="475"/>
        <v>-61.566453161700437</v>
      </c>
      <c r="BP514" s="61">
        <f t="shared" si="476"/>
        <v>-162.66976315105788</v>
      </c>
    </row>
    <row r="515" spans="14:68" x14ac:dyDescent="0.25">
      <c r="N515" s="11">
        <v>97</v>
      </c>
      <c r="O515" s="51">
        <f t="shared" si="477"/>
        <v>933254.30079699249</v>
      </c>
      <c r="P515" s="49" t="str">
        <f t="shared" si="427"/>
        <v>25.6231073841137</v>
      </c>
      <c r="Q515" s="18" t="str">
        <f t="shared" si="428"/>
        <v>1+5070.90462397231i</v>
      </c>
      <c r="R515" s="18">
        <f t="shared" si="440"/>
        <v>5070.904722574046</v>
      </c>
      <c r="S515" s="18">
        <f t="shared" si="441"/>
        <v>1.5705991233250642</v>
      </c>
      <c r="T515" s="18" t="str">
        <f t="shared" si="429"/>
        <v>1+5.27742873956684i</v>
      </c>
      <c r="U515" s="18">
        <f t="shared" si="442"/>
        <v>5.3713363422155993</v>
      </c>
      <c r="V515" s="18">
        <f t="shared" si="443"/>
        <v>1.3835303099814538</v>
      </c>
      <c r="W515" s="32" t="str">
        <f t="shared" si="430"/>
        <v>1-118.253495831035i</v>
      </c>
      <c r="X515" s="18">
        <f t="shared" si="444"/>
        <v>118.25772396025812</v>
      </c>
      <c r="Y515" s="18">
        <f t="shared" si="445"/>
        <v>-1.562340118739137</v>
      </c>
      <c r="Z515" s="32" t="str">
        <f t="shared" si="431"/>
        <v>-20.7740897489021+9.36254950463895i</v>
      </c>
      <c r="AA515" s="18">
        <f t="shared" si="446"/>
        <v>22.786402483109402</v>
      </c>
      <c r="AB515" s="18">
        <f t="shared" si="447"/>
        <v>2.7181700725036606</v>
      </c>
      <c r="AC515" s="32" t="str">
        <f>IMDIV(IMSUM(COMPLEX(0,2*PI()*O515*Constants!$B$71*Constants!$B$72),COMPLEX(1,0)),IMSUM(COMPLEX(0,2*PI()*O515*Constants!$B$71*Constants!$B$72),COMPLEX(2,0)))</f>
        <v>0.996390857364945+0.0423266512609623i</v>
      </c>
      <c r="AD515" s="18">
        <f t="shared" si="448"/>
        <v>0.99728946953601072</v>
      </c>
      <c r="AE515" s="18">
        <f t="shared" si="449"/>
        <v>4.2454442778503486E-2</v>
      </c>
      <c r="AF515" s="66" t="str">
        <f t="shared" si="450"/>
        <v>-0.0398011793414383+0.13472012939703i</v>
      </c>
      <c r="AG515" s="64">
        <f t="shared" si="451"/>
        <v>-17.047926417044515</v>
      </c>
      <c r="AH515" s="61">
        <f t="shared" si="452"/>
        <v>106.45903878872923</v>
      </c>
      <c r="AI515" s="50" t="str">
        <f t="shared" si="432"/>
        <v>108.866083054159</v>
      </c>
      <c r="AJ515" s="50" t="str">
        <f t="shared" si="433"/>
        <v>1+4797.66249051532i</v>
      </c>
      <c r="AK515" s="50">
        <f t="shared" si="453"/>
        <v>4797.6625947327375</v>
      </c>
      <c r="AL515" s="50">
        <f t="shared" si="454"/>
        <v>1.5705878919607466</v>
      </c>
      <c r="AM515" s="50" t="str">
        <f t="shared" si="434"/>
        <v>1+5.27742873956684i</v>
      </c>
      <c r="AN515" s="50">
        <f t="shared" si="455"/>
        <v>5.3713363422155993</v>
      </c>
      <c r="AO515" s="50">
        <f t="shared" si="456"/>
        <v>1.3835303099814538</v>
      </c>
      <c r="AP515" s="50" t="str">
        <f t="shared" si="435"/>
        <v>1-26.3327931896702i</v>
      </c>
      <c r="AQ515" s="50">
        <f t="shared" si="457"/>
        <v>26.351774080124873</v>
      </c>
      <c r="AR515" s="50">
        <f t="shared" si="458"/>
        <v>-1.5328391037837759</v>
      </c>
      <c r="AS515" s="59" t="str">
        <f t="shared" si="459"/>
        <v>-0.477115438132335-3.17621378725131i</v>
      </c>
      <c r="AT515" s="50">
        <f t="shared" si="460"/>
        <v>10.135102036769531</v>
      </c>
      <c r="AU515" s="61">
        <f t="shared" si="461"/>
        <v>-98.542821292761786</v>
      </c>
      <c r="AV515" s="32" t="str">
        <f t="shared" si="436"/>
        <v>-0.0000333333333333333</v>
      </c>
      <c r="AW515" s="32" t="str">
        <f t="shared" si="437"/>
        <v>0.281462866110231i</v>
      </c>
      <c r="AX515" s="32">
        <f t="shared" si="462"/>
        <v>0.28146286611023102</v>
      </c>
      <c r="AY515" s="32">
        <f t="shared" si="463"/>
        <v>1.5707963267948966</v>
      </c>
      <c r="AZ515" s="32" t="str">
        <f t="shared" si="438"/>
        <v>1+114.832940166501i</v>
      </c>
      <c r="BA515" s="32">
        <f t="shared" si="464"/>
        <v>114.83729423529275</v>
      </c>
      <c r="BB515" s="32">
        <f t="shared" si="465"/>
        <v>1.5620882442401722</v>
      </c>
      <c r="BC515" s="32" t="str">
        <f t="shared" si="439"/>
        <v>1+5511.98112799203i</v>
      </c>
      <c r="BD515" s="32">
        <f t="shared" si="466"/>
        <v>5511.981218703515</v>
      </c>
      <c r="BE515" s="32">
        <f t="shared" si="467"/>
        <v>1.5706149038244968</v>
      </c>
      <c r="BF515" s="59" t="str">
        <f t="shared" si="468"/>
        <v>-0.0000484681094156456+0.00568416439326506i</v>
      </c>
      <c r="BG515" s="50">
        <f t="shared" si="469"/>
        <v>-44.906351651326332</v>
      </c>
      <c r="BH515" s="61">
        <f t="shared" si="470"/>
        <v>90.488541607526571</v>
      </c>
      <c r="BI515" s="59" t="str">
        <f t="shared" si="471"/>
        <v>-0.000763842274659467-0.000232766076394666i</v>
      </c>
      <c r="BJ515" s="64">
        <f t="shared" si="472"/>
        <v>-61.95427806837084</v>
      </c>
      <c r="BK515" s="61">
        <f t="shared" si="473"/>
        <v>-163.05241960374417</v>
      </c>
      <c r="BL515" s="59" t="str">
        <f t="shared" si="478"/>
        <v>0.0180772461981508-0.0025580575075409i</v>
      </c>
      <c r="BM515" s="64">
        <f t="shared" si="474"/>
        <v>-34.77124961455678</v>
      </c>
      <c r="BN515" s="61">
        <f t="shared" si="479"/>
        <v>-8.0542796852352101</v>
      </c>
      <c r="BO515" s="50">
        <f t="shared" si="475"/>
        <v>-61.95427806837084</v>
      </c>
      <c r="BP515" s="61">
        <f t="shared" si="476"/>
        <v>-163.05241960374417</v>
      </c>
    </row>
    <row r="516" spans="14:68" x14ac:dyDescent="0.25">
      <c r="N516" s="11">
        <v>98</v>
      </c>
      <c r="O516" s="51">
        <f t="shared" si="477"/>
        <v>954992.58602143743</v>
      </c>
      <c r="P516" s="49" t="str">
        <f t="shared" si="427"/>
        <v>25.6231073841137</v>
      </c>
      <c r="Q516" s="18" t="str">
        <f t="shared" si="428"/>
        <v>1+5189.02116623494i</v>
      </c>
      <c r="R516" s="18">
        <f t="shared" si="440"/>
        <v>5189.0212625922268</v>
      </c>
      <c r="S516" s="18">
        <f t="shared" si="441"/>
        <v>1.5706036122239622</v>
      </c>
      <c r="T516" s="18" t="str">
        <f t="shared" si="429"/>
        <v>1+5.4003558464598i</v>
      </c>
      <c r="U516" s="18">
        <f t="shared" si="442"/>
        <v>5.4921619849010783</v>
      </c>
      <c r="V516" s="18">
        <f t="shared" si="443"/>
        <v>1.3876973074034118</v>
      </c>
      <c r="W516" s="32" t="str">
        <f t="shared" si="430"/>
        <v>1-121.007973596599i</v>
      </c>
      <c r="X516" s="18">
        <f t="shared" si="444"/>
        <v>121.01210548517534</v>
      </c>
      <c r="Y516" s="18">
        <f t="shared" si="445"/>
        <v>-1.562532596669546</v>
      </c>
      <c r="Z516" s="32" t="str">
        <f t="shared" si="431"/>
        <v>-21.8002709838977+9.58063129797868i</v>
      </c>
      <c r="AA516" s="18">
        <f t="shared" si="446"/>
        <v>23.812608236797175</v>
      </c>
      <c r="AB516" s="18">
        <f t="shared" si="447"/>
        <v>2.7275273551555848</v>
      </c>
      <c r="AC516" s="32" t="str">
        <f>IMDIV(IMSUM(COMPLEX(0,2*PI()*O516*Constants!$B$71*Constants!$B$72),COMPLEX(1,0)),IMSUM(COMPLEX(0,2*PI()*O516*Constants!$B$71*Constants!$B$72),COMPLEX(2,0)))</f>
        <v>0.996552175424954+0.0413766213364831i</v>
      </c>
      <c r="AD516" s="18">
        <f t="shared" si="448"/>
        <v>0.99741077953741353</v>
      </c>
      <c r="AE516" s="18">
        <f t="shared" si="449"/>
        <v>4.1495940351067385E-2</v>
      </c>
      <c r="AF516" s="66" t="str">
        <f t="shared" si="450"/>
        <v>-0.0381100049704871+0.13207454047776i</v>
      </c>
      <c r="AG516" s="64">
        <f t="shared" si="451"/>
        <v>-17.236288160845966</v>
      </c>
      <c r="AH516" s="61">
        <f t="shared" si="452"/>
        <v>106.09545383881452</v>
      </c>
      <c r="AI516" s="50" t="str">
        <f t="shared" si="432"/>
        <v>108.866083054159</v>
      </c>
      <c r="AJ516" s="50" t="str">
        <f t="shared" si="433"/>
        <v>1+4909.41440587255i</v>
      </c>
      <c r="AK516" s="50">
        <f t="shared" si="453"/>
        <v>4909.41450771769</v>
      </c>
      <c r="AL516" s="50">
        <f t="shared" si="454"/>
        <v>1.5705926365166887</v>
      </c>
      <c r="AM516" s="50" t="str">
        <f t="shared" si="434"/>
        <v>1+5.4003558464598i</v>
      </c>
      <c r="AN516" s="50">
        <f t="shared" si="455"/>
        <v>5.4921619849010783</v>
      </c>
      <c r="AO516" s="50">
        <f t="shared" si="456"/>
        <v>1.3876973074034118</v>
      </c>
      <c r="AP516" s="50" t="str">
        <f t="shared" si="435"/>
        <v>1-26.9461627381679i</v>
      </c>
      <c r="AQ516" s="50">
        <f t="shared" si="457"/>
        <v>26.964711871478031</v>
      </c>
      <c r="AR516" s="50">
        <f t="shared" si="458"/>
        <v>-1.5337023141009665</v>
      </c>
      <c r="AS516" s="59" t="str">
        <f t="shared" si="459"/>
        <v>-0.477115651936635-3.24914765658131i</v>
      </c>
      <c r="AT516" s="50">
        <f t="shared" si="460"/>
        <v>10.328040353280629</v>
      </c>
      <c r="AU516" s="61">
        <f t="shared" si="461"/>
        <v>-98.353800078280045</v>
      </c>
      <c r="AV516" s="32" t="str">
        <f t="shared" si="436"/>
        <v>-0.0000333333333333333</v>
      </c>
      <c r="AW516" s="32" t="str">
        <f t="shared" si="437"/>
        <v>0.288018978477856i</v>
      </c>
      <c r="AX516" s="32">
        <f t="shared" si="462"/>
        <v>0.28801897847785601</v>
      </c>
      <c r="AY516" s="32">
        <f t="shared" si="463"/>
        <v>1.5707963267948966</v>
      </c>
      <c r="AZ516" s="32" t="str">
        <f t="shared" si="438"/>
        <v>1+117.507742955375i</v>
      </c>
      <c r="BA516" s="32">
        <f t="shared" si="464"/>
        <v>117.51199791709135</v>
      </c>
      <c r="BB516" s="32">
        <f t="shared" si="465"/>
        <v>1.5622864547181636</v>
      </c>
      <c r="BC516" s="32" t="str">
        <f t="shared" si="439"/>
        <v>1+5640.37166185802i</v>
      </c>
      <c r="BD516" s="32">
        <f t="shared" si="466"/>
        <v>5640.3717505046598</v>
      </c>
      <c r="BE516" s="32">
        <f t="shared" si="467"/>
        <v>1.570619033515398</v>
      </c>
      <c r="BF516" s="59" t="str">
        <f t="shared" si="468"/>
        <v>-0.0000462868431208183+0.00555479557787556i</v>
      </c>
      <c r="BG516" s="50">
        <f t="shared" si="469"/>
        <v>-45.106336835882715</v>
      </c>
      <c r="BH516" s="61">
        <f t="shared" si="470"/>
        <v>90.477421597541721</v>
      </c>
      <c r="BI516" s="59" t="str">
        <f t="shared" si="471"/>
        <v>-0.000731883081574405-0.000217806600618226i</v>
      </c>
      <c r="BJ516" s="64">
        <f t="shared" si="472"/>
        <v>-62.342624996728688</v>
      </c>
      <c r="BK516" s="61">
        <f t="shared" si="473"/>
        <v>-163.42712456364373</v>
      </c>
      <c r="BL516" s="59" t="str">
        <f t="shared" si="478"/>
        <v>0.0180704352119743-0.00249988712565628i</v>
      </c>
      <c r="BM516" s="64">
        <f t="shared" si="474"/>
        <v>-34.77829648260208</v>
      </c>
      <c r="BN516" s="61">
        <f t="shared" si="479"/>
        <v>-7.8763784807383006</v>
      </c>
      <c r="BO516" s="50">
        <f t="shared" si="475"/>
        <v>-62.342624996728688</v>
      </c>
      <c r="BP516" s="61">
        <f t="shared" si="476"/>
        <v>-163.42712456364373</v>
      </c>
    </row>
    <row r="517" spans="14:68" x14ac:dyDescent="0.25">
      <c r="N517" s="11">
        <v>99</v>
      </c>
      <c r="O517" s="51">
        <f t="shared" si="477"/>
        <v>977237.22095581202</v>
      </c>
      <c r="P517" s="49" t="str">
        <f t="shared" si="427"/>
        <v>25.6231073841137</v>
      </c>
      <c r="Q517" s="18" t="str">
        <f t="shared" si="428"/>
        <v>1+5309.88899620472i</v>
      </c>
      <c r="R517" s="18">
        <f t="shared" si="440"/>
        <v>5309.8890903686452</v>
      </c>
      <c r="S517" s="18">
        <f t="shared" si="441"/>
        <v>1.5706079989430541</v>
      </c>
      <c r="T517" s="18" t="str">
        <f t="shared" si="429"/>
        <v>1+5.52614629350472i</v>
      </c>
      <c r="U517" s="18">
        <f t="shared" si="442"/>
        <v>5.6158964428856732</v>
      </c>
      <c r="V517" s="18">
        <f t="shared" si="443"/>
        <v>1.3917756756418433</v>
      </c>
      <c r="W517" s="32" t="str">
        <f t="shared" si="430"/>
        <v>1-123.826611391495i</v>
      </c>
      <c r="X517" s="18">
        <f t="shared" si="444"/>
        <v>123.83064922990722</v>
      </c>
      <c r="Y517" s="18">
        <f t="shared" si="445"/>
        <v>-1.5627206938590317</v>
      </c>
      <c r="Z517" s="32" t="str">
        <f t="shared" si="431"/>
        <v>-22.8748146505359+9.80379286884725i</v>
      </c>
      <c r="AA517" s="18">
        <f t="shared" si="446"/>
        <v>24.887175410472601</v>
      </c>
      <c r="AB517" s="18">
        <f t="shared" si="447"/>
        <v>2.7366897552176486</v>
      </c>
      <c r="AC517" s="32" t="str">
        <f>IMDIV(IMSUM(COMPLEX(0,2*PI()*O517*Constants!$B$71*Constants!$B$72),COMPLEX(1,0)),IMSUM(COMPLEX(0,2*PI()*O517*Constants!$B$71*Constants!$B$72),COMPLEX(2,0)))</f>
        <v>0.996706330885144+0.0404473274913173i</v>
      </c>
      <c r="AD517" s="18">
        <f t="shared" si="448"/>
        <v>0.99752668953152124</v>
      </c>
      <c r="AE517" s="18">
        <f t="shared" si="449"/>
        <v>4.0558733341798381E-2</v>
      </c>
      <c r="AF517" s="66" t="str">
        <f t="shared" si="450"/>
        <v>-0.0364865658147558+0.129462986932412i</v>
      </c>
      <c r="AG517" s="64">
        <f t="shared" si="451"/>
        <v>-17.425149939522136</v>
      </c>
      <c r="AH517" s="61">
        <f t="shared" si="452"/>
        <v>105.73943375066347</v>
      </c>
      <c r="AI517" s="50" t="str">
        <f t="shared" si="432"/>
        <v>108.866083054159</v>
      </c>
      <c r="AJ517" s="50" t="str">
        <f t="shared" si="433"/>
        <v>1+5023.76935773157i</v>
      </c>
      <c r="AK517" s="50">
        <f t="shared" si="453"/>
        <v>5023.7694572584323</v>
      </c>
      <c r="AL517" s="50">
        <f t="shared" si="454"/>
        <v>1.5705972730733611</v>
      </c>
      <c r="AM517" s="50" t="str">
        <f t="shared" si="434"/>
        <v>1+5.52614629350472i</v>
      </c>
      <c r="AN517" s="50">
        <f t="shared" si="455"/>
        <v>5.6158964428856732</v>
      </c>
      <c r="AO517" s="50">
        <f t="shared" si="456"/>
        <v>1.3917756756418433</v>
      </c>
      <c r="AP517" s="50" t="str">
        <f t="shared" si="435"/>
        <v>1-27.573819498824i</v>
      </c>
      <c r="AQ517" s="50">
        <f t="shared" si="457"/>
        <v>27.591946682931361</v>
      </c>
      <c r="AR517" s="50">
        <f t="shared" si="458"/>
        <v>-1.5345459287964616</v>
      </c>
      <c r="AS517" s="59" t="str">
        <f t="shared" si="459"/>
        <v>-0.477115856118152-3.32380426700244i</v>
      </c>
      <c r="AT517" s="50">
        <f t="shared" si="460"/>
        <v>10.521286584537087</v>
      </c>
      <c r="AU517" s="61">
        <f t="shared" si="461"/>
        <v>-98.168728007633575</v>
      </c>
      <c r="AV517" s="32" t="str">
        <f t="shared" si="436"/>
        <v>-0.0000333333333333333</v>
      </c>
      <c r="AW517" s="32" t="str">
        <f t="shared" si="437"/>
        <v>0.294727802320251i</v>
      </c>
      <c r="AX517" s="32">
        <f t="shared" si="462"/>
        <v>0.29472780232025098</v>
      </c>
      <c r="AY517" s="32">
        <f t="shared" si="463"/>
        <v>1.5707963267948966</v>
      </c>
      <c r="AZ517" s="32" t="str">
        <f t="shared" si="438"/>
        <v>1+120.244849904964i</v>
      </c>
      <c r="BA517" s="32">
        <f t="shared" si="464"/>
        <v>120.24900801531513</v>
      </c>
      <c r="BB517" s="32">
        <f t="shared" si="465"/>
        <v>1.5624801540209758</v>
      </c>
      <c r="BC517" s="32" t="str">
        <f t="shared" si="439"/>
        <v>1+5771.75279543827i</v>
      </c>
      <c r="BD517" s="32">
        <f t="shared" si="466"/>
        <v>5771.7528820670659</v>
      </c>
      <c r="BE517" s="32">
        <f t="shared" si="467"/>
        <v>1.5706230692030634</v>
      </c>
      <c r="BF517" s="59" t="str">
        <f t="shared" si="468"/>
        <v>-0.0000442037360823973+0.00542837031737816i</v>
      </c>
      <c r="BG517" s="50">
        <f t="shared" si="469"/>
        <v>-45.306322687196683</v>
      </c>
      <c r="BH517" s="61">
        <f t="shared" si="470"/>
        <v>90.466554672866621</v>
      </c>
      <c r="BI517" s="59" t="str">
        <f t="shared" si="471"/>
        <v>-0.000701160192937193-0.000203785338558684i</v>
      </c>
      <c r="BJ517" s="64">
        <f t="shared" si="472"/>
        <v>-62.731472626718826</v>
      </c>
      <c r="BK517" s="61">
        <f t="shared" si="473"/>
        <v>-163.7940115764699</v>
      </c>
      <c r="BL517" s="59" t="str">
        <f t="shared" si="478"/>
        <v>0.0180639307271555-0.00244303698469412i</v>
      </c>
      <c r="BM517" s="64">
        <f t="shared" si="474"/>
        <v>-34.785036102659596</v>
      </c>
      <c r="BN517" s="61">
        <f t="shared" si="479"/>
        <v>-7.7021733347669512</v>
      </c>
      <c r="BO517" s="50">
        <f t="shared" si="475"/>
        <v>-62.731472626718826</v>
      </c>
      <c r="BP517" s="61">
        <f t="shared" si="476"/>
        <v>-163.7940115764699</v>
      </c>
    </row>
    <row r="518" spans="14:68" x14ac:dyDescent="0.25">
      <c r="N518" s="11">
        <v>100</v>
      </c>
      <c r="O518" s="51">
        <f t="shared" si="477"/>
        <v>1000000</v>
      </c>
      <c r="P518" s="49" t="str">
        <f t="shared" si="427"/>
        <v>25.6231073841137</v>
      </c>
      <c r="Q518" s="18" t="str">
        <f t="shared" si="428"/>
        <v>1+5433.57219960497i</v>
      </c>
      <c r="R518" s="18">
        <f t="shared" si="440"/>
        <v>5433.5722916254626</v>
      </c>
      <c r="S518" s="18">
        <f t="shared" si="441"/>
        <v>1.5706122858082354</v>
      </c>
      <c r="T518" s="18" t="str">
        <f t="shared" si="429"/>
        <v>1+5.65486677646164i</v>
      </c>
      <c r="U518" s="18">
        <f t="shared" si="442"/>
        <v>5.7426055288109126</v>
      </c>
      <c r="V518" s="18">
        <f t="shared" si="443"/>
        <v>1.3957670341481223</v>
      </c>
      <c r="W518" s="32" t="str">
        <f t="shared" si="430"/>
        <v>1-126.710903694788i</v>
      </c>
      <c r="X518" s="18">
        <f t="shared" si="444"/>
        <v>126.71484962367212</v>
      </c>
      <c r="Y518" s="18">
        <f t="shared" si="445"/>
        <v>-1.5629045099859427</v>
      </c>
      <c r="Z518" s="32" t="str">
        <f t="shared" si="431"/>
        <v>-24+10.0321525404634i</v>
      </c>
      <c r="AA518" s="18">
        <f t="shared" si="446"/>
        <v>26.012383293253357</v>
      </c>
      <c r="AB518" s="18">
        <f t="shared" si="447"/>
        <v>2.7456605667504617</v>
      </c>
      <c r="AC518" s="32" t="str">
        <f>IMDIV(IMSUM(COMPLEX(0,2*PI()*O518*Constants!$B$71*Constants!$B$72),COMPLEX(1,0)),IMSUM(COMPLEX(0,2*PI()*O518*Constants!$B$71*Constants!$B$72),COMPLEX(2,0)))</f>
        <v>0.996853637583937+0.0395383562073364i</v>
      </c>
      <c r="AD518" s="18">
        <f t="shared" si="448"/>
        <v>0.99763743733678389</v>
      </c>
      <c r="AE518" s="18">
        <f t="shared" si="449"/>
        <v>3.9642371563868489E-2</v>
      </c>
      <c r="AF518" s="66" t="str">
        <f t="shared" si="450"/>
        <v>-0.0349284972323068+0.12688624527406i</v>
      </c>
      <c r="AG518" s="64">
        <f t="shared" si="451"/>
        <v>-17.614491244567301</v>
      </c>
      <c r="AH518" s="61">
        <f t="shared" si="452"/>
        <v>105.39085093801614</v>
      </c>
      <c r="AI518" s="50" t="str">
        <f t="shared" si="432"/>
        <v>108.866083054159</v>
      </c>
      <c r="AJ518" s="50" t="str">
        <f t="shared" si="433"/>
        <v>1+5140.78797860149i</v>
      </c>
      <c r="AK518" s="50">
        <f t="shared" si="453"/>
        <v>5140.7880758628435</v>
      </c>
      <c r="AL518" s="50">
        <f t="shared" si="454"/>
        <v>1.5706018040891268</v>
      </c>
      <c r="AM518" s="50" t="str">
        <f t="shared" si="434"/>
        <v>1+5.65486677646164i</v>
      </c>
      <c r="AN518" s="50">
        <f t="shared" si="455"/>
        <v>5.7426055288109126</v>
      </c>
      <c r="AO518" s="50">
        <f t="shared" si="456"/>
        <v>1.3957670341481223</v>
      </c>
      <c r="AP518" s="50" t="str">
        <f t="shared" si="435"/>
        <v>1-28.216096263561i</v>
      </c>
      <c r="AQ518" s="50">
        <f t="shared" si="457"/>
        <v>28.233811084487709</v>
      </c>
      <c r="AR518" s="50">
        <f t="shared" si="458"/>
        <v>-1.5353703903600886</v>
      </c>
      <c r="AS518" s="59" t="str">
        <f t="shared" si="459"/>
        <v>-0.477116051109992-3.40022320243805i</v>
      </c>
      <c r="AT518" s="50">
        <f t="shared" si="460"/>
        <v>10.714827717347449</v>
      </c>
      <c r="AU518" s="61">
        <f t="shared" si="461"/>
        <v>-97.987537786747026</v>
      </c>
      <c r="AV518" s="32" t="str">
        <f t="shared" si="436"/>
        <v>-0.0000333333333333333</v>
      </c>
      <c r="AW518" s="32" t="str">
        <f t="shared" si="437"/>
        <v>0.30159289474462i</v>
      </c>
      <c r="AX518" s="32">
        <f t="shared" si="462"/>
        <v>0.30159289474461998</v>
      </c>
      <c r="AY518" s="32">
        <f t="shared" si="463"/>
        <v>1.5707963267948966</v>
      </c>
      <c r="AZ518" s="32" t="str">
        <f t="shared" si="438"/>
        <v>1+123.0457122656i</v>
      </c>
      <c r="BA518" s="32">
        <f t="shared" si="464"/>
        <v>123.04977572896598</v>
      </c>
      <c r="BB518" s="32">
        <f t="shared" si="465"/>
        <v>1.5626694447923701</v>
      </c>
      <c r="BC518" s="32" t="str">
        <f t="shared" si="439"/>
        <v>1+5906.19418874883i</v>
      </c>
      <c r="BD518" s="32">
        <f t="shared" si="466"/>
        <v>5906.1942734057138</v>
      </c>
      <c r="BE518" s="32">
        <f t="shared" si="467"/>
        <v>1.5706270130272679</v>
      </c>
      <c r="BF518" s="59" t="str">
        <f t="shared" si="468"/>
        <v>-0.0000422143716289083+0.00530482169095979i</v>
      </c>
      <c r="BG518" s="50">
        <f t="shared" si="469"/>
        <v>-45.506309175263326</v>
      </c>
      <c r="BH518" s="61">
        <f t="shared" si="470"/>
        <v>90.455935075047009</v>
      </c>
      <c r="BI518" s="59" t="str">
        <f t="shared" si="471"/>
        <v>-0.000671634421651674-0.000190645872863166i</v>
      </c>
      <c r="BJ518" s="64">
        <f t="shared" si="472"/>
        <v>-63.120800419830623</v>
      </c>
      <c r="BK518" s="61">
        <f t="shared" si="473"/>
        <v>-164.15321398693686</v>
      </c>
      <c r="BL518" s="59" t="str">
        <f t="shared" si="478"/>
        <v>0.0180577189526898-0.00238747729114441i</v>
      </c>
      <c r="BM518" s="64">
        <f t="shared" si="474"/>
        <v>-34.791481457915879</v>
      </c>
      <c r="BN518" s="61">
        <f t="shared" si="479"/>
        <v>-7.5316027117000157</v>
      </c>
      <c r="BO518" s="50">
        <f t="shared" si="475"/>
        <v>-63.120800419830623</v>
      </c>
      <c r="BP518" s="61">
        <f t="shared" si="476"/>
        <v>-164.15321398693686</v>
      </c>
    </row>
    <row r="519" spans="14:68" x14ac:dyDescent="0.25">
      <c r="N519" s="11">
        <v>1</v>
      </c>
      <c r="O519" s="51">
        <f>10^(6+(N519/100))</f>
        <v>1023292.9922807553</v>
      </c>
      <c r="P519" s="49" t="str">
        <f t="shared" si="427"/>
        <v>25.6231073841137</v>
      </c>
      <c r="Q519" s="18" t="str">
        <f t="shared" si="428"/>
        <v>1+5560.1363549073i</v>
      </c>
      <c r="R519" s="18">
        <f t="shared" si="440"/>
        <v>5560.1364448331515</v>
      </c>
      <c r="S519" s="18">
        <f t="shared" si="441"/>
        <v>1.5706164750924585</v>
      </c>
      <c r="T519" s="18" t="str">
        <f t="shared" si="429"/>
        <v>1+5.78658554463446i</v>
      </c>
      <c r="U519" s="18">
        <f t="shared" si="442"/>
        <v>5.8723566193967205</v>
      </c>
      <c r="V519" s="18">
        <f t="shared" si="443"/>
        <v>1.3996729902528418</v>
      </c>
      <c r="W519" s="32" t="str">
        <f t="shared" si="430"/>
        <v>1-129.662379796439i</v>
      </c>
      <c r="X519" s="18">
        <f t="shared" si="444"/>
        <v>129.66623590771809</v>
      </c>
      <c r="Y519" s="18">
        <f t="shared" si="445"/>
        <v>-1.5630841424623074</v>
      </c>
      <c r="Z519" s="32" t="str">
        <f t="shared" si="431"/>
        <v>-25.1782137012725+10.2658313921478i</v>
      </c>
      <c r="AA519" s="18">
        <f t="shared" si="446"/>
        <v>27.190618590958049</v>
      </c>
      <c r="AB519" s="18">
        <f t="shared" si="447"/>
        <v>2.7544430781157385</v>
      </c>
      <c r="AC519" s="32" t="str">
        <f>IMDIV(IMSUM(COMPLEX(0,2*PI()*O519*Constants!$B$71*Constants!$B$72),COMPLEX(1,0)),IMSUM(COMPLEX(0,2*PI()*O519*Constants!$B$71*Constants!$B$72),COMPLEX(2,0)))</f>
        <v>0.996994395974741+0.0386492995676886i</v>
      </c>
      <c r="AD519" s="18">
        <f t="shared" si="448"/>
        <v>0.99774325052195245</v>
      </c>
      <c r="AE519" s="18">
        <f t="shared" si="449"/>
        <v>3.8746412807738946E-2</v>
      </c>
      <c r="AF519" s="66" t="str">
        <f t="shared" si="450"/>
        <v>-0.0334334873046674+0.124344990508565i</v>
      </c>
      <c r="AG519" s="64">
        <f t="shared" si="451"/>
        <v>-17.804292326538761</v>
      </c>
      <c r="AH519" s="61">
        <f t="shared" si="452"/>
        <v>105.04957803661559</v>
      </c>
      <c r="AI519" s="50" t="str">
        <f t="shared" si="432"/>
        <v>108.866083054159</v>
      </c>
      <c r="AJ519" s="50" t="str">
        <f t="shared" si="433"/>
        <v>1+5260.53231330406i</v>
      </c>
      <c r="AK519" s="50">
        <f t="shared" si="453"/>
        <v>5260.5324083514752</v>
      </c>
      <c r="AL519" s="50">
        <f t="shared" si="454"/>
        <v>1.5706062319663894</v>
      </c>
      <c r="AM519" s="50" t="str">
        <f t="shared" si="434"/>
        <v>1+5.78658554463446i</v>
      </c>
      <c r="AN519" s="50">
        <f t="shared" si="455"/>
        <v>5.8723566193967205</v>
      </c>
      <c r="AO519" s="50">
        <f t="shared" si="456"/>
        <v>1.3996729902528418</v>
      </c>
      <c r="AP519" s="50" t="str">
        <f t="shared" si="435"/>
        <v>1-28.8733335760212i</v>
      </c>
      <c r="AQ519" s="50">
        <f t="shared" si="457"/>
        <v>28.890645402832263</v>
      </c>
      <c r="AR519" s="50">
        <f t="shared" si="458"/>
        <v>-1.536176131446386</v>
      </c>
      <c r="AS519" s="59" t="str">
        <f t="shared" si="459"/>
        <v>-0.477116237325753-3.47844498121945i</v>
      </c>
      <c r="AT519" s="50">
        <f t="shared" si="460"/>
        <v>10.908651253219281</v>
      </c>
      <c r="AU519" s="61">
        <f t="shared" si="461"/>
        <v>-97.810162249287686</v>
      </c>
      <c r="AV519" s="32" t="str">
        <f t="shared" si="436"/>
        <v>-0.0000333333333333333</v>
      </c>
      <c r="AW519" s="32" t="str">
        <f t="shared" si="437"/>
        <v>0.308617895713837i</v>
      </c>
      <c r="AX519" s="32">
        <f t="shared" si="462"/>
        <v>0.30861789571383702</v>
      </c>
      <c r="AY519" s="32">
        <f t="shared" si="463"/>
        <v>1.5707963267948966</v>
      </c>
      <c r="AZ519" s="32" t="str">
        <f t="shared" si="438"/>
        <v>1+125.911815091583i</v>
      </c>
      <c r="BA519" s="32">
        <f t="shared" si="464"/>
        <v>125.9157860621812</v>
      </c>
      <c r="BB519" s="32">
        <f t="shared" si="465"/>
        <v>1.5628544273425278</v>
      </c>
      <c r="BC519" s="32" t="str">
        <f t="shared" si="439"/>
        <v>1+6043.767124396i</v>
      </c>
      <c r="BD519" s="32">
        <f t="shared" si="466"/>
        <v>6043.7672071258594</v>
      </c>
      <c r="BE519" s="32">
        <f t="shared" si="467"/>
        <v>1.5706308670790783</v>
      </c>
      <c r="BF519" s="59" t="str">
        <f t="shared" si="468"/>
        <v>-0.0000403145317642563+0.00518408429559403i</v>
      </c>
      <c r="BG519" s="50">
        <f t="shared" si="469"/>
        <v>-45.706296271427966</v>
      </c>
      <c r="BH519" s="61">
        <f t="shared" si="470"/>
        <v>90.445557176542167</v>
      </c>
      <c r="BI519" s="59" t="str">
        <f t="shared" si="471"/>
        <v>-0.000643267057145307-0.000178334926552652i</v>
      </c>
      <c r="BJ519" s="64">
        <f t="shared" si="472"/>
        <v>-63.510588597966731</v>
      </c>
      <c r="BK519" s="61">
        <f t="shared" si="473"/>
        <v>-164.50486478684226</v>
      </c>
      <c r="BL519" s="59" t="str">
        <f t="shared" si="478"/>
        <v>0.0180517867179325-0.00233317891240776i</v>
      </c>
      <c r="BM519" s="64">
        <f t="shared" si="474"/>
        <v>-34.797645018208705</v>
      </c>
      <c r="BN519" s="61">
        <f t="shared" si="479"/>
        <v>-7.3646050727455306</v>
      </c>
      <c r="BO519" s="50">
        <f t="shared" si="475"/>
        <v>-63.510588597966731</v>
      </c>
      <c r="BP519" s="61">
        <f t="shared" si="476"/>
        <v>-164.50486478684226</v>
      </c>
    </row>
    <row r="520" spans="14:68" x14ac:dyDescent="0.25">
      <c r="N520" s="11">
        <v>2</v>
      </c>
      <c r="O520" s="51">
        <f t="shared" ref="O520:O560" si="480">10^(6+(N520/100))</f>
        <v>1047128.5480509007</v>
      </c>
      <c r="P520" s="49" t="str">
        <f t="shared" si="427"/>
        <v>25.6231073841137</v>
      </c>
      <c r="Q520" s="18" t="str">
        <f t="shared" si="428"/>
        <v>1+5689.64856810209i</v>
      </c>
      <c r="R520" s="18">
        <f t="shared" si="440"/>
        <v>5689.64865598098</v>
      </c>
      <c r="S520" s="18">
        <f t="shared" si="441"/>
        <v>1.5706205690169366</v>
      </c>
      <c r="T520" s="18" t="str">
        <f t="shared" si="429"/>
        <v>1+5.92137243705754i</v>
      </c>
      <c r="U520" s="18">
        <f t="shared" si="442"/>
        <v>6.0052186919665758</v>
      </c>
      <c r="V520" s="18">
        <f t="shared" si="443"/>
        <v>1.4034951379786058</v>
      </c>
      <c r="W520" s="32" t="str">
        <f t="shared" si="430"/>
        <v>1-132.682604608141i</v>
      </c>
      <c r="X520" s="18">
        <f t="shared" si="444"/>
        <v>132.68637294613293</v>
      </c>
      <c r="Y520" s="18">
        <f t="shared" si="445"/>
        <v>-1.5632596864852453</v>
      </c>
      <c r="Z520" s="32" t="str">
        <f t="shared" si="431"/>
        <v>-26.4119549035796+10.5049533235206i</v>
      </c>
      <c r="AA520" s="18">
        <f t="shared" si="446"/>
        <v>28.424380488553638</v>
      </c>
      <c r="AB520" s="18">
        <f t="shared" si="447"/>
        <v>2.7630405681859145</v>
      </c>
      <c r="AC520" s="32" t="str">
        <f>IMDIV(IMSUM(COMPLEX(0,2*PI()*O520*Constants!$B$71*Constants!$B$72),COMPLEX(1,0)),IMSUM(COMPLEX(0,2*PI()*O520*Constants!$B$71*Constants!$B$72),COMPLEX(2,0)))</f>
        <v>0.997128893664617+0.0377797553737799i</v>
      </c>
      <c r="AD520" s="18">
        <f t="shared" si="448"/>
        <v>0.99784434682816436</v>
      </c>
      <c r="AE520" s="18">
        <f t="shared" si="449"/>
        <v>3.787042280720266E-2</v>
      </c>
      <c r="AF520" s="66" t="str">
        <f t="shared" si="450"/>
        <v>-0.0319992784196798+0.121839802129108i</v>
      </c>
      <c r="AG520" s="64">
        <f t="shared" si="451"/>
        <v>-17.994534173895438</v>
      </c>
      <c r="AH520" s="61">
        <f t="shared" si="452"/>
        <v>104.71548804839702</v>
      </c>
      <c r="AI520" s="50" t="str">
        <f t="shared" si="432"/>
        <v>108.866083054159</v>
      </c>
      <c r="AJ520" s="50" t="str">
        <f t="shared" si="433"/>
        <v>1+5383.0658518705i</v>
      </c>
      <c r="AK520" s="50">
        <f t="shared" si="453"/>
        <v>5383.0659447543712</v>
      </c>
      <c r="AL520" s="50">
        <f t="shared" si="454"/>
        <v>1.5706105590528674</v>
      </c>
      <c r="AM520" s="50" t="str">
        <f t="shared" si="434"/>
        <v>1+5.92137243705754i</v>
      </c>
      <c r="AN520" s="50">
        <f t="shared" si="455"/>
        <v>6.0052186919665758</v>
      </c>
      <c r="AO520" s="50">
        <f t="shared" si="456"/>
        <v>1.4034951379786058</v>
      </c>
      <c r="AP520" s="50" t="str">
        <f t="shared" si="435"/>
        <v>1-29.545879912127i</v>
      </c>
      <c r="AQ520" s="50">
        <f t="shared" si="457"/>
        <v>29.562797901785782</v>
      </c>
      <c r="AR520" s="50">
        <f t="shared" si="458"/>
        <v>-1.5369635750827346</v>
      </c>
      <c r="AS520" s="59" t="str">
        <f t="shared" si="459"/>
        <v>-0.477116415160423-3.55851107756933i</v>
      </c>
      <c r="AT520" s="50">
        <f t="shared" si="460"/>
        <v>11.102745191020935</v>
      </c>
      <c r="AU520" s="61">
        <f t="shared" si="461"/>
        <v>-97.636534436685906</v>
      </c>
      <c r="AV520" s="32" t="str">
        <f t="shared" si="436"/>
        <v>-0.0000333333333333333</v>
      </c>
      <c r="AW520" s="32" t="str">
        <f t="shared" si="437"/>
        <v>0.315806529976402i</v>
      </c>
      <c r="AX520" s="32">
        <f t="shared" si="462"/>
        <v>0.31580652997640202</v>
      </c>
      <c r="AY520" s="32">
        <f t="shared" si="463"/>
        <v>1.5707963267948966</v>
      </c>
      <c r="AZ520" s="32" t="str">
        <f t="shared" si="438"/>
        <v>1+128.844678028567i</v>
      </c>
      <c r="BA520" s="32">
        <f t="shared" si="464"/>
        <v>128.84855861159289</v>
      </c>
      <c r="BB520" s="32">
        <f t="shared" si="465"/>
        <v>1.5630351997009777</v>
      </c>
      <c r="BC520" s="32" t="str">
        <f t="shared" si="439"/>
        <v>1+6184.54454537122i</v>
      </c>
      <c r="BD520" s="32">
        <f t="shared" si="466"/>
        <v>6184.5446262179166</v>
      </c>
      <c r="BE520" s="32">
        <f t="shared" si="467"/>
        <v>1.5706346334019639</v>
      </c>
      <c r="BF520" s="59" t="str">
        <f t="shared" si="468"/>
        <v>-0.000038500188235332+0.00506609421186043i</v>
      </c>
      <c r="BG520" s="50">
        <f t="shared" si="469"/>
        <v>-45.906283948324997</v>
      </c>
      <c r="BH520" s="61">
        <f t="shared" si="470"/>
        <v>90.435415477755996</v>
      </c>
      <c r="BI520" s="59" t="str">
        <f t="shared" si="471"/>
        <v>-0.000616019938097942-0.000166802214502176i</v>
      </c>
      <c r="BJ520" s="64">
        <f t="shared" si="472"/>
        <v>-63.900818122220436</v>
      </c>
      <c r="BK520" s="61">
        <f t="shared" si="473"/>
        <v>-164.84909647384703</v>
      </c>
      <c r="BL520" s="59" t="str">
        <f t="shared" si="478"/>
        <v>0.018046121444709-0.00228011336290388i</v>
      </c>
      <c r="BM520" s="64">
        <f t="shared" si="474"/>
        <v>-34.803538757304089</v>
      </c>
      <c r="BN520" s="61">
        <f t="shared" si="479"/>
        <v>-7.2011189589299178</v>
      </c>
      <c r="BO520" s="50">
        <f t="shared" si="475"/>
        <v>-63.900818122220436</v>
      </c>
      <c r="BP520" s="61">
        <f t="shared" si="476"/>
        <v>-164.84909647384703</v>
      </c>
    </row>
    <row r="521" spans="14:68" x14ac:dyDescent="0.25">
      <c r="N521" s="11">
        <v>3</v>
      </c>
      <c r="O521" s="51">
        <f t="shared" si="480"/>
        <v>1071519.3052376076</v>
      </c>
      <c r="P521" s="49" t="str">
        <f t="shared" si="427"/>
        <v>25.6231073841137</v>
      </c>
      <c r="Q521" s="18" t="str">
        <f t="shared" si="428"/>
        <v>1+5822.17750827909i</v>
      </c>
      <c r="R521" s="18">
        <f t="shared" si="440"/>
        <v>5822.1775941576116</v>
      </c>
      <c r="S521" s="18">
        <f t="shared" si="441"/>
        <v>1.570624569752322</v>
      </c>
      <c r="T521" s="18" t="str">
        <f t="shared" si="429"/>
        <v>1+6.05929891952539i</v>
      </c>
      <c r="U521" s="18">
        <f t="shared" si="442"/>
        <v>6.1412623617755946</v>
      </c>
      <c r="V521" s="18">
        <f t="shared" si="443"/>
        <v>1.4072350569584215</v>
      </c>
      <c r="W521" s="32" t="str">
        <f t="shared" si="430"/>
        <v>1-135.773179493069i</v>
      </c>
      <c r="X521" s="18">
        <f t="shared" si="444"/>
        <v>135.77686205556944</v>
      </c>
      <c r="Y521" s="18">
        <f t="shared" si="445"/>
        <v>-1.5634312350872197</v>
      </c>
      <c r="Z521" s="32" t="str">
        <f t="shared" si="431"/>
        <v>-27.703840537422+10.749645120195i</v>
      </c>
      <c r="AA521" s="18">
        <f t="shared" si="446"/>
        <v>29.716285951192468</v>
      </c>
      <c r="AB521" s="18">
        <f t="shared" si="447"/>
        <v>2.7714563028321919</v>
      </c>
      <c r="AC521" s="32" t="str">
        <f>IMDIV(IMSUM(COMPLEX(0,2*PI()*O521*Constants!$B$71*Constants!$B$72),COMPLEX(1,0)),IMSUM(COMPLEX(0,2*PI()*O521*Constants!$B$71*Constants!$B$72),COMPLEX(2,0)))</f>
        <v>0.997257405934142+0.0369293272443292i</v>
      </c>
      <c r="AD521" s="18">
        <f t="shared" si="448"/>
        <v>0.99794093457539501</v>
      </c>
      <c r="AE521" s="18">
        <f t="shared" si="449"/>
        <v>3.7013975196761008E-2</v>
      </c>
      <c r="AF521" s="66" t="str">
        <f t="shared" si="450"/>
        <v>-0.0306236685239338+0.119371169904583i</v>
      </c>
      <c r="AG521" s="64">
        <f t="shared" si="451"/>
        <v>-18.185198491813495</v>
      </c>
      <c r="AH521" s="61">
        <f t="shared" si="452"/>
        <v>104.38845447534806</v>
      </c>
      <c r="AI521" s="50" t="str">
        <f t="shared" si="432"/>
        <v>108.866083054159</v>
      </c>
      <c r="AJ521" s="50" t="str">
        <f t="shared" si="433"/>
        <v>1+5508.45356320491i</v>
      </c>
      <c r="AK521" s="50">
        <f t="shared" si="453"/>
        <v>5508.4536539744868</v>
      </c>
      <c r="AL521" s="50">
        <f t="shared" si="454"/>
        <v>1.5706147876428387</v>
      </c>
      <c r="AM521" s="50" t="str">
        <f t="shared" si="434"/>
        <v>1+6.05929891952539i</v>
      </c>
      <c r="AN521" s="50">
        <f t="shared" si="455"/>
        <v>6.1412623617755946</v>
      </c>
      <c r="AO521" s="50">
        <f t="shared" si="456"/>
        <v>1.4072350569584215</v>
      </c>
      <c r="AP521" s="50" t="str">
        <f t="shared" si="435"/>
        <v>1-30.2340918648483i</v>
      </c>
      <c r="AQ521" s="50">
        <f t="shared" si="457"/>
        <v>30.250624966966978</v>
      </c>
      <c r="AR521" s="50">
        <f t="shared" si="458"/>
        <v>-1.5377331348737964</v>
      </c>
      <c r="AS521" s="59" t="str">
        <f t="shared" si="459"/>
        <v>-0.477116584991217-3.64046394359206i</v>
      </c>
      <c r="AT521" s="50">
        <f t="shared" si="460"/>
        <v>11.297098009962482</v>
      </c>
      <c r="AU521" s="61">
        <f t="shared" si="461"/>
        <v>-97.466587671891034</v>
      </c>
      <c r="AV521" s="32" t="str">
        <f t="shared" si="436"/>
        <v>-0.0000333333333333333</v>
      </c>
      <c r="AW521" s="32" t="str">
        <f t="shared" si="437"/>
        <v>0.323162609041354i</v>
      </c>
      <c r="AX521" s="32">
        <f t="shared" si="462"/>
        <v>0.32316260904135402</v>
      </c>
      <c r="AY521" s="32">
        <f t="shared" si="463"/>
        <v>1.5707963267948966</v>
      </c>
      <c r="AZ521" s="32" t="str">
        <f t="shared" si="438"/>
        <v>1+131.845856119303i</v>
      </c>
      <c r="BA521" s="32">
        <f t="shared" si="464"/>
        <v>131.84964837204515</v>
      </c>
      <c r="BB521" s="32">
        <f t="shared" si="465"/>
        <v>1.5632118576683309</v>
      </c>
      <c r="BC521" s="32" t="str">
        <f t="shared" si="439"/>
        <v>1+6328.60109372653i</v>
      </c>
      <c r="BD521" s="32">
        <f t="shared" si="466"/>
        <v>6328.6011727329314</v>
      </c>
      <c r="BE521" s="32">
        <f t="shared" si="467"/>
        <v>1.5706383139928781</v>
      </c>
      <c r="BF521" s="59" t="str">
        <f t="shared" si="468"/>
        <v>-0.000036767494000795+0.0049507889705167i</v>
      </c>
      <c r="BG521" s="50">
        <f t="shared" si="469"/>
        <v>-46.106272179820394</v>
      </c>
      <c r="BH521" s="61">
        <f t="shared" si="470"/>
        <v>90.425504604134787</v>
      </c>
      <c r="BI521" s="59" t="str">
        <f t="shared" si="471"/>
        <v>-0.000589855515812549-0.000156000299138386i</v>
      </c>
      <c r="BJ521" s="64">
        <f t="shared" si="472"/>
        <v>-64.291470671633874</v>
      </c>
      <c r="BK521" s="61">
        <f t="shared" si="473"/>
        <v>-165.18604092051709</v>
      </c>
      <c r="BL521" s="59" t="str">
        <f t="shared" si="478"/>
        <v>0.0180407111206756-0.00222825279041898i</v>
      </c>
      <c r="BM521" s="64">
        <f t="shared" si="474"/>
        <v>-34.80917416985794</v>
      </c>
      <c r="BN521" s="61">
        <f t="shared" si="479"/>
        <v>-7.0410830677562624</v>
      </c>
      <c r="BO521" s="50">
        <f t="shared" si="475"/>
        <v>-64.291470671633874</v>
      </c>
      <c r="BP521" s="61">
        <f t="shared" si="476"/>
        <v>-165.18604092051709</v>
      </c>
    </row>
    <row r="522" spans="14:68" x14ac:dyDescent="0.25">
      <c r="N522" s="11">
        <v>4</v>
      </c>
      <c r="O522" s="51">
        <f t="shared" si="480"/>
        <v>1096478.196143186</v>
      </c>
      <c r="P522" s="49" t="str">
        <f t="shared" si="427"/>
        <v>25.6231073841137</v>
      </c>
      <c r="Q522" s="18" t="str">
        <f t="shared" si="428"/>
        <v>1+5957.79344403662i</v>
      </c>
      <c r="R522" s="18">
        <f t="shared" si="440"/>
        <v>5957.793527960308</v>
      </c>
      <c r="S522" s="18">
        <f t="shared" si="441"/>
        <v>1.5706284794198571</v>
      </c>
      <c r="T522" s="18" t="str">
        <f t="shared" si="429"/>
        <v>1+6.20043812248468i</v>
      </c>
      <c r="U522" s="18">
        <f t="shared" si="442"/>
        <v>6.2805599201632765</v>
      </c>
      <c r="V522" s="18">
        <f t="shared" si="443"/>
        <v>1.4108943114539145</v>
      </c>
      <c r="W522" s="32" t="str">
        <f t="shared" si="430"/>
        <v>1-138.935743114934i</v>
      </c>
      <c r="X522" s="18">
        <f t="shared" si="444"/>
        <v>138.9393418542744</v>
      </c>
      <c r="Y522" s="18">
        <f t="shared" si="445"/>
        <v>-1.5635988791851592</v>
      </c>
      <c r="Z522" s="32" t="str">
        <f t="shared" si="431"/>
        <v>-29.0566108654353+11.0000365210006i</v>
      </c>
      <c r="AA522" s="18">
        <f t="shared" si="446"/>
        <v>31.069075275081488</v>
      </c>
      <c r="AB522" s="18">
        <f t="shared" si="447"/>
        <v>2.7796935316784595</v>
      </c>
      <c r="AC522" s="32" t="str">
        <f>IMDIV(IMSUM(COMPLEX(0,2*PI()*O522*Constants!$B$71*Constants!$B$72),COMPLEX(1,0)),IMSUM(COMPLEX(0,2*PI()*O522*Constants!$B$71*Constants!$B$72),COMPLEX(2,0)))</f>
        <v>0.997380196238857+0.0360976246978165i</v>
      </c>
      <c r="AD522" s="18">
        <f t="shared" si="448"/>
        <v>0.99803321305369652</v>
      </c>
      <c r="AE522" s="18">
        <f t="shared" si="449"/>
        <v>3.6176651461121964E-2</v>
      </c>
      <c r="AF522" s="66" t="str">
        <f t="shared" si="450"/>
        <v>-0.0293045120725779+0.116939499456214i</v>
      </c>
      <c r="AG522" s="64">
        <f t="shared" si="451"/>
        <v>-18.376267681049299</v>
      </c>
      <c r="AH522" s="61">
        <f t="shared" si="452"/>
        <v>104.06835144347011</v>
      </c>
      <c r="AI522" s="50" t="str">
        <f t="shared" si="432"/>
        <v>108.866083054159</v>
      </c>
      <c r="AJ522" s="50" t="str">
        <f t="shared" si="433"/>
        <v>1+5636.76192953153i</v>
      </c>
      <c r="AK522" s="50">
        <f t="shared" si="453"/>
        <v>5636.7620182349374</v>
      </c>
      <c r="AL522" s="50">
        <f t="shared" si="454"/>
        <v>1.5706189199783571</v>
      </c>
      <c r="AM522" s="50" t="str">
        <f t="shared" si="434"/>
        <v>1+6.20043812248468i</v>
      </c>
      <c r="AN522" s="50">
        <f t="shared" si="455"/>
        <v>6.2805599201632765</v>
      </c>
      <c r="AO522" s="50">
        <f t="shared" si="456"/>
        <v>1.4108943114539145</v>
      </c>
      <c r="AP522" s="50" t="str">
        <f t="shared" si="435"/>
        <v>1-30.9383343332718i</v>
      </c>
      <c r="AQ522" s="50">
        <f t="shared" si="457"/>
        <v>30.954491294758903</v>
      </c>
      <c r="AR522" s="50">
        <f t="shared" si="458"/>
        <v>-1.538485215202271</v>
      </c>
      <c r="AS522" s="59" t="str">
        <f t="shared" si="459"/>
        <v>-0.477116747178367-3.72434703178213i</v>
      </c>
      <c r="AT522" s="50">
        <f t="shared" si="460"/>
        <v>11.491698652914907</v>
      </c>
      <c r="AU522" s="61">
        <f t="shared" si="461"/>
        <v>-97.300255627196194</v>
      </c>
      <c r="AV522" s="32" t="str">
        <f t="shared" si="436"/>
        <v>-0.0000333333333333333</v>
      </c>
      <c r="AW522" s="32" t="str">
        <f t="shared" si="437"/>
        <v>0.330690033199183i</v>
      </c>
      <c r="AX522" s="32">
        <f t="shared" si="462"/>
        <v>0.330690033199183</v>
      </c>
      <c r="AY522" s="32">
        <f t="shared" si="463"/>
        <v>1.5707963267948966</v>
      </c>
      <c r="AZ522" s="32" t="str">
        <f t="shared" si="438"/>
        <v>1+134.916940628139i</v>
      </c>
      <c r="BA522" s="32">
        <f t="shared" si="464"/>
        <v>134.92064656106859</v>
      </c>
      <c r="BB522" s="32">
        <f t="shared" si="465"/>
        <v>1.5633844948668494</v>
      </c>
      <c r="BC522" s="32" t="str">
        <f t="shared" si="439"/>
        <v>1+6476.01315015068i</v>
      </c>
      <c r="BD522" s="32">
        <f t="shared" si="466"/>
        <v>6476.013227358676</v>
      </c>
      <c r="BE522" s="32">
        <f t="shared" si="467"/>
        <v>1.5706419108033187</v>
      </c>
      <c r="BF522" s="59" t="str">
        <f t="shared" si="468"/>
        <v>-0.0000351127750830776+0.00483810751980953i</v>
      </c>
      <c r="BG522" s="50">
        <f t="shared" si="469"/>
        <v>-46.306260940955895</v>
      </c>
      <c r="BH522" s="61">
        <f t="shared" si="470"/>
        <v>90.415819303330679</v>
      </c>
      <c r="BI522" s="59" t="str">
        <f t="shared" si="471"/>
        <v>-0.000564736908940548-0.000145884450565422i</v>
      </c>
      <c r="BJ522" s="64">
        <f t="shared" si="472"/>
        <v>-64.682528622005179</v>
      </c>
      <c r="BK522" s="61">
        <f t="shared" si="473"/>
        <v>-165.51582925319923</v>
      </c>
      <c r="BL522" s="59" t="str">
        <f t="shared" si="478"/>
        <v>0.0180355442738775-0.00217756996269243i</v>
      </c>
      <c r="BM522" s="64">
        <f t="shared" si="474"/>
        <v>-34.814562288040968</v>
      </c>
      <c r="BN522" s="61">
        <f t="shared" si="479"/>
        <v>-6.884436323865522</v>
      </c>
      <c r="BO522" s="50">
        <f t="shared" si="475"/>
        <v>-64.682528622005179</v>
      </c>
      <c r="BP522" s="61">
        <f t="shared" si="476"/>
        <v>-165.51582925319923</v>
      </c>
    </row>
    <row r="523" spans="14:68" x14ac:dyDescent="0.25">
      <c r="N523" s="11">
        <v>5</v>
      </c>
      <c r="O523" s="51">
        <f t="shared" si="480"/>
        <v>1122018.4543019643</v>
      </c>
      <c r="P523" s="49" t="str">
        <f t="shared" si="427"/>
        <v>25.6231073841137</v>
      </c>
      <c r="Q523" s="18" t="str">
        <f t="shared" si="428"/>
        <v>1+6096.56828073889i</v>
      </c>
      <c r="R523" s="18">
        <f t="shared" si="440"/>
        <v>6096.5683627522412</v>
      </c>
      <c r="S523" s="18">
        <f t="shared" si="441"/>
        <v>1.5706323000924989</v>
      </c>
      <c r="T523" s="18" t="str">
        <f t="shared" si="429"/>
        <v>1+6.34486487980901i</v>
      </c>
      <c r="U523" s="18">
        <f t="shared" si="442"/>
        <v>6.4231853735536708</v>
      </c>
      <c r="V523" s="18">
        <f t="shared" si="443"/>
        <v>1.4144744494677839</v>
      </c>
      <c r="W523" s="32" t="str">
        <f t="shared" si="430"/>
        <v>1-142.171972306832i</v>
      </c>
      <c r="X523" s="18">
        <f t="shared" si="444"/>
        <v>142.17548913091389</v>
      </c>
      <c r="Y523" s="18">
        <f t="shared" si="445"/>
        <v>-1.5637627076284695</v>
      </c>
      <c r="Z523" s="32" t="str">
        <f t="shared" si="431"/>
        <v>-30.4731352948541+11.2562602867723i</v>
      </c>
      <c r="AA523" s="18">
        <f t="shared" si="446"/>
        <v>32.485617899957667</v>
      </c>
      <c r="AB523" s="18">
        <f t="shared" si="447"/>
        <v>2.7877554851086073</v>
      </c>
      <c r="AC523" s="32" t="str">
        <f>IMDIV(IMSUM(COMPLEX(0,2*PI()*O523*Constants!$B$71*Constants!$B$72),COMPLEX(1,0)),IMSUM(COMPLEX(0,2*PI()*O523*Constants!$B$71*Constants!$B$72),COMPLEX(2,0)))</f>
        <v>0.997497516692699+0.0352842632195587i</v>
      </c>
      <c r="AD523" s="18">
        <f t="shared" si="448"/>
        <v>0.99812137289963321</v>
      </c>
      <c r="AE523" s="18">
        <f t="shared" si="449"/>
        <v>3.5358040877548881E-2</v>
      </c>
      <c r="AF523" s="66" t="str">
        <f t="shared" si="450"/>
        <v>-0.0280397207029763+0.114545117618752i</v>
      </c>
      <c r="AG523" s="64">
        <f t="shared" si="451"/>
        <v>-18.567724816906697</v>
      </c>
      <c r="AH523" s="61">
        <f t="shared" si="452"/>
        <v>103.75505381727407</v>
      </c>
      <c r="AI523" s="50" t="str">
        <f t="shared" si="432"/>
        <v>108.866083054159</v>
      </c>
      <c r="AJ523" s="50" t="str">
        <f t="shared" si="433"/>
        <v>1+5768.05898164456i</v>
      </c>
      <c r="AK523" s="50">
        <f t="shared" si="453"/>
        <v>5768.0590683288319</v>
      </c>
      <c r="AL523" s="50">
        <f t="shared" si="454"/>
        <v>1.5706229582504412</v>
      </c>
      <c r="AM523" s="50" t="str">
        <f t="shared" si="434"/>
        <v>1+6.34486487980901i</v>
      </c>
      <c r="AN523" s="50">
        <f t="shared" si="455"/>
        <v>6.4231853735536708</v>
      </c>
      <c r="AO523" s="50">
        <f t="shared" si="456"/>
        <v>1.4144744494677839</v>
      </c>
      <c r="AP523" s="50" t="str">
        <f t="shared" si="435"/>
        <v>1-31.6589807160761i</v>
      </c>
      <c r="AQ523" s="50">
        <f t="shared" si="457"/>
        <v>31.674770085683001</v>
      </c>
      <c r="AR523" s="50">
        <f t="shared" si="458"/>
        <v>-1.5392202114259959</v>
      </c>
      <c r="AS523" s="59" t="str">
        <f t="shared" si="459"/>
        <v>-0.47711690206589-3.81020481806343i</v>
      </c>
      <c r="AT523" s="50">
        <f t="shared" si="460"/>
        <v>11.686536510086212</v>
      </c>
      <c r="AU523" s="61">
        <f t="shared" si="461"/>
        <v>-97.137472386451535</v>
      </c>
      <c r="AV523" s="32" t="str">
        <f t="shared" si="436"/>
        <v>-0.0000333333333333333</v>
      </c>
      <c r="AW523" s="32" t="str">
        <f t="shared" si="437"/>
        <v>0.338392793589814i</v>
      </c>
      <c r="AX523" s="32">
        <f t="shared" si="462"/>
        <v>0.338392793589814</v>
      </c>
      <c r="AY523" s="32">
        <f t="shared" si="463"/>
        <v>1.5707963267948966</v>
      </c>
      <c r="AZ523" s="32" t="str">
        <f t="shared" si="438"/>
        <v>1+138.059559884733i</v>
      </c>
      <c r="BA523" s="32">
        <f t="shared" si="464"/>
        <v>138.06318146256874</v>
      </c>
      <c r="BB523" s="32">
        <f t="shared" si="465"/>
        <v>1.5635532027898758</v>
      </c>
      <c r="BC523" s="32" t="str">
        <f t="shared" si="439"/>
        <v>1+6626.8588744672i</v>
      </c>
      <c r="BD523" s="32">
        <f t="shared" si="466"/>
        <v>6626.8589499177269</v>
      </c>
      <c r="BE523" s="32">
        <f t="shared" si="467"/>
        <v>1.5706454257403619</v>
      </c>
      <c r="BF523" s="59" t="str">
        <f t="shared" si="468"/>
        <v>-0.0000335325227864093+0.00472799019350759i</v>
      </c>
      <c r="BG523" s="50">
        <f t="shared" si="469"/>
        <v>-46.506250207896464</v>
      </c>
      <c r="BH523" s="61">
        <f t="shared" si="470"/>
        <v>90.406354442428679</v>
      </c>
      <c r="BI523" s="59" t="str">
        <f t="shared" si="471"/>
        <v>-0.000540627950242236-0.000136412511278986i</v>
      </c>
      <c r="BJ523" s="64">
        <f t="shared" si="472"/>
        <v>-65.073975024803147</v>
      </c>
      <c r="BK523" s="61">
        <f t="shared" si="473"/>
        <v>-165.83859174029729</v>
      </c>
      <c r="BL523" s="59" t="str">
        <f t="shared" si="478"/>
        <v>0.0180306099484496-0.00212803825424165i</v>
      </c>
      <c r="BM523" s="64">
        <f t="shared" si="474"/>
        <v>-34.819713697810229</v>
      </c>
      <c r="BN523" s="61">
        <f t="shared" si="479"/>
        <v>-6.7311179440228441</v>
      </c>
      <c r="BO523" s="50">
        <f t="shared" si="475"/>
        <v>-65.073975024803147</v>
      </c>
      <c r="BP523" s="61">
        <f t="shared" si="476"/>
        <v>-165.83859174029729</v>
      </c>
    </row>
    <row r="524" spans="14:68" x14ac:dyDescent="0.25">
      <c r="N524" s="11">
        <v>6</v>
      </c>
      <c r="O524" s="51">
        <f t="shared" si="480"/>
        <v>1148153.6214968837</v>
      </c>
      <c r="P524" s="49" t="str">
        <f t="shared" si="427"/>
        <v>25.6231073841137</v>
      </c>
      <c r="Q524" s="18" t="str">
        <f t="shared" si="428"/>
        <v>1+6238.57559864124i</v>
      </c>
      <c r="R524" s="18">
        <f t="shared" si="440"/>
        <v>6238.575678787739</v>
      </c>
      <c r="S524" s="18">
        <f t="shared" si="441"/>
        <v>1.5706360337960183</v>
      </c>
      <c r="T524" s="18" t="str">
        <f t="shared" si="429"/>
        <v>1+6.49265576847683i</v>
      </c>
      <c r="U524" s="18">
        <f t="shared" si="442"/>
        <v>6.5692144833256476</v>
      </c>
      <c r="V524" s="18">
        <f t="shared" si="443"/>
        <v>1.4179770019450879</v>
      </c>
      <c r="W524" s="32" t="str">
        <f t="shared" si="430"/>
        <v>1-145.483582960314i</v>
      </c>
      <c r="X524" s="18">
        <f t="shared" si="444"/>
        <v>145.48701973361943</v>
      </c>
      <c r="Y524" s="18">
        <f t="shared" si="445"/>
        <v>-1.5639228072459623</v>
      </c>
      <c r="Z524" s="32" t="str">
        <f t="shared" si="431"/>
        <v>-31.9564184639101+11.5184522707422i</v>
      </c>
      <c r="AA524" s="18">
        <f t="shared" si="446"/>
        <v>33.968918495499679</v>
      </c>
      <c r="AB524" s="18">
        <f t="shared" si="447"/>
        <v>2.7956453715149276</v>
      </c>
      <c r="AC524" s="32" t="str">
        <f>IMDIV(IMSUM(COMPLEX(0,2*PI()*O524*Constants!$B$71*Constants!$B$72),COMPLEX(1,0)),IMSUM(COMPLEX(0,2*PI()*O524*Constants!$B$71*Constants!$B$72),COMPLEX(2,0)))</f>
        <v>0.997609608533859+0.0344888643145745i</v>
      </c>
      <c r="AD524" s="18">
        <f t="shared" si="448"/>
        <v>0.99820559645835916</v>
      </c>
      <c r="AE524" s="18">
        <f t="shared" si="449"/>
        <v>3.4557740451740829E-2</v>
      </c>
      <c r="AF524" s="66" t="str">
        <f t="shared" si="450"/>
        <v>-0.026827263657278+0.112188277584189i</v>
      </c>
      <c r="AG524" s="64">
        <f t="shared" si="451"/>
        <v>-18.759553628365836</v>
      </c>
      <c r="AH524" s="61">
        <f t="shared" si="452"/>
        <v>103.44843730524798</v>
      </c>
      <c r="AI524" s="50" t="str">
        <f t="shared" si="432"/>
        <v>108.866083054159</v>
      </c>
      <c r="AJ524" s="50" t="str">
        <f t="shared" si="433"/>
        <v>1+5902.41433497894i</v>
      </c>
      <c r="AK524" s="50">
        <f t="shared" si="453"/>
        <v>5902.4144196900379</v>
      </c>
      <c r="AL524" s="50">
        <f t="shared" si="454"/>
        <v>1.5706269046002355</v>
      </c>
      <c r="AM524" s="50" t="str">
        <f t="shared" si="434"/>
        <v>1+6.49265576847683i</v>
      </c>
      <c r="AN524" s="50">
        <f t="shared" si="455"/>
        <v>6.5692144833256476</v>
      </c>
      <c r="AO524" s="50">
        <f t="shared" si="456"/>
        <v>1.4179770019450879</v>
      </c>
      <c r="AP524" s="50" t="str">
        <f t="shared" si="435"/>
        <v>1-32.3964131095122i</v>
      </c>
      <c r="AQ524" s="50">
        <f t="shared" si="457"/>
        <v>32.411843242280653</v>
      </c>
      <c r="AR524" s="50">
        <f t="shared" si="458"/>
        <v>-1.5399385100714076</v>
      </c>
      <c r="AS524" s="59" t="str">
        <f t="shared" si="459"/>
        <v>-0.47711704998233-3.89808282537088i</v>
      </c>
      <c r="AT524" s="50">
        <f t="shared" si="460"/>
        <v>11.881601403066711</v>
      </c>
      <c r="AU524" s="61">
        <f t="shared" si="461"/>
        <v>-96.978172501978662</v>
      </c>
      <c r="AV524" s="32" t="str">
        <f t="shared" si="436"/>
        <v>-0.0000333333333333333</v>
      </c>
      <c r="AW524" s="32" t="str">
        <f t="shared" si="437"/>
        <v>0.346274974318764i</v>
      </c>
      <c r="AX524" s="32">
        <f t="shared" si="462"/>
        <v>0.34627497431876397</v>
      </c>
      <c r="AY524" s="32">
        <f t="shared" si="463"/>
        <v>1.5707963267948966</v>
      </c>
      <c r="AZ524" s="32" t="str">
        <f t="shared" si="438"/>
        <v>1+141.275380147413i</v>
      </c>
      <c r="BA524" s="32">
        <f t="shared" si="464"/>
        <v>141.27891929016181</v>
      </c>
      <c r="BB524" s="32">
        <f t="shared" si="465"/>
        <v>1.5637180708501472</v>
      </c>
      <c r="BC524" s="32" t="str">
        <f t="shared" si="439"/>
        <v>1+6781.21824707581i</v>
      </c>
      <c r="BD524" s="32">
        <f t="shared" si="466"/>
        <v>6781.2183208088736</v>
      </c>
      <c r="BE524" s="32">
        <f t="shared" si="467"/>
        <v>1.5706488606676734</v>
      </c>
      <c r="BF524" s="59" t="str">
        <f t="shared" si="468"/>
        <v>-0.000032023386264457+0.00462037867964263i</v>
      </c>
      <c r="BG524" s="50">
        <f t="shared" si="469"/>
        <v>-46.706239957879518</v>
      </c>
      <c r="BH524" s="61">
        <f t="shared" si="470"/>
        <v>90.397105005236497</v>
      </c>
      <c r="BI524" s="59" t="str">
        <f t="shared" si="471"/>
        <v>-0.000517493226029301-0.000127544765582661i</v>
      </c>
      <c r="BJ524" s="64">
        <f t="shared" si="472"/>
        <v>-65.465793586245354</v>
      </c>
      <c r="BK524" s="61">
        <f t="shared" si="473"/>
        <v>-166.1544576895156</v>
      </c>
      <c r="BL524" s="59" t="str">
        <f t="shared" si="478"/>
        <v>0.0180258976814097-0.00207963163342465i</v>
      </c>
      <c r="BM524" s="64">
        <f t="shared" si="474"/>
        <v>-34.824638554812786</v>
      </c>
      <c r="BN524" s="61">
        <f t="shared" si="479"/>
        <v>-6.5810674967421603</v>
      </c>
      <c r="BO524" s="50">
        <f t="shared" si="475"/>
        <v>-65.465793586245354</v>
      </c>
      <c r="BP524" s="61">
        <f t="shared" si="476"/>
        <v>-166.1544576895156</v>
      </c>
    </row>
    <row r="525" spans="14:68" x14ac:dyDescent="0.25">
      <c r="N525" s="11">
        <v>7</v>
      </c>
      <c r="O525" s="51">
        <f t="shared" si="480"/>
        <v>1174897.5549395324</v>
      </c>
      <c r="P525" s="49" t="str">
        <f t="shared" si="427"/>
        <v>25.6231073841137</v>
      </c>
      <c r="Q525" s="18" t="str">
        <f t="shared" si="428"/>
        <v>1+6383.8906919033i</v>
      </c>
      <c r="R525" s="18">
        <f t="shared" si="440"/>
        <v>6383.8907702254419</v>
      </c>
      <c r="S525" s="18">
        <f t="shared" si="441"/>
        <v>1.5706396825100737</v>
      </c>
      <c r="T525" s="18" t="str">
        <f t="shared" si="429"/>
        <v>1+6.64388914917357i</v>
      </c>
      <c r="U525" s="18">
        <f t="shared" si="442"/>
        <v>6.7187248065764908</v>
      </c>
      <c r="V525" s="18">
        <f t="shared" si="443"/>
        <v>1.4214034820581549</v>
      </c>
      <c r="W525" s="32" t="str">
        <f t="shared" si="430"/>
        <v>1-148.872330935185i</v>
      </c>
      <c r="X525" s="18">
        <f t="shared" si="444"/>
        <v>148.87568947976442</v>
      </c>
      <c r="Y525" s="18">
        <f t="shared" si="445"/>
        <v>-1.5640792628917259</v>
      </c>
      <c r="Z525" s="32" t="str">
        <f t="shared" si="431"/>
        <v>-33.5096066150722+11.7867514905709i</v>
      </c>
      <c r="AA525" s="18">
        <f t="shared" si="446"/>
        <v>35.522123334583569</v>
      </c>
      <c r="AB525" s="18">
        <f t="shared" si="447"/>
        <v>2.8033663747755426</v>
      </c>
      <c r="AC525" s="32" t="str">
        <f>IMDIV(IMSUM(COMPLEX(0,2*PI()*O525*Constants!$B$71*Constants!$B$72),COMPLEX(1,0)),IMSUM(COMPLEX(0,2*PI()*O525*Constants!$B$71*Constants!$B$72),COMPLEX(2,0)))</f>
        <v>0.997716702573494+0.0337110555473269i</v>
      </c>
      <c r="AD525" s="18">
        <f t="shared" si="448"/>
        <v>0.99828605813175642</v>
      </c>
      <c r="AE525" s="18">
        <f t="shared" si="449"/>
        <v>3.3775354847878233E-2</v>
      </c>
      <c r="AF525" s="66" t="str">
        <f t="shared" si="450"/>
        <v>-0.0256651679775718+0.109869163827515i</v>
      </c>
      <c r="AG525" s="64">
        <f t="shared" si="451"/>
        <v>-18.951738477417919</v>
      </c>
      <c r="AH525" s="61">
        <f t="shared" si="452"/>
        <v>103.14837855671983</v>
      </c>
      <c r="AI525" s="50" t="str">
        <f t="shared" si="432"/>
        <v>108.866083054159</v>
      </c>
      <c r="AJ525" s="50" t="str">
        <f t="shared" si="433"/>
        <v>1+6039.89922652143i</v>
      </c>
      <c r="AK525" s="50">
        <f t="shared" si="453"/>
        <v>6039.8993093042682</v>
      </c>
      <c r="AL525" s="50">
        <f t="shared" si="454"/>
        <v>1.5706307611201464</v>
      </c>
      <c r="AM525" s="50" t="str">
        <f t="shared" si="434"/>
        <v>1+6.64388914917357i</v>
      </c>
      <c r="AN525" s="50">
        <f t="shared" si="455"/>
        <v>6.7187248065764908</v>
      </c>
      <c r="AO525" s="50">
        <f t="shared" si="456"/>
        <v>1.4214034820581549</v>
      </c>
      <c r="AP525" s="50" t="str">
        <f t="shared" si="435"/>
        <v>1-33.1510225099962i</v>
      </c>
      <c r="AQ525" s="50">
        <f t="shared" si="457"/>
        <v>33.166101571608849</v>
      </c>
      <c r="AR525" s="50">
        <f t="shared" si="458"/>
        <v>-1.5406404890233931</v>
      </c>
      <c r="AS525" s="59" t="str">
        <f t="shared" si="459"/>
        <v>-0.477117191241432-3.98802764778729i</v>
      </c>
      <c r="AT525" s="50">
        <f t="shared" si="460"/>
        <v>12.07688356925555</v>
      </c>
      <c r="AU525" s="61">
        <f t="shared" si="461"/>
        <v>-96.822291046484736</v>
      </c>
      <c r="AV525" s="32" t="str">
        <f t="shared" si="436"/>
        <v>-0.0000333333333333333</v>
      </c>
      <c r="AW525" s="32" t="str">
        <f t="shared" si="437"/>
        <v>0.35434075462259i</v>
      </c>
      <c r="AX525" s="32">
        <f t="shared" si="462"/>
        <v>0.35434075462259002</v>
      </c>
      <c r="AY525" s="32">
        <f t="shared" si="463"/>
        <v>1.5707963267948966</v>
      </c>
      <c r="AZ525" s="32" t="str">
        <f t="shared" si="438"/>
        <v>1+144.566106486647i</v>
      </c>
      <c r="BA525" s="32">
        <f t="shared" si="464"/>
        <v>144.56956507062111</v>
      </c>
      <c r="BB525" s="32">
        <f t="shared" si="465"/>
        <v>1.5638791864270203</v>
      </c>
      <c r="BC525" s="32" t="str">
        <f t="shared" si="439"/>
        <v>1+6939.17311135907i</v>
      </c>
      <c r="BD525" s="32">
        <f t="shared" si="466"/>
        <v>6939.1731834137654</v>
      </c>
      <c r="BE525" s="32">
        <f t="shared" si="467"/>
        <v>1.570652217406497</v>
      </c>
      <c r="BF525" s="59" t="str">
        <f t="shared" si="468"/>
        <v>-0.0000305821654219069+0.00451521598994333i</v>
      </c>
      <c r="BG525" s="50">
        <f t="shared" si="469"/>
        <v>-46.906230169166676</v>
      </c>
      <c r="BH525" s="61">
        <f t="shared" si="470"/>
        <v>90.388066089635373</v>
      </c>
      <c r="BI525" s="59" t="str">
        <f t="shared" si="471"/>
        <v>-0.000495298108903028-0.000119243813779853i</v>
      </c>
      <c r="BJ525" s="64">
        <f t="shared" si="472"/>
        <v>-65.857968646584595</v>
      </c>
      <c r="BK525" s="61">
        <f t="shared" si="473"/>
        <v>-166.46355535364481</v>
      </c>
      <c r="BL525" s="59" t="str">
        <f t="shared" si="478"/>
        <v>0.0180213974804934-0.00203232464973839i</v>
      </c>
      <c r="BM525" s="64">
        <f t="shared" si="474"/>
        <v>-34.829346599911148</v>
      </c>
      <c r="BN525" s="61">
        <f t="shared" si="479"/>
        <v>-6.4342249568493681</v>
      </c>
      <c r="BO525" s="50">
        <f t="shared" si="475"/>
        <v>-65.857968646584595</v>
      </c>
      <c r="BP525" s="61">
        <f t="shared" si="476"/>
        <v>-166.46355535364481</v>
      </c>
    </row>
    <row r="526" spans="14:68" x14ac:dyDescent="0.25">
      <c r="N526" s="11">
        <v>8</v>
      </c>
      <c r="O526" s="51">
        <f t="shared" si="480"/>
        <v>1202264.4346174158</v>
      </c>
      <c r="P526" s="49" t="str">
        <f t="shared" si="427"/>
        <v>25.6231073841137</v>
      </c>
      <c r="Q526" s="18" t="str">
        <f t="shared" si="428"/>
        <v>1+6532.59060851098i</v>
      </c>
      <c r="R526" s="18">
        <f t="shared" si="440"/>
        <v>6532.5906850502924</v>
      </c>
      <c r="S526" s="18">
        <f t="shared" si="441"/>
        <v>1.5706432481692614</v>
      </c>
      <c r="T526" s="18" t="str">
        <f t="shared" si="429"/>
        <v>1+6.79864520783945i</v>
      </c>
      <c r="U526" s="18">
        <f t="shared" si="442"/>
        <v>6.8717957378023344</v>
      </c>
      <c r="V526" s="18">
        <f t="shared" si="443"/>
        <v>1.4247553845701</v>
      </c>
      <c r="W526" s="32" t="str">
        <f t="shared" si="430"/>
        <v>1-152.340012990477i</v>
      </c>
      <c r="X526" s="18">
        <f t="shared" si="444"/>
        <v>152.34329508691448</v>
      </c>
      <c r="Y526" s="18">
        <f t="shared" si="445"/>
        <v>-1.5642321574899591</v>
      </c>
      <c r="Z526" s="32" t="str">
        <f t="shared" si="431"/>
        <v>-35.1359942686483+12.0613002020559i</v>
      </c>
      <c r="AA526" s="18">
        <f t="shared" si="446"/>
        <v>37.148526966901386</v>
      </c>
      <c r="AB526" s="18">
        <f t="shared" si="447"/>
        <v>2.8109216519490667</v>
      </c>
      <c r="AC526" s="32" t="str">
        <f>IMDIV(IMSUM(COMPLEX(0,2*PI()*O526*Constants!$B$71*Constants!$B$72),COMPLEX(1,0)),IMSUM(COMPLEX(0,2*PI()*O526*Constants!$B$71*Constants!$B$72),COMPLEX(2,0)))</f>
        <v>0.997819019627746+0.0329504705693676i</v>
      </c>
      <c r="AD526" s="18">
        <f t="shared" si="448"/>
        <v>0.99836292471306187</v>
      </c>
      <c r="AE526" s="18">
        <f t="shared" si="449"/>
        <v>3.3010496313426826E-2</v>
      </c>
      <c r="AF526" s="66" t="str">
        <f t="shared" si="450"/>
        <v>-0.0245515184958908+0.107587896815228i</v>
      </c>
      <c r="AG526" s="64">
        <f t="shared" si="451"/>
        <v>-19.144264338653088</v>
      </c>
      <c r="AH526" s="61">
        <f t="shared" si="452"/>
        <v>102.85475525053879</v>
      </c>
      <c r="AI526" s="50" t="str">
        <f t="shared" si="432"/>
        <v>108.866083054159</v>
      </c>
      <c r="AJ526" s="50" t="str">
        <f t="shared" si="433"/>
        <v>1+6180.58655258133i</v>
      </c>
      <c r="AK526" s="50">
        <f t="shared" si="453"/>
        <v>6180.5866334798002</v>
      </c>
      <c r="AL526" s="50">
        <f t="shared" si="454"/>
        <v>1.5706345298549516</v>
      </c>
      <c r="AM526" s="50" t="str">
        <f t="shared" si="434"/>
        <v>1+6.79864520783945i</v>
      </c>
      <c r="AN526" s="50">
        <f t="shared" si="455"/>
        <v>6.8717957378023344</v>
      </c>
      <c r="AO526" s="50">
        <f t="shared" si="456"/>
        <v>1.4247553845701</v>
      </c>
      <c r="AP526" s="50" t="str">
        <f t="shared" si="435"/>
        <v>1-33.9232090214207i</v>
      </c>
      <c r="AQ526" s="50">
        <f t="shared" si="457"/>
        <v>33.937944992456444</v>
      </c>
      <c r="AR526" s="50">
        <f t="shared" si="458"/>
        <v>-1.5413265177115636</v>
      </c>
      <c r="AS526" s="59" t="str">
        <f t="shared" si="459"/>
        <v>-0.477117326142828-4.08008697524825i</v>
      </c>
      <c r="AT526" s="50">
        <f t="shared" si="460"/>
        <v>12.272373646677277</v>
      </c>
      <c r="AU526" s="61">
        <f t="shared" si="461"/>
        <v>-96.669763660266483</v>
      </c>
      <c r="AV526" s="32" t="str">
        <f t="shared" si="436"/>
        <v>-0.0000333333333333333</v>
      </c>
      <c r="AW526" s="32" t="str">
        <f t="shared" si="437"/>
        <v>0.362594411084771i</v>
      </c>
      <c r="AX526" s="32">
        <f t="shared" si="462"/>
        <v>0.36259441108477097</v>
      </c>
      <c r="AY526" s="32">
        <f t="shared" si="463"/>
        <v>1.5707963267948966</v>
      </c>
      <c r="AZ526" s="32" t="str">
        <f t="shared" si="438"/>
        <v>1+147.933483689099i</v>
      </c>
      <c r="BA526" s="32">
        <f t="shared" si="464"/>
        <v>147.93686354790995</v>
      </c>
      <c r="BB526" s="32">
        <f t="shared" si="465"/>
        <v>1.5640366349126287</v>
      </c>
      <c r="BC526" s="32" t="str">
        <f t="shared" si="439"/>
        <v>1+7100.80721707677i</v>
      </c>
      <c r="BD526" s="32">
        <f t="shared" si="466"/>
        <v>7100.8072874912996</v>
      </c>
      <c r="BE526" s="32">
        <f t="shared" si="467"/>
        <v>1.5706554977366194</v>
      </c>
      <c r="BF526" s="59" t="str">
        <f t="shared" si="468"/>
        <v>-0.0000292058041349922+0.00441244642994736i</v>
      </c>
      <c r="BG526" s="50">
        <f t="shared" si="469"/>
        <v>-47.106220820997962</v>
      </c>
      <c r="BH526" s="61">
        <f t="shared" si="470"/>
        <v>90.379232904990715</v>
      </c>
      <c r="BI526" s="59" t="str">
        <f t="shared" si="471"/>
        <v>-0.00047400878436749-0.000111474451178661i</v>
      </c>
      <c r="BJ526" s="64">
        <f t="shared" si="472"/>
        <v>-66.250485159651049</v>
      </c>
      <c r="BK526" s="61">
        <f t="shared" si="473"/>
        <v>-166.76601184447054</v>
      </c>
      <c r="BL526" s="59" t="str">
        <f t="shared" si="478"/>
        <v>0.0180170998029856-0.00198609242135212i</v>
      </c>
      <c r="BM526" s="64">
        <f t="shared" si="474"/>
        <v>-34.833847174320681</v>
      </c>
      <c r="BN526" s="61">
        <f t="shared" si="479"/>
        <v>-6.2905307552757783</v>
      </c>
      <c r="BO526" s="50">
        <f t="shared" si="475"/>
        <v>-66.250485159651049</v>
      </c>
      <c r="BP526" s="61">
        <f t="shared" si="476"/>
        <v>-166.76601184447054</v>
      </c>
    </row>
    <row r="527" spans="14:68" x14ac:dyDescent="0.25">
      <c r="N527" s="11">
        <v>9</v>
      </c>
      <c r="O527" s="51">
        <f t="shared" si="480"/>
        <v>1230268.770812382</v>
      </c>
      <c r="P527" s="49" t="str">
        <f t="shared" si="427"/>
        <v>25.6231073841137</v>
      </c>
      <c r="Q527" s="18" t="str">
        <f t="shared" si="428"/>
        <v>1+6684.75419112834i</v>
      </c>
      <c r="R527" s="18">
        <f t="shared" si="440"/>
        <v>6684.754265925405</v>
      </c>
      <c r="S527" s="18">
        <f t="shared" si="441"/>
        <v>1.5706467326641405</v>
      </c>
      <c r="T527" s="18" t="str">
        <f t="shared" si="429"/>
        <v>1+6.95700599818523i</v>
      </c>
      <c r="U527" s="18">
        <f t="shared" si="442"/>
        <v>7.0285085515196792</v>
      </c>
      <c r="V527" s="18">
        <f t="shared" si="443"/>
        <v>1.428034185272145</v>
      </c>
      <c r="W527" s="32" t="str">
        <f t="shared" si="430"/>
        <v>1-155.888467737114i</v>
      </c>
      <c r="X527" s="18">
        <f t="shared" si="444"/>
        <v>155.89167512547053</v>
      </c>
      <c r="Y527" s="18">
        <f t="shared" si="445"/>
        <v>-1.5643815720787917</v>
      </c>
      <c r="Z527" s="32" t="str">
        <f t="shared" si="431"/>
        <v>-36.8390312109052+12.3422439745582i</v>
      </c>
      <c r="AA527" s="18">
        <f t="shared" si="446"/>
        <v>38.851579207100002</v>
      </c>
      <c r="AB527" s="18">
        <f t="shared" si="447"/>
        <v>2.8183143311749519</v>
      </c>
      <c r="AC527" s="32" t="str">
        <f>IMDIV(IMSUM(COMPLEX(0,2*PI()*O527*Constants!$B$71*Constants!$B$72),COMPLEX(1,0)),IMSUM(COMPLEX(0,2*PI()*O527*Constants!$B$71*Constants!$B$72),COMPLEX(2,0)))</f>
        <v>0.997916770933515+0.0322067491358395i</v>
      </c>
      <c r="AD527" s="18">
        <f t="shared" si="448"/>
        <v>0.99843635570840095</v>
      </c>
      <c r="AE527" s="18">
        <f t="shared" si="449"/>
        <v>3.2262784599248091E-2</v>
      </c>
      <c r="AF527" s="66" t="str">
        <f t="shared" si="450"/>
        <v>-0.0234844576399801+0.105344537498548i</v>
      </c>
      <c r="AG527" s="64">
        <f t="shared" si="451"/>
        <v>-19.337116779135172</v>
      </c>
      <c r="AH527" s="61">
        <f t="shared" si="452"/>
        <v>102.56744617599009</v>
      </c>
      <c r="AI527" s="50" t="str">
        <f t="shared" si="432"/>
        <v>108.866083054159</v>
      </c>
      <c r="AJ527" s="50" t="str">
        <f t="shared" si="433"/>
        <v>1+6324.55090744113i</v>
      </c>
      <c r="AK527" s="50">
        <f t="shared" si="453"/>
        <v>6324.5509864981268</v>
      </c>
      <c r="AL527" s="50">
        <f t="shared" si="454"/>
        <v>1.5706382128028833</v>
      </c>
      <c r="AM527" s="50" t="str">
        <f t="shared" si="434"/>
        <v>1+6.95700599818523i</v>
      </c>
      <c r="AN527" s="50">
        <f t="shared" si="455"/>
        <v>7.0285085515196792</v>
      </c>
      <c r="AO527" s="50">
        <f t="shared" si="456"/>
        <v>1.428034185272145</v>
      </c>
      <c r="AP527" s="50" t="str">
        <f t="shared" si="435"/>
        <v>1-34.713382067295i</v>
      </c>
      <c r="AQ527" s="50">
        <f t="shared" si="457"/>
        <v>34.727782747391146</v>
      </c>
      <c r="AR527" s="50">
        <f t="shared" si="458"/>
        <v>-1.5419969572929775</v>
      </c>
      <c r="AS527" s="59" t="str">
        <f t="shared" si="459"/>
        <v>-0.477117454972662-4.17430961882786i</v>
      </c>
      <c r="AT527" s="50">
        <f t="shared" si="460"/>
        <v>12.46806265919431</v>
      </c>
      <c r="AU527" s="61">
        <f t="shared" si="461"/>
        <v>-96.520526593980946</v>
      </c>
      <c r="AV527" s="32" t="str">
        <f t="shared" si="436"/>
        <v>-0.0000333333333333333</v>
      </c>
      <c r="AW527" s="32" t="str">
        <f t="shared" si="437"/>
        <v>0.371040319903212i</v>
      </c>
      <c r="AX527" s="32">
        <f t="shared" si="462"/>
        <v>0.37104031990321201</v>
      </c>
      <c r="AY527" s="32">
        <f t="shared" si="463"/>
        <v>1.5707963267948966</v>
      </c>
      <c r="AZ527" s="32" t="str">
        <f t="shared" si="438"/>
        <v>1+151.379297182734i</v>
      </c>
      <c r="BA527" s="32">
        <f t="shared" si="464"/>
        <v>151.38260010826377</v>
      </c>
      <c r="BB527" s="32">
        <f t="shared" si="465"/>
        <v>1.5641904997570006</v>
      </c>
      <c r="BC527" s="32" t="str">
        <f t="shared" si="439"/>
        <v>1+7266.20626477125i</v>
      </c>
      <c r="BD527" s="32">
        <f t="shared" si="466"/>
        <v>7266.2063335829489</v>
      </c>
      <c r="BE527" s="32">
        <f t="shared" si="467"/>
        <v>1.5706587033973149</v>
      </c>
      <c r="BF527" s="59" t="str">
        <f t="shared" si="468"/>
        <v>-0.0000278913837766771+0.00431201556977803i</v>
      </c>
      <c r="BG527" s="50">
        <f t="shared" si="469"/>
        <v>-47.306211893547207</v>
      </c>
      <c r="BH527" s="61">
        <f t="shared" si="470"/>
        <v>90.370600769621163</v>
      </c>
      <c r="BI527" s="59" t="str">
        <f t="shared" si="471"/>
        <v>-0.000453592271863981-0.000104203551915535i</v>
      </c>
      <c r="BJ527" s="64">
        <f t="shared" si="472"/>
        <v>-66.643328672682372</v>
      </c>
      <c r="BK527" s="61">
        <f t="shared" si="473"/>
        <v>-167.06195305438882</v>
      </c>
      <c r="BL527" s="59" t="str">
        <f t="shared" si="478"/>
        <v>0.0180129955355031-0.00194091062287358i</v>
      </c>
      <c r="BM527" s="64">
        <f t="shared" si="474"/>
        <v>-34.838149234352905</v>
      </c>
      <c r="BN527" s="61">
        <f t="shared" si="479"/>
        <v>-6.1499258243597783</v>
      </c>
      <c r="BO527" s="50">
        <f t="shared" si="475"/>
        <v>-66.643328672682372</v>
      </c>
      <c r="BP527" s="61">
        <f t="shared" si="476"/>
        <v>-167.06195305438882</v>
      </c>
    </row>
    <row r="528" spans="14:68" x14ac:dyDescent="0.25">
      <c r="N528" s="11">
        <v>10</v>
      </c>
      <c r="O528" s="51">
        <f t="shared" si="480"/>
        <v>1258925.4117941677</v>
      </c>
      <c r="P528" s="49" t="str">
        <f t="shared" si="427"/>
        <v>25.6231073841137</v>
      </c>
      <c r="Q528" s="18" t="str">
        <f t="shared" si="428"/>
        <v>1+6840.46211890103i</v>
      </c>
      <c r="R528" s="18">
        <f t="shared" si="440"/>
        <v>6840.4621919955071</v>
      </c>
      <c r="S528" s="18">
        <f t="shared" si="441"/>
        <v>1.5706501378422362</v>
      </c>
      <c r="T528" s="18" t="str">
        <f t="shared" si="429"/>
        <v>1+7.11905548519811i</v>
      </c>
      <c r="U528" s="18">
        <f t="shared" si="442"/>
        <v>7.1889464458520829</v>
      </c>
      <c r="V528" s="18">
        <f t="shared" si="443"/>
        <v>1.4312413404901205</v>
      </c>
      <c r="W528" s="32" t="str">
        <f t="shared" si="430"/>
        <v>1-159.519576612773i</v>
      </c>
      <c r="X528" s="18">
        <f t="shared" si="444"/>
        <v>159.52271099350824</v>
      </c>
      <c r="Y528" s="18">
        <f t="shared" si="445"/>
        <v>-1.5645275858531158</v>
      </c>
      <c r="Z528" s="32" t="str">
        <f t="shared" si="431"/>
        <v>-38.6223298115278+12.6297317681848i</v>
      </c>
      <c r="AA528" s="18">
        <f t="shared" si="446"/>
        <v>40.634892452259862</v>
      </c>
      <c r="AB528" s="18">
        <f t="shared" si="447"/>
        <v>2.8255475097683518</v>
      </c>
      <c r="AC528" s="32" t="str">
        <f>IMDIV(IMSUM(COMPLEX(0,2*PI()*O528*Constants!$B$71*Constants!$B$72),COMPLEX(1,0)),IMSUM(COMPLEX(0,2*PI()*O528*Constants!$B$71*Constants!$B$72),COMPLEX(2,0)))</f>
        <v>0.998010158548457+0.0314795371117366i</v>
      </c>
      <c r="AD528" s="18">
        <f t="shared" si="448"/>
        <v>0.9985065036456624</v>
      </c>
      <c r="AE528" s="18">
        <f t="shared" si="449"/>
        <v>3.1531846875528839E-2</v>
      </c>
      <c r="AF528" s="66" t="str">
        <f t="shared" si="450"/>
        <v>-0.0224621850743663+0.103139091594184i</v>
      </c>
      <c r="AG528" s="64">
        <f t="shared" si="451"/>
        <v>-19.530281938598225</v>
      </c>
      <c r="AH528" s="61">
        <f t="shared" si="452"/>
        <v>102.2863313063484</v>
      </c>
      <c r="AI528" s="50" t="str">
        <f t="shared" si="432"/>
        <v>108.866083054159</v>
      </c>
      <c r="AJ528" s="50" t="str">
        <f t="shared" si="433"/>
        <v>1+6471.86862290738i</v>
      </c>
      <c r="AK528" s="50">
        <f t="shared" si="453"/>
        <v>6471.8687001648195</v>
      </c>
      <c r="AL528" s="50">
        <f t="shared" si="454"/>
        <v>1.5706418119166894</v>
      </c>
      <c r="AM528" s="50" t="str">
        <f t="shared" si="434"/>
        <v>1+7.11905548519811i</v>
      </c>
      <c r="AN528" s="50">
        <f t="shared" si="455"/>
        <v>7.1889464458520829</v>
      </c>
      <c r="AO528" s="50">
        <f t="shared" si="456"/>
        <v>1.4312413404901205</v>
      </c>
      <c r="AP528" s="50" t="str">
        <f t="shared" si="435"/>
        <v>1-35.5219606078273i</v>
      </c>
      <c r="AQ528" s="50">
        <f t="shared" si="457"/>
        <v>35.536033619750455</v>
      </c>
      <c r="AR528" s="50">
        <f t="shared" si="458"/>
        <v>-1.5426521608313524</v>
      </c>
      <c r="AS528" s="59" t="str">
        <f t="shared" si="459"/>
        <v>-0.477117578004198-4.27074553661902i</v>
      </c>
      <c r="AT528" s="50">
        <f t="shared" si="460"/>
        <v>12.663942002120541</v>
      </c>
      <c r="AU528" s="61">
        <f t="shared" si="461"/>
        <v>-96.374516747249629</v>
      </c>
      <c r="AV528" s="32" t="str">
        <f t="shared" si="436"/>
        <v>-0.0000333333333333333</v>
      </c>
      <c r="AW528" s="32" t="str">
        <f t="shared" si="437"/>
        <v>0.379682959210566i</v>
      </c>
      <c r="AX528" s="32">
        <f t="shared" si="462"/>
        <v>0.379682959210566</v>
      </c>
      <c r="AY528" s="32">
        <f t="shared" si="463"/>
        <v>1.5707963267948966</v>
      </c>
      <c r="AZ528" s="32" t="str">
        <f t="shared" si="438"/>
        <v>1+154.905373983477i</v>
      </c>
      <c r="BA528" s="32">
        <f t="shared" si="464"/>
        <v>154.90860172682753</v>
      </c>
      <c r="BB528" s="32">
        <f t="shared" si="465"/>
        <v>1.5643408625121551</v>
      </c>
      <c r="BC528" s="32" t="str">
        <f t="shared" si="439"/>
        <v>1+7435.45795120693i</v>
      </c>
      <c r="BD528" s="32">
        <f t="shared" si="466"/>
        <v>7435.4580184522838</v>
      </c>
      <c r="BE528" s="32">
        <f t="shared" si="467"/>
        <v>1.5706618360882671</v>
      </c>
      <c r="BF528" s="59" t="str">
        <f t="shared" si="468"/>
        <v>-0.0000266361170328136+0.00421387021557026i</v>
      </c>
      <c r="BG528" s="50">
        <f t="shared" si="469"/>
        <v>-47.506203367880872</v>
      </c>
      <c r="BH528" s="61">
        <f t="shared" si="470"/>
        <v>90.36216510832493</v>
      </c>
      <c r="BI528" s="59" t="str">
        <f t="shared" si="471"/>
        <v>-0.000434016440739251-0.0000973999575758598i</v>
      </c>
      <c r="BJ528" s="64">
        <f t="shared" si="472"/>
        <v>-67.036485306479094</v>
      </c>
      <c r="BK528" s="61">
        <f t="shared" si="473"/>
        <v>-167.35150358532664</v>
      </c>
      <c r="BL528" s="59" t="str">
        <f t="shared" si="478"/>
        <v>0.0180090759746846-0.00189675547334616i</v>
      </c>
      <c r="BM528" s="64">
        <f t="shared" si="474"/>
        <v>-34.842261365760351</v>
      </c>
      <c r="BN528" s="61">
        <f t="shared" si="479"/>
        <v>-6.0123516389247049</v>
      </c>
      <c r="BO528" s="50">
        <f t="shared" si="475"/>
        <v>-67.036485306479094</v>
      </c>
      <c r="BP528" s="61">
        <f t="shared" si="476"/>
        <v>-167.35150358532664</v>
      </c>
    </row>
    <row r="529" spans="14:68" x14ac:dyDescent="0.25">
      <c r="N529" s="11">
        <v>11</v>
      </c>
      <c r="O529" s="51">
        <f t="shared" si="480"/>
        <v>1288249.5516931366</v>
      </c>
      <c r="P529" s="49" t="str">
        <f t="shared" si="427"/>
        <v>25.6231073841137</v>
      </c>
      <c r="Q529" s="18" t="str">
        <f t="shared" si="428"/>
        <v>1+6999.79695023339i</v>
      </c>
      <c r="R529" s="18">
        <f t="shared" si="440"/>
        <v>6999.7970216640324</v>
      </c>
      <c r="S529" s="18">
        <f t="shared" si="441"/>
        <v>1.5706534655090183</v>
      </c>
      <c r="T529" s="18" t="str">
        <f t="shared" si="429"/>
        <v>1+7.28487958966111i</v>
      </c>
      <c r="U529" s="18">
        <f t="shared" si="442"/>
        <v>7.3531945871070903</v>
      </c>
      <c r="V529" s="18">
        <f t="shared" si="443"/>
        <v>1.434378286655744</v>
      </c>
      <c r="W529" s="32" t="str">
        <f t="shared" si="430"/>
        <v>1-163.235264879443i</v>
      </c>
      <c r="X529" s="18">
        <f t="shared" si="444"/>
        <v>163.2383279143165</v>
      </c>
      <c r="Y529" s="18">
        <f t="shared" si="445"/>
        <v>-1.5646702762064491</v>
      </c>
      <c r="Z529" s="32" t="str">
        <f t="shared" si="431"/>
        <v>-40.4896726859391+12.9239160127691i</v>
      </c>
      <c r="AA529" s="18">
        <f t="shared" si="446"/>
        <v>42.5022493442358</v>
      </c>
      <c r="AB529" s="18">
        <f t="shared" si="447"/>
        <v>2.8326242524986398</v>
      </c>
      <c r="AC529" s="32" t="str">
        <f>IMDIV(IMSUM(COMPLEX(0,2*PI()*O529*Constants!$B$71*Constants!$B$72),COMPLEX(1,0)),IMSUM(COMPLEX(0,2*PI()*O529*Constants!$B$71*Constants!$B$72),COMPLEX(2,0)))</f>
        <v>0.998099375735655+0.0307684864687615i</v>
      </c>
      <c r="AD529" s="18">
        <f t="shared" si="448"/>
        <v>0.99857351437111663</v>
      </c>
      <c r="AE529" s="18">
        <f t="shared" si="449"/>
        <v>3.0817317644005596E-2</v>
      </c>
      <c r="AF529" s="66" t="str">
        <f t="shared" si="450"/>
        <v>-0.0214829571949563+0.100971513656366i</v>
      </c>
      <c r="AG529" s="64">
        <f t="shared" si="451"/>
        <v>-19.723746509992989</v>
      </c>
      <c r="AH529" s="61">
        <f t="shared" si="452"/>
        <v>102.01129186546254</v>
      </c>
      <c r="AI529" s="50" t="str">
        <f t="shared" si="432"/>
        <v>108.866083054159</v>
      </c>
      <c r="AJ529" s="50" t="str">
        <f t="shared" si="433"/>
        <v>1+6622.61780878283i</v>
      </c>
      <c r="AK529" s="50">
        <f t="shared" si="453"/>
        <v>6622.6178842816753</v>
      </c>
      <c r="AL529" s="50">
        <f t="shared" si="454"/>
        <v>1.5706453291046669</v>
      </c>
      <c r="AM529" s="50" t="str">
        <f t="shared" si="434"/>
        <v>1+7.28487958966111i</v>
      </c>
      <c r="AN529" s="50">
        <f t="shared" si="455"/>
        <v>7.3531945871070903</v>
      </c>
      <c r="AO529" s="50">
        <f t="shared" si="456"/>
        <v>1.434378286655744</v>
      </c>
      <c r="AP529" s="50" t="str">
        <f t="shared" si="435"/>
        <v>1-36.3493733620628i</v>
      </c>
      <c r="AQ529" s="50">
        <f t="shared" si="457"/>
        <v>36.363126155690196</v>
      </c>
      <c r="AR529" s="50">
        <f t="shared" si="458"/>
        <v>-1.5432924734728017</v>
      </c>
      <c r="AS529" s="59" t="str">
        <f t="shared" si="459"/>
        <v>-0.477117695498403-4.36944586022206i</v>
      </c>
      <c r="AT529" s="50">
        <f t="shared" si="460"/>
        <v>12.860003428238869</v>
      </c>
      <c r="AU529" s="61">
        <f t="shared" si="461"/>
        <v>-96.231671703350401</v>
      </c>
      <c r="AV529" s="32" t="str">
        <f t="shared" si="436"/>
        <v>-0.0000333333333333333</v>
      </c>
      <c r="AW529" s="32" t="str">
        <f t="shared" si="437"/>
        <v>0.388526911448592i</v>
      </c>
      <c r="AX529" s="32">
        <f t="shared" si="462"/>
        <v>0.38852691144859203</v>
      </c>
      <c r="AY529" s="32">
        <f t="shared" si="463"/>
        <v>1.5707963267948966</v>
      </c>
      <c r="AZ529" s="32" t="str">
        <f t="shared" si="438"/>
        <v>1+158.513583663922i</v>
      </c>
      <c r="BA529" s="32">
        <f t="shared" si="464"/>
        <v>158.51673793634285</v>
      </c>
      <c r="BB529" s="32">
        <f t="shared" si="465"/>
        <v>1.5644878028752036</v>
      </c>
      <c r="BC529" s="32" t="str">
        <f t="shared" si="439"/>
        <v>1+7608.65201586828i</v>
      </c>
      <c r="BD529" s="32">
        <f t="shared" si="466"/>
        <v>7608.6520815829417</v>
      </c>
      <c r="BE529" s="32">
        <f t="shared" si="467"/>
        <v>1.57066489747047</v>
      </c>
      <c r="BF529" s="59" t="str">
        <f t="shared" si="468"/>
        <v>-0.0000254373419962203+0.00411795838153366i</v>
      </c>
      <c r="BG529" s="50">
        <f t="shared" si="469"/>
        <v>-47.706195225917085</v>
      </c>
      <c r="BH529" s="61">
        <f t="shared" si="470"/>
        <v>90.353921449961831</v>
      </c>
      <c r="BI529" s="59" t="str">
        <f t="shared" si="471"/>
        <v>-0.000415250021628115-0.0000910343705658522i</v>
      </c>
      <c r="BJ529" s="64">
        <f t="shared" si="472"/>
        <v>-67.429941735910063</v>
      </c>
      <c r="BK529" s="61">
        <f t="shared" si="473"/>
        <v>-167.63478668457563</v>
      </c>
      <c r="BL529" s="59" t="str">
        <f t="shared" si="478"/>
        <v>0.0180053328087518-0.00185360372447524i</v>
      </c>
      <c r="BM529" s="64">
        <f t="shared" si="474"/>
        <v>-34.846191797678223</v>
      </c>
      <c r="BN529" s="61">
        <f t="shared" si="479"/>
        <v>-5.8777502533885908</v>
      </c>
      <c r="BO529" s="50">
        <f t="shared" si="475"/>
        <v>-67.429941735910063</v>
      </c>
      <c r="BP529" s="61">
        <f t="shared" si="476"/>
        <v>-167.63478668457563</v>
      </c>
    </row>
    <row r="530" spans="14:68" x14ac:dyDescent="0.25">
      <c r="N530" s="11">
        <v>12</v>
      </c>
      <c r="O530" s="51">
        <f t="shared" si="480"/>
        <v>1318256.7385564097</v>
      </c>
      <c r="P530" s="49" t="str">
        <f t="shared" si="427"/>
        <v>25.6231073841137</v>
      </c>
      <c r="Q530" s="18" t="str">
        <f t="shared" si="428"/>
        <v>1+7162.84316656203i</v>
      </c>
      <c r="R530" s="18">
        <f t="shared" si="440"/>
        <v>7162.8432363667134</v>
      </c>
      <c r="S530" s="18">
        <f t="shared" si="441"/>
        <v>1.5706567174288601</v>
      </c>
      <c r="T530" s="18" t="str">
        <f t="shared" si="429"/>
        <v>1+7.45456623370931i</v>
      </c>
      <c r="U530" s="18">
        <f t="shared" si="442"/>
        <v>7.5213401553685246</v>
      </c>
      <c r="V530" s="18">
        <f t="shared" si="443"/>
        <v>1.4374464399384563</v>
      </c>
      <c r="W530" s="32" t="str">
        <f t="shared" si="430"/>
        <v>1-167.037502644227i</v>
      </c>
      <c r="X530" s="18">
        <f t="shared" si="444"/>
        <v>167.04049595717842</v>
      </c>
      <c r="Y530" s="18">
        <f t="shared" si="445"/>
        <v>-1.5648097187718502</v>
      </c>
      <c r="Z530" s="32" t="str">
        <f t="shared" si="431"/>
        <v>-42.4450207187345+13.2249526886917i</v>
      </c>
      <c r="AA530" s="18">
        <f t="shared" si="446"/>
        <v>44.45761079311319</v>
      </c>
      <c r="AB530" s="18">
        <f t="shared" si="447"/>
        <v>2.8395475900410703</v>
      </c>
      <c r="AC530" s="32" t="str">
        <f>IMDIV(IMSUM(COMPLEX(0,2*PI()*O530*Constants!$B$71*Constants!$B$72),COMPLEX(1,0)),IMSUM(COMPLEX(0,2*PI()*O530*Constants!$B$71*Constants!$B$72),COMPLEX(2,0)))</f>
        <v>0.998184607333434+0.030073255273566i</v>
      </c>
      <c r="AD530" s="18">
        <f t="shared" si="448"/>
        <v>0.99863752733419275</v>
      </c>
      <c r="AE530" s="18">
        <f t="shared" si="449"/>
        <v>3.0118838646924155E-2</v>
      </c>
      <c r="AF530" s="66" t="str">
        <f t="shared" si="450"/>
        <v>-0.020545086494126+0.0988417109445519i</v>
      </c>
      <c r="AG530" s="64">
        <f t="shared" si="451"/>
        <v>-19.917497720407415</v>
      </c>
      <c r="AH530" s="61">
        <f t="shared" si="452"/>
        <v>101.74221038775985</v>
      </c>
      <c r="AI530" s="50" t="str">
        <f t="shared" si="432"/>
        <v>108.866083054159</v>
      </c>
      <c r="AJ530" s="50" t="str">
        <f t="shared" si="433"/>
        <v>1+6776.8783942812i</v>
      </c>
      <c r="AK530" s="50">
        <f t="shared" si="453"/>
        <v>6776.8784680614808</v>
      </c>
      <c r="AL530" s="50">
        <f t="shared" si="454"/>
        <v>1.5706487662316755</v>
      </c>
      <c r="AM530" s="50" t="str">
        <f t="shared" si="434"/>
        <v>1+7.45456623370931i</v>
      </c>
      <c r="AN530" s="50">
        <f t="shared" si="455"/>
        <v>7.5213401553685246</v>
      </c>
      <c r="AO530" s="50">
        <f t="shared" si="456"/>
        <v>1.4374464399384563</v>
      </c>
      <c r="AP530" s="50" t="str">
        <f t="shared" si="435"/>
        <v>1-37.1960590351956i</v>
      </c>
      <c r="AQ530" s="50">
        <f t="shared" si="457"/>
        <v>37.209498891408849</v>
      </c>
      <c r="AR530" s="50">
        <f t="shared" si="458"/>
        <v>-1.5439182326181344</v>
      </c>
      <c r="AS530" s="59" t="str">
        <f t="shared" si="459"/>
        <v>-0.477117807704498-4.47046292185499i</v>
      </c>
      <c r="AT530" s="50">
        <f t="shared" si="460"/>
        <v>13.056239034222179</v>
      </c>
      <c r="AU530" s="61">
        <f t="shared" si="461"/>
        <v>-96.091929760242323</v>
      </c>
      <c r="AV530" s="32" t="str">
        <f t="shared" si="436"/>
        <v>-0.0000333333333333333</v>
      </c>
      <c r="AW530" s="32" t="str">
        <f t="shared" si="437"/>
        <v>0.39757686579783i</v>
      </c>
      <c r="AX530" s="32">
        <f t="shared" si="462"/>
        <v>0.39757686579783003</v>
      </c>
      <c r="AY530" s="32">
        <f t="shared" si="463"/>
        <v>1.5707963267948966</v>
      </c>
      <c r="AZ530" s="32" t="str">
        <f t="shared" si="438"/>
        <v>1+162.205839344601i</v>
      </c>
      <c r="BA530" s="32">
        <f t="shared" si="464"/>
        <v>162.20892181839602</v>
      </c>
      <c r="BB530" s="32">
        <f t="shared" si="465"/>
        <v>1.5646313987304752</v>
      </c>
      <c r="BC530" s="32" t="str">
        <f t="shared" si="439"/>
        <v>1+7785.88028854085i</v>
      </c>
      <c r="BD530" s="32">
        <f t="shared" si="466"/>
        <v>7785.8803527596647</v>
      </c>
      <c r="BE530" s="32">
        <f t="shared" si="467"/>
        <v>1.5706678891671086</v>
      </c>
      <c r="BF530" s="59" t="str">
        <f t="shared" si="468"/>
        <v>-0.0000242925165262082+0.0040242292626377i</v>
      </c>
      <c r="BG530" s="50">
        <f t="shared" si="469"/>
        <v>-47.906187450387819</v>
      </c>
      <c r="BH530" s="61">
        <f t="shared" si="470"/>
        <v>90.345865425090167</v>
      </c>
      <c r="BI530" s="59" t="str">
        <f t="shared" si="471"/>
        <v>-0.000397262613699052-0.0000850792521696837i</v>
      </c>
      <c r="BJ530" s="64">
        <f t="shared" si="472"/>
        <v>-67.82368517079523</v>
      </c>
      <c r="BK530" s="61">
        <f t="shared" si="473"/>
        <v>-167.91192418714996</v>
      </c>
      <c r="BL530" s="59" t="str">
        <f t="shared" si="478"/>
        <v>0.0180017580998943-0.00181143264908102i</v>
      </c>
      <c r="BM530" s="64">
        <f t="shared" si="474"/>
        <v>-34.849948416165638</v>
      </c>
      <c r="BN530" s="61">
        <f t="shared" si="479"/>
        <v>-5.7460643351521279</v>
      </c>
      <c r="BO530" s="50">
        <f t="shared" si="475"/>
        <v>-67.82368517079523</v>
      </c>
      <c r="BP530" s="61">
        <f t="shared" si="476"/>
        <v>-167.91192418714996</v>
      </c>
    </row>
    <row r="531" spans="14:68" x14ac:dyDescent="0.25">
      <c r="N531" s="11">
        <v>13</v>
      </c>
      <c r="O531" s="51">
        <f t="shared" si="480"/>
        <v>1348962.8825916562</v>
      </c>
      <c r="P531" s="49" t="str">
        <f t="shared" ref="P531:P560" si="481">COMPLEX(Adc,0)</f>
        <v>25.6231073841137</v>
      </c>
      <c r="Q531" s="18" t="str">
        <f t="shared" ref="Q531:Q560" si="482">IMSUM(COMPLEX(1,0),IMDIV(COMPLEX(0,2*PI()*O531),COMPLEX(wp_lf,0)))</f>
        <v>1+7329.687217149i</v>
      </c>
      <c r="R531" s="18">
        <f t="shared" si="440"/>
        <v>7329.6872853647346</v>
      </c>
      <c r="S531" s="18">
        <f t="shared" si="441"/>
        <v>1.5706598953259718</v>
      </c>
      <c r="T531" s="18" t="str">
        <f t="shared" ref="T531:T560" si="483">IMSUM(COMPLEX(1,0),IMDIV(COMPLEX(0,2*PI()*O531),COMPLEX(wz_esr,0)))</f>
        <v>1+7.62820538744747i</v>
      </c>
      <c r="U531" s="18">
        <f t="shared" si="442"/>
        <v>7.6934723911301974</v>
      </c>
      <c r="V531" s="18">
        <f t="shared" si="443"/>
        <v>1.4404471959338094</v>
      </c>
      <c r="W531" s="32" t="str">
        <f t="shared" ref="W531:W560" si="484">IMSUB(COMPLEX(1,0),IMDIV(COMPLEX(0,2*PI()*O531),COMPLEX(wz_rhp,0)))</f>
        <v>1-170.928305903915i</v>
      </c>
      <c r="X531" s="18">
        <f t="shared" si="444"/>
        <v>170.93123108192472</v>
      </c>
      <c r="Y531" s="18">
        <f t="shared" si="445"/>
        <v>-1.5649459874619094</v>
      </c>
      <c r="Z531" s="32" t="str">
        <f t="shared" ref="Z531:Z560" si="485">IMSUM(COMPLEX(1,0),IMDIV(COMPLEX(0,2*PI()*O531),COMPLEX(Q*(wsl/2),0)),IMDIV(IMPOWER(COMPLEX(0,2*PI()*O531),2),IMPOWER(COMPLEX(wsl/2,0),2)))</f>
        <v>-44.4925214652496+13.5330014095827i</v>
      </c>
      <c r="AA531" s="18">
        <f t="shared" si="446"/>
        <v>46.505124378797909</v>
      </c>
      <c r="AB531" s="18">
        <f t="shared" si="447"/>
        <v>2.846320517591499</v>
      </c>
      <c r="AC531" s="32" t="str">
        <f>IMDIV(IMSUM(COMPLEX(0,2*PI()*O531*Constants!$B$71*Constants!$B$72),COMPLEX(1,0)),IMSUM(COMPLEX(0,2*PI()*O531*Constants!$B$71*Constants!$B$72),COMPLEX(2,0)))</f>
        <v>0.998266030110776+0.0293935076681092i</v>
      </c>
      <c r="AD531" s="18">
        <f t="shared" si="448"/>
        <v>0.99869867586082428</v>
      </c>
      <c r="AE531" s="18">
        <f t="shared" si="449"/>
        <v>2.9436058773142992E-2</v>
      </c>
      <c r="AF531" s="66" t="str">
        <f t="shared" si="450"/>
        <v>-0.019646940812011+0.0967495470917982i</v>
      </c>
      <c r="AG531" s="64">
        <f t="shared" si="451"/>
        <v>-20.111523312382282</v>
      </c>
      <c r="AH531" s="61">
        <f t="shared" si="452"/>
        <v>101.47897077203815</v>
      </c>
      <c r="AI531" s="50" t="str">
        <f t="shared" ref="AI531:AI560" si="486">COMPLEX($B$72,0)</f>
        <v>108.866083054159</v>
      </c>
      <c r="AJ531" s="50" t="str">
        <f t="shared" ref="AJ531:AJ560" si="487">IMSUM(COMPLEX(1,0),IMDIV(COMPLEX(0,2*PI()*O531),COMPLEX(wp_lf_DCM,0)))</f>
        <v>1+6934.73217040679i</v>
      </c>
      <c r="AK531" s="50">
        <f t="shared" si="453"/>
        <v>6934.7322425076281</v>
      </c>
      <c r="AL531" s="50">
        <f t="shared" si="454"/>
        <v>1.5706521251201244</v>
      </c>
      <c r="AM531" s="50" t="str">
        <f t="shared" ref="AM531:AM560" si="488">IMSUM(COMPLEX(1,0),IMDIV(COMPLEX(0,2*PI()*O531),COMPLEX(wz1_dcm,0)))</f>
        <v>1+7.62820538744747i</v>
      </c>
      <c r="AN531" s="50">
        <f t="shared" si="455"/>
        <v>7.6934723911301974</v>
      </c>
      <c r="AO531" s="50">
        <f t="shared" si="456"/>
        <v>1.4404471959338094</v>
      </c>
      <c r="AP531" s="50" t="str">
        <f t="shared" ref="AP531:AP560" si="489">IMSUB(COMPLEX(1,0),IMDIV(COMPLEX(0,2*PI()*O531),COMPLEX(wz2_dcm,0)))</f>
        <v>1-38.0624665511768i</v>
      </c>
      <c r="AQ531" s="50">
        <f t="shared" si="457"/>
        <v>38.075600585669719</v>
      </c>
      <c r="AR531" s="50">
        <f t="shared" si="458"/>
        <v>-1.5445297680917593</v>
      </c>
      <c r="AS531" s="59" t="str">
        <f t="shared" si="459"/>
        <v>-0.477117914860486-4.57385028210119i</v>
      </c>
      <c r="AT531" s="50">
        <f t="shared" si="460"/>
        <v>13.252641247460208</v>
      </c>
      <c r="AU531" s="61">
        <f t="shared" si="461"/>
        <v>-95.955229958153211</v>
      </c>
      <c r="AV531" s="32" t="str">
        <f t="shared" ref="AV531:AV560" si="490">COMPLEX(Adc_ea,0)</f>
        <v>-0.0000333333333333333</v>
      </c>
      <c r="AW531" s="32" t="str">
        <f t="shared" ref="AW531:AW560" si="491">COMPLEX(0,2*PI()*O531*wp0_ea)</f>
        <v>0.406837620663865i</v>
      </c>
      <c r="AX531" s="32">
        <f t="shared" si="462"/>
        <v>0.40683762066386497</v>
      </c>
      <c r="AY531" s="32">
        <f t="shared" si="463"/>
        <v>1.5707963267948966</v>
      </c>
      <c r="AZ531" s="32" t="str">
        <f t="shared" ref="AZ531:AZ560" si="492">IMSUM(COMPLEX(1,0),IMDIV(COMPLEX(0,2*PI()*O531),COMPLEX(wp1_ea,0)))</f>
        <v>1+165.984098708348i</v>
      </c>
      <c r="BA531" s="32">
        <f t="shared" si="464"/>
        <v>165.98711101776129</v>
      </c>
      <c r="BB531" s="32">
        <f t="shared" si="465"/>
        <v>1.5647717261906926</v>
      </c>
      <c r="BC531" s="32" t="str">
        <f t="shared" ref="BC531:BC560" si="493">IMSUM(COMPLEX(1,0),IMDIV(COMPLEX(0,2*PI()*O531),COMPLEX(wz_ea,0)))</f>
        <v>1+7967.2367380007i</v>
      </c>
      <c r="BD531" s="32">
        <f t="shared" si="466"/>
        <v>7967.2368007577161</v>
      </c>
      <c r="BE531" s="32">
        <f t="shared" si="467"/>
        <v>1.57067081276442</v>
      </c>
      <c r="BF531" s="59" t="str">
        <f t="shared" si="468"/>
        <v>-0.000023199212861637+0.00393263320790673i</v>
      </c>
      <c r="BG531" s="50">
        <f t="shared" si="469"/>
        <v>-48.106180024801958</v>
      </c>
      <c r="BH531" s="61">
        <f t="shared" si="470"/>
        <v>90.337992763656857</v>
      </c>
      <c r="BI531" s="59" t="str">
        <f t="shared" si="471"/>
        <v>-0.000380024688181164-0.0000795087252083421i</v>
      </c>
      <c r="BJ531" s="64">
        <f t="shared" si="472"/>
        <v>-68.217703337184233</v>
      </c>
      <c r="BK531" s="61">
        <f t="shared" si="473"/>
        <v>-168.18303646430496</v>
      </c>
      <c r="BL531" s="59" t="str">
        <f t="shared" si="478"/>
        <v>0.0179983442674517-0.00177022002977584i</v>
      </c>
      <c r="BM531" s="64">
        <f t="shared" si="474"/>
        <v>-34.853538777341726</v>
      </c>
      <c r="BN531" s="61">
        <f t="shared" si="479"/>
        <v>-5.6172371944963331</v>
      </c>
      <c r="BO531" s="50">
        <f t="shared" si="475"/>
        <v>-68.217703337184233</v>
      </c>
      <c r="BP531" s="61">
        <f t="shared" si="476"/>
        <v>-168.18303646430496</v>
      </c>
    </row>
    <row r="532" spans="14:68" x14ac:dyDescent="0.25">
      <c r="N532" s="11">
        <v>14</v>
      </c>
      <c r="O532" s="51">
        <f t="shared" si="480"/>
        <v>1380384.2646028849</v>
      </c>
      <c r="P532" s="49" t="str">
        <f t="shared" si="481"/>
        <v>25.6231073841137</v>
      </c>
      <c r="Q532" s="18" t="str">
        <f t="shared" si="482"/>
        <v>1+7500.41756491838i</v>
      </c>
      <c r="R532" s="18">
        <f t="shared" ref="R532:R560" si="494">IMABS(Q532)</f>
        <v>7500.4176315813347</v>
      </c>
      <c r="S532" s="18">
        <f t="shared" ref="S532:S560" si="495">IMARGUMENT(Q532)</f>
        <v>1.5706630008853164</v>
      </c>
      <c r="T532" s="18" t="str">
        <f t="shared" si="483"/>
        <v>1+7.80588911665327i</v>
      </c>
      <c r="U532" s="18">
        <f t="shared" ref="U532:U560" si="496">IMABS(T532)</f>
        <v>7.8696826429968558</v>
      </c>
      <c r="V532" s="18">
        <f t="shared" ref="V532:V560" si="497">IMARGUMENT(T532)</f>
        <v>1.4433819294045702</v>
      </c>
      <c r="W532" s="32" t="str">
        <f t="shared" si="484"/>
        <v>1-174.909737613897i</v>
      </c>
      <c r="X532" s="18">
        <f t="shared" ref="X532:X560" si="498">IMABS(W532)</f>
        <v>174.91259620782691</v>
      </c>
      <c r="Y532" s="18">
        <f t="shared" ref="Y532:Y560" si="499">IMARGUMENT(W532)</f>
        <v>-1.5650791545078357</v>
      </c>
      <c r="Z532" s="32" t="str">
        <f t="shared" si="485"/>
        <v>-46.6365179490811+13.8482255069515i</v>
      </c>
      <c r="AA532" s="18">
        <f t="shared" ref="AA532:AA560" si="500">IMABS(Z532)</f>
        <v>48.649133148560274</v>
      </c>
      <c r="AB532" s="18">
        <f t="shared" ref="AB532:AB560" si="501">IMARGUMENT(Z532)</f>
        <v>2.8529459936343713</v>
      </c>
      <c r="AC532" s="32" t="str">
        <f>IMDIV(IMSUM(COMPLEX(0,2*PI()*O532*Constants!$B$71*Constants!$B$72),COMPLEX(1,0)),IMSUM(COMPLEX(0,2*PI()*O532*Constants!$B$71*Constants!$B$72),COMPLEX(2,0)))</f>
        <v>0.998343813108786+0.028728913842822i</v>
      </c>
      <c r="AD532" s="18">
        <f t="shared" ref="AD532:AD560" si="502">IMABS(AC532)</f>
        <v>0.99875708741574332</v>
      </c>
      <c r="AE532" s="18">
        <f t="shared" ref="AE532:AE560" si="503">IMARGUMENT(AC532)</f>
        <v>2.8768633961762657E-2</v>
      </c>
      <c r="AF532" s="66" t="str">
        <f t="shared" ref="AF532:AF560" si="504">(IMDIV(IMPRODUCT(P532,T532,W532,AC532),IMPRODUCT(Q532,Z532)))</f>
        <v>-0.0187869424885442+0.0946948455792662i</v>
      </c>
      <c r="AG532" s="64">
        <f t="shared" ref="AG532:AG560" si="505">20*LOG(IMABS(AF532))</f>
        <v>-20.305811525638688</v>
      </c>
      <c r="AH532" s="61">
        <f t="shared" ref="AH532:AH560" si="506">(180/PI())*IMARGUMENT(AF532)</f>
        <v>101.22145832940731</v>
      </c>
      <c r="AI532" s="50" t="str">
        <f t="shared" si="486"/>
        <v>108.866083054159</v>
      </c>
      <c r="AJ532" s="50" t="str">
        <f t="shared" si="487"/>
        <v>1+7096.26283332117i</v>
      </c>
      <c r="AK532" s="50">
        <f t="shared" ref="AK532:AK560" si="507">IMABS(AJ532)</f>
        <v>7096.262903780791</v>
      </c>
      <c r="AL532" s="50">
        <f t="shared" ref="AL532:AL560" si="508">IMARGUMENT(AJ532)</f>
        <v>1.5706554075509411</v>
      </c>
      <c r="AM532" s="50" t="str">
        <f t="shared" si="488"/>
        <v>1+7.80588911665327i</v>
      </c>
      <c r="AN532" s="50">
        <f t="shared" ref="AN532:AN560" si="509">IMABS(AM532)</f>
        <v>7.8696826429968558</v>
      </c>
      <c r="AO532" s="50">
        <f t="shared" ref="AO532:AO560" si="510">IMARGUMENT(AM532)</f>
        <v>1.4433819294045702</v>
      </c>
      <c r="AP532" s="50" t="str">
        <f t="shared" si="489"/>
        <v>1-38.9490552907398i</v>
      </c>
      <c r="AQ532" s="50">
        <f t="shared" ref="AQ532:AQ560" si="511">IMABS(AP532)</f>
        <v>38.961890457742243</v>
      </c>
      <c r="AR532" s="50">
        <f t="shared" ref="AR532:AR560" si="512">IMARGUMENT(AP532)</f>
        <v>-1.5451274023072363</v>
      </c>
      <c r="AS532" s="59" t="str">
        <f t="shared" ref="AS532:AS560" si="513">(IMDIV(IMPRODUCT(AI532,AM532,AP532),IMPRODUCT(AJ532)))</f>
        <v>-0.477118017193662-4.67966275830761i</v>
      </c>
      <c r="AT532" s="50">
        <f t="shared" ref="AT532:AT560" si="514">20*LOG(IMABS(AS532))</f>
        <v>13.449202813287428</v>
      </c>
      <c r="AU532" s="61">
        <f t="shared" ref="AU532:AU560" si="515">(180/PI())*IMARGUMENT(AS532)</f>
        <v>-95.821512103954646</v>
      </c>
      <c r="AV532" s="32" t="str">
        <f t="shared" si="490"/>
        <v>-0.0000333333333333333</v>
      </c>
      <c r="AW532" s="32" t="str">
        <f t="shared" si="491"/>
        <v>0.416314086221508i</v>
      </c>
      <c r="AX532" s="32">
        <f t="shared" ref="AX532:AX560" si="516">IMABS(AW532)</f>
        <v>0.41631408622150801</v>
      </c>
      <c r="AY532" s="32">
        <f t="shared" ref="AY532:AY560" si="517">IMARGUMENT(AW532)</f>
        <v>1.5707963267948966</v>
      </c>
      <c r="AZ532" s="32" t="str">
        <f t="shared" si="492"/>
        <v>1+169.850365038289i</v>
      </c>
      <c r="BA532" s="32">
        <f t="shared" ref="BA532:BA560" si="518">IMABS(AZ532)</f>
        <v>169.85330878037092</v>
      </c>
      <c r="BB532" s="32">
        <f t="shared" ref="BB532:BB560" si="519">IMARGUMENT(AZ532)</f>
        <v>1.5649088596372132</v>
      </c>
      <c r="BC532" s="32" t="str">
        <f t="shared" si="493"/>
        <v>1+8152.81752183788i</v>
      </c>
      <c r="BD532" s="32">
        <f t="shared" ref="BD532:BD560" si="520">IMABS(BC532)</f>
        <v>8152.8175831663702</v>
      </c>
      <c r="BE532" s="32">
        <f t="shared" ref="BE532:BE560" si="521">IMARGUMENT(BC532)</f>
        <v>1.5706736698125336</v>
      </c>
      <c r="BF532" s="59" t="str">
        <f t="shared" ref="BF532:BF560" si="522">IMPRODUCT(AV532,IMDIV(BC532,IMPRODUCT(AW532,AZ532)))</f>
        <v>-0.0000221551124761219+0.00384312169431106i</v>
      </c>
      <c r="BG532" s="50">
        <f t="shared" ref="BG532:BG560" si="523">20*LOG(IMABS(BF532))</f>
        <v>-48.30617293341065</v>
      </c>
      <c r="BH532" s="61">
        <f t="shared" ref="BH532:BH560" si="524">(180/PI())*IMARGUMENT(BF532)</f>
        <v>90.330299292739923</v>
      </c>
      <c r="BI532" s="59" t="str">
        <f t="shared" ref="BI532:BI560" si="525">IMPRODUCT(AF532,BF532)</f>
        <v>-0.000363507588561198-0.0000742984812022161i</v>
      </c>
      <c r="BJ532" s="64">
        <f t="shared" ref="BJ532:BJ560" si="526">20*LOG(IMABS(BI532))</f>
        <v>-68.611984459049339</v>
      </c>
      <c r="BK532" s="61">
        <f t="shared" ref="BK532:BK560" si="527">(180/PI())*IMARGUMENT(BI532)</f>
        <v>-168.44824237785278</v>
      </c>
      <c r="BL532" s="59" t="str">
        <f t="shared" si="478"/>
        <v>0.0179950840718468-0.00172994414786302i</v>
      </c>
      <c r="BM532" s="64">
        <f t="shared" ref="BM532:BM560" si="528">20*LOG(IMABS(BL532))</f>
        <v>-34.856970120123243</v>
      </c>
      <c r="BN532" s="61">
        <f t="shared" si="479"/>
        <v>-5.4912128112147354</v>
      </c>
      <c r="BO532" s="50">
        <f t="shared" ref="BO532:BO560" si="529">IF($B$31=0,BM532,BJ532)</f>
        <v>-68.611984459049339</v>
      </c>
      <c r="BP532" s="61">
        <f t="shared" ref="BP532:BP560" si="530">IF($B$31=0,BN532,BK532)</f>
        <v>-168.44824237785278</v>
      </c>
    </row>
    <row r="533" spans="14:68" x14ac:dyDescent="0.25">
      <c r="N533" s="11">
        <v>15</v>
      </c>
      <c r="O533" s="51">
        <f t="shared" si="480"/>
        <v>1412537.5446227565</v>
      </c>
      <c r="P533" s="49" t="str">
        <f t="shared" si="481"/>
        <v>25.6231073841137</v>
      </c>
      <c r="Q533" s="18" t="str">
        <f t="shared" si="482"/>
        <v>1+7675.12473336047i</v>
      </c>
      <c r="R533" s="18">
        <f t="shared" si="494"/>
        <v>7675.1247985059899</v>
      </c>
      <c r="S533" s="18">
        <f t="shared" si="495"/>
        <v>1.5706660357535023</v>
      </c>
      <c r="T533" s="18" t="str">
        <f t="shared" si="483"/>
        <v>1+7.98771163159191i</v>
      </c>
      <c r="U533" s="18">
        <f t="shared" si="496"/>
        <v>8.0500644164794544</v>
      </c>
      <c r="V533" s="18">
        <f t="shared" si="497"/>
        <v>1.4462519940709129</v>
      </c>
      <c r="W533" s="32" t="str">
        <f t="shared" si="484"/>
        <v>1-178.983908781967i</v>
      </c>
      <c r="X533" s="18">
        <f t="shared" si="498"/>
        <v>178.98670230738227</v>
      </c>
      <c r="Y533" s="18">
        <f t="shared" si="499"/>
        <v>-1.5652092904976562</v>
      </c>
      <c r="Z533" s="32" t="str">
        <f t="shared" si="485"/>
        <v>-48.881557874222+14.1707921167871i</v>
      </c>
      <c r="AA533" s="18">
        <f t="shared" si="500"/>
        <v>50.894184829193499</v>
      </c>
      <c r="AB533" s="18">
        <f t="shared" si="501"/>
        <v>2.8594269388546492</v>
      </c>
      <c r="AC533" s="32" t="str">
        <f>IMDIV(IMSUM(COMPLEX(0,2*PI()*O533*Constants!$B$71*Constants!$B$72),COMPLEX(1,0)),IMSUM(COMPLEX(0,2*PI()*O533*Constants!$B$71*Constants!$B$72),COMPLEX(2,0)))</f>
        <v>0.998418117968672+0.028079150003216i</v>
      </c>
      <c r="AD533" s="18">
        <f t="shared" si="502"/>
        <v>0.99881288385413225</v>
      </c>
      <c r="AE533" s="18">
        <f t="shared" si="503"/>
        <v>2.8116227103628978E-2</v>
      </c>
      <c r="AF533" s="66" t="str">
        <f t="shared" si="504"/>
        <v>-0.0179635674296481+0.0926773930227118i</v>
      </c>
      <c r="AG533" s="64">
        <f t="shared" si="505"/>
        <v>-20.500351079231656</v>
      </c>
      <c r="AH533" s="61">
        <f t="shared" si="506"/>
        <v>100.96955982572646</v>
      </c>
      <c r="AI533" s="50" t="str">
        <f t="shared" si="486"/>
        <v>108.866083054159</v>
      </c>
      <c r="AJ533" s="50" t="str">
        <f t="shared" si="487"/>
        <v>1+7261.55602871993i</v>
      </c>
      <c r="AK533" s="50">
        <f t="shared" si="507"/>
        <v>7261.5560975756944</v>
      </c>
      <c r="AL533" s="50">
        <f t="shared" si="508"/>
        <v>1.5706586152645134</v>
      </c>
      <c r="AM533" s="50" t="str">
        <f t="shared" si="488"/>
        <v>1+7.98771163159191i</v>
      </c>
      <c r="AN533" s="50">
        <f t="shared" si="509"/>
        <v>8.0500644164794544</v>
      </c>
      <c r="AO533" s="50">
        <f t="shared" si="510"/>
        <v>1.4462519940709129</v>
      </c>
      <c r="AP533" s="50" t="str">
        <f t="shared" si="489"/>
        <v>1-39.8562953349697i</v>
      </c>
      <c r="AQ533" s="50">
        <f t="shared" si="511"/>
        <v>39.868838430888943</v>
      </c>
      <c r="AR533" s="50">
        <f t="shared" si="512"/>
        <v>-1.5457114504295193</v>
      </c>
      <c r="AS533" s="59" t="str">
        <f t="shared" si="513"/>
        <v>-0.477118114921085-4.78795645364987i</v>
      </c>
      <c r="AT533" s="50">
        <f t="shared" si="514"/>
        <v>13.645916782611549</v>
      </c>
      <c r="AU533" s="61">
        <f t="shared" si="515"/>
        <v>-95.690716792532498</v>
      </c>
      <c r="AV533" s="32" t="str">
        <f t="shared" si="490"/>
        <v>-0.0000333333333333333</v>
      </c>
      <c r="AW533" s="32" t="str">
        <f t="shared" si="491"/>
        <v>0.426011287018235i</v>
      </c>
      <c r="AX533" s="32">
        <f t="shared" si="516"/>
        <v>0.42601128701823499</v>
      </c>
      <c r="AY533" s="32">
        <f t="shared" si="517"/>
        <v>1.5707963267948966</v>
      </c>
      <c r="AZ533" s="32" t="str">
        <f t="shared" si="492"/>
        <v>1+173.806688280009i</v>
      </c>
      <c r="BA533" s="32">
        <f t="shared" si="518"/>
        <v>173.80956501546231</v>
      </c>
      <c r="BB533" s="32">
        <f t="shared" si="519"/>
        <v>1.565042871759363</v>
      </c>
      <c r="BC533" s="32" t="str">
        <f t="shared" si="493"/>
        <v>1+8342.72103744046i</v>
      </c>
      <c r="BD533" s="32">
        <f t="shared" si="520"/>
        <v>8342.7210973729434</v>
      </c>
      <c r="BE533" s="32">
        <f t="shared" si="521"/>
        <v>1.5706764618262943</v>
      </c>
      <c r="BF533" s="59" t="str">
        <f t="shared" si="522"/>
        <v>-0.0000211580011645187+0.00375564730124193i</v>
      </c>
      <c r="BG533" s="50">
        <f t="shared" si="523"/>
        <v>-48.506166161173709</v>
      </c>
      <c r="BH533" s="61">
        <f t="shared" si="524"/>
        <v>90.322780934341978</v>
      </c>
      <c r="BI533" s="59" t="str">
        <f t="shared" si="525"/>
        <v>-0.00034768352781129-0.0000694256919273344i</v>
      </c>
      <c r="BJ533" s="64">
        <f t="shared" si="526"/>
        <v>-69.006517240405373</v>
      </c>
      <c r="BK533" s="61">
        <f t="shared" si="527"/>
        <v>-168.70765923993156</v>
      </c>
      <c r="BL533" s="59" t="str">
        <f t="shared" si="478"/>
        <v>0.0179919705992451-0.00169058377245502i</v>
      </c>
      <c r="BM533" s="64">
        <f t="shared" si="528"/>
        <v>-34.86024937856218</v>
      </c>
      <c r="BN533" s="61">
        <f t="shared" si="479"/>
        <v>-5.3679358581905205</v>
      </c>
      <c r="BO533" s="50">
        <f t="shared" si="529"/>
        <v>-69.006517240405373</v>
      </c>
      <c r="BP533" s="61">
        <f t="shared" si="530"/>
        <v>-168.70765923993156</v>
      </c>
    </row>
    <row r="534" spans="14:68" x14ac:dyDescent="0.25">
      <c r="N534" s="11">
        <v>16</v>
      </c>
      <c r="O534" s="51">
        <f t="shared" si="480"/>
        <v>1445439.7707459298</v>
      </c>
      <c r="P534" s="49" t="str">
        <f t="shared" si="481"/>
        <v>25.6231073841137</v>
      </c>
      <c r="Q534" s="18" t="str">
        <f t="shared" si="482"/>
        <v>1+7853.90135452847i</v>
      </c>
      <c r="R534" s="18">
        <f t="shared" si="494"/>
        <v>7853.9014181910979</v>
      </c>
      <c r="S534" s="18">
        <f t="shared" si="495"/>
        <v>1.5706690015396565</v>
      </c>
      <c r="T534" s="18" t="str">
        <f t="shared" si="483"/>
        <v>1+8.17376933696748i</v>
      </c>
      <c r="U534" s="18">
        <f t="shared" si="496"/>
        <v>8.2347134239115931</v>
      </c>
      <c r="V534" s="18">
        <f t="shared" si="497"/>
        <v>1.4490587224462448</v>
      </c>
      <c r="W534" s="32" t="str">
        <f t="shared" si="484"/>
        <v>1-183.152979587605i</v>
      </c>
      <c r="X534" s="18">
        <f t="shared" si="498"/>
        <v>183.15570952557732</v>
      </c>
      <c r="Y534" s="18">
        <f t="shared" si="499"/>
        <v>-1.5653364644135539</v>
      </c>
      <c r="Z534" s="32" t="str">
        <f t="shared" si="485"/>
        <v>-51.2324032713511+14.5008722681756i</v>
      </c>
      <c r="AA534" s="18">
        <f t="shared" si="500"/>
        <v>53.245041473326808</v>
      </c>
      <c r="AB534" s="18">
        <f t="shared" si="501"/>
        <v>2.8657662351846955</v>
      </c>
      <c r="AC534" s="32" t="str">
        <f>IMDIV(IMSUM(COMPLEX(0,2*PI()*O534*Constants!$B$71*Constants!$B$72),COMPLEX(1,0)),IMSUM(COMPLEX(0,2*PI()*O534*Constants!$B$71*Constants!$B$72),COMPLEX(2,0)))</f>
        <v>0.998489099246673+0.0274438983305379i</v>
      </c>
      <c r="AD534" s="18">
        <f t="shared" si="502"/>
        <v>0.9988661816629939</v>
      </c>
      <c r="AE534" s="18">
        <f t="shared" si="503"/>
        <v>2.7478507941038503E-2</v>
      </c>
      <c r="AF534" s="66" t="str">
        <f t="shared" si="504"/>
        <v>-0.0171753440999189+0.0906969422770991i</v>
      </c>
      <c r="AG534" s="64">
        <f t="shared" si="505"/>
        <v>-20.695131154141301</v>
      </c>
      <c r="AH534" s="61">
        <f t="shared" si="506"/>
        <v>100.72316351887254</v>
      </c>
      <c r="AI534" s="50" t="str">
        <f t="shared" si="486"/>
        <v>108.866083054159</v>
      </c>
      <c r="AJ534" s="50" t="str">
        <f t="shared" si="487"/>
        <v>1+7430.69939724317i</v>
      </c>
      <c r="AK534" s="50">
        <f t="shared" si="507"/>
        <v>7430.6994645315872</v>
      </c>
      <c r="AL534" s="50">
        <f t="shared" si="508"/>
        <v>1.5706617499616131</v>
      </c>
      <c r="AM534" s="50" t="str">
        <f t="shared" si="488"/>
        <v>1+8.17376933696748i</v>
      </c>
      <c r="AN534" s="50">
        <f t="shared" si="509"/>
        <v>8.2347134239115931</v>
      </c>
      <c r="AO534" s="50">
        <f t="shared" si="510"/>
        <v>1.4490587224462448</v>
      </c>
      <c r="AP534" s="50" t="str">
        <f t="shared" si="489"/>
        <v>1-40.7846677145467i</v>
      </c>
      <c r="AQ534" s="50">
        <f t="shared" si="511"/>
        <v>40.796925381528297</v>
      </c>
      <c r="AR534" s="50">
        <f t="shared" si="512"/>
        <v>-1.546282220533933</v>
      </c>
      <c r="AS534" s="59" t="str">
        <f t="shared" si="513"/>
        <v>-0.477118208250052-4.89878878687874i</v>
      </c>
      <c r="AT534" s="50">
        <f t="shared" si="514"/>
        <v>13.842776499937049</v>
      </c>
      <c r="AU534" s="61">
        <f t="shared" si="515"/>
        <v>-95.562785425355372</v>
      </c>
      <c r="AV534" s="32" t="str">
        <f t="shared" si="490"/>
        <v>-0.0000333333333333333</v>
      </c>
      <c r="AW534" s="32" t="str">
        <f t="shared" si="491"/>
        <v>0.435934364638265i</v>
      </c>
      <c r="AX534" s="32">
        <f t="shared" si="516"/>
        <v>0.43593436463826502</v>
      </c>
      <c r="AY534" s="32">
        <f t="shared" si="517"/>
        <v>1.5707963267948966</v>
      </c>
      <c r="AZ534" s="32" t="str">
        <f t="shared" si="492"/>
        <v>1+177.855166128459i</v>
      </c>
      <c r="BA534" s="32">
        <f t="shared" si="518"/>
        <v>177.85797738246589</v>
      </c>
      <c r="BB534" s="32">
        <f t="shared" si="519"/>
        <v>1.5651738335928778</v>
      </c>
      <c r="BC534" s="32" t="str">
        <f t="shared" si="493"/>
        <v>1+8537.04797416605i</v>
      </c>
      <c r="BD534" s="32">
        <f t="shared" si="520"/>
        <v>8537.048032734303</v>
      </c>
      <c r="BE534" s="32">
        <f t="shared" si="521"/>
        <v>1.5706791902860644</v>
      </c>
      <c r="BF534" s="59" t="str">
        <f t="shared" si="522"/>
        <v>-0.0000202057643503021+0.0036701636855573i</v>
      </c>
      <c r="BG534" s="50">
        <f t="shared" si="523"/>
        <v>-48.706159693727749</v>
      </c>
      <c r="BH534" s="61">
        <f t="shared" si="524"/>
        <v>90.315433703233694</v>
      </c>
      <c r="BI534" s="59" t="str">
        <f t="shared" si="525"/>
        <v>-0.000332525582980977-0.0000648689252454172i</v>
      </c>
      <c r="BJ534" s="64">
        <f t="shared" si="526"/>
        <v>-69.401290847869063</v>
      </c>
      <c r="BK534" s="61">
        <f t="shared" si="527"/>
        <v>-168.96140277789374</v>
      </c>
      <c r="BL534" s="59" t="str">
        <f t="shared" si="478"/>
        <v>0.0179889972469008-0.00165211814980793i</v>
      </c>
      <c r="BM534" s="64">
        <f t="shared" si="528"/>
        <v>-34.863383193790696</v>
      </c>
      <c r="BN534" s="61">
        <f t="shared" si="479"/>
        <v>-5.2473517221216772</v>
      </c>
      <c r="BO534" s="50">
        <f t="shared" si="529"/>
        <v>-69.401290847869063</v>
      </c>
      <c r="BP534" s="61">
        <f t="shared" si="530"/>
        <v>-168.96140277789374</v>
      </c>
    </row>
    <row r="535" spans="14:68" x14ac:dyDescent="0.25">
      <c r="N535" s="11">
        <v>17</v>
      </c>
      <c r="O535" s="51">
        <f t="shared" si="480"/>
        <v>1479108.3881682095</v>
      </c>
      <c r="P535" s="49" t="str">
        <f t="shared" si="481"/>
        <v>25.6231073841137</v>
      </c>
      <c r="Q535" s="18" t="str">
        <f t="shared" si="482"/>
        <v>1+8036.8422181533i</v>
      </c>
      <c r="R535" s="18">
        <f t="shared" si="494"/>
        <v>8036.8422803667881</v>
      </c>
      <c r="S535" s="18">
        <f t="shared" si="495"/>
        <v>1.5706718998162781</v>
      </c>
      <c r="T535" s="18" t="str">
        <f t="shared" si="483"/>
        <v>1+8.36416088303812i</v>
      </c>
      <c r="U535" s="18">
        <f t="shared" si="496"/>
        <v>8.4237276355153519</v>
      </c>
      <c r="V535" s="18">
        <f t="shared" si="497"/>
        <v>1.4518034257153987</v>
      </c>
      <c r="W535" s="32" t="str">
        <f t="shared" si="484"/>
        <v>1-187.419160527336i</v>
      </c>
      <c r="X535" s="18">
        <f t="shared" si="498"/>
        <v>187.42182832522826</v>
      </c>
      <c r="Y535" s="18">
        <f t="shared" si="499"/>
        <v>-1.5654607436683587</v>
      </c>
      <c r="Z535" s="32" t="str">
        <f t="shared" si="485"/>
        <v>-53.6940405987388+14.8386409739824i</v>
      </c>
      <c r="AA535" s="18">
        <f t="shared" si="500"/>
        <v>55.706689560354953</v>
      </c>
      <c r="AB535" s="18">
        <f t="shared" si="501"/>
        <v>2.8719667249775171</v>
      </c>
      <c r="AC535" s="32" t="str">
        <f>IMDIV(IMSUM(COMPLEX(0,2*PI()*O535*Constants!$B$71*Constants!$B$72),COMPLEX(1,0)),IMSUM(COMPLEX(0,2*PI()*O535*Constants!$B$71*Constants!$B$72),COMPLEX(2,0)))</f>
        <v>0.998556904716391+0.0268228469370241i</v>
      </c>
      <c r="AD535" s="18">
        <f t="shared" si="502"/>
        <v>0.99891709219263358</v>
      </c>
      <c r="AE535" s="18">
        <f t="shared" si="503"/>
        <v>2.6855152965943249E-2</v>
      </c>
      <c r="AF535" s="66" t="str">
        <f t="shared" si="504"/>
        <v>-0.0164208524531135+0.0887532153657091i</v>
      </c>
      <c r="AG535" s="64">
        <f t="shared" si="505"/>
        <v>-20.89014137630949</v>
      </c>
      <c r="AH535" s="61">
        <f t="shared" si="506"/>
        <v>100.48215919115715</v>
      </c>
      <c r="AI535" s="50" t="str">
        <f t="shared" si="486"/>
        <v>108.866083054159</v>
      </c>
      <c r="AJ535" s="50" t="str">
        <f t="shared" si="487"/>
        <v>1+7603.78262094375i</v>
      </c>
      <c r="AK535" s="50">
        <f t="shared" si="507"/>
        <v>7603.7826867004942</v>
      </c>
      <c r="AL535" s="50">
        <f t="shared" si="508"/>
        <v>1.5706648133042977</v>
      </c>
      <c r="AM535" s="50" t="str">
        <f t="shared" si="488"/>
        <v>1+8.36416088303812i</v>
      </c>
      <c r="AN535" s="50">
        <f t="shared" si="509"/>
        <v>8.4237276355153519</v>
      </c>
      <c r="AO535" s="50">
        <f t="shared" si="510"/>
        <v>1.4518034257153987</v>
      </c>
      <c r="AP535" s="50" t="str">
        <f t="shared" si="489"/>
        <v>1-41.7346646647947i</v>
      </c>
      <c r="AQ535" s="50">
        <f t="shared" si="511"/>
        <v>41.74664339420432</v>
      </c>
      <c r="AR535" s="50">
        <f t="shared" si="512"/>
        <v>-1.546840013761932</v>
      </c>
      <c r="AS535" s="59" t="str">
        <f t="shared" si="513"/>
        <v>-0.477118297378522-5.01221852276441i</v>
      </c>
      <c r="AT535" s="50">
        <f t="shared" si="514"/>
        <v>14.039775591780113</v>
      </c>
      <c r="AU535" s="61">
        <f t="shared" si="515"/>
        <v>-95.437660226429472</v>
      </c>
      <c r="AV535" s="32" t="str">
        <f t="shared" si="490"/>
        <v>-0.0000333333333333333</v>
      </c>
      <c r="AW535" s="32" t="str">
        <f t="shared" si="491"/>
        <v>0.4460885804287i</v>
      </c>
      <c r="AX535" s="32">
        <f t="shared" si="516"/>
        <v>0.44608858042869998</v>
      </c>
      <c r="AY535" s="32">
        <f t="shared" si="517"/>
        <v>1.5707963267948966</v>
      </c>
      <c r="AZ535" s="32" t="str">
        <f t="shared" si="492"/>
        <v>1+181.997945140181i</v>
      </c>
      <c r="BA535" s="32">
        <f t="shared" si="518"/>
        <v>182.00069240321127</v>
      </c>
      <c r="BB535" s="32">
        <f t="shared" si="519"/>
        <v>1.5653018145574757</v>
      </c>
      <c r="BC535" s="32" t="str">
        <f t="shared" si="493"/>
        <v>1+8735.90136672872i</v>
      </c>
      <c r="BD535" s="32">
        <f t="shared" si="520"/>
        <v>8735.9014239637982</v>
      </c>
      <c r="BE535" s="32">
        <f t="shared" si="521"/>
        <v>1.5706818566385095</v>
      </c>
      <c r="BF535" s="59" t="str">
        <f t="shared" si="522"/>
        <v>-0.0000192963826039174+0.00358662555718636i</v>
      </c>
      <c r="BG535" s="50">
        <f t="shared" si="523"/>
        <v>-48.906153517355847</v>
      </c>
      <c r="BH535" s="61">
        <f t="shared" si="524"/>
        <v>90.30825370484601</v>
      </c>
      <c r="BI535" s="59" t="str">
        <f t="shared" si="525"/>
        <v>-0.0003180076874615-0.0000606080650801478i</v>
      </c>
      <c r="BJ535" s="64">
        <f t="shared" si="526"/>
        <v>-69.796294893665333</v>
      </c>
      <c r="BK535" s="61">
        <f t="shared" si="527"/>
        <v>-169.20958710399685</v>
      </c>
      <c r="BL535" s="59" t="str">
        <f t="shared" si="478"/>
        <v>0.0179861577091632-0.00161452699286935i</v>
      </c>
      <c r="BM535" s="64">
        <f t="shared" si="528"/>
        <v>-34.866377925575762</v>
      </c>
      <c r="BN535" s="61">
        <f t="shared" si="479"/>
        <v>-5.1294065215834852</v>
      </c>
      <c r="BO535" s="50">
        <f t="shared" si="529"/>
        <v>-69.796294893665333</v>
      </c>
      <c r="BP535" s="61">
        <f t="shared" si="530"/>
        <v>-169.20958710399685</v>
      </c>
    </row>
    <row r="536" spans="14:68" x14ac:dyDescent="0.25">
      <c r="N536" s="11">
        <v>18</v>
      </c>
      <c r="O536" s="51">
        <f t="shared" si="480"/>
        <v>1513561.2484362102</v>
      </c>
      <c r="P536" s="49" t="str">
        <f t="shared" si="481"/>
        <v>25.6231073841137</v>
      </c>
      <c r="Q536" s="18" t="str">
        <f t="shared" si="482"/>
        <v>1+8224.04432190239i</v>
      </c>
      <c r="R536" s="18">
        <f t="shared" si="494"/>
        <v>8224.0443826997271</v>
      </c>
      <c r="S536" s="18">
        <f t="shared" si="495"/>
        <v>1.5706747321200711</v>
      </c>
      <c r="T536" s="18" t="str">
        <f t="shared" si="483"/>
        <v>1+8.55898721792172i</v>
      </c>
      <c r="U536" s="18">
        <f t="shared" si="496"/>
        <v>8.6172073316444813</v>
      </c>
      <c r="V536" s="18">
        <f t="shared" si="497"/>
        <v>1.4544873936520895</v>
      </c>
      <c r="W536" s="32" t="str">
        <f t="shared" si="484"/>
        <v>1-191.784713586764i</v>
      </c>
      <c r="X536" s="18">
        <f t="shared" si="498"/>
        <v>191.78732065899746</v>
      </c>
      <c r="Y536" s="18">
        <f t="shared" si="499"/>
        <v>-1.5655821941412111</v>
      </c>
      <c r="Z536" s="32" t="str">
        <f t="shared" si="485"/>
        <v>-56.2716913191944+15.1842773236463i</v>
      </c>
      <c r="AA536" s="18">
        <f t="shared" si="500"/>
        <v>58.284350573409483</v>
      </c>
      <c r="AB536" s="18">
        <f t="shared" si="501"/>
        <v>2.8780312102981838</v>
      </c>
      <c r="AC536" s="32" t="str">
        <f>IMDIV(IMSUM(COMPLEX(0,2*PI()*O536*Constants!$B$71*Constants!$B$72),COMPLEX(1,0)),IMSUM(COMPLEX(0,2*PI()*O536*Constants!$B$71*Constants!$B$72),COMPLEX(2,0)))</f>
        <v>0.998621675658935+0.0262156898162776i</v>
      </c>
      <c r="AD536" s="18">
        <f t="shared" si="502"/>
        <v>0.99896572187858501</v>
      </c>
      <c r="AE536" s="18">
        <f t="shared" si="503"/>
        <v>2.6245845316935319E-2</v>
      </c>
      <c r="AF536" s="66" t="str">
        <f t="shared" si="504"/>
        <v>-0.0156987228107973+0.0868459062402495i</v>
      </c>
      <c r="AG536" s="64">
        <f t="shared" si="505"/>
        <v>-21.0853718001289</v>
      </c>
      <c r="AH536" s="61">
        <f t="shared" si="506"/>
        <v>100.24643817720363</v>
      </c>
      <c r="AI536" s="50" t="str">
        <f t="shared" si="486"/>
        <v>108.866083054159</v>
      </c>
      <c r="AJ536" s="50" t="str">
        <f t="shared" si="487"/>
        <v>1+7780.89747083793i</v>
      </c>
      <c r="AK536" s="50">
        <f t="shared" si="507"/>
        <v>7780.897535097869</v>
      </c>
      <c r="AL536" s="50">
        <f t="shared" si="508"/>
        <v>1.5706678069167923</v>
      </c>
      <c r="AM536" s="50" t="str">
        <f t="shared" si="488"/>
        <v>1+8.55898721792172i</v>
      </c>
      <c r="AN536" s="50">
        <f t="shared" si="509"/>
        <v>8.6172073316444813</v>
      </c>
      <c r="AO536" s="50">
        <f t="shared" si="510"/>
        <v>1.4544873936520895</v>
      </c>
      <c r="AP536" s="50" t="str">
        <f t="shared" si="489"/>
        <v>1-42.7067898866716i</v>
      </c>
      <c r="AQ536" s="50">
        <f t="shared" si="511"/>
        <v>42.718496022499615</v>
      </c>
      <c r="AR536" s="50">
        <f t="shared" si="512"/>
        <v>-1.54738512447369</v>
      </c>
      <c r="AS536" s="59" t="str">
        <f t="shared" si="513"/>
        <v>-0.47711838249555-5.12830580325434i</v>
      </c>
      <c r="AT536" s="50">
        <f t="shared" si="514"/>
        <v>14.236907955468642</v>
      </c>
      <c r="AU536" s="61">
        <f t="shared" si="515"/>
        <v>-95.315284255821183</v>
      </c>
      <c r="AV536" s="32" t="str">
        <f t="shared" si="490"/>
        <v>-0.0000333333333333333</v>
      </c>
      <c r="AW536" s="32" t="str">
        <f t="shared" si="491"/>
        <v>0.456479318289158i</v>
      </c>
      <c r="AX536" s="32">
        <f t="shared" si="516"/>
        <v>0.456479318289158</v>
      </c>
      <c r="AY536" s="32">
        <f t="shared" si="517"/>
        <v>1.5707963267948966</v>
      </c>
      <c r="AZ536" s="32" t="str">
        <f t="shared" si="492"/>
        <v>1+186.237221871445i</v>
      </c>
      <c r="BA536" s="32">
        <f t="shared" si="518"/>
        <v>186.23990660004594</v>
      </c>
      <c r="BB536" s="32">
        <f t="shared" si="519"/>
        <v>1.5654268824935791</v>
      </c>
      <c r="BC536" s="32" t="str">
        <f t="shared" si="493"/>
        <v>1+8939.38664982936i</v>
      </c>
      <c r="BD536" s="32">
        <f t="shared" si="520"/>
        <v>8939.3867057616062</v>
      </c>
      <c r="BE536" s="32">
        <f t="shared" si="521"/>
        <v>1.5706844622973644</v>
      </c>
      <c r="BF536" s="59" t="str">
        <f t="shared" si="522"/>
        <v>-0.0000184279273626293+0.00350498865528073i</v>
      </c>
      <c r="BG536" s="50">
        <f t="shared" si="523"/>
        <v>-49.106147618958296</v>
      </c>
      <c r="BH536" s="61">
        <f t="shared" si="524"/>
        <v>90.301237133210108</v>
      </c>
      <c r="BI536" s="59" t="str">
        <f t="shared" si="525"/>
        <v>-0.000304104621206005-0.0000566242354061784i</v>
      </c>
      <c r="BJ536" s="64">
        <f t="shared" si="526"/>
        <v>-70.1915194190872</v>
      </c>
      <c r="BK536" s="61">
        <f t="shared" si="527"/>
        <v>-169.45232468958625</v>
      </c>
      <c r="BL536" s="59" t="str">
        <f t="shared" si="478"/>
        <v>0.0179834459641128-0.00157779047103707i</v>
      </c>
      <c r="BM536" s="64">
        <f t="shared" si="528"/>
        <v>-34.869239663489658</v>
      </c>
      <c r="BN536" s="61">
        <f t="shared" si="479"/>
        <v>-5.014047122611057</v>
      </c>
      <c r="BO536" s="50">
        <f t="shared" si="529"/>
        <v>-70.1915194190872</v>
      </c>
      <c r="BP536" s="61">
        <f t="shared" si="530"/>
        <v>-169.45232468958625</v>
      </c>
    </row>
    <row r="537" spans="14:68" x14ac:dyDescent="0.25">
      <c r="N537" s="11">
        <v>19</v>
      </c>
      <c r="O537" s="51">
        <f t="shared" si="480"/>
        <v>1548816.6189124861</v>
      </c>
      <c r="P537" s="49" t="str">
        <f t="shared" si="481"/>
        <v>25.6231073841137</v>
      </c>
      <c r="Q537" s="18" t="str">
        <f t="shared" si="482"/>
        <v>1+8415.60692280905i</v>
      </c>
      <c r="R537" s="18">
        <f t="shared" si="494"/>
        <v>8415.6069822224708</v>
      </c>
      <c r="S537" s="18">
        <f t="shared" si="495"/>
        <v>1.5706774999527608</v>
      </c>
      <c r="T537" s="18" t="str">
        <f t="shared" si="483"/>
        <v>1+8.75835164111986i</v>
      </c>
      <c r="U537" s="18">
        <f t="shared" si="496"/>
        <v>8.8152551562338193</v>
      </c>
      <c r="V537" s="18">
        <f t="shared" si="497"/>
        <v>1.457111894572706</v>
      </c>
      <c r="W537" s="32" t="str">
        <f t="shared" si="484"/>
        <v>1-196.251953439908i</v>
      </c>
      <c r="X537" s="18">
        <f t="shared" si="498"/>
        <v>196.25450116871161</v>
      </c>
      <c r="Y537" s="18">
        <f t="shared" si="499"/>
        <v>-1.5657008802124202</v>
      </c>
      <c r="Z537" s="32" t="str">
        <f t="shared" si="485"/>
        <v>-58.9708229754876+15.5379645781349i</v>
      </c>
      <c r="AA537" s="18">
        <f t="shared" si="500"/>
        <v>60.983492074803905</v>
      </c>
      <c r="AB537" s="18">
        <f t="shared" si="501"/>
        <v>2.8839624523255742</v>
      </c>
      <c r="AC537" s="32" t="str">
        <f>IMDIV(IMSUM(COMPLEX(0,2*PI()*O537*Constants!$B$71*Constants!$B$72),COMPLEX(1,0)),IMSUM(COMPLEX(0,2*PI()*O537*Constants!$B$71*Constants!$B$72),COMPLEX(2,0)))</f>
        <v>0.998683547141333+0.025622126789249i</v>
      </c>
      <c r="AD537" s="18">
        <f t="shared" si="502"/>
        <v>0.9990121724543698</v>
      </c>
      <c r="AE537" s="18">
        <f t="shared" si="503"/>
        <v>2.5650274675264362E-2</v>
      </c>
      <c r="AF537" s="66" t="str">
        <f t="shared" si="504"/>
        <v>-0.0150076346985918+0.0849746833785858i</v>
      </c>
      <c r="AG537" s="64">
        <f t="shared" si="505"/>
        <v>-21.280812892387271</v>
      </c>
      <c r="AH537" s="61">
        <f t="shared" si="506"/>
        <v>100.01589338757455</v>
      </c>
      <c r="AI537" s="50" t="str">
        <f t="shared" si="486"/>
        <v>108.866083054159</v>
      </c>
      <c r="AJ537" s="50" t="str">
        <f t="shared" si="487"/>
        <v>1+7962.13785556352i</v>
      </c>
      <c r="AK537" s="50">
        <f t="shared" si="507"/>
        <v>7962.1379183607241</v>
      </c>
      <c r="AL537" s="50">
        <f t="shared" si="508"/>
        <v>1.5706707323863494</v>
      </c>
      <c r="AM537" s="50" t="str">
        <f t="shared" si="488"/>
        <v>1+8.75835164111986i</v>
      </c>
      <c r="AN537" s="50">
        <f t="shared" si="509"/>
        <v>8.8152551562338193</v>
      </c>
      <c r="AO537" s="50">
        <f t="shared" si="510"/>
        <v>1.457111894572706</v>
      </c>
      <c r="AP537" s="50" t="str">
        <f t="shared" si="489"/>
        <v>1-43.7015588138377i</v>
      </c>
      <c r="AQ537" s="50">
        <f t="shared" si="511"/>
        <v>43.712998556028111</v>
      </c>
      <c r="AR537" s="50">
        <f t="shared" si="512"/>
        <v>-1.5479178403975604</v>
      </c>
      <c r="AS537" s="59" t="str">
        <f t="shared" si="513"/>
        <v>-0.47711846378168-5.24711217936133i</v>
      </c>
      <c r="AT537" s="50">
        <f t="shared" si="514"/>
        <v>14.43416774832146</v>
      </c>
      <c r="AU537" s="61">
        <f t="shared" si="515"/>
        <v>-95.195601420917569</v>
      </c>
      <c r="AV537" s="32" t="str">
        <f t="shared" si="490"/>
        <v>-0.0000333333333333333</v>
      </c>
      <c r="AW537" s="32" t="str">
        <f t="shared" si="491"/>
        <v>0.467112087526392i</v>
      </c>
      <c r="AX537" s="32">
        <f t="shared" si="516"/>
        <v>0.46711208752639199</v>
      </c>
      <c r="AY537" s="32">
        <f t="shared" si="517"/>
        <v>1.5707963267948966</v>
      </c>
      <c r="AZ537" s="32" t="str">
        <f t="shared" si="492"/>
        <v>1+190.575244042886i</v>
      </c>
      <c r="BA537" s="32">
        <f t="shared" si="518"/>
        <v>190.5778676604541</v>
      </c>
      <c r="BB537" s="32">
        <f t="shared" si="519"/>
        <v>1.5655491036982037</v>
      </c>
      <c r="BC537" s="32" t="str">
        <f t="shared" si="493"/>
        <v>1+9147.61171405853i</v>
      </c>
      <c r="BD537" s="32">
        <f t="shared" si="520"/>
        <v>9147.6117687176047</v>
      </c>
      <c r="BE537" s="32">
        <f t="shared" si="521"/>
        <v>1.5706870086441842</v>
      </c>
      <c r="BF537" s="59" t="str">
        <f t="shared" si="522"/>
        <v>-0.0000175985568428207+0.00342520972490026i</v>
      </c>
      <c r="BG537" s="50">
        <f t="shared" si="523"/>
        <v>-49.306141986024876</v>
      </c>
      <c r="BH537" s="61">
        <f t="shared" si="524"/>
        <v>90.294380268944082</v>
      </c>
      <c r="BI537" s="59" t="str">
        <f t="shared" si="525"/>
        <v>-0.000290791999166333-0.0000528997281130059i</v>
      </c>
      <c r="BJ537" s="64">
        <f t="shared" si="526"/>
        <v>-70.586954878412143</v>
      </c>
      <c r="BK537" s="61">
        <f t="shared" si="527"/>
        <v>-169.68972634348137</v>
      </c>
      <c r="BL537" s="59" t="str">
        <f t="shared" si="478"/>
        <v>0.0179808562607966-0.00154188920012534i</v>
      </c>
      <c r="BM537" s="64">
        <f t="shared" si="528"/>
        <v>-34.871974237703441</v>
      </c>
      <c r="BN537" s="61">
        <f t="shared" si="479"/>
        <v>-4.9012211519735125</v>
      </c>
      <c r="BO537" s="50">
        <f t="shared" si="529"/>
        <v>-70.586954878412143</v>
      </c>
      <c r="BP537" s="61">
        <f t="shared" si="530"/>
        <v>-169.68972634348137</v>
      </c>
    </row>
    <row r="538" spans="14:68" x14ac:dyDescent="0.25">
      <c r="N538" s="11">
        <v>20</v>
      </c>
      <c r="O538" s="51">
        <f t="shared" si="480"/>
        <v>1584893.1924611153</v>
      </c>
      <c r="P538" s="49" t="str">
        <f t="shared" si="481"/>
        <v>25.6231073841137</v>
      </c>
      <c r="Q538" s="18" t="str">
        <f t="shared" si="482"/>
        <v>1+8611.63158989989i</v>
      </c>
      <c r="R538" s="18">
        <f t="shared" si="494"/>
        <v>8611.6316479608959</v>
      </c>
      <c r="S538" s="18">
        <f t="shared" si="495"/>
        <v>1.5706802047818882</v>
      </c>
      <c r="T538" s="18" t="str">
        <f t="shared" si="483"/>
        <v>1+8.96235985828858i</v>
      </c>
      <c r="U538" s="18">
        <f t="shared" si="496"/>
        <v>9.0179761714845146</v>
      </c>
      <c r="V538" s="18">
        <f t="shared" si="497"/>
        <v>1.4596781753236694</v>
      </c>
      <c r="W538" s="32" t="str">
        <f t="shared" si="484"/>
        <v>1-200.823248676466i</v>
      </c>
      <c r="X538" s="18">
        <f t="shared" si="498"/>
        <v>200.8257384126091</v>
      </c>
      <c r="Y538" s="18">
        <f t="shared" si="499"/>
        <v>-1.5658168647975288</v>
      </c>
      <c r="Z538" s="32" t="str">
        <f t="shared" si="485"/>
        <v>-61.7971607877395+15.8998902671119i</v>
      </c>
      <c r="AA538" s="18">
        <f t="shared" si="500"/>
        <v>63.809839303448555</v>
      </c>
      <c r="AB538" s="18">
        <f t="shared" si="501"/>
        <v>2.8897631708570177</v>
      </c>
      <c r="AC538" s="32" t="str">
        <f>IMDIV(IMSUM(COMPLEX(0,2*PI()*O538*Constants!$B$71*Constants!$B$72),COMPLEX(1,0)),IMSUM(COMPLEX(0,2*PI()*O538*Constants!$B$71*Constants!$B$72),COMPLEX(2,0)))</f>
        <v>0.998742648283599+0.0250418634462729i</v>
      </c>
      <c r="AD538" s="18">
        <f t="shared" si="502"/>
        <v>0.99905654115540354</v>
      </c>
      <c r="AE538" s="18">
        <f t="shared" si="503"/>
        <v>2.506813716012549E-2</v>
      </c>
      <c r="AF538" s="66" t="str">
        <f t="shared" si="504"/>
        <v>-0.0143463156486138+0.0831391922267238i</v>
      </c>
      <c r="AG538" s="64">
        <f t="shared" si="505"/>
        <v>-21.476455516670523</v>
      </c>
      <c r="AH538" s="61">
        <f t="shared" si="506"/>
        <v>99.790419328433032</v>
      </c>
      <c r="AI538" s="50" t="str">
        <f t="shared" si="486"/>
        <v>108.866083054159</v>
      </c>
      <c r="AJ538" s="50" t="str">
        <f t="shared" si="487"/>
        <v>1+8147.59987117144i</v>
      </c>
      <c r="AK538" s="50">
        <f t="shared" si="507"/>
        <v>8147.5999325392049</v>
      </c>
      <c r="AL538" s="50">
        <f t="shared" si="508"/>
        <v>1.5706735912640912</v>
      </c>
      <c r="AM538" s="50" t="str">
        <f t="shared" si="488"/>
        <v>1+8.96235985828858i</v>
      </c>
      <c r="AN538" s="50">
        <f t="shared" si="509"/>
        <v>9.0179761714845146</v>
      </c>
      <c r="AO538" s="50">
        <f t="shared" si="510"/>
        <v>1.4596781753236694</v>
      </c>
      <c r="AP538" s="50" t="str">
        <f t="shared" si="489"/>
        <v>1-44.7194988859453i</v>
      </c>
      <c r="AQ538" s="50">
        <f t="shared" si="511"/>
        <v>44.730678293650577</v>
      </c>
      <c r="AR538" s="50">
        <f t="shared" si="512"/>
        <v>-1.5484384427764646</v>
      </c>
      <c r="AS538" s="59" t="str">
        <f t="shared" si="513"/>
        <v>-0.477118541409334-5.36870064379865i</v>
      </c>
      <c r="AT538" s="50">
        <f t="shared" si="514"/>
        <v>14.631549377199553</v>
      </c>
      <c r="AU538" s="61">
        <f t="shared" si="515"/>
        <v>-95.07855648558612</v>
      </c>
      <c r="AV538" s="32" t="str">
        <f t="shared" si="490"/>
        <v>-0.0000333333333333333</v>
      </c>
      <c r="AW538" s="32" t="str">
        <f t="shared" si="491"/>
        <v>0.47799252577539i</v>
      </c>
      <c r="AX538" s="32">
        <f t="shared" si="516"/>
        <v>0.47799252577538998</v>
      </c>
      <c r="AY538" s="32">
        <f t="shared" si="517"/>
        <v>1.5707963267948966</v>
      </c>
      <c r="AZ538" s="32" t="str">
        <f t="shared" si="492"/>
        <v>1+195.014311731279i</v>
      </c>
      <c r="BA538" s="32">
        <f t="shared" si="518"/>
        <v>195.0168756288144</v>
      </c>
      <c r="BB538" s="32">
        <f t="shared" si="519"/>
        <v>1.5656685429600352</v>
      </c>
      <c r="BC538" s="32" t="str">
        <f t="shared" si="493"/>
        <v>1+9360.68696310141i</v>
      </c>
      <c r="BD538" s="32">
        <f t="shared" si="520"/>
        <v>9360.6870165162927</v>
      </c>
      <c r="BE538" s="32">
        <f t="shared" si="521"/>
        <v>1.5706894970290752</v>
      </c>
      <c r="BF538" s="59" t="str">
        <f t="shared" si="522"/>
        <v>-0.0000168065121360916+0.00334724649422203i</v>
      </c>
      <c r="BG538" s="50">
        <f t="shared" si="523"/>
        <v>-49.506136606608251</v>
      </c>
      <c r="BH538" s="61">
        <f t="shared" si="524"/>
        <v>90.287679477285025</v>
      </c>
      <c r="BI538" s="59" t="str">
        <f t="shared" si="525"/>
        <v>-0.000278046258185296-0.0000494179346029685i</v>
      </c>
      <c r="BJ538" s="64">
        <f t="shared" si="526"/>
        <v>-70.982592123278778</v>
      </c>
      <c r="BK538" s="61">
        <f t="shared" si="527"/>
        <v>-169.92190119428193</v>
      </c>
      <c r="BL538" s="59" t="str">
        <f t="shared" si="478"/>
        <v>0.0179783831070391-0.00150680423253568i</v>
      </c>
      <c r="BM538" s="64">
        <f t="shared" si="528"/>
        <v>-34.874587229408718</v>
      </c>
      <c r="BN538" s="61">
        <f t="shared" si="479"/>
        <v>-4.7908770083011127</v>
      </c>
      <c r="BO538" s="50">
        <f t="shared" si="529"/>
        <v>-70.982592123278778</v>
      </c>
      <c r="BP538" s="61">
        <f t="shared" si="530"/>
        <v>-169.92190119428193</v>
      </c>
    </row>
    <row r="539" spans="14:68" x14ac:dyDescent="0.25">
      <c r="N539" s="11">
        <v>21</v>
      </c>
      <c r="O539" s="51">
        <f t="shared" si="480"/>
        <v>1621810.0973589318</v>
      </c>
      <c r="P539" s="49" t="str">
        <f t="shared" si="481"/>
        <v>25.6231073841137</v>
      </c>
      <c r="Q539" s="18" t="str">
        <f t="shared" si="482"/>
        <v>1+8812.2222580481i</v>
      </c>
      <c r="R539" s="18">
        <f t="shared" si="494"/>
        <v>8812.2223147874756</v>
      </c>
      <c r="S539" s="18">
        <f t="shared" si="495"/>
        <v>1.5706828480415895</v>
      </c>
      <c r="T539" s="18" t="str">
        <f t="shared" si="483"/>
        <v>1+9.171120037285i</v>
      </c>
      <c r="U539" s="18">
        <f t="shared" si="496"/>
        <v>9.2254779138151104</v>
      </c>
      <c r="V539" s="18">
        <f t="shared" si="497"/>
        <v>1.4621874612997521</v>
      </c>
      <c r="W539" s="32" t="str">
        <f t="shared" si="484"/>
        <v>1-205.501023057682i</v>
      </c>
      <c r="X539" s="18">
        <f t="shared" si="498"/>
        <v>205.5034561211902</v>
      </c>
      <c r="Y539" s="18">
        <f t="shared" si="499"/>
        <v>-1.5659302093806102</v>
      </c>
      <c r="Z539" s="32" t="str">
        <f t="shared" si="485"/>
        <v>-64.7566997973841+16.2702462883686i</v>
      </c>
      <c r="AA539" s="18">
        <f t="shared" si="500"/>
        <v>66.769387318835697</v>
      </c>
      <c r="AB539" s="18">
        <f t="shared" si="501"/>
        <v>2.8954360439087292</v>
      </c>
      <c r="AC539" s="32" t="str">
        <f>IMDIV(IMSUM(COMPLEX(0,2*PI()*O539*Constants!$B$71*Constants!$B$72),COMPLEX(1,0)),IMSUM(COMPLEX(0,2*PI()*O539*Constants!$B$71*Constants!$B$72),COMPLEX(2,0)))</f>
        <v>0.99879910251488+0.0244746110855773i</v>
      </c>
      <c r="AD539" s="18">
        <f t="shared" si="502"/>
        <v>0.99909892091440089</v>
      </c>
      <c r="AE539" s="18">
        <f t="shared" si="503"/>
        <v>2.4499135223433118E-2</v>
      </c>
      <c r="AF539" s="66" t="str">
        <f t="shared" si="504"/>
        <v>-0.0137135399758969+0.0813390574917017i</v>
      </c>
      <c r="AG539" s="64">
        <f t="shared" si="505"/>
        <v>-21.672290918223538</v>
      </c>
      <c r="AH539" s="61">
        <f t="shared" si="506"/>
        <v>99.569912117503904</v>
      </c>
      <c r="AI539" s="50" t="str">
        <f t="shared" si="486"/>
        <v>108.866083054159</v>
      </c>
      <c r="AJ539" s="50" t="str">
        <f t="shared" si="487"/>
        <v>1+8337.38185207728i</v>
      </c>
      <c r="AK539" s="50">
        <f t="shared" si="507"/>
        <v>8337.3819120481458</v>
      </c>
      <c r="AL539" s="50">
        <f t="shared" si="508"/>
        <v>1.5706763850658327</v>
      </c>
      <c r="AM539" s="50" t="str">
        <f t="shared" si="488"/>
        <v>1+9.171120037285i</v>
      </c>
      <c r="AN539" s="50">
        <f t="shared" si="509"/>
        <v>9.2254779138151104</v>
      </c>
      <c r="AO539" s="50">
        <f t="shared" si="510"/>
        <v>1.4621874612997521</v>
      </c>
      <c r="AP539" s="50" t="str">
        <f t="shared" si="489"/>
        <v>1-45.7611498282946i</v>
      </c>
      <c r="AQ539" s="50">
        <f t="shared" si="511"/>
        <v>45.772074823058077</v>
      </c>
      <c r="AR539" s="50">
        <f t="shared" si="512"/>
        <v>-1.5489472065112504</v>
      </c>
      <c r="AS539" s="59" t="str">
        <f t="shared" si="513"/>
        <v>-0.477118615543165-5.49313566437956i</v>
      </c>
      <c r="AT539" s="50">
        <f t="shared" si="514"/>
        <v>14.829047488422225</v>
      </c>
      <c r="AU539" s="61">
        <f t="shared" si="515"/>
        <v>-94.964095077386332</v>
      </c>
      <c r="AV539" s="32" t="str">
        <f t="shared" si="490"/>
        <v>-0.0000333333333333333</v>
      </c>
      <c r="AW539" s="32" t="str">
        <f t="shared" si="491"/>
        <v>0.489126401988535i</v>
      </c>
      <c r="AX539" s="32">
        <f t="shared" si="516"/>
        <v>0.48912640198853502</v>
      </c>
      <c r="AY539" s="32">
        <f t="shared" si="517"/>
        <v>1.5707963267948966</v>
      </c>
      <c r="AZ539" s="32" t="str">
        <f t="shared" si="492"/>
        <v>1+199.556778589072i</v>
      </c>
      <c r="BA539" s="32">
        <f t="shared" si="518"/>
        <v>199.55928412591558</v>
      </c>
      <c r="BB539" s="32">
        <f t="shared" si="519"/>
        <v>1.5657852635937126</v>
      </c>
      <c r="BC539" s="32" t="str">
        <f t="shared" si="493"/>
        <v>1+9578.72537227546i</v>
      </c>
      <c r="BD539" s="32">
        <f t="shared" si="520"/>
        <v>9578.725424474469</v>
      </c>
      <c r="BE539" s="32">
        <f t="shared" si="521"/>
        <v>1.5706919287714121</v>
      </c>
      <c r="BF539" s="59" t="str">
        <f t="shared" si="522"/>
        <v>-0.0000160501134809056+0.00327105765226078i</v>
      </c>
      <c r="BG539" s="50">
        <f t="shared" si="523"/>
        <v>-49.706131469299216</v>
      </c>
      <c r="BH539" s="61">
        <f t="shared" si="524"/>
        <v>90.281131206165981</v>
      </c>
      <c r="BI539" s="59" t="str">
        <f t="shared" si="525"/>
        <v>-0.000265844642563072-0.0000461632809809134i</v>
      </c>
      <c r="BJ539" s="64">
        <f t="shared" si="526"/>
        <v>-71.378422387522775</v>
      </c>
      <c r="BK539" s="61">
        <f t="shared" si="527"/>
        <v>-170.1489566763301</v>
      </c>
      <c r="BL539" s="59" t="str">
        <f t="shared" si="478"/>
        <v>0.0179760212577987-0.00147251704762924i</v>
      </c>
      <c r="BM539" s="64">
        <f t="shared" si="528"/>
        <v>-34.877083980876989</v>
      </c>
      <c r="BN539" s="61">
        <f t="shared" si="479"/>
        <v>-4.6829638712203607</v>
      </c>
      <c r="BO539" s="50">
        <f t="shared" si="529"/>
        <v>-71.378422387522775</v>
      </c>
      <c r="BP539" s="61">
        <f t="shared" si="530"/>
        <v>-170.1489566763301</v>
      </c>
    </row>
    <row r="540" spans="14:68" x14ac:dyDescent="0.25">
      <c r="N540" s="11">
        <v>22</v>
      </c>
      <c r="O540" s="51">
        <f t="shared" si="480"/>
        <v>1659586.9074375622</v>
      </c>
      <c r="P540" s="49" t="str">
        <f t="shared" si="481"/>
        <v>25.6231073841137</v>
      </c>
      <c r="Q540" s="18" t="str">
        <f t="shared" si="482"/>
        <v>1+9017.48528308113i</v>
      </c>
      <c r="R540" s="18">
        <f t="shared" si="494"/>
        <v>9017.4853385289607</v>
      </c>
      <c r="S540" s="18">
        <f t="shared" si="495"/>
        <v>1.570685431133356</v>
      </c>
      <c r="T540" s="18" t="str">
        <f t="shared" si="483"/>
        <v>1+9.38474286551938i</v>
      </c>
      <c r="U540" s="18">
        <f t="shared" si="496"/>
        <v>9.4378704511090259</v>
      </c>
      <c r="V540" s="18">
        <f t="shared" si="497"/>
        <v>1.4646409564908838</v>
      </c>
      <c r="W540" s="32" t="str">
        <f t="shared" si="484"/>
        <v>1-210.287756801453i</v>
      </c>
      <c r="X540" s="18">
        <f t="shared" si="498"/>
        <v>210.29013448230768</v>
      </c>
      <c r="Y540" s="18">
        <f t="shared" si="499"/>
        <v>-1.5660409740468071</v>
      </c>
      <c r="Z540" s="32" t="str">
        <f t="shared" si="485"/>
        <v>-67.855717583454+16.6492290095696i</v>
      </c>
      <c r="AA540" s="18">
        <f t="shared" si="500"/>
        <v>69.868413717348432</v>
      </c>
      <c r="AB540" s="18">
        <f t="shared" si="501"/>
        <v>2.9009837074053317</v>
      </c>
      <c r="AC540" s="32" t="str">
        <f>IMDIV(IMSUM(COMPLEX(0,2*PI()*O540*Constants!$B$71*Constants!$B$72),COMPLEX(1,0)),IMSUM(COMPLEX(0,2*PI()*O540*Constants!$B$71*Constants!$B$72),COMPLEX(2,0)))</f>
        <v>0.998853027819074+0.0239200866486564i</v>
      </c>
      <c r="AD540" s="18">
        <f t="shared" si="502"/>
        <v>0.99913940054859762</v>
      </c>
      <c r="AE540" s="18">
        <f t="shared" si="503"/>
        <v>2.3942977544281666E-2</v>
      </c>
      <c r="AF540" s="66" t="str">
        <f t="shared" si="504"/>
        <v>-0.0131081275358381+0.0795738852919838i</v>
      </c>
      <c r="AG540" s="64">
        <f t="shared" si="505"/>
        <v>-21.86831070926798</v>
      </c>
      <c r="AH540" s="61">
        <f t="shared" si="506"/>
        <v>99.354269496589623</v>
      </c>
      <c r="AI540" s="50" t="str">
        <f t="shared" si="486"/>
        <v>108.866083054159</v>
      </c>
      <c r="AJ540" s="50" t="str">
        <f t="shared" si="487"/>
        <v>1+8531.58442319944i</v>
      </c>
      <c r="AK540" s="50">
        <f t="shared" si="507"/>
        <v>8531.584481805201</v>
      </c>
      <c r="AL540" s="50">
        <f t="shared" si="508"/>
        <v>1.5706791152728843</v>
      </c>
      <c r="AM540" s="50" t="str">
        <f t="shared" si="488"/>
        <v>1+9.38474286551938i</v>
      </c>
      <c r="AN540" s="50">
        <f t="shared" si="509"/>
        <v>9.4378704511090259</v>
      </c>
      <c r="AO540" s="50">
        <f t="shared" si="510"/>
        <v>1.4646409564908838</v>
      </c>
      <c r="AP540" s="50" t="str">
        <f t="shared" si="489"/>
        <v>1-46.8270639380037i</v>
      </c>
      <c r="AQ540" s="50">
        <f t="shared" si="511"/>
        <v>46.837740306870977</v>
      </c>
      <c r="AR540" s="50">
        <f t="shared" si="512"/>
        <v>-1.549444400301071</v>
      </c>
      <c r="AS540" s="59" t="str">
        <f t="shared" si="513"/>
        <v>-0.477118686340428-5.62048321819923i</v>
      </c>
      <c r="AT540" s="50">
        <f t="shared" si="514"/>
        <v>15.026656958040777</v>
      </c>
      <c r="AU540" s="61">
        <f t="shared" si="515"/>
        <v>-94.852163692976958</v>
      </c>
      <c r="AV540" s="32" t="str">
        <f t="shared" si="490"/>
        <v>-0.0000333333333333333</v>
      </c>
      <c r="AW540" s="32" t="str">
        <f t="shared" si="491"/>
        <v>0.500519619494366i</v>
      </c>
      <c r="AX540" s="32">
        <f t="shared" si="516"/>
        <v>0.50051961949436596</v>
      </c>
      <c r="AY540" s="32">
        <f t="shared" si="517"/>
        <v>1.5707963267948966</v>
      </c>
      <c r="AZ540" s="32" t="str">
        <f t="shared" si="492"/>
        <v>1+204.20505309232i</v>
      </c>
      <c r="BA540" s="32">
        <f t="shared" si="518"/>
        <v>204.20750159687381</v>
      </c>
      <c r="BB540" s="32">
        <f t="shared" si="519"/>
        <v>1.5658993274733324</v>
      </c>
      <c r="BC540" s="32" t="str">
        <f t="shared" si="493"/>
        <v>1+9801.84254843137i</v>
      </c>
      <c r="BD540" s="32">
        <f t="shared" si="520"/>
        <v>9801.8425994421868</v>
      </c>
      <c r="BE540" s="32">
        <f t="shared" si="521"/>
        <v>1.5706943051605367</v>
      </c>
      <c r="BF540" s="59" t="str">
        <f t="shared" si="522"/>
        <v>-0.0000153277567018951+0.0031966028270905i</v>
      </c>
      <c r="BG540" s="50">
        <f t="shared" si="523"/>
        <v>-49.906126563201418</v>
      </c>
      <c r="BH540" s="61">
        <f t="shared" si="524"/>
        <v>90.274731984336199</v>
      </c>
      <c r="BI540" s="59" t="str">
        <f t="shared" si="525"/>
        <v>-0.000254165188497244-0.0000431211666925029i</v>
      </c>
      <c r="BJ540" s="64">
        <f t="shared" si="526"/>
        <v>-71.774437272469399</v>
      </c>
      <c r="BK540" s="61">
        <f t="shared" si="527"/>
        <v>-170.37099851907419</v>
      </c>
      <c r="BL540" s="59" t="str">
        <f t="shared" si="478"/>
        <v>0.0179737657040525-0.00143900954229788i</v>
      </c>
      <c r="BM540" s="64">
        <f t="shared" si="528"/>
        <v>-34.879469605160651</v>
      </c>
      <c r="BN540" s="61">
        <f t="shared" si="479"/>
        <v>-4.5774317086407699</v>
      </c>
      <c r="BO540" s="50">
        <f t="shared" si="529"/>
        <v>-71.774437272469399</v>
      </c>
      <c r="BP540" s="61">
        <f t="shared" si="530"/>
        <v>-170.37099851907419</v>
      </c>
    </row>
    <row r="541" spans="14:68" x14ac:dyDescent="0.25">
      <c r="N541" s="11">
        <v>23</v>
      </c>
      <c r="O541" s="51">
        <f t="shared" si="480"/>
        <v>1698243.6524617488</v>
      </c>
      <c r="P541" s="49" t="str">
        <f t="shared" si="481"/>
        <v>25.6231073841137</v>
      </c>
      <c r="Q541" s="18" t="str">
        <f t="shared" si="482"/>
        <v>1+9227.5294981718i</v>
      </c>
      <c r="R541" s="18">
        <f t="shared" si="494"/>
        <v>9227.5295523574841</v>
      </c>
      <c r="S541" s="18">
        <f t="shared" si="495"/>
        <v>1.5706879554267765</v>
      </c>
      <c r="T541" s="18" t="str">
        <f t="shared" si="483"/>
        <v>1+9.60334160864284i</v>
      </c>
      <c r="U541" s="18">
        <f t="shared" si="496"/>
        <v>9.6552664412894806</v>
      </c>
      <c r="V541" s="18">
        <f t="shared" si="497"/>
        <v>1.4670398435551344</v>
      </c>
      <c r="W541" s="32" t="str">
        <f t="shared" si="484"/>
        <v>1-215.185987897367i</v>
      </c>
      <c r="X541" s="18">
        <f t="shared" si="498"/>
        <v>215.18831145618896</v>
      </c>
      <c r="Y541" s="18">
        <f t="shared" si="499"/>
        <v>-1.5661492175141334</v>
      </c>
      <c r="Z541" s="32" t="str">
        <f t="shared" si="485"/>
        <v>-71.1007875781658+17.0370393723701i</v>
      </c>
      <c r="AA541" s="18">
        <f t="shared" si="500"/>
        <v>73.113491947869278</v>
      </c>
      <c r="AB541" s="18">
        <f t="shared" si="501"/>
        <v>2.9064087549520439</v>
      </c>
      <c r="AC541" s="32" t="str">
        <f>IMDIV(IMSUM(COMPLEX(0,2*PI()*O541*Constants!$B$71*Constants!$B$72),COMPLEX(1,0)),IMSUM(COMPLEX(0,2*PI()*O541*Constants!$B$71*Constants!$B$72),COMPLEX(2,0)))</f>
        <v>0.998904536970306+0.0233780126528652i</v>
      </c>
      <c r="AD541" s="18">
        <f t="shared" si="502"/>
        <v>0.99917806493910732</v>
      </c>
      <c r="AE541" s="18">
        <f t="shared" si="503"/>
        <v>2.3399378923273349E-2</v>
      </c>
      <c r="AF541" s="66" t="str">
        <f t="shared" si="504"/>
        <v>-0.0125289424690191+0.077843265171873i</v>
      </c>
      <c r="AG541" s="64">
        <f t="shared" si="505"/>
        <v>-22.064506854774727</v>
      </c>
      <c r="AH541" s="61">
        <f t="shared" si="506"/>
        <v>99.143390840885459</v>
      </c>
      <c r="AI541" s="50" t="str">
        <f t="shared" si="486"/>
        <v>108.866083054159</v>
      </c>
      <c r="AJ541" s="50" t="str">
        <f t="shared" si="487"/>
        <v>1+8730.31055331168i</v>
      </c>
      <c r="AK541" s="50">
        <f t="shared" si="507"/>
        <v>8730.3106105834122</v>
      </c>
      <c r="AL541" s="50">
        <f t="shared" si="508"/>
        <v>1.5706817833328377</v>
      </c>
      <c r="AM541" s="50" t="str">
        <f t="shared" si="488"/>
        <v>1+9.60334160864284i</v>
      </c>
      <c r="AN541" s="50">
        <f t="shared" si="509"/>
        <v>9.6552664412894806</v>
      </c>
      <c r="AO541" s="50">
        <f t="shared" si="510"/>
        <v>1.4670398435551344</v>
      </c>
      <c r="AP541" s="50" t="str">
        <f t="shared" si="489"/>
        <v>1-47.9178063768423i</v>
      </c>
      <c r="AQ541" s="50">
        <f t="shared" si="511"/>
        <v>47.928239775403277</v>
      </c>
      <c r="AR541" s="50">
        <f t="shared" si="512"/>
        <v>-1.549930286780834</v>
      </c>
      <c r="AS541" s="59" t="str">
        <f t="shared" si="513"/>
        <v>-0.477118753951286-5.75081082661636i</v>
      </c>
      <c r="AT541" s="50">
        <f t="shared" si="514"/>
        <v>15.224372882460353</v>
      </c>
      <c r="AU541" s="61">
        <f t="shared" si="515"/>
        <v>-94.742709701854551</v>
      </c>
      <c r="AV541" s="32" t="str">
        <f t="shared" si="490"/>
        <v>-0.0000333333333333333</v>
      </c>
      <c r="AW541" s="32" t="str">
        <f t="shared" si="491"/>
        <v>0.512178219127616i</v>
      </c>
      <c r="AX541" s="32">
        <f t="shared" si="516"/>
        <v>0.51217821912761596</v>
      </c>
      <c r="AY541" s="32">
        <f t="shared" si="517"/>
        <v>1.5707963267948966</v>
      </c>
      <c r="AZ541" s="32" t="str">
        <f t="shared" si="492"/>
        <v>1+208.961599817691i</v>
      </c>
      <c r="BA541" s="32">
        <f t="shared" si="518"/>
        <v>208.96399258812232</v>
      </c>
      <c r="BB541" s="32">
        <f t="shared" si="519"/>
        <v>1.5660107950651938</v>
      </c>
      <c r="BC541" s="32" t="str">
        <f t="shared" si="493"/>
        <v>1+10030.1567912492i</v>
      </c>
      <c r="BD541" s="32">
        <f t="shared" si="520"/>
        <v>10030.156841098869</v>
      </c>
      <c r="BE541" s="32">
        <f t="shared" si="521"/>
        <v>1.5706966274564418</v>
      </c>
      <c r="BF541" s="59" t="str">
        <f t="shared" si="522"/>
        <v>-0.0000146379098092915+0.00312384256455479i</v>
      </c>
      <c r="BG541" s="50">
        <f t="shared" si="523"/>
        <v>-50.106121877909253</v>
      </c>
      <c r="BH541" s="61">
        <f t="shared" si="524"/>
        <v>90.268478419524186</v>
      </c>
      <c r="BI541" s="59" t="str">
        <f t="shared" si="525"/>
        <v>-0.000242986707577955-0.0000402779064684267i</v>
      </c>
      <c r="BJ541" s="64">
        <f t="shared" si="526"/>
        <v>-72.17062873268398</v>
      </c>
      <c r="BK541" s="61">
        <f t="shared" si="527"/>
        <v>-170.58813073959033</v>
      </c>
      <c r="BL541" s="59" t="str">
        <f t="shared" si="478"/>
        <v>0.0179716116621754-0.00140626402173006i</v>
      </c>
      <c r="BM541" s="64">
        <f t="shared" si="528"/>
        <v>-34.881748995448881</v>
      </c>
      <c r="BN541" s="61">
        <f t="shared" si="479"/>
        <v>-4.4742312823303321</v>
      </c>
      <c r="BO541" s="50">
        <f t="shared" si="529"/>
        <v>-72.17062873268398</v>
      </c>
      <c r="BP541" s="61">
        <f t="shared" si="530"/>
        <v>-170.58813073959033</v>
      </c>
    </row>
    <row r="542" spans="14:68" x14ac:dyDescent="0.25">
      <c r="N542" s="11">
        <v>24</v>
      </c>
      <c r="O542" s="51">
        <f t="shared" si="480"/>
        <v>1737800.8287493798</v>
      </c>
      <c r="P542" s="49" t="str">
        <f t="shared" si="481"/>
        <v>25.6231073841137</v>
      </c>
      <c r="Q542" s="18" t="str">
        <f t="shared" si="482"/>
        <v>1+9442.4662715431i</v>
      </c>
      <c r="R542" s="18">
        <f t="shared" si="494"/>
        <v>9442.4663244953681</v>
      </c>
      <c r="S542" s="18">
        <f t="shared" si="495"/>
        <v>1.5706904222602651</v>
      </c>
      <c r="T542" s="18" t="str">
        <f t="shared" si="483"/>
        <v>1+9.82703217060235i</v>
      </c>
      <c r="U542" s="18">
        <f t="shared" si="496"/>
        <v>9.8777811922543375</v>
      </c>
      <c r="V542" s="18">
        <f t="shared" si="497"/>
        <v>1.4693852839156913</v>
      </c>
      <c r="W542" s="32" t="str">
        <f t="shared" si="484"/>
        <v>1-220.198313452386i</v>
      </c>
      <c r="X542" s="18">
        <f t="shared" si="498"/>
        <v>220.20058412110365</v>
      </c>
      <c r="Y542" s="18">
        <f t="shared" si="499"/>
        <v>-1.5662549971645563</v>
      </c>
      <c r="Z542" s="32" t="str">
        <f t="shared" si="485"/>
        <v>-74.4987930100506+17.4338829989575i</v>
      </c>
      <c r="AA542" s="18">
        <f t="shared" si="500"/>
        <v>76.511505254933411</v>
      </c>
      <c r="AB542" s="18">
        <f t="shared" si="501"/>
        <v>2.9117137376835287</v>
      </c>
      <c r="AC542" s="32" t="str">
        <f>IMDIV(IMSUM(COMPLEX(0,2*PI()*O542*Constants!$B$71*Constants!$B$72),COMPLEX(1,0)),IMSUM(COMPLEX(0,2*PI()*O542*Constants!$B$71*Constants!$B$72),COMPLEX(2,0)))</f>
        <v>0.998953737758642+0.0228481171215731i</v>
      </c>
      <c r="AD542" s="18">
        <f t="shared" si="502"/>
        <v>0.99921499520271562</v>
      </c>
      <c r="AE542" s="18">
        <f t="shared" si="503"/>
        <v>2.2868060176882862E-2</v>
      </c>
      <c r="AF542" s="66" t="str">
        <f t="shared" si="504"/>
        <v>-0.011974891939101+0.0761467719863695i</v>
      </c>
      <c r="AG542" s="64">
        <f t="shared" si="505"/>
        <v>-22.260871658686014</v>
      </c>
      <c r="AH542" s="61">
        <f t="shared" si="506"/>
        <v>98.937177165321529</v>
      </c>
      <c r="AI542" s="50" t="str">
        <f t="shared" si="486"/>
        <v>108.866083054159</v>
      </c>
      <c r="AJ542" s="50" t="str">
        <f t="shared" si="487"/>
        <v>1+8933.66560963851i</v>
      </c>
      <c r="AK542" s="50">
        <f t="shared" si="507"/>
        <v>8933.665665606577</v>
      </c>
      <c r="AL542" s="50">
        <f t="shared" si="508"/>
        <v>1.5706843906603334</v>
      </c>
      <c r="AM542" s="50" t="str">
        <f t="shared" si="488"/>
        <v>1+9.82703217060235i</v>
      </c>
      <c r="AN542" s="50">
        <f t="shared" si="509"/>
        <v>9.8777811922543375</v>
      </c>
      <c r="AO542" s="50">
        <f t="shared" si="510"/>
        <v>1.4693852839156913</v>
      </c>
      <c r="AP542" s="50" t="str">
        <f t="shared" si="489"/>
        <v>1-49.0339554708885i</v>
      </c>
      <c r="AQ542" s="50">
        <f t="shared" si="511"/>
        <v>49.044151426251396</v>
      </c>
      <c r="AR542" s="50">
        <f t="shared" si="512"/>
        <v>-1.5504051226557696</v>
      </c>
      <c r="AS542" s="59" t="str">
        <f t="shared" si="513"/>
        <v>-0.477118818519154-5.88418759105396i</v>
      </c>
      <c r="AT542" s="50">
        <f t="shared" si="514"/>
        <v>15.422190569403067</v>
      </c>
      <c r="AU542" s="61">
        <f t="shared" si="515"/>
        <v>-94.6356813485515</v>
      </c>
      <c r="AV542" s="32" t="str">
        <f t="shared" si="490"/>
        <v>-0.0000333333333333333</v>
      </c>
      <c r="AW542" s="32" t="str">
        <f t="shared" si="491"/>
        <v>0.524108382432125i</v>
      </c>
      <c r="AX542" s="32">
        <f t="shared" si="516"/>
        <v>0.52410838243212499</v>
      </c>
      <c r="AY542" s="32">
        <f t="shared" si="517"/>
        <v>1.5707963267948966</v>
      </c>
      <c r="AZ542" s="32" t="str">
        <f t="shared" si="492"/>
        <v>1+213.828940749218i</v>
      </c>
      <c r="BA542" s="32">
        <f t="shared" si="518"/>
        <v>213.83127905414725</v>
      </c>
      <c r="BB542" s="32">
        <f t="shared" si="519"/>
        <v>1.5661197254598034</v>
      </c>
      <c r="BC542" s="32" t="str">
        <f t="shared" si="493"/>
        <v>1+10263.7891559625i</v>
      </c>
      <c r="BD542" s="32">
        <f t="shared" si="520"/>
        <v>10263.789204677452</v>
      </c>
      <c r="BE542" s="32">
        <f t="shared" si="521"/>
        <v>1.5706988968904392</v>
      </c>
      <c r="BF542" s="59" t="str">
        <f t="shared" si="522"/>
        <v>-0.0000139791097512868+0.00305273830745672i</v>
      </c>
      <c r="BG542" s="50">
        <f t="shared" si="523"/>
        <v>-50.306117403485125</v>
      </c>
      <c r="BH542" s="61">
        <f t="shared" si="524"/>
        <v>90.262367196642316</v>
      </c>
      <c r="BI542" s="59" t="str">
        <f t="shared" si="525"/>
        <v>-0.000232288769503286-0.000037620675432952i</v>
      </c>
      <c r="BJ542" s="64">
        <f t="shared" si="526"/>
        <v>-72.566989062171132</v>
      </c>
      <c r="BK542" s="61">
        <f t="shared" si="527"/>
        <v>-170.80045563803614</v>
      </c>
      <c r="BL542" s="59" t="str">
        <f t="shared" si="478"/>
        <v>0.0179695545638004-0.00137426319036941i</v>
      </c>
      <c r="BM542" s="64">
        <f t="shared" si="528"/>
        <v>-34.883926834082054</v>
      </c>
      <c r="BN542" s="61">
        <f t="shared" si="479"/>
        <v>-4.3733141519091889</v>
      </c>
      <c r="BO542" s="50">
        <f t="shared" si="529"/>
        <v>-72.566989062171132</v>
      </c>
      <c r="BP542" s="61">
        <f t="shared" si="530"/>
        <v>-170.80045563803614</v>
      </c>
    </row>
    <row r="543" spans="14:68" x14ac:dyDescent="0.25">
      <c r="N543" s="11">
        <v>25</v>
      </c>
      <c r="O543" s="51">
        <f t="shared" si="480"/>
        <v>1778279.4100389241</v>
      </c>
      <c r="P543" s="49" t="str">
        <f t="shared" si="481"/>
        <v>25.6231073841137</v>
      </c>
      <c r="Q543" s="18" t="str">
        <f t="shared" si="482"/>
        <v>1+9662.40956551738i</v>
      </c>
      <c r="R543" s="18">
        <f t="shared" si="494"/>
        <v>9662.4096172643058</v>
      </c>
      <c r="S543" s="18">
        <f t="shared" si="495"/>
        <v>1.5706928329417693</v>
      </c>
      <c r="T543" s="18" t="str">
        <f t="shared" si="483"/>
        <v>1+10.0559331550949i</v>
      </c>
      <c r="U543" s="18">
        <f t="shared" si="496"/>
        <v>10.105532723203504</v>
      </c>
      <c r="V543" s="18">
        <f t="shared" si="497"/>
        <v>1.4716784178797855</v>
      </c>
      <c r="W543" s="32" t="str">
        <f t="shared" si="484"/>
        <v>1-225.327391067866i</v>
      </c>
      <c r="X543" s="18">
        <f t="shared" si="498"/>
        <v>225.32961005036827</v>
      </c>
      <c r="Y543" s="18">
        <f t="shared" si="499"/>
        <v>-1.5663583690743728</v>
      </c>
      <c r="Z543" s="32" t="str">
        <f t="shared" si="485"/>
        <v>-78.056941504209+17.8399703010757i</v>
      </c>
      <c r="AA543" s="18">
        <f t="shared" si="500"/>
        <v>80.069661279006098</v>
      </c>
      <c r="AB543" s="18">
        <f t="shared" si="501"/>
        <v>2.9169011641836713</v>
      </c>
      <c r="AC543" s="32" t="str">
        <f>IMDIV(IMSUM(COMPLEX(0,2*PI()*O543*Constants!$B$71*Constants!$B$72),COMPLEX(1,0)),IMSUM(COMPLEX(0,2*PI()*O543*Constants!$B$71*Constants!$B$72),COMPLEX(2,0)))</f>
        <v>0.999000733206406+0.0223301335121856i</v>
      </c>
      <c r="AD543" s="18">
        <f t="shared" si="502"/>
        <v>0.99925026885641044</v>
      </c>
      <c r="AE543" s="18">
        <f t="shared" si="503"/>
        <v>2.2348748032010854E-2</v>
      </c>
      <c r="AF543" s="66" t="str">
        <f t="shared" si="504"/>
        <v>-0.0114449248688895+0.0744839676627434i</v>
      </c>
      <c r="AG543" s="64">
        <f t="shared" si="505"/>
        <v>-22.457397750584075</v>
      </c>
      <c r="AH543" s="61">
        <f t="shared" si="506"/>
        <v>98.735531128150029</v>
      </c>
      <c r="AI543" s="50" t="str">
        <f t="shared" si="486"/>
        <v>108.866083054159</v>
      </c>
      <c r="AJ543" s="50" t="str">
        <f t="shared" si="487"/>
        <v>1+9141.75741372261i</v>
      </c>
      <c r="AK543" s="50">
        <f t="shared" si="507"/>
        <v>9141.7574684166866</v>
      </c>
      <c r="AL543" s="50">
        <f t="shared" si="508"/>
        <v>1.5706869386378108</v>
      </c>
      <c r="AM543" s="50" t="str">
        <f t="shared" si="488"/>
        <v>1+10.0559331550949i</v>
      </c>
      <c r="AN543" s="50">
        <f t="shared" si="509"/>
        <v>10.105532723203504</v>
      </c>
      <c r="AO543" s="50">
        <f t="shared" si="510"/>
        <v>1.4716784178797855</v>
      </c>
      <c r="AP543" s="50" t="str">
        <f t="shared" si="489"/>
        <v>1-50.1761030171665i</v>
      </c>
      <c r="AQ543" s="50">
        <f t="shared" si="511"/>
        <v>50.186066930865429</v>
      </c>
      <c r="AR543" s="50">
        <f t="shared" si="512"/>
        <v>-1.5508691588331662</v>
      </c>
      <c r="AS543" s="59" t="str">
        <f t="shared" si="513"/>
        <v>-0.477118880180992-6.02068422963814i</v>
      </c>
      <c r="AT543" s="50">
        <f t="shared" si="514"/>
        <v>15.620105529203512</v>
      </c>
      <c r="AU543" s="61">
        <f t="shared" si="515"/>
        <v>-94.531027753412801</v>
      </c>
      <c r="AV543" s="32" t="str">
        <f t="shared" si="490"/>
        <v>-0.0000333333333333333</v>
      </c>
      <c r="AW543" s="32" t="str">
        <f t="shared" si="491"/>
        <v>0.536316434938394i</v>
      </c>
      <c r="AX543" s="32">
        <f t="shared" si="516"/>
        <v>0.53631643493839398</v>
      </c>
      <c r="AY543" s="32">
        <f t="shared" si="517"/>
        <v>1.5707963267948966</v>
      </c>
      <c r="AZ543" s="32" t="str">
        <f t="shared" si="492"/>
        <v>1+218.80965661549i</v>
      </c>
      <c r="BA543" s="32">
        <f t="shared" si="518"/>
        <v>218.81194169466312</v>
      </c>
      <c r="BB543" s="32">
        <f t="shared" si="519"/>
        <v>1.566226176403152</v>
      </c>
      <c r="BC543" s="32" t="str">
        <f t="shared" si="493"/>
        <v>1+10502.8635175435i</v>
      </c>
      <c r="BD543" s="32">
        <f t="shared" si="520"/>
        <v>10502.863565149562</v>
      </c>
      <c r="BE543" s="32">
        <f t="shared" si="521"/>
        <v>1.5707011146658132</v>
      </c>
      <c r="BF543" s="59" t="str">
        <f t="shared" si="522"/>
        <v>-0.0000133499593124506+0.00298325237521647i</v>
      </c>
      <c r="BG543" s="50">
        <f t="shared" si="523"/>
        <v>-50.506113130439104</v>
      </c>
      <c r="BH543" s="61">
        <f t="shared" si="524"/>
        <v>90.256395076032078</v>
      </c>
      <c r="BI543" s="59" t="str">
        <f t="shared" si="525"/>
        <v>-0.000222051684164092-0.0000351374572370162i</v>
      </c>
      <c r="BJ543" s="64">
        <f t="shared" si="526"/>
        <v>-72.963510881023197</v>
      </c>
      <c r="BK543" s="61">
        <f t="shared" si="527"/>
        <v>-171.00807379581784</v>
      </c>
      <c r="BL543" s="59" t="str">
        <f t="shared" si="478"/>
        <v>0.0179675900461339-0.00134299014306178i</v>
      </c>
      <c r="BM543" s="64">
        <f t="shared" si="528"/>
        <v>-34.886007601235619</v>
      </c>
      <c r="BN543" s="61">
        <f t="shared" si="479"/>
        <v>-4.2746326773807048</v>
      </c>
      <c r="BO543" s="50">
        <f t="shared" si="529"/>
        <v>-72.963510881023197</v>
      </c>
      <c r="BP543" s="61">
        <f t="shared" si="530"/>
        <v>-171.00807379581784</v>
      </c>
    </row>
    <row r="544" spans="14:68" x14ac:dyDescent="0.25">
      <c r="N544" s="11">
        <v>26</v>
      </c>
      <c r="O544" s="51">
        <f t="shared" si="480"/>
        <v>1819700.8586099846</v>
      </c>
      <c r="P544" s="49" t="str">
        <f t="shared" si="481"/>
        <v>25.6231073841137</v>
      </c>
      <c r="Q544" s="18" t="str">
        <f t="shared" si="482"/>
        <v>1+9887.47599694048i</v>
      </c>
      <c r="R544" s="18">
        <f t="shared" si="494"/>
        <v>9887.4760475095045</v>
      </c>
      <c r="S544" s="18">
        <f t="shared" si="495"/>
        <v>1.5706951887494642</v>
      </c>
      <c r="T544" s="18" t="str">
        <f t="shared" si="483"/>
        <v>1+10.2901659284523i</v>
      </c>
      <c r="U544" s="18">
        <f t="shared" si="496"/>
        <v>10.33864182739109</v>
      </c>
      <c r="V544" s="18">
        <f t="shared" si="497"/>
        <v>1.473920364777628</v>
      </c>
      <c r="W544" s="32" t="str">
        <f t="shared" si="484"/>
        <v>1-230.575940248653i</v>
      </c>
      <c r="X544" s="18">
        <f t="shared" si="498"/>
        <v>230.57810872142741</v>
      </c>
      <c r="Y544" s="18">
        <f t="shared" si="499"/>
        <v>-1.5664593880438955</v>
      </c>
      <c r="Z544" s="32" t="str">
        <f t="shared" si="485"/>
        <v>-81.7827803706473+18.2555165915876i</v>
      </c>
      <c r="AA544" s="18">
        <f t="shared" si="500"/>
        <v>83.795507344840772</v>
      </c>
      <c r="AB544" s="18">
        <f t="shared" si="501"/>
        <v>2.9219735004708691</v>
      </c>
      <c r="AC544" s="32" t="str">
        <f>IMDIV(IMSUM(COMPLEX(0,2*PI()*O544*Constants!$B$71*Constants!$B$72),COMPLEX(1,0)),IMSUM(COMPLEX(0,2*PI()*O544*Constants!$B$71*Constants!$B$72),COMPLEX(2,0)))</f>
        <v>0.999045621775458+0.0218238006423219i</v>
      </c>
      <c r="AD544" s="18">
        <f t="shared" si="502"/>
        <v>0.9992839599749348</v>
      </c>
      <c r="AE544" s="18">
        <f t="shared" si="503"/>
        <v>2.1841175020866483E-2</v>
      </c>
      <c r="AF544" s="66" t="str">
        <f t="shared" si="504"/>
        <v>-0.0109380306791186+0.072854402844977i</v>
      </c>
      <c r="AG544" s="64">
        <f t="shared" si="505"/>
        <v>-22.654078072798477</v>
      </c>
      <c r="AH544" s="61">
        <f t="shared" si="506"/>
        <v>98.538357031985356</v>
      </c>
      <c r="AI544" s="50" t="str">
        <f t="shared" si="486"/>
        <v>108.866083054159</v>
      </c>
      <c r="AJ544" s="50" t="str">
        <f t="shared" si="487"/>
        <v>1+9354.69629859299i</v>
      </c>
      <c r="AK544" s="50">
        <f t="shared" si="507"/>
        <v>9354.6963520420777</v>
      </c>
      <c r="AL544" s="50">
        <f t="shared" si="508"/>
        <v>1.5706894286162416</v>
      </c>
      <c r="AM544" s="50" t="str">
        <f t="shared" si="488"/>
        <v>1+10.2901659284523i</v>
      </c>
      <c r="AN544" s="50">
        <f t="shared" si="509"/>
        <v>10.33864182739109</v>
      </c>
      <c r="AO544" s="50">
        <f t="shared" si="510"/>
        <v>1.473920364777628</v>
      </c>
      <c r="AP544" s="50" t="str">
        <f t="shared" si="489"/>
        <v>1-51.3448545974237i</v>
      </c>
      <c r="AQ544" s="50">
        <f t="shared" si="511"/>
        <v>51.354591748261242</v>
      </c>
      <c r="AR544" s="50">
        <f t="shared" si="512"/>
        <v>-1.5513226405513236</v>
      </c>
      <c r="AS544" s="59" t="str">
        <f t="shared" si="513"/>
        <v>-0.477118939067589-6.16037311469345i</v>
      </c>
      <c r="AT544" s="50">
        <f t="shared" si="514"/>
        <v>15.818113466426666</v>
      </c>
      <c r="AU544" s="61">
        <f t="shared" si="515"/>
        <v>-94.428698912065883</v>
      </c>
      <c r="AV544" s="32" t="str">
        <f t="shared" si="490"/>
        <v>-0.0000333333333333333</v>
      </c>
      <c r="AW544" s="32" t="str">
        <f t="shared" si="491"/>
        <v>0.548808849517456i</v>
      </c>
      <c r="AX544" s="32">
        <f t="shared" si="516"/>
        <v>0.54880884951745601</v>
      </c>
      <c r="AY544" s="32">
        <f t="shared" si="517"/>
        <v>1.5707963267948966</v>
      </c>
      <c r="AZ544" s="32" t="str">
        <f t="shared" si="492"/>
        <v>1+223.906388257989i</v>
      </c>
      <c r="BA544" s="32">
        <f t="shared" si="518"/>
        <v>223.90862132293461</v>
      </c>
      <c r="BB544" s="32">
        <f t="shared" si="519"/>
        <v>1.5663302043272831</v>
      </c>
      <c r="BC544" s="32" t="str">
        <f t="shared" si="493"/>
        <v>1+10747.5066363835i</v>
      </c>
      <c r="BD544" s="32">
        <f t="shared" si="520"/>
        <v>10747.506682905918</v>
      </c>
      <c r="BE544" s="32">
        <f t="shared" si="521"/>
        <v>1.5707032819584572</v>
      </c>
      <c r="BF544" s="59" t="str">
        <f t="shared" si="522"/>
        <v>-0.0000127491241516458+0.00291534794398763i</v>
      </c>
      <c r="BG544" s="50">
        <f t="shared" si="523"/>
        <v>-50.706109049707813</v>
      </c>
      <c r="BH544" s="61">
        <f t="shared" si="524"/>
        <v>90.250558891749336</v>
      </c>
      <c r="BI544" s="59" t="str">
        <f t="shared" si="525"/>
        <v>-0.000212256483233448-0.0000328169950785067i</v>
      </c>
      <c r="BJ544" s="64">
        <f t="shared" si="526"/>
        <v>-73.360187122506275</v>
      </c>
      <c r="BK544" s="61">
        <f t="shared" si="527"/>
        <v>-171.21108407626531</v>
      </c>
      <c r="BL544" s="59" t="str">
        <f t="shared" si="478"/>
        <v>0.0179657139427075-0.00131242835638857i</v>
      </c>
      <c r="BM544" s="64">
        <f t="shared" si="528"/>
        <v>-34.887995583281139</v>
      </c>
      <c r="BN544" s="61">
        <f t="shared" si="479"/>
        <v>-4.1781400203165555</v>
      </c>
      <c r="BO544" s="50">
        <f t="shared" si="529"/>
        <v>-73.360187122506275</v>
      </c>
      <c r="BP544" s="61">
        <f t="shared" si="530"/>
        <v>-171.21108407626531</v>
      </c>
    </row>
    <row r="545" spans="14:68" x14ac:dyDescent="0.25">
      <c r="N545" s="11">
        <v>27</v>
      </c>
      <c r="O545" s="51">
        <f t="shared" si="480"/>
        <v>1862087.1366628683</v>
      </c>
      <c r="P545" s="49" t="str">
        <f t="shared" si="481"/>
        <v>25.6231073841137</v>
      </c>
      <c r="Q545" s="18" t="str">
        <f t="shared" si="482"/>
        <v>1+10117.7848990133i</v>
      </c>
      <c r="R545" s="18">
        <f t="shared" si="494"/>
        <v>10117.784948431232</v>
      </c>
      <c r="S545" s="18">
        <f t="shared" si="495"/>
        <v>1.5706974909324303</v>
      </c>
      <c r="T545" s="18" t="str">
        <f t="shared" si="483"/>
        <v>1+10.5298546839914i</v>
      </c>
      <c r="U545" s="18">
        <f t="shared" si="496"/>
        <v>10.577232136337731</v>
      </c>
      <c r="V545" s="18">
        <f t="shared" si="497"/>
        <v>1.4761122231195696</v>
      </c>
      <c r="W545" s="32" t="str">
        <f t="shared" si="484"/>
        <v>1-235.946743844992i</v>
      </c>
      <c r="X545" s="18">
        <f t="shared" si="498"/>
        <v>235.94886295774828</v>
      </c>
      <c r="Y545" s="18">
        <f t="shared" si="499"/>
        <v>-1.5665581076264676</v>
      </c>
      <c r="Z545" s="32" t="str">
        <f t="shared" si="485"/>
        <v>-85.6842126131323+18.6807421986366i</v>
      </c>
      <c r="AA545" s="18">
        <f t="shared" si="500"/>
        <v>87.696946470355428</v>
      </c>
      <c r="AB545" s="18">
        <f t="shared" si="501"/>
        <v>2.9269331700437435</v>
      </c>
      <c r="AC545" s="32" t="str">
        <f>IMDIV(IMSUM(COMPLEX(0,2*PI()*O545*Constants!$B$71*Constants!$B$72),COMPLEX(1,0)),IMSUM(COMPLEX(0,2*PI()*O545*Constants!$B$71*Constants!$B$72),COMPLEX(2,0)))</f>
        <v>0.999088497565776+0.0213288626144142i</v>
      </c>
      <c r="AD545" s="18">
        <f t="shared" si="502"/>
        <v>0.99931613934163199</v>
      </c>
      <c r="AE545" s="18">
        <f t="shared" si="503"/>
        <v>2.1345079376306302E-2</v>
      </c>
      <c r="AF545" s="66" t="str">
        <f t="shared" si="504"/>
        <v>-0.0104532380339815+0.0712576184270402i</v>
      </c>
      <c r="AG545" s="64">
        <f t="shared" si="505"/>
        <v>-22.850905867946203</v>
      </c>
      <c r="AH545" s="61">
        <f t="shared" si="506"/>
        <v>98.345560822491564</v>
      </c>
      <c r="AI545" s="50" t="str">
        <f t="shared" si="486"/>
        <v>108.866083054159</v>
      </c>
      <c r="AJ545" s="50" t="str">
        <f t="shared" si="487"/>
        <v>1+9572.59516726491i</v>
      </c>
      <c r="AK545" s="50">
        <f t="shared" si="507"/>
        <v>9572.5952194973488</v>
      </c>
      <c r="AL545" s="50">
        <f t="shared" si="508"/>
        <v>1.5706918619158445</v>
      </c>
      <c r="AM545" s="50" t="str">
        <f t="shared" si="488"/>
        <v>1+10.5298546839914i</v>
      </c>
      <c r="AN545" s="50">
        <f t="shared" si="509"/>
        <v>10.577232136337731</v>
      </c>
      <c r="AO545" s="50">
        <f t="shared" si="510"/>
        <v>1.4761122231195696</v>
      </c>
      <c r="AP545" s="50" t="str">
        <f t="shared" si="489"/>
        <v>1-52.5408298992179i</v>
      </c>
      <c r="AQ545" s="50">
        <f t="shared" si="511"/>
        <v>52.55034544604392</v>
      </c>
      <c r="AR545" s="50">
        <f t="shared" si="512"/>
        <v>-1.5517658075057705</v>
      </c>
      <c r="AS545" s="59" t="str">
        <f t="shared" si="513"/>
        <v>-0.477118995303852-6.30332831111577i</v>
      </c>
      <c r="AT545" s="50">
        <f t="shared" si="514"/>
        <v>16.016210271801036</v>
      </c>
      <c r="AU545" s="61">
        <f t="shared" si="515"/>
        <v>-94.328645693689111</v>
      </c>
      <c r="AV545" s="32" t="str">
        <f t="shared" si="490"/>
        <v>-0.0000333333333333333</v>
      </c>
      <c r="AW545" s="32" t="str">
        <f t="shared" si="491"/>
        <v>0.561592249812876i</v>
      </c>
      <c r="AX545" s="32">
        <f t="shared" si="516"/>
        <v>0.56159224981287603</v>
      </c>
      <c r="AY545" s="32">
        <f t="shared" si="517"/>
        <v>1.5707963267948966</v>
      </c>
      <c r="AZ545" s="32" t="str">
        <f t="shared" si="492"/>
        <v>1+229.121838031294i</v>
      </c>
      <c r="BA545" s="32">
        <f t="shared" si="518"/>
        <v>229.12402026596541</v>
      </c>
      <c r="BB545" s="32">
        <f t="shared" si="519"/>
        <v>1.5664318643801676</v>
      </c>
      <c r="BC545" s="32" t="str">
        <f t="shared" si="493"/>
        <v>1+10997.8482255021i</v>
      </c>
      <c r="BD545" s="32">
        <f t="shared" si="520"/>
        <v>10997.848270965538</v>
      </c>
      <c r="BE545" s="32">
        <f t="shared" si="521"/>
        <v>1.5707053999174985</v>
      </c>
      <c r="BF545" s="59" t="str">
        <f t="shared" si="522"/>
        <v>-0.0000121753299731642+0.00284898902722072i</v>
      </c>
      <c r="BG545" s="50">
        <f t="shared" si="523"/>
        <v>-50.906105152636172</v>
      </c>
      <c r="BH545" s="61">
        <f t="shared" si="524"/>
        <v>90.244855549888214</v>
      </c>
      <c r="BI545" s="59" t="str">
        <f t="shared" si="525"/>
        <v>-0.000202884901382167-0.0000306487454751906i</v>
      </c>
      <c r="BJ545" s="64">
        <f t="shared" si="526"/>
        <v>-73.757011020582368</v>
      </c>
      <c r="BK545" s="61">
        <f t="shared" si="527"/>
        <v>-171.40958362762024</v>
      </c>
      <c r="BL545" s="59" t="str">
        <f t="shared" si="478"/>
        <v>0.0179639222745428-0.00128256168018223i</v>
      </c>
      <c r="BM545" s="64">
        <f t="shared" si="528"/>
        <v>-34.889894880835158</v>
      </c>
      <c r="BN545" s="61">
        <f t="shared" si="479"/>
        <v>-4.083790143800905</v>
      </c>
      <c r="BO545" s="50">
        <f t="shared" si="529"/>
        <v>-73.757011020582368</v>
      </c>
      <c r="BP545" s="61">
        <f t="shared" si="530"/>
        <v>-171.40958362762024</v>
      </c>
    </row>
    <row r="546" spans="14:68" x14ac:dyDescent="0.25">
      <c r="N546" s="11">
        <v>28</v>
      </c>
      <c r="O546" s="51">
        <f t="shared" si="480"/>
        <v>1905460.7179632513</v>
      </c>
      <c r="P546" s="49" t="str">
        <f t="shared" si="481"/>
        <v>25.6231073841137</v>
      </c>
      <c r="Q546" s="18" t="str">
        <f t="shared" si="482"/>
        <v>1+10353.4583845645i</v>
      </c>
      <c r="R546" s="18">
        <f t="shared" si="494"/>
        <v>10353.45843285754</v>
      </c>
      <c r="S546" s="18">
        <f t="shared" si="495"/>
        <v>1.570699740711315</v>
      </c>
      <c r="T546" s="18" t="str">
        <f t="shared" si="483"/>
        <v>1+10.7751265078632i</v>
      </c>
      <c r="U546" s="18">
        <f t="shared" si="496"/>
        <v>10.821430185537224</v>
      </c>
      <c r="V546" s="18">
        <f t="shared" si="497"/>
        <v>1.478255070769785</v>
      </c>
      <c r="W546" s="32" t="str">
        <f t="shared" si="484"/>
        <v>1-241.442649528045i</v>
      </c>
      <c r="X546" s="18">
        <f t="shared" si="498"/>
        <v>241.44472040432436</v>
      </c>
      <c r="Y546" s="18">
        <f t="shared" si="499"/>
        <v>-1.5666545801568175</v>
      </c>
      <c r="Z546" s="32" t="str">
        <f t="shared" si="485"/>
        <v>-89.7695136925263+19.1158725824683i</v>
      </c>
      <c r="AA546" s="18">
        <f t="shared" si="500"/>
        <v>91.782254129988729</v>
      </c>
      <c r="AB546" s="18">
        <f t="shared" si="501"/>
        <v>2.9317825539824707</v>
      </c>
      <c r="AC546" s="32" t="str">
        <f>IMDIV(IMSUM(COMPLEX(0,2*PI()*O546*Constants!$B$71*Constants!$B$72),COMPLEX(1,0)),IMSUM(COMPLEX(0,2*PI()*O546*Constants!$B$71*Constants!$B$72),COMPLEX(2,0)))</f>
        <v>0.999129450505691+0.0208450687389752i</v>
      </c>
      <c r="AD546" s="18">
        <f t="shared" si="502"/>
        <v>0.99934687459286964</v>
      </c>
      <c r="AE546" s="18">
        <f t="shared" si="503"/>
        <v>2.0860204927745825E-2</v>
      </c>
      <c r="AF546" s="66" t="str">
        <f t="shared" si="504"/>
        <v>-0.0099896135969658+0.06969314698079i</v>
      </c>
      <c r="AG546" s="64">
        <f t="shared" si="505"/>
        <v>-23.047874666897631</v>
      </c>
      <c r="AH546" s="61">
        <f t="shared" si="506"/>
        <v>98.157050084901698</v>
      </c>
      <c r="AI546" s="50" t="str">
        <f t="shared" si="486"/>
        <v>108.866083054159</v>
      </c>
      <c r="AJ546" s="50" t="str">
        <f t="shared" si="487"/>
        <v>1+9795.56955260287i</v>
      </c>
      <c r="AK546" s="50">
        <f t="shared" si="507"/>
        <v>9795.5696036463523</v>
      </c>
      <c r="AL546" s="50">
        <f t="shared" si="508"/>
        <v>1.5706942398267876</v>
      </c>
      <c r="AM546" s="50" t="str">
        <f t="shared" si="488"/>
        <v>1+10.7751265078632i</v>
      </c>
      <c r="AN546" s="50">
        <f t="shared" si="509"/>
        <v>10.821430185537224</v>
      </c>
      <c r="AO546" s="50">
        <f t="shared" si="510"/>
        <v>1.478255070769785</v>
      </c>
      <c r="AP546" s="50" t="str">
        <f t="shared" si="489"/>
        <v>1-53.7646630444852i</v>
      </c>
      <c r="AQ546" s="50">
        <f t="shared" si="511"/>
        <v>53.773962028913509</v>
      </c>
      <c r="AR546" s="50">
        <f t="shared" si="512"/>
        <v>-1.5521988939728004</v>
      </c>
      <c r="AS546" s="59" t="str">
        <f t="shared" si="513"/>
        <v>-0.477119049009066-6.44962561564262i</v>
      </c>
      <c r="AT546" s="50">
        <f t="shared" si="514"/>
        <v>16.214392014457324</v>
      </c>
      <c r="AU546" s="61">
        <f t="shared" si="515"/>
        <v>-94.230819838178363</v>
      </c>
      <c r="AV546" s="32" t="str">
        <f t="shared" si="490"/>
        <v>-0.0000333333333333333</v>
      </c>
      <c r="AW546" s="32" t="str">
        <f t="shared" si="491"/>
        <v>0.574673413752699i</v>
      </c>
      <c r="AX546" s="32">
        <f t="shared" si="516"/>
        <v>0.57467341375269898</v>
      </c>
      <c r="AY546" s="32">
        <f t="shared" si="517"/>
        <v>1.5707963267948966</v>
      </c>
      <c r="AZ546" s="32" t="str">
        <f t="shared" si="492"/>
        <v>1+234.458771235911i</v>
      </c>
      <c r="BA546" s="32">
        <f t="shared" si="518"/>
        <v>234.46090379731382</v>
      </c>
      <c r="BB546" s="32">
        <f t="shared" si="519"/>
        <v>1.5665312104549012</v>
      </c>
      <c r="BC546" s="32" t="str">
        <f t="shared" si="493"/>
        <v>1+11254.0210193238i</v>
      </c>
      <c r="BD546" s="32">
        <f t="shared" si="520"/>
        <v>11254.021063752365</v>
      </c>
      <c r="BE546" s="32">
        <f t="shared" si="521"/>
        <v>1.5707074696659069</v>
      </c>
      <c r="BF546" s="59" t="str">
        <f t="shared" si="522"/>
        <v>-0.0000116273598251014+0.0027841404566654i</v>
      </c>
      <c r="BG546" s="50">
        <f t="shared" si="523"/>
        <v>-51.106101430958276</v>
      </c>
      <c r="BH546" s="61">
        <f t="shared" si="524"/>
        <v>90.239282026943243</v>
      </c>
      <c r="BI546" s="59" t="str">
        <f t="shared" si="525"/>
        <v>-0.00019391935722974-0.0000286228346590566i</v>
      </c>
      <c r="BJ546" s="64">
        <f t="shared" si="526"/>
        <v>-74.153976097855903</v>
      </c>
      <c r="BK546" s="61">
        <f t="shared" si="527"/>
        <v>-171.60366788815503</v>
      </c>
      <c r="BL546" s="59" t="str">
        <f t="shared" si="478"/>
        <v>0.0179622112417183-0.00125337432922159i</v>
      </c>
      <c r="BM546" s="64">
        <f t="shared" si="528"/>
        <v>-34.891709416500973</v>
      </c>
      <c r="BN546" s="61">
        <f t="shared" si="479"/>
        <v>-3.9915378112351174</v>
      </c>
      <c r="BO546" s="50">
        <f t="shared" si="529"/>
        <v>-74.153976097855903</v>
      </c>
      <c r="BP546" s="61">
        <f t="shared" si="530"/>
        <v>-171.60366788815503</v>
      </c>
    </row>
    <row r="547" spans="14:68" x14ac:dyDescent="0.25">
      <c r="N547" s="11">
        <v>29</v>
      </c>
      <c r="O547" s="51">
        <f t="shared" si="480"/>
        <v>1949844.5997580495</v>
      </c>
      <c r="P547" s="49" t="str">
        <f t="shared" si="481"/>
        <v>25.6231073841137</v>
      </c>
      <c r="Q547" s="18" t="str">
        <f t="shared" si="482"/>
        <v>1+10594.6214107952i</v>
      </c>
      <c r="R547" s="18">
        <f t="shared" si="494"/>
        <v>10594.621457988958</v>
      </c>
      <c r="S547" s="18">
        <f t="shared" si="495"/>
        <v>1.5707019392789812</v>
      </c>
      <c r="T547" s="18" t="str">
        <f t="shared" si="483"/>
        <v>1+11.0261114464349i</v>
      </c>
      <c r="U547" s="18">
        <f t="shared" si="496"/>
        <v>11.071365481692071</v>
      </c>
      <c r="V547" s="18">
        <f t="shared" si="497"/>
        <v>1.4803499651348904</v>
      </c>
      <c r="W547" s="32" t="str">
        <f t="shared" si="484"/>
        <v>1-247.066571299745i</v>
      </c>
      <c r="X547" s="18">
        <f t="shared" si="498"/>
        <v>247.06859503751579</v>
      </c>
      <c r="Y547" s="18">
        <f t="shared" si="499"/>
        <v>-1.5667488567787702</v>
      </c>
      <c r="Z547" s="32" t="str">
        <f t="shared" si="485"/>
        <v>-94.0473490801397+19.5611384549715i</v>
      </c>
      <c r="AA547" s="18">
        <f t="shared" si="500"/>
        <v>96.060095808073285</v>
      </c>
      <c r="AB547" s="18">
        <f t="shared" si="501"/>
        <v>2.9365239911011796</v>
      </c>
      <c r="AC547" s="32" t="str">
        <f>IMDIV(IMSUM(COMPLEX(0,2*PI()*O547*Constants!$B$71*Constants!$B$72),COMPLEX(1,0)),IMSUM(COMPLEX(0,2*PI()*O547*Constants!$B$71*Constants!$B$72),COMPLEX(2,0)))</f>
        <v>0.999168566534079+0.0203721734567597i</v>
      </c>
      <c r="AD547" s="18">
        <f t="shared" si="502"/>
        <v>0.99937623035627521</v>
      </c>
      <c r="AE547" s="18">
        <f t="shared" si="503"/>
        <v>2.0386300997748175E-2</v>
      </c>
      <c r="AF547" s="66" t="str">
        <f t="shared" si="504"/>
        <v>-0.0095462608001181+0.0681605140841139i</v>
      </c>
      <c r="AG547" s="64">
        <f t="shared" si="505"/>
        <v>-23.244978277158772</v>
      </c>
      <c r="AH547" s="61">
        <f t="shared" si="506"/>
        <v>97.972734038542896</v>
      </c>
      <c r="AI547" s="50" t="str">
        <f t="shared" si="486"/>
        <v>108.866083054159</v>
      </c>
      <c r="AJ547" s="50" t="str">
        <f t="shared" si="487"/>
        <v>1+10023.7376785772i</v>
      </c>
      <c r="AK547" s="50">
        <f t="shared" si="507"/>
        <v>10023.737728458791</v>
      </c>
      <c r="AL547" s="50">
        <f t="shared" si="508"/>
        <v>1.5706965636098704</v>
      </c>
      <c r="AM547" s="50" t="str">
        <f t="shared" si="488"/>
        <v>1+11.0261114464349i</v>
      </c>
      <c r="AN547" s="50">
        <f t="shared" si="509"/>
        <v>11.071365481692071</v>
      </c>
      <c r="AO547" s="50">
        <f t="shared" si="510"/>
        <v>1.4803499651348904</v>
      </c>
      <c r="AP547" s="50" t="str">
        <f t="shared" si="489"/>
        <v>1-55.0170029257575i</v>
      </c>
      <c r="AQ547" s="50">
        <f t="shared" si="511"/>
        <v>55.026090274821534</v>
      </c>
      <c r="AR547" s="50">
        <f t="shared" si="512"/>
        <v>-1.5526221289303663</v>
      </c>
      <c r="AS547" s="59" t="str">
        <f t="shared" si="513"/>
        <v>-0.477119100297149-6.59934259704114i</v>
      </c>
      <c r="AT547" s="50">
        <f t="shared" si="514"/>
        <v>16.412654934463021</v>
      </c>
      <c r="AU547" s="61">
        <f t="shared" si="515"/>
        <v>-94.135173952306175</v>
      </c>
      <c r="AV547" s="32" t="str">
        <f t="shared" si="490"/>
        <v>-0.0000333333333333333</v>
      </c>
      <c r="AW547" s="32" t="str">
        <f t="shared" si="491"/>
        <v>0.588059277143195i</v>
      </c>
      <c r="AX547" s="32">
        <f t="shared" si="516"/>
        <v>0.58805927714319495</v>
      </c>
      <c r="AY547" s="32">
        <f t="shared" si="517"/>
        <v>1.5707963267948966</v>
      </c>
      <c r="AZ547" s="32" t="str">
        <f t="shared" si="492"/>
        <v>1+239.920017584463i</v>
      </c>
      <c r="BA547" s="32">
        <f t="shared" si="518"/>
        <v>239.92210160326837</v>
      </c>
      <c r="BB547" s="32">
        <f t="shared" si="519"/>
        <v>1.5666282952182393</v>
      </c>
      <c r="BC547" s="32" t="str">
        <f t="shared" si="493"/>
        <v>1+11516.1608440542i</v>
      </c>
      <c r="BD547" s="32">
        <f t="shared" si="520"/>
        <v>11516.160887471447</v>
      </c>
      <c r="BE547" s="32">
        <f t="shared" si="521"/>
        <v>1.5707094923010902</v>
      </c>
      <c r="BF547" s="59" t="str">
        <f t="shared" si="522"/>
        <v>-0.0000111040515192474+0.00272076786380049i</v>
      </c>
      <c r="BG547" s="50">
        <f t="shared" si="523"/>
        <v>-51.306097876780626</v>
      </c>
      <c r="BH547" s="61">
        <f t="shared" si="524"/>
        <v>90.23383536820846</v>
      </c>
      <c r="BI547" s="59" t="str">
        <f t="shared" si="525"/>
        <v>-0.000185342934128437-0.0000267300174643881i</v>
      </c>
      <c r="BJ547" s="64">
        <f t="shared" si="526"/>
        <v>-74.551076153939405</v>
      </c>
      <c r="BK547" s="61">
        <f t="shared" si="527"/>
        <v>-171.79343059324864</v>
      </c>
      <c r="BL547" s="59" t="str">
        <f t="shared" si="478"/>
        <v>0.0179605772153097-0.00122485087510318i</v>
      </c>
      <c r="BM547" s="64">
        <f t="shared" si="528"/>
        <v>-34.89344294231762</v>
      </c>
      <c r="BN547" s="61">
        <f t="shared" si="479"/>
        <v>-3.9013385840977204</v>
      </c>
      <c r="BO547" s="50">
        <f t="shared" si="529"/>
        <v>-74.551076153939405</v>
      </c>
      <c r="BP547" s="61">
        <f t="shared" si="530"/>
        <v>-171.79343059324864</v>
      </c>
    </row>
    <row r="548" spans="14:68" x14ac:dyDescent="0.25">
      <c r="N548" s="11">
        <v>30</v>
      </c>
      <c r="O548" s="51">
        <f t="shared" si="480"/>
        <v>1995262.31496888</v>
      </c>
      <c r="P548" s="49" t="str">
        <f t="shared" si="481"/>
        <v>25.6231073841137</v>
      </c>
      <c r="Q548" s="18" t="str">
        <f t="shared" si="482"/>
        <v>1+10841.4018455344i</v>
      </c>
      <c r="R548" s="18">
        <f t="shared" si="494"/>
        <v>10841.401891653897</v>
      </c>
      <c r="S548" s="18">
        <f t="shared" si="495"/>
        <v>1.570704087801138</v>
      </c>
      <c r="T548" s="18" t="str">
        <f t="shared" si="483"/>
        <v>1+11.2829425752434i</v>
      </c>
      <c r="U548" s="18">
        <f t="shared" si="496"/>
        <v>11.327170571516975</v>
      </c>
      <c r="V548" s="18">
        <f t="shared" si="497"/>
        <v>1.4823979433660388</v>
      </c>
      <c r="W548" s="32" t="str">
        <f t="shared" si="484"/>
        <v>1-252.821491037862i</v>
      </c>
      <c r="X548" s="18">
        <f t="shared" si="498"/>
        <v>252.82346871010162</v>
      </c>
      <c r="Y548" s="18">
        <f t="shared" si="499"/>
        <v>-1.5668409874723319</v>
      </c>
      <c r="Z548" s="32" t="str">
        <f t="shared" si="485"/>
        <v>-98.5267926383741+20.016775902006i</v>
      </c>
      <c r="AA548" s="18">
        <f t="shared" si="500"/>
        <v>100.5395453794988</v>
      </c>
      <c r="AB548" s="18">
        <f t="shared" si="501"/>
        <v>2.9411597781472056</v>
      </c>
      <c r="AC548" s="32" t="str">
        <f>IMDIV(IMSUM(COMPLEX(0,2*PI()*O548*Constants!$B$71*Constants!$B$72),COMPLEX(1,0)),IMSUM(COMPLEX(0,2*PI()*O548*Constants!$B$71*Constants!$B$72),COMPLEX(2,0)))</f>
        <v>0.999205927774845+0.0199099362600304i</v>
      </c>
      <c r="AD548" s="18">
        <f t="shared" si="502"/>
        <v>0.99940426838305385</v>
      </c>
      <c r="AE548" s="18">
        <f t="shared" si="503"/>
        <v>1.9923122299385185E-2</v>
      </c>
      <c r="AF548" s="66" t="str">
        <f t="shared" si="504"/>
        <v>-0.00912231862945952+0.0666592395547097i</v>
      </c>
      <c r="AG548" s="64">
        <f t="shared" si="505"/>
        <v>-23.442210771663767</v>
      </c>
      <c r="AH548" s="61">
        <f t="shared" si="506"/>
        <v>97.792523529530598</v>
      </c>
      <c r="AI548" s="50" t="str">
        <f t="shared" si="486"/>
        <v>108.866083054159</v>
      </c>
      <c r="AJ548" s="50" t="str">
        <f t="shared" si="487"/>
        <v>1+10257.2205229486i</v>
      </c>
      <c r="AK548" s="50">
        <f t="shared" si="507"/>
        <v>10257.22057169475</v>
      </c>
      <c r="AL548" s="50">
        <f t="shared" si="508"/>
        <v>1.5706988344971933</v>
      </c>
      <c r="AM548" s="50" t="str">
        <f t="shared" si="488"/>
        <v>1+11.2829425752434i</v>
      </c>
      <c r="AN548" s="50">
        <f t="shared" si="509"/>
        <v>11.327170571516975</v>
      </c>
      <c r="AO548" s="50">
        <f t="shared" si="510"/>
        <v>1.4823979433660388</v>
      </c>
      <c r="AP548" s="50" t="str">
        <f t="shared" si="489"/>
        <v>1-56.2985135502174i</v>
      </c>
      <c r="AQ548" s="50">
        <f t="shared" si="511"/>
        <v>56.307394078966333</v>
      </c>
      <c r="AR548" s="50">
        <f t="shared" si="512"/>
        <v>-1.553035736176392</v>
      </c>
      <c r="AS548" s="59" t="str">
        <f t="shared" si="513"/>
        <v>-0.477119149276888-6.75255863723682i</v>
      </c>
      <c r="AT548" s="50">
        <f t="shared" si="514"/>
        <v>16.610995435646313</v>
      </c>
      <c r="AU548" s="61">
        <f t="shared" si="515"/>
        <v>-94.04166150495935</v>
      </c>
      <c r="AV548" s="32" t="str">
        <f t="shared" si="490"/>
        <v>-0.0000333333333333333</v>
      </c>
      <c r="AW548" s="32" t="str">
        <f t="shared" si="491"/>
        <v>0.601756937346317i</v>
      </c>
      <c r="AX548" s="32">
        <f t="shared" si="516"/>
        <v>0.60175693734631697</v>
      </c>
      <c r="AY548" s="32">
        <f t="shared" si="517"/>
        <v>1.5707963267948966</v>
      </c>
      <c r="AZ548" s="32" t="str">
        <f t="shared" si="492"/>
        <v>1+245.508472702057i</v>
      </c>
      <c r="BA548" s="32">
        <f t="shared" si="518"/>
        <v>245.51050928320089</v>
      </c>
      <c r="BB548" s="32">
        <f t="shared" si="519"/>
        <v>1.5667231701384836</v>
      </c>
      <c r="BC548" s="32" t="str">
        <f t="shared" si="493"/>
        <v>1+11784.4066896987i</v>
      </c>
      <c r="BD548" s="32">
        <f t="shared" si="520"/>
        <v>11784.406732127649</v>
      </c>
      <c r="BE548" s="32">
        <f t="shared" si="521"/>
        <v>1.5707114688954766</v>
      </c>
      <c r="BF548" s="59" t="str">
        <f t="shared" si="522"/>
        <v>-0.0000106042951670333+0.00265883766168343i</v>
      </c>
      <c r="BG548" s="50">
        <f t="shared" si="523"/>
        <v>-51.506094482564571</v>
      </c>
      <c r="BH548" s="61">
        <f t="shared" si="524"/>
        <v>90.228512686212966</v>
      </c>
      <c r="BI548" s="59" t="str">
        <f t="shared" si="525"/>
        <v>-0.000177139360867885-0.0000249616385857315i</v>
      </c>
      <c r="BJ548" s="64">
        <f t="shared" si="526"/>
        <v>-74.948305254228359</v>
      </c>
      <c r="BK548" s="61">
        <f t="shared" si="527"/>
        <v>-171.97896378425639</v>
      </c>
      <c r="BL548" s="59" t="str">
        <f t="shared" si="478"/>
        <v>0.0179590167296998-0.00119697623828579i</v>
      </c>
      <c r="BM548" s="64">
        <f t="shared" si="528"/>
        <v>-34.895099046918247</v>
      </c>
      <c r="BN548" s="61">
        <f t="shared" si="479"/>
        <v>-3.8131488187463813</v>
      </c>
      <c r="BO548" s="50">
        <f t="shared" si="529"/>
        <v>-74.948305254228359</v>
      </c>
      <c r="BP548" s="61">
        <f t="shared" si="530"/>
        <v>-171.97896378425639</v>
      </c>
    </row>
    <row r="549" spans="14:68" x14ac:dyDescent="0.25">
      <c r="N549" s="11">
        <v>31</v>
      </c>
      <c r="O549" s="51">
        <f t="shared" si="480"/>
        <v>2041737.9446695296</v>
      </c>
      <c r="P549" s="49" t="str">
        <f t="shared" si="481"/>
        <v>25.6231073841137</v>
      </c>
      <c r="Q549" s="18" t="str">
        <f t="shared" si="482"/>
        <v>1+11093.9305350349i</v>
      </c>
      <c r="R549" s="18">
        <f t="shared" si="494"/>
        <v>11093.930580104588</v>
      </c>
      <c r="S549" s="18">
        <f t="shared" si="495"/>
        <v>1.5707061874169608</v>
      </c>
      <c r="T549" s="18" t="str">
        <f t="shared" si="483"/>
        <v>1+11.5457560695528i</v>
      </c>
      <c r="U549" s="18">
        <f t="shared" si="496"/>
        <v>11.588981112143351</v>
      </c>
      <c r="V549" s="18">
        <f t="shared" si="497"/>
        <v>1.4844000225730756</v>
      </c>
      <c r="W549" s="32" t="str">
        <f t="shared" si="484"/>
        <v>1-258.710460077015i</v>
      </c>
      <c r="X549" s="18">
        <f t="shared" si="498"/>
        <v>258.71239273227866</v>
      </c>
      <c r="Y549" s="18">
        <f t="shared" si="499"/>
        <v>-1.5669310210801557</v>
      </c>
      <c r="Z549" s="32" t="str">
        <f t="shared" si="485"/>
        <v>-103.217345867583+20.4830265085769i</v>
      </c>
      <c r="AA549" s="18">
        <f t="shared" si="500"/>
        <v>105.23010435659236</v>
      </c>
      <c r="AB549" s="18">
        <f t="shared" si="501"/>
        <v>2.9456921700431158</v>
      </c>
      <c r="AC549" s="32" t="str">
        <f>IMDIV(IMSUM(COMPLEX(0,2*PI()*O549*Constants!$B$71*Constants!$B$72),COMPLEX(1,0)),IMSUM(COMPLEX(0,2*PI()*O549*Constants!$B$71*Constants!$B$72),COMPLEX(2,0)))</f>
        <v>0.999241612703996+0.0194581216131219i</v>
      </c>
      <c r="AD549" s="18">
        <f t="shared" si="502"/>
        <v>0.99943104767462254</v>
      </c>
      <c r="AE549" s="18">
        <f t="shared" si="503"/>
        <v>1.9470428834457862E-2</v>
      </c>
      <c r="AF549" s="66" t="str">
        <f t="shared" si="504"/>
        <v>-0.00871696042891834+0.0651888385947459i</v>
      </c>
      <c r="AG549" s="64">
        <f t="shared" si="505"/>
        <v>-23.639566477964713</v>
      </c>
      <c r="AH549" s="61">
        <f t="shared" si="506"/>
        <v>97.616331021788341</v>
      </c>
      <c r="AI549" s="50" t="str">
        <f t="shared" si="486"/>
        <v>108.866083054159</v>
      </c>
      <c r="AJ549" s="50" t="str">
        <f t="shared" si="487"/>
        <v>1+10496.1418814116i</v>
      </c>
      <c r="AK549" s="50">
        <f t="shared" si="507"/>
        <v>10496.141929048152</v>
      </c>
      <c r="AL549" s="50">
        <f t="shared" si="508"/>
        <v>1.5707010536928108</v>
      </c>
      <c r="AM549" s="50" t="str">
        <f t="shared" si="488"/>
        <v>1+11.5457560695528i</v>
      </c>
      <c r="AN549" s="50">
        <f t="shared" si="509"/>
        <v>11.588981112143351</v>
      </c>
      <c r="AO549" s="50">
        <f t="shared" si="510"/>
        <v>1.4844000225730756</v>
      </c>
      <c r="AP549" s="50" t="str">
        <f t="shared" si="489"/>
        <v>1-57.6098743917604i</v>
      </c>
      <c r="AQ549" s="50">
        <f t="shared" si="511"/>
        <v>57.618552805796945</v>
      </c>
      <c r="AR549" s="50">
        <f t="shared" si="512"/>
        <v>-1.5534399344445395</v>
      </c>
      <c r="AS549" s="59" t="str">
        <f t="shared" si="513"/>
        <v>-0.477119196052174-6.90935497340227i</v>
      </c>
      <c r="AT549" s="50">
        <f t="shared" si="514"/>
        <v>16.809410078697098</v>
      </c>
      <c r="AU549" s="61">
        <f t="shared" si="515"/>
        <v>-93.950236821539406</v>
      </c>
      <c r="AV549" s="32" t="str">
        <f t="shared" si="490"/>
        <v>-0.0000333333333333333</v>
      </c>
      <c r="AW549" s="32" t="str">
        <f t="shared" si="491"/>
        <v>0.615773657042815i</v>
      </c>
      <c r="AX549" s="32">
        <f t="shared" si="516"/>
        <v>0.61577365704281495</v>
      </c>
      <c r="AY549" s="32">
        <f t="shared" si="517"/>
        <v>1.5707963267948966</v>
      </c>
      <c r="AZ549" s="32" t="str">
        <f t="shared" si="492"/>
        <v>1+251.227099661564i</v>
      </c>
      <c r="BA549" s="32">
        <f t="shared" si="518"/>
        <v>251.22908988483286</v>
      </c>
      <c r="BB549" s="32">
        <f t="shared" si="519"/>
        <v>1.5668158855127368</v>
      </c>
      <c r="BC549" s="32" t="str">
        <f t="shared" si="493"/>
        <v>1+12058.9007837551i</v>
      </c>
      <c r="BD549" s="32">
        <f t="shared" si="520"/>
        <v>12058.900825218248</v>
      </c>
      <c r="BE549" s="32">
        <f t="shared" si="521"/>
        <v>1.5707134004970822</v>
      </c>
      <c r="BF549" s="59" t="str">
        <f t="shared" si="522"/>
        <v>-0.0000101270308263144+0.0025983170272089i</v>
      </c>
      <c r="BG549" s="50">
        <f t="shared" si="523"/>
        <v>-51.706091241110826</v>
      </c>
      <c r="BH549" s="61">
        <f t="shared" si="524"/>
        <v>90.223311159191994</v>
      </c>
      <c r="BI549" s="59" t="str">
        <f t="shared" si="525"/>
        <v>-0.000169292992377726-0.0000233095960859453i</v>
      </c>
      <c r="BJ549" s="64">
        <f t="shared" si="526"/>
        <v>-75.345657719075518</v>
      </c>
      <c r="BK549" s="61">
        <f t="shared" si="527"/>
        <v>-172.16035781901968</v>
      </c>
      <c r="BL549" s="59" t="str">
        <f t="shared" si="478"/>
        <v>0.0179575264752279-0.00116973568030499i</v>
      </c>
      <c r="BM549" s="64">
        <f t="shared" si="528"/>
        <v>-34.896681162413707</v>
      </c>
      <c r="BN549" s="61">
        <f t="shared" si="479"/>
        <v>-3.7269256623474107</v>
      </c>
      <c r="BO549" s="50">
        <f t="shared" si="529"/>
        <v>-75.345657719075518</v>
      </c>
      <c r="BP549" s="61">
        <f t="shared" si="530"/>
        <v>-172.16035781901968</v>
      </c>
    </row>
    <row r="550" spans="14:68" x14ac:dyDescent="0.25">
      <c r="N550" s="11">
        <v>32</v>
      </c>
      <c r="O550" s="51">
        <f t="shared" si="480"/>
        <v>2089296.1308540432</v>
      </c>
      <c r="P550" s="49" t="str">
        <f t="shared" si="481"/>
        <v>25.6231073841137</v>
      </c>
      <c r="Q550" s="18" t="str">
        <f t="shared" si="482"/>
        <v>1+11352.3413733508i</v>
      </c>
      <c r="R550" s="18">
        <f t="shared" si="494"/>
        <v>11352.341417394577</v>
      </c>
      <c r="S550" s="18">
        <f t="shared" si="495"/>
        <v>1.5707082392396932</v>
      </c>
      <c r="T550" s="18" t="str">
        <f t="shared" si="483"/>
        <v>1+11.8146912765564i</v>
      </c>
      <c r="U550" s="18">
        <f t="shared" si="496"/>
        <v>11.856935943165835</v>
      </c>
      <c r="V550" s="18">
        <f t="shared" si="497"/>
        <v>1.4863572000494891</v>
      </c>
      <c r="W550" s="32" t="str">
        <f t="shared" si="484"/>
        <v>1-264.736600826541i</v>
      </c>
      <c r="X550" s="18">
        <f t="shared" si="498"/>
        <v>264.73848948951741</v>
      </c>
      <c r="Y550" s="18">
        <f t="shared" si="499"/>
        <v>-1.5670190053334103</v>
      </c>
      <c r="Z550" s="32" t="str">
        <f t="shared" si="485"/>
        <v>-108.128958060042+20.9601374869278i</v>
      </c>
      <c r="AA550" s="18">
        <f t="shared" si="500"/>
        <v>110.14172204310789</v>
      </c>
      <c r="AB550" s="18">
        <f t="shared" si="501"/>
        <v>2.9501233801678199</v>
      </c>
      <c r="AC550" s="32" t="str">
        <f>IMDIV(IMSUM(COMPLEX(0,2*PI()*O550*Constants!$B$71*Constants!$B$72),COMPLEX(1,0)),IMSUM(COMPLEX(0,2*PI()*O550*Constants!$B$71*Constants!$B$72),COMPLEX(2,0)))</f>
        <v>0.999275696309594+0.0190164988724787i</v>
      </c>
      <c r="AD550" s="18">
        <f t="shared" si="502"/>
        <v>0.99945662460378482</v>
      </c>
      <c r="AE550" s="18">
        <f t="shared" si="503"/>
        <v>1.9027985792651688E-2</v>
      </c>
      <c r="AF550" s="66" t="str">
        <f t="shared" si="504"/>
        <v>-0.00832939272479797+0.0637488228513734i</v>
      </c>
      <c r="AG550" s="64">
        <f t="shared" si="505"/>
        <v>-23.837039967814746</v>
      </c>
      <c r="AH550" s="61">
        <f t="shared" si="506"/>
        <v>97.444070586535361</v>
      </c>
      <c r="AI550" s="50" t="str">
        <f t="shared" si="486"/>
        <v>108.866083054159</v>
      </c>
      <c r="AJ550" s="50" t="str">
        <f t="shared" si="487"/>
        <v>1+10740.6284332331i</v>
      </c>
      <c r="AK550" s="50">
        <f t="shared" si="507"/>
        <v>10740.62847978531</v>
      </c>
      <c r="AL550" s="50">
        <f t="shared" si="508"/>
        <v>1.5707032223733699</v>
      </c>
      <c r="AM550" s="50" t="str">
        <f t="shared" si="488"/>
        <v>1+11.8146912765564i</v>
      </c>
      <c r="AN550" s="50">
        <f t="shared" si="509"/>
        <v>11.856935943165835</v>
      </c>
      <c r="AO550" s="50">
        <f t="shared" si="510"/>
        <v>1.4863572000494891</v>
      </c>
      <c r="AP550" s="50" t="str">
        <f t="shared" si="489"/>
        <v>1-58.9517807512632i</v>
      </c>
      <c r="AQ550" s="50">
        <f t="shared" si="511"/>
        <v>58.960261649224435</v>
      </c>
      <c r="AR550" s="50">
        <f t="shared" si="512"/>
        <v>-1.5538349375174874</v>
      </c>
      <c r="AS550" s="59" t="str">
        <f t="shared" si="513"/>
        <v>-0.477119240722225-7.06981474103032i</v>
      </c>
      <c r="AT550" s="50">
        <f t="shared" si="514"/>
        <v>17.007895574538871</v>
      </c>
      <c r="AU550" s="61">
        <f t="shared" si="515"/>
        <v>-93.86085507760059</v>
      </c>
      <c r="AV550" s="32" t="str">
        <f t="shared" si="490"/>
        <v>-0.0000333333333333333</v>
      </c>
      <c r="AW550" s="32" t="str">
        <f t="shared" si="491"/>
        <v>0.630116868083006i</v>
      </c>
      <c r="AX550" s="32">
        <f t="shared" si="516"/>
        <v>0.63011686808300604</v>
      </c>
      <c r="AY550" s="32">
        <f t="shared" si="517"/>
        <v>1.5707963267948966</v>
      </c>
      <c r="AZ550" s="32" t="str">
        <f t="shared" si="492"/>
        <v>1+257.078930554699i</v>
      </c>
      <c r="BA550" s="32">
        <f t="shared" si="518"/>
        <v>257.08087547530204</v>
      </c>
      <c r="BB550" s="32">
        <f t="shared" si="519"/>
        <v>1.5669064904935381</v>
      </c>
      <c r="BC550" s="32" t="str">
        <f t="shared" si="493"/>
        <v>1+12339.7886666256i</v>
      </c>
      <c r="BD550" s="32">
        <f t="shared" si="520"/>
        <v>12339.788707144931</v>
      </c>
      <c r="BE550" s="32">
        <f t="shared" si="521"/>
        <v>1.5707152881300679</v>
      </c>
      <c r="BF550" s="59" t="str">
        <f t="shared" si="522"/>
        <v>-9.67124625400746E-06+0.0025391738837681i</v>
      </c>
      <c r="BG550" s="50">
        <f t="shared" si="523"/>
        <v>-51.906088145544359</v>
      </c>
      <c r="BH550" s="61">
        <f t="shared" si="524"/>
        <v>90.218228029592552</v>
      </c>
      <c r="BI550" s="59" t="str">
        <f t="shared" si="525"/>
        <v>-0.000161788790496979-0.0000217663070386537i</v>
      </c>
      <c r="BJ550" s="64">
        <f t="shared" si="526"/>
        <v>-75.743128113359091</v>
      </c>
      <c r="BK550" s="61">
        <f t="shared" si="527"/>
        <v>-172.33770138387209</v>
      </c>
      <c r="BL550" s="59" t="str">
        <f t="shared" si="478"/>
        <v>0.0179561032911725-0.00114311479615442i</v>
      </c>
      <c r="BM550" s="64">
        <f t="shared" si="528"/>
        <v>-34.898192571005481</v>
      </c>
      <c r="BN550" s="61">
        <f t="shared" si="479"/>
        <v>-3.6426270480080039</v>
      </c>
      <c r="BO550" s="50">
        <f t="shared" si="529"/>
        <v>-75.743128113359091</v>
      </c>
      <c r="BP550" s="61">
        <f t="shared" si="530"/>
        <v>-172.33770138387209</v>
      </c>
    </row>
    <row r="551" spans="14:68" x14ac:dyDescent="0.25">
      <c r="N551" s="11">
        <v>33</v>
      </c>
      <c r="O551" s="51">
        <f t="shared" si="480"/>
        <v>2137962.0895022359</v>
      </c>
      <c r="P551" s="49" t="str">
        <f t="shared" si="481"/>
        <v>25.6231073841137</v>
      </c>
      <c r="Q551" s="18" t="str">
        <f t="shared" si="482"/>
        <v>1+11616.7713733287i</v>
      </c>
      <c r="R551" s="18">
        <f t="shared" si="494"/>
        <v>11616.771416369917</v>
      </c>
      <c r="S551" s="18">
        <f t="shared" si="495"/>
        <v>1.5707102443572387</v>
      </c>
      <c r="T551" s="18" t="str">
        <f t="shared" si="483"/>
        <v>1+12.0898907892607i</v>
      </c>
      <c r="U551" s="18">
        <f t="shared" si="496"/>
        <v>12.131177160368679</v>
      </c>
      <c r="V551" s="18">
        <f t="shared" si="497"/>
        <v>1.4882704535069462</v>
      </c>
      <c r="W551" s="32" t="str">
        <f t="shared" si="484"/>
        <v>1-270.903108426026i</v>
      </c>
      <c r="X551" s="18">
        <f t="shared" si="498"/>
        <v>270.90495409808068</v>
      </c>
      <c r="Y551" s="18">
        <f t="shared" si="499"/>
        <v>-1.5671049868770597</v>
      </c>
      <c r="Z551" s="32" t="str">
        <f t="shared" si="485"/>
        <v>-113.272047403719+21.4483618076143i</v>
      </c>
      <c r="AA551" s="18">
        <f t="shared" si="500"/>
        <v>115.28481663801479</v>
      </c>
      <c r="AB551" s="18">
        <f t="shared" si="501"/>
        <v>2.9544555806731916</v>
      </c>
      <c r="AC551" s="32" t="str">
        <f>IMDIV(IMSUM(COMPLEX(0,2*PI()*O551*Constants!$B$71*Constants!$B$72),COMPLEX(1,0)),IMSUM(COMPLEX(0,2*PI()*O551*Constants!$B$71*Constants!$B$72),COMPLEX(2,0)))</f>
        <v>0.999308250244884+0.0185848422063321i</v>
      </c>
      <c r="AD551" s="18">
        <f t="shared" si="502"/>
        <v>0.99948105303068446</v>
      </c>
      <c r="AE551" s="18">
        <f t="shared" si="503"/>
        <v>1.8595563451697172E-2</v>
      </c>
      <c r="AF551" s="66" t="str">
        <f t="shared" si="504"/>
        <v>-0.00795885407251176+0.0623387013979404i</v>
      </c>
      <c r="AG551" s="64">
        <f t="shared" si="505"/>
        <v>-24.034626047128796</v>
      </c>
      <c r="AH551" s="61">
        <f t="shared" si="506"/>
        <v>97.275657890380373</v>
      </c>
      <c r="AI551" s="50" t="str">
        <f t="shared" si="486"/>
        <v>108.866083054159</v>
      </c>
      <c r="AJ551" s="50" t="str">
        <f t="shared" si="487"/>
        <v>1+10990.8098084188i</v>
      </c>
      <c r="AK551" s="50">
        <f t="shared" si="507"/>
        <v>10990.809853911354</v>
      </c>
      <c r="AL551" s="50">
        <f t="shared" si="508"/>
        <v>1.5707053416887333</v>
      </c>
      <c r="AM551" s="50" t="str">
        <f t="shared" si="488"/>
        <v>1+12.0898907892607i</v>
      </c>
      <c r="AN551" s="50">
        <f t="shared" si="509"/>
        <v>12.131177160368679</v>
      </c>
      <c r="AO551" s="50">
        <f t="shared" si="510"/>
        <v>1.4882704535069462</v>
      </c>
      <c r="AP551" s="50" t="str">
        <f t="shared" si="489"/>
        <v>1-60.324944125239i</v>
      </c>
      <c r="AQ551" s="50">
        <f t="shared" si="511"/>
        <v>60.333232001221411</v>
      </c>
      <c r="AR551" s="50">
        <f t="shared" si="512"/>
        <v>-1.5542209543377592</v>
      </c>
      <c r="AS551" s="59" t="str">
        <f t="shared" si="513"/>
        <v>-0.477119283381795-7.23402301801374i</v>
      </c>
      <c r="AT551" s="50">
        <f t="shared" si="514"/>
        <v>17.206448777962038</v>
      </c>
      <c r="AU551" s="61">
        <f t="shared" si="515"/>
        <v>-93.773472291797887</v>
      </c>
      <c r="AV551" s="32" t="str">
        <f t="shared" si="490"/>
        <v>-0.0000333333333333333</v>
      </c>
      <c r="AW551" s="32" t="str">
        <f t="shared" si="491"/>
        <v>0.644794175427236i</v>
      </c>
      <c r="AX551" s="32">
        <f t="shared" si="516"/>
        <v>0.64479417542723605</v>
      </c>
      <c r="AY551" s="32">
        <f t="shared" si="517"/>
        <v>1.5707963267948966</v>
      </c>
      <c r="AZ551" s="32" t="str">
        <f t="shared" si="492"/>
        <v>1+263.067068099653i</v>
      </c>
      <c r="BA551" s="32">
        <f t="shared" si="518"/>
        <v>263.06896874878163</v>
      </c>
      <c r="BB551" s="32">
        <f t="shared" si="519"/>
        <v>1.5669950331148936</v>
      </c>
      <c r="BC551" s="32" t="str">
        <f t="shared" si="493"/>
        <v>1+12627.2192687834i</v>
      </c>
      <c r="BD551" s="32">
        <f t="shared" si="520"/>
        <v>12627.219308380398</v>
      </c>
      <c r="BE551" s="32">
        <f t="shared" si="521"/>
        <v>1.5707171327952818</v>
      </c>
      <c r="BF551" s="59" t="str">
        <f t="shared" si="522"/>
        <v>-9.23597475982609E-06+0.00248137688429987i</v>
      </c>
      <c r="BG551" s="50">
        <f t="shared" si="523"/>
        <v>-52.106085189299222</v>
      </c>
      <c r="BH551" s="61">
        <f t="shared" si="524"/>
        <v>90.213260602613232</v>
      </c>
      <c r="BI551" s="59" t="str">
        <f t="shared" si="525"/>
        <v>-0.00015461230487079-0.0000203246751937183i</v>
      </c>
      <c r="BJ551" s="64">
        <f t="shared" si="526"/>
        <v>-76.140711236428032</v>
      </c>
      <c r="BK551" s="61">
        <f t="shared" si="527"/>
        <v>-172.51108150700634</v>
      </c>
      <c r="BL551" s="59" t="str">
        <f t="shared" si="478"/>
        <v>0.0179547441590512-0.00111709950683093i</v>
      </c>
      <c r="BM551" s="64">
        <f t="shared" si="528"/>
        <v>-34.899636411337191</v>
      </c>
      <c r="BN551" s="61">
        <f t="shared" si="479"/>
        <v>-3.5602116891846589</v>
      </c>
      <c r="BO551" s="50">
        <f t="shared" si="529"/>
        <v>-76.140711236428032</v>
      </c>
      <c r="BP551" s="61">
        <f t="shared" si="530"/>
        <v>-172.51108150700634</v>
      </c>
    </row>
    <row r="552" spans="14:68" x14ac:dyDescent="0.25">
      <c r="N552" s="11">
        <v>34</v>
      </c>
      <c r="O552" s="51">
        <f t="shared" si="480"/>
        <v>2187761.6239495561</v>
      </c>
      <c r="P552" s="49" t="str">
        <f t="shared" si="481"/>
        <v>25.6231073841137</v>
      </c>
      <c r="Q552" s="18" t="str">
        <f t="shared" si="482"/>
        <v>1+11887.3607392549i</v>
      </c>
      <c r="R552" s="18">
        <f t="shared" si="494"/>
        <v>11887.36078131638</v>
      </c>
      <c r="S552" s="18">
        <f t="shared" si="495"/>
        <v>1.5707122038327375</v>
      </c>
      <c r="T552" s="18" t="str">
        <f t="shared" si="483"/>
        <v>1+12.3715005220901i</v>
      </c>
      <c r="U552" s="18">
        <f t="shared" si="496"/>
        <v>12.411850191171162</v>
      </c>
      <c r="V552" s="18">
        <f t="shared" si="497"/>
        <v>1.4901407413182859</v>
      </c>
      <c r="W552" s="32" t="str">
        <f t="shared" si="484"/>
        <v>1-277.213252439426i</v>
      </c>
      <c r="X552" s="18">
        <f t="shared" si="498"/>
        <v>277.21505609913208</v>
      </c>
      <c r="Y552" s="18">
        <f t="shared" si="499"/>
        <v>-1.5671890112945681</v>
      </c>
      <c r="Z552" s="32" t="str">
        <f t="shared" si="485"/>
        <v>-118.65752308066+21.9479583336339i</v>
      </c>
      <c r="AA552" s="18">
        <f t="shared" si="500"/>
        <v>120.6702973339019</v>
      </c>
      <c r="AB552" s="18">
        <f t="shared" si="501"/>
        <v>2.9586909028329256</v>
      </c>
      <c r="AC552" s="32" t="str">
        <f>IMDIV(IMSUM(COMPLEX(0,2*PI()*O552*Constants!$B$71*Constants!$B$72),COMPLEX(1,0)),IMSUM(COMPLEX(0,2*PI()*O552*Constants!$B$71*Constants!$B$72),COMPLEX(2,0)))</f>
        <v>0.999339342974865+0.0181629305141659i</v>
      </c>
      <c r="AD552" s="18">
        <f t="shared" si="502"/>
        <v>0.99950438441374401</v>
      </c>
      <c r="AE552" s="18">
        <f t="shared" si="503"/>
        <v>1.8172937078597511E-2</v>
      </c>
      <c r="AF552" s="66" t="str">
        <f t="shared" si="504"/>
        <v>-0.00760461392702594+0.0609579816404726i</v>
      </c>
      <c r="AG552" s="64">
        <f t="shared" si="505"/>
        <v>-24.232319746317742</v>
      </c>
      <c r="AH552" s="61">
        <f t="shared" si="506"/>
        <v>97.111010182148988</v>
      </c>
      <c r="AI552" s="50" t="str">
        <f t="shared" si="486"/>
        <v>108.866083054159</v>
      </c>
      <c r="AJ552" s="50" t="str">
        <f t="shared" si="487"/>
        <v>1+11246.8186564455i</v>
      </c>
      <c r="AK552" s="50">
        <f t="shared" si="507"/>
        <v>11246.818700902517</v>
      </c>
      <c r="AL552" s="50">
        <f t="shared" si="508"/>
        <v>1.5707074127625902</v>
      </c>
      <c r="AM552" s="50" t="str">
        <f t="shared" si="488"/>
        <v>1+12.3715005220901i</v>
      </c>
      <c r="AN552" s="50">
        <f t="shared" si="509"/>
        <v>12.411850191171162</v>
      </c>
      <c r="AO552" s="50">
        <f t="shared" si="510"/>
        <v>1.4901407413182859</v>
      </c>
      <c r="AP552" s="50" t="str">
        <f t="shared" si="489"/>
        <v>1-61.7300925830851i</v>
      </c>
      <c r="AQ552" s="50">
        <f t="shared" si="511"/>
        <v>61.73819182901503</v>
      </c>
      <c r="AR552" s="50">
        <f t="shared" si="512"/>
        <v>-1.5545981891161591</v>
      </c>
      <c r="AS552" s="59" t="str">
        <f t="shared" si="513"/>
        <v>-0.477119324121369-7.40206686975459i</v>
      </c>
      <c r="AT552" s="50">
        <f t="shared" si="514"/>
        <v>17.405066681509581</v>
      </c>
      <c r="AU552" s="61">
        <f t="shared" si="515"/>
        <v>-93.688045318212303</v>
      </c>
      <c r="AV552" s="32" t="str">
        <f t="shared" si="490"/>
        <v>-0.0000333333333333333</v>
      </c>
      <c r="AW552" s="32" t="str">
        <f t="shared" si="491"/>
        <v>0.659813361178138i</v>
      </c>
      <c r="AX552" s="32">
        <f t="shared" si="516"/>
        <v>0.65981336117813805</v>
      </c>
      <c r="AY552" s="32">
        <f t="shared" si="517"/>
        <v>1.5707963267948966</v>
      </c>
      <c r="AZ552" s="32" t="str">
        <f t="shared" si="492"/>
        <v>1+269.19468728622i</v>
      </c>
      <c r="BA552" s="32">
        <f t="shared" si="518"/>
        <v>269.19654467159449</v>
      </c>
      <c r="BB552" s="32">
        <f t="shared" si="519"/>
        <v>1.5670815603177166</v>
      </c>
      <c r="BC552" s="32" t="str">
        <f t="shared" si="493"/>
        <v>1+12921.3449897386i</v>
      </c>
      <c r="BD552" s="32">
        <f t="shared" si="520"/>
        <v>12921.345028434262</v>
      </c>
      <c r="BE552" s="32">
        <f t="shared" si="521"/>
        <v>1.5707189354707893</v>
      </c>
      <c r="BF552" s="59" t="str">
        <f t="shared" si="522"/>
        <v>-8.82029315656179E-06+0.00242489539472437i</v>
      </c>
      <c r="BG552" s="50">
        <f t="shared" si="523"/>
        <v>-52.306082366105215</v>
      </c>
      <c r="BH552" s="61">
        <f t="shared" si="524"/>
        <v>90.20840624477681</v>
      </c>
      <c r="BI552" s="59" t="str">
        <f t="shared" si="525"/>
        <v>-0.000147749654027496-0.0000189780605586033i</v>
      </c>
      <c r="BJ552" s="64">
        <f t="shared" si="526"/>
        <v>-76.538402112422958</v>
      </c>
      <c r="BK552" s="61">
        <f t="shared" si="527"/>
        <v>-172.68058357307419</v>
      </c>
      <c r="BL552" s="59" t="str">
        <f t="shared" si="478"/>
        <v>0.0179534461962191-0.0010916760520402i</v>
      </c>
      <c r="BM552" s="64">
        <f t="shared" si="528"/>
        <v>-34.901015684595656</v>
      </c>
      <c r="BN552" s="61">
        <f t="shared" si="479"/>
        <v>-3.4796390734354961</v>
      </c>
      <c r="BO552" s="50">
        <f t="shared" si="529"/>
        <v>-76.538402112422958</v>
      </c>
      <c r="BP552" s="61">
        <f t="shared" si="530"/>
        <v>-172.68058357307419</v>
      </c>
    </row>
    <row r="553" spans="14:68" x14ac:dyDescent="0.25">
      <c r="N553" s="11">
        <v>35</v>
      </c>
      <c r="O553" s="51">
        <f t="shared" si="480"/>
        <v>2238721.1385683389</v>
      </c>
      <c r="P553" s="49" t="str">
        <f t="shared" si="481"/>
        <v>25.6231073841137</v>
      </c>
      <c r="Q553" s="18" t="str">
        <f t="shared" si="482"/>
        <v>1+12164.2529411929i</v>
      </c>
      <c r="R553" s="18">
        <f t="shared" si="494"/>
        <v>12164.252982296946</v>
      </c>
      <c r="S553" s="18">
        <f t="shared" si="495"/>
        <v>1.5707141187051288</v>
      </c>
      <c r="T553" s="18" t="str">
        <f t="shared" si="483"/>
        <v>1+12.6596697882524i</v>
      </c>
      <c r="U553" s="18">
        <f t="shared" si="496"/>
        <v>12.699103871832474</v>
      </c>
      <c r="V553" s="18">
        <f t="shared" si="497"/>
        <v>1.4919690027679262</v>
      </c>
      <c r="W553" s="32" t="str">
        <f t="shared" si="484"/>
        <v>1-283.670378588619i</v>
      </c>
      <c r="X553" s="18">
        <f t="shared" si="498"/>
        <v>283.67214119227572</v>
      </c>
      <c r="Y553" s="18">
        <f t="shared" si="499"/>
        <v>-1.5672711231320455</v>
      </c>
      <c r="Z553" s="32" t="str">
        <f t="shared" si="485"/>
        <v>-124.296808406817+22.4591919576774i</v>
      </c>
      <c r="AA553" s="18">
        <f t="shared" si="500"/>
        <v>126.30958745682281</v>
      </c>
      <c r="AB553" s="18">
        <f t="shared" si="501"/>
        <v>2.9628314374204998</v>
      </c>
      <c r="AC553" s="32" t="str">
        <f>IMDIV(IMSUM(COMPLEX(0,2*PI()*O553*Constants!$B$71*Constants!$B$72),COMPLEX(1,0)),IMSUM(COMPLEX(0,2*PI()*O553*Constants!$B$71*Constants!$B$72),COMPLEX(2,0)))</f>
        <v>0.999369039916574+0.0177505473461072i</v>
      </c>
      <c r="AD553" s="18">
        <f t="shared" si="502"/>
        <v>0.99952666791579958</v>
      </c>
      <c r="AE553" s="18">
        <f t="shared" si="503"/>
        <v>1.7759886831976879E-2</v>
      </c>
      <c r="AF553" s="66" t="str">
        <f t="shared" si="504"/>
        <v>-0.00726597153821045+0.0596061701538481i</v>
      </c>
      <c r="AG553" s="64">
        <f t="shared" si="505"/>
        <v>-24.430116310982189</v>
      </c>
      <c r="AH553" s="61">
        <f t="shared" si="506"/>
        <v>96.950046278563846</v>
      </c>
      <c r="AI553" s="50" t="str">
        <f t="shared" si="486"/>
        <v>108.866083054159</v>
      </c>
      <c r="AJ553" s="50" t="str">
        <f t="shared" si="487"/>
        <v>1+11508.7907165931i</v>
      </c>
      <c r="AK553" s="50">
        <f t="shared" si="507"/>
        <v>11508.79076003815</v>
      </c>
      <c r="AL553" s="50">
        <f t="shared" si="508"/>
        <v>1.5707094366930512</v>
      </c>
      <c r="AM553" s="50" t="str">
        <f t="shared" si="488"/>
        <v>1+12.6596697882524i</v>
      </c>
      <c r="AN553" s="50">
        <f t="shared" si="509"/>
        <v>12.699103871832474</v>
      </c>
      <c r="AO553" s="50">
        <f t="shared" si="510"/>
        <v>1.4919690027679262</v>
      </c>
      <c r="AP553" s="50" t="str">
        <f t="shared" si="489"/>
        <v>1-63.1679711531129i</v>
      </c>
      <c r="AQ553" s="50">
        <f t="shared" si="511"/>
        <v>63.175886061063707</v>
      </c>
      <c r="AR553" s="50">
        <f t="shared" si="512"/>
        <v>-1.554966841437851</v>
      </c>
      <c r="AS553" s="59" t="str">
        <f t="shared" si="513"/>
        <v>-0.477119363027358-7.5740353953273i</v>
      </c>
      <c r="AT553" s="50">
        <f>20*LOG(IMABS(AS553))</f>
        <v>17.603746409606803</v>
      </c>
      <c r="AU553" s="61">
        <f t="shared" si="515"/>
        <v>-93.604531838115534</v>
      </c>
      <c r="AV553" s="32" t="str">
        <f t="shared" si="490"/>
        <v>-0.0000333333333333333</v>
      </c>
      <c r="AW553" s="32" t="str">
        <f t="shared" si="491"/>
        <v>0.675182388706797i</v>
      </c>
      <c r="AX553" s="32">
        <f t="shared" si="516"/>
        <v>0.67518238870679703</v>
      </c>
      <c r="AY553" s="32">
        <f t="shared" si="517"/>
        <v>1.5707963267948966</v>
      </c>
      <c r="AZ553" s="32" t="str">
        <f t="shared" si="492"/>
        <v>1+275.465037059196i</v>
      </c>
      <c r="BA553" s="32">
        <f t="shared" si="518"/>
        <v>275.46685216559945</v>
      </c>
      <c r="BB553" s="32">
        <f t="shared" si="519"/>
        <v>1.5671661179746903</v>
      </c>
      <c r="BC553" s="32" t="str">
        <f t="shared" si="493"/>
        <v>1+13222.3217788414i</v>
      </c>
      <c r="BD553" s="32">
        <f t="shared" si="520"/>
        <v>13222.32181665624</v>
      </c>
      <c r="BE553" s="32">
        <f t="shared" si="521"/>
        <v>1.570720697112393</v>
      </c>
      <c r="BF553" s="59" t="str">
        <f t="shared" si="522"/>
        <v>-8.42331980257826E-06+0.0023696994777515i</v>
      </c>
      <c r="BG553" s="50">
        <f t="shared" si="523"/>
        <v>-52.506079669974078</v>
      </c>
      <c r="BH553" s="61">
        <f t="shared" si="524"/>
        <v>90.203662382535612</v>
      </c>
      <c r="BI553" s="59" t="str">
        <f t="shared" si="525"/>
        <v>-0.000141187506682398-0.0000177202507928673i</v>
      </c>
      <c r="BJ553" s="64">
        <f t="shared" si="526"/>
        <v>-76.936195980956285</v>
      </c>
      <c r="BK553" s="61">
        <f t="shared" si="527"/>
        <v>-172.84629133890053</v>
      </c>
      <c r="BL553" s="59" t="str">
        <f t="shared" si="478"/>
        <v>0.0179522066497573-0.00106683098306017i</v>
      </c>
      <c r="BM553" s="64">
        <f t="shared" si="528"/>
        <v>-34.902333260367264</v>
      </c>
      <c r="BN553" s="61">
        <f t="shared" si="479"/>
        <v>-3.4008694555798948</v>
      </c>
      <c r="BO553" s="50">
        <f t="shared" si="529"/>
        <v>-76.936195980956285</v>
      </c>
      <c r="BP553" s="61">
        <f t="shared" si="530"/>
        <v>-172.84629133890053</v>
      </c>
    </row>
    <row r="554" spans="14:68" x14ac:dyDescent="0.25">
      <c r="N554" s="11">
        <v>36</v>
      </c>
      <c r="O554" s="51">
        <f t="shared" si="480"/>
        <v>2290867.6527677765</v>
      </c>
      <c r="P554" s="49" t="str">
        <f t="shared" si="481"/>
        <v>25.6231073841137</v>
      </c>
      <c r="Q554" s="18" t="str">
        <f t="shared" si="482"/>
        <v>1+12447.5947910533i</v>
      </c>
      <c r="R554" s="18">
        <f t="shared" si="494"/>
        <v>12447.594831221702</v>
      </c>
      <c r="S554" s="18">
        <f t="shared" si="495"/>
        <v>1.5707159899897039</v>
      </c>
      <c r="T554" s="18" t="str">
        <f t="shared" si="483"/>
        <v>1+12.9545513789072i</v>
      </c>
      <c r="U554" s="18">
        <f t="shared" si="496"/>
        <v>12.993090526458531</v>
      </c>
      <c r="V554" s="18">
        <f t="shared" si="497"/>
        <v>1.4937561583087264</v>
      </c>
      <c r="W554" s="32" t="str">
        <f t="shared" si="484"/>
        <v>1-290.277910527364i</v>
      </c>
      <c r="X554" s="18">
        <f t="shared" si="498"/>
        <v>290.27963300950404</v>
      </c>
      <c r="Y554" s="18">
        <f t="shared" si="499"/>
        <v>-1.5673513659218434</v>
      </c>
      <c r="Z554" s="32" t="str">
        <f t="shared" si="485"/>
        <v>-130.201865062444+22.9823337425797i</v>
      </c>
      <c r="AA554" s="18">
        <f t="shared" si="500"/>
        <v>132.21464869670908</v>
      </c>
      <c r="AB554" s="18">
        <f t="shared" si="501"/>
        <v>2.9668792351133866</v>
      </c>
      <c r="AC554" s="32" t="str">
        <f>IMDIV(IMSUM(COMPLEX(0,2*PI()*O554*Constants!$B$71*Constants!$B$72),COMPLEX(1,0)),IMSUM(COMPLEX(0,2*PI()*O554*Constants!$B$71*Constants!$B$72),COMPLEX(2,0)))</f>
        <v>0.999397403573328+0.01734748082237i</v>
      </c>
      <c r="AD554" s="18">
        <f t="shared" si="502"/>
        <v>0.99954795050562328</v>
      </c>
      <c r="AE554" s="18">
        <f t="shared" si="503"/>
        <v>1.735619766559976E-2</v>
      </c>
      <c r="AF554" s="66" t="str">
        <f t="shared" si="504"/>
        <v>-0.00694225487206834+0.0582827734518544i</v>
      </c>
      <c r="AG554" s="64">
        <f t="shared" si="505"/>
        <v>-24.628011192957633</v>
      </c>
      <c r="AH554" s="61">
        <f t="shared" si="506"/>
        <v>96.792686548891183</v>
      </c>
      <c r="AI554" s="50" t="str">
        <f t="shared" si="486"/>
        <v>108.866083054159</v>
      </c>
      <c r="AJ554" s="50" t="str">
        <f t="shared" si="487"/>
        <v>1+11776.8648899156i</v>
      </c>
      <c r="AK554" s="50">
        <f t="shared" si="507"/>
        <v>11776.864932371718</v>
      </c>
      <c r="AL554" s="50">
        <f t="shared" si="508"/>
        <v>1.570711414553231</v>
      </c>
      <c r="AM554" s="50" t="str">
        <f t="shared" si="488"/>
        <v>1+12.9545513789072i</v>
      </c>
      <c r="AN554" s="50">
        <f t="shared" si="509"/>
        <v>12.993090526458531</v>
      </c>
      <c r="AO554" s="50">
        <f t="shared" si="510"/>
        <v>1.4937561583087264</v>
      </c>
      <c r="AP554" s="50" t="str">
        <f t="shared" si="489"/>
        <v>1-64.6393422175736i</v>
      </c>
      <c r="AQ554" s="50">
        <f t="shared" si="511"/>
        <v>64.647076982030612</v>
      </c>
      <c r="AR554" s="50">
        <f t="shared" si="512"/>
        <v>-1.5553271063661334</v>
      </c>
      <c r="AS554" s="59" t="str">
        <f t="shared" si="513"/>
        <v>-0.477119400182287-7.75001977472067i</v>
      </c>
      <c r="AT554" s="50">
        <f t="shared" si="514"/>
        <v>17.802485212927618</v>
      </c>
      <c r="AU554" s="61">
        <f t="shared" si="515"/>
        <v>-93.522890351232192</v>
      </c>
      <c r="AV554" s="32" t="str">
        <f t="shared" si="490"/>
        <v>-0.0000333333333333333</v>
      </c>
      <c r="AW554" s="32" t="str">
        <f t="shared" si="491"/>
        <v>0.690909406875047i</v>
      </c>
      <c r="AX554" s="32">
        <f t="shared" si="516"/>
        <v>0.69090940687504698</v>
      </c>
      <c r="AY554" s="32">
        <f t="shared" si="517"/>
        <v>1.5707963267948966</v>
      </c>
      <c r="AZ554" s="32" t="str">
        <f t="shared" si="492"/>
        <v>1+281.881442041035i</v>
      </c>
      <c r="BA554" s="32">
        <f t="shared" si="518"/>
        <v>281.88321583083547</v>
      </c>
      <c r="BB554" s="32">
        <f t="shared" si="519"/>
        <v>1.5672487509145636</v>
      </c>
      <c r="BC554" s="32" t="str">
        <f t="shared" si="493"/>
        <v>1+13530.3092179697i</v>
      </c>
      <c r="BD554" s="32">
        <f t="shared" si="520"/>
        <v>13530.30925492377</v>
      </c>
      <c r="BE554" s="32">
        <f t="shared" si="521"/>
        <v>1.5707224186541386</v>
      </c>
      <c r="BF554" s="59" t="str">
        <f t="shared" si="522"/>
        <v>-8.04421273236393E-06+0.00231575987705505i</v>
      </c>
      <c r="BG554" s="50">
        <f t="shared" si="523"/>
        <v>-52.706077095187325</v>
      </c>
      <c r="BH554" s="61">
        <f t="shared" si="524"/>
        <v>90.199026500908403</v>
      </c>
      <c r="BI554" s="59" t="str">
        <f t="shared" si="525"/>
        <v>-0.00013491306330826-0.0000165454343173047i</v>
      </c>
      <c r="BJ554" s="64">
        <f t="shared" si="526"/>
        <v>-77.334088288144983</v>
      </c>
      <c r="BK554" s="61">
        <f t="shared" si="527"/>
        <v>-173.00828695020039</v>
      </c>
      <c r="BL554" s="59" t="str">
        <f t="shared" si="478"/>
        <v>0.0179510228906351-0.00104255115575883i</v>
      </c>
      <c r="BM554" s="64">
        <f t="shared" si="528"/>
        <v>-34.903591882259732</v>
      </c>
      <c r="BN554" s="61">
        <f t="shared" si="479"/>
        <v>-3.3238638503237943</v>
      </c>
      <c r="BO554" s="50">
        <f t="shared" si="529"/>
        <v>-77.334088288144983</v>
      </c>
      <c r="BP554" s="61">
        <f t="shared" si="530"/>
        <v>-173.00828695020039</v>
      </c>
    </row>
    <row r="555" spans="14:68" x14ac:dyDescent="0.25">
      <c r="N555" s="11">
        <v>37</v>
      </c>
      <c r="O555" s="51">
        <f t="shared" si="480"/>
        <v>2344228.8153199251</v>
      </c>
      <c r="P555" s="49" t="str">
        <f t="shared" si="481"/>
        <v>25.6231073841137</v>
      </c>
      <c r="Q555" s="18" t="str">
        <f t="shared" si="482"/>
        <v>1+12737.5365204353i</v>
      </c>
      <c r="R555" s="18">
        <f t="shared" si="494"/>
        <v>12737.536559689359</v>
      </c>
      <c r="S555" s="18">
        <f t="shared" si="495"/>
        <v>1.5707178186786419</v>
      </c>
      <c r="T555" s="18" t="str">
        <f t="shared" si="483"/>
        <v>1+13.2563016441767i</v>
      </c>
      <c r="U555" s="18">
        <f t="shared" si="496"/>
        <v>13.293966047850503</v>
      </c>
      <c r="V555" s="18">
        <f t="shared" si="497"/>
        <v>1.4955031098243778</v>
      </c>
      <c r="W555" s="32" t="str">
        <f t="shared" si="484"/>
        <v>1-297.039351656552i</v>
      </c>
      <c r="X555" s="18">
        <f t="shared" si="498"/>
        <v>297.04103493043647</v>
      </c>
      <c r="Y555" s="18">
        <f t="shared" si="499"/>
        <v>-1.5674297822056154</v>
      </c>
      <c r="Z555" s="32" t="str">
        <f t="shared" si="485"/>
        <v>-136.385218464407+23.5176610650394i</v>
      </c>
      <c r="AA555" s="18">
        <f t="shared" si="500"/>
        <v>138.39800647969642</v>
      </c>
      <c r="AB555" s="18">
        <f t="shared" si="501"/>
        <v>2.9708363069207628</v>
      </c>
      <c r="AC555" s="32" t="str">
        <f>IMDIV(IMSUM(COMPLEX(0,2*PI()*O555*Constants!$B$71*Constants!$B$72),COMPLEX(1,0)),IMSUM(COMPLEX(0,2*PI()*O555*Constants!$B$71*Constants!$B$72),COMPLEX(2,0)))</f>
        <v>0.999424493663198+0.0169535235528655i</v>
      </c>
      <c r="AD555" s="18">
        <f t="shared" si="502"/>
        <v>0.99956827705504792</v>
      </c>
      <c r="AE555" s="18">
        <f t="shared" si="503"/>
        <v>1.6961659233102271E-2</v>
      </c>
      <c r="AF555" s="66" t="str">
        <f t="shared" si="504"/>
        <v>-0.00663281955860936+0.0569872986951368i</v>
      </c>
      <c r="AG555" s="64">
        <f t="shared" si="505"/>
        <v>-24.826000041700212</v>
      </c>
      <c r="AH555" s="61">
        <f t="shared" si="506"/>
        <v>96.638852898657859</v>
      </c>
      <c r="AI555" s="50" t="str">
        <f t="shared" si="486"/>
        <v>108.866083054159</v>
      </c>
      <c r="AJ555" s="50" t="str">
        <f t="shared" si="487"/>
        <v>1+12051.1833128879i</v>
      </c>
      <c r="AK555" s="50">
        <f t="shared" si="507"/>
        <v>12051.183354377603</v>
      </c>
      <c r="AL555" s="50">
        <f t="shared" si="508"/>
        <v>1.5707133473918171</v>
      </c>
      <c r="AM555" s="50" t="str">
        <f t="shared" si="488"/>
        <v>1+13.2563016441767i</v>
      </c>
      <c r="AN555" s="50">
        <f t="shared" si="509"/>
        <v>13.293966047850503</v>
      </c>
      <c r="AO555" s="50">
        <f t="shared" si="510"/>
        <v>1.4955031098243778</v>
      </c>
      <c r="AP555" s="50" t="str">
        <f t="shared" si="489"/>
        <v>1-66.1449859168807i</v>
      </c>
      <c r="AQ555" s="50">
        <f t="shared" si="511"/>
        <v>66.15254463695517</v>
      </c>
      <c r="AR555" s="50">
        <f t="shared" si="512"/>
        <v>-1.5556791745439527</v>
      </c>
      <c r="AS555" s="59" t="str">
        <f t="shared" si="513"/>
        <v>-0.477119435664973-7.93011331718188i</v>
      </c>
      <c r="AT555" s="50">
        <f t="shared" si="514"/>
        <v>18.001280462986969</v>
      </c>
      <c r="AU555" s="61">
        <f t="shared" si="515"/>
        <v>-93.443080166554779</v>
      </c>
      <c r="AV555" s="32" t="str">
        <f t="shared" si="490"/>
        <v>-0.0000333333333333333</v>
      </c>
      <c r="AW555" s="32" t="str">
        <f t="shared" si="491"/>
        <v>0.707002754356088i</v>
      </c>
      <c r="AX555" s="32">
        <f t="shared" si="516"/>
        <v>0.70700275435608795</v>
      </c>
      <c r="AY555" s="32">
        <f t="shared" si="517"/>
        <v>1.5707963267948966</v>
      </c>
      <c r="AZ555" s="32" t="str">
        <f t="shared" si="492"/>
        <v>1+288.447304294585i</v>
      </c>
      <c r="BA555" s="32">
        <f t="shared" si="518"/>
        <v>288.44903770824567</v>
      </c>
      <c r="BB555" s="32">
        <f t="shared" si="519"/>
        <v>1.5673295029458989</v>
      </c>
      <c r="BC555" s="32" t="str">
        <f t="shared" si="493"/>
        <v>1+13845.4706061401i</v>
      </c>
      <c r="BD555" s="32">
        <f t="shared" si="520"/>
        <v>13845.470642252991</v>
      </c>
      <c r="BE555" s="32">
        <f t="shared" si="521"/>
        <v>1.5707241010088104</v>
      </c>
      <c r="BF555" s="59" t="str">
        <f t="shared" si="522"/>
        <v>-7.68216787119089E-06+0.00226304800180503i</v>
      </c>
      <c r="BG555" s="50">
        <f t="shared" si="523"/>
        <v>-52.906074636283648</v>
      </c>
      <c r="BH555" s="61">
        <f t="shared" si="524"/>
        <v>90.194496142148111</v>
      </c>
      <c r="BI555" s="59" t="str">
        <f t="shared" si="525"/>
        <v>-0.000128914038006987-0.000015448175043546i</v>
      </c>
      <c r="BJ555" s="64">
        <f t="shared" si="526"/>
        <v>-77.73207467798386</v>
      </c>
      <c r="BK555" s="61">
        <f t="shared" si="527"/>
        <v>-173.16665095919399</v>
      </c>
      <c r="BL555" s="59" t="str">
        <f t="shared" si="478"/>
        <v>0.0179498924081353-0.0010188237237638i</v>
      </c>
      <c r="BM555" s="64">
        <f t="shared" si="528"/>
        <v>-34.904794173296672</v>
      </c>
      <c r="BN555" s="61">
        <f t="shared" si="479"/>
        <v>-3.2485840244066422</v>
      </c>
      <c r="BO555" s="50">
        <f t="shared" si="529"/>
        <v>-77.73207467798386</v>
      </c>
      <c r="BP555" s="61">
        <f t="shared" si="530"/>
        <v>-173.16665095919399</v>
      </c>
    </row>
    <row r="556" spans="14:68" x14ac:dyDescent="0.25">
      <c r="N556" s="11">
        <v>38</v>
      </c>
      <c r="O556" s="51">
        <f t="shared" si="480"/>
        <v>2398832.9190194933</v>
      </c>
      <c r="P556" s="49" t="str">
        <f t="shared" si="481"/>
        <v>25.6231073841137</v>
      </c>
      <c r="Q556" s="18" t="str">
        <f t="shared" si="482"/>
        <v>1+13034.2318602816i</v>
      </c>
      <c r="R556" s="18">
        <f t="shared" si="494"/>
        <v>13034.231898642127</v>
      </c>
      <c r="S556" s="18">
        <f t="shared" si="495"/>
        <v>1.5707196057415382</v>
      </c>
      <c r="T556" s="18" t="str">
        <f t="shared" si="483"/>
        <v>1+13.5650805760458i</v>
      </c>
      <c r="U556" s="18">
        <f t="shared" si="496"/>
        <v>13.601889980242271</v>
      </c>
      <c r="V556" s="18">
        <f t="shared" si="497"/>
        <v>1.4972107408965203</v>
      </c>
      <c r="W556" s="32" t="str">
        <f t="shared" si="484"/>
        <v>1-303.958286981767i</v>
      </c>
      <c r="X556" s="18">
        <f t="shared" si="498"/>
        <v>303.95993193986976</v>
      </c>
      <c r="Y556" s="18">
        <f t="shared" si="499"/>
        <v>-1.5675064135568531</v>
      </c>
      <c r="Z556" s="32" t="str">
        <f t="shared" si="485"/>
        <v>-142.859984334289+24.0654577626887i</v>
      </c>
      <c r="AA556" s="18">
        <f t="shared" si="500"/>
        <v>144.87277653624596</v>
      </c>
      <c r="AB556" s="18">
        <f t="shared" si="501"/>
        <v>2.9747046246322451</v>
      </c>
      <c r="AC556" s="32" t="str">
        <f>IMDIV(IMSUM(COMPLEX(0,2*PI()*O556*Constants!$B$71*Constants!$B$72),COMPLEX(1,0)),IMSUM(COMPLEX(0,2*PI()*O556*Constants!$B$71*Constants!$B$72),COMPLEX(2,0)))</f>
        <v>0.999450367241913+0.0165684725570849i</v>
      </c>
      <c r="AD556" s="18">
        <f t="shared" si="502"/>
        <v>0.99958769043184492</v>
      </c>
      <c r="AE556" s="18">
        <f t="shared" si="503"/>
        <v>1.6576065793974019E-2</v>
      </c>
      <c r="AF556" s="66" t="str">
        <f t="shared" si="504"/>
        <v>-0.00633704786695063+0.0557192543408485i</v>
      </c>
      <c r="AG556" s="64">
        <f t="shared" si="505"/>
        <v>-25.024078696003219</v>
      </c>
      <c r="AH556" s="61">
        <f t="shared" si="506"/>
        <v>96.488468752537415</v>
      </c>
      <c r="AI556" s="50" t="str">
        <f t="shared" si="486"/>
        <v>108.866083054159</v>
      </c>
      <c r="AJ556" s="50" t="str">
        <f t="shared" si="487"/>
        <v>1+12331.8914327689i</v>
      </c>
      <c r="AK556" s="50">
        <f t="shared" si="507"/>
        <v>12331.891473314181</v>
      </c>
      <c r="AL556" s="50">
        <f t="shared" si="508"/>
        <v>1.5707152362336263</v>
      </c>
      <c r="AM556" s="50" t="str">
        <f t="shared" si="488"/>
        <v>1+13.5650805760458i</v>
      </c>
      <c r="AN556" s="50">
        <f t="shared" si="509"/>
        <v>13.601889980242271</v>
      </c>
      <c r="AO556" s="50">
        <f t="shared" si="510"/>
        <v>1.4972107408965203</v>
      </c>
      <c r="AP556" s="50" t="str">
        <f t="shared" si="489"/>
        <v>1-67.685700563253i</v>
      </c>
      <c r="AQ556" s="50">
        <f t="shared" si="511"/>
        <v>67.693087244846097</v>
      </c>
      <c r="AR556" s="50">
        <f t="shared" si="512"/>
        <v>-1.5560232322932002</v>
      </c>
      <c r="AS556" s="59" t="str">
        <f t="shared" si="513"/>
        <v>-0.477119469550673-8.11441151069099i</v>
      </c>
      <c r="AT556" s="50">
        <f t="shared" si="514"/>
        <v>18.200129646954583</v>
      </c>
      <c r="AU556" s="61">
        <f t="shared" si="515"/>
        <v>-93.365061392760097</v>
      </c>
      <c r="AV556" s="32" t="str">
        <f t="shared" si="490"/>
        <v>-0.0000333333333333333</v>
      </c>
      <c r="AW556" s="32" t="str">
        <f t="shared" si="491"/>
        <v>0.723470964055776i</v>
      </c>
      <c r="AX556" s="32">
        <f t="shared" si="516"/>
        <v>0.72347096405577604</v>
      </c>
      <c r="AY556" s="32">
        <f t="shared" si="517"/>
        <v>1.5707963267948966</v>
      </c>
      <c r="AZ556" s="32" t="str">
        <f t="shared" si="492"/>
        <v>1+295.166105126923i</v>
      </c>
      <c r="BA556" s="32">
        <f t="shared" si="518"/>
        <v>295.1677990835006</v>
      </c>
      <c r="BB556" s="32">
        <f t="shared" si="519"/>
        <v>1.5674084168802769</v>
      </c>
      <c r="BC556" s="32" t="str">
        <f t="shared" si="493"/>
        <v>1+14167.9730460923i</v>
      </c>
      <c r="BD556" s="32">
        <f t="shared" si="520"/>
        <v>14167.973081383161</v>
      </c>
      <c r="BE556" s="32">
        <f t="shared" si="521"/>
        <v>1.5707257450684149</v>
      </c>
      <c r="BF556" s="59" t="str">
        <f t="shared" si="522"/>
        <v>-7.33641733009143E-06+0.00221153591154971i</v>
      </c>
      <c r="BG556" s="50">
        <f t="shared" si="523"/>
        <v>-53.106072288047557</v>
      </c>
      <c r="BH556" s="61">
        <f t="shared" si="524"/>
        <v>90.190068904440082</v>
      </c>
      <c r="BI556" s="59" t="str">
        <f t="shared" si="525"/>
        <v>-0.000123178640711766-0.0000144233886341368i</v>
      </c>
      <c r="BJ556" s="64">
        <f t="shared" si="526"/>
        <v>-78.130150984050772</v>
      </c>
      <c r="BK556" s="61">
        <f t="shared" si="527"/>
        <v>-173.32146234302249</v>
      </c>
      <c r="BL556" s="59" t="str">
        <f t="shared" si="478"/>
        <v>0.0179488128045304-0.000995636131780335i</v>
      </c>
      <c r="BM556" s="64">
        <f t="shared" si="528"/>
        <v>-34.90594264109297</v>
      </c>
      <c r="BN556" s="61">
        <f t="shared" si="479"/>
        <v>-3.1749924883200085</v>
      </c>
      <c r="BO556" s="50">
        <f t="shared" si="529"/>
        <v>-78.130150984050772</v>
      </c>
      <c r="BP556" s="61">
        <f t="shared" si="530"/>
        <v>-173.32146234302249</v>
      </c>
    </row>
    <row r="557" spans="14:68" x14ac:dyDescent="0.25">
      <c r="N557" s="11">
        <v>39</v>
      </c>
      <c r="O557" s="51">
        <f t="shared" si="480"/>
        <v>2454708.915685033</v>
      </c>
      <c r="P557" s="49" t="str">
        <f t="shared" si="481"/>
        <v>25.6231073841137</v>
      </c>
      <c r="Q557" s="18" t="str">
        <f t="shared" si="482"/>
        <v>1+13337.8381223886i</v>
      </c>
      <c r="R557" s="18">
        <f t="shared" si="494"/>
        <v>13337.838159875933</v>
      </c>
      <c r="S557" s="18">
        <f t="shared" si="495"/>
        <v>1.5707213521259173</v>
      </c>
      <c r="T557" s="18" t="str">
        <f t="shared" si="483"/>
        <v>1+13.8810518931914i</v>
      </c>
      <c r="U557" s="18">
        <f t="shared" si="496"/>
        <v>13.91702560396698</v>
      </c>
      <c r="V557" s="18">
        <f t="shared" si="497"/>
        <v>1.4988799170757765</v>
      </c>
      <c r="W557" s="32" t="str">
        <f t="shared" si="484"/>
        <v>1-311.038385014104i</v>
      </c>
      <c r="X557" s="18">
        <f t="shared" si="498"/>
        <v>311.03999252858461</v>
      </c>
      <c r="Y557" s="18">
        <f t="shared" si="499"/>
        <v>-1.5675813006029113</v>
      </c>
      <c r="Z557" s="32" t="str">
        <f t="shared" si="485"/>
        <v>-149.639896518589+24.6260142845877i</v>
      </c>
      <c r="AA557" s="18">
        <f t="shared" si="500"/>
        <v>151.65269272135836</v>
      </c>
      <c r="AB557" s="18">
        <f t="shared" si="501"/>
        <v>2.9784861212852456</v>
      </c>
      <c r="AC557" s="32" t="str">
        <f>IMDIV(IMSUM(COMPLEX(0,2*PI()*O557*Constants!$B$71*Constants!$B$72),COMPLEX(1,0)),IMSUM(COMPLEX(0,2*PI()*O557*Constants!$B$71*Constants!$B$72),COMPLEX(2,0)))</f>
        <v>0.999475078820465+0.0161921291843491i</v>
      </c>
      <c r="AD557" s="18">
        <f t="shared" si="502"/>
        <v>0.99960623158856776</v>
      </c>
      <c r="AE557" s="18">
        <f t="shared" si="503"/>
        <v>1.6199216120820599E-2</v>
      </c>
      <c r="AF557" s="66" t="str">
        <f t="shared" si="504"/>
        <v>-0.006054347708062+0.0544781507376255i</v>
      </c>
      <c r="AG557" s="64">
        <f t="shared" si="505"/>
        <v>-25.222243176034347</v>
      </c>
      <c r="AH557" s="61">
        <f t="shared" si="506"/>
        <v>96.341459036496587</v>
      </c>
      <c r="AI557" s="50" t="str">
        <f t="shared" si="486"/>
        <v>108.866083054159</v>
      </c>
      <c r="AJ557" s="50" t="str">
        <f t="shared" si="487"/>
        <v>1+12619.1380847195i</v>
      </c>
      <c r="AK557" s="50">
        <f t="shared" si="507"/>
        <v>12619.138124341856</v>
      </c>
      <c r="AL557" s="50">
        <f t="shared" si="508"/>
        <v>1.5707170820801473</v>
      </c>
      <c r="AM557" s="50" t="str">
        <f t="shared" si="488"/>
        <v>1+13.8810518931914i</v>
      </c>
      <c r="AN557" s="50">
        <f t="shared" si="509"/>
        <v>13.91702560396698</v>
      </c>
      <c r="AO557" s="50">
        <f t="shared" si="510"/>
        <v>1.4988799170757765</v>
      </c>
      <c r="AP557" s="50" t="str">
        <f t="shared" si="489"/>
        <v>1-69.2623030639901i</v>
      </c>
      <c r="AQ557" s="50">
        <f t="shared" si="511"/>
        <v>69.26952162190824</v>
      </c>
      <c r="AR557" s="50">
        <f t="shared" si="512"/>
        <v>-1.5563594617118366</v>
      </c>
      <c r="AS557" s="59" t="str">
        <f t="shared" si="513"/>
        <v>-0.477119501911263-8.30301207258981i</v>
      </c>
      <c r="AT557" s="50">
        <f t="shared" si="514"/>
        <v>18.399030362679497</v>
      </c>
      <c r="AU557" s="61">
        <f t="shared" si="515"/>
        <v>-93.288794928276204</v>
      </c>
      <c r="AV557" s="32" t="str">
        <f t="shared" si="490"/>
        <v>-0.0000333333333333333</v>
      </c>
      <c r="AW557" s="32" t="str">
        <f t="shared" si="491"/>
        <v>0.740322767636877i</v>
      </c>
      <c r="AX557" s="32">
        <f t="shared" si="516"/>
        <v>0.74032276763687699</v>
      </c>
      <c r="AY557" s="32">
        <f t="shared" si="517"/>
        <v>1.5707963267948966</v>
      </c>
      <c r="AZ557" s="32" t="str">
        <f t="shared" si="492"/>
        <v>1+302.041406935184i</v>
      </c>
      <c r="BA557" s="32">
        <f t="shared" si="518"/>
        <v>302.04306233281608</v>
      </c>
      <c r="BB557" s="32">
        <f t="shared" si="519"/>
        <v>1.5674855345549765</v>
      </c>
      <c r="BC557" s="32" t="str">
        <f t="shared" si="493"/>
        <v>1+14497.9875328888i</v>
      </c>
      <c r="BD557" s="32">
        <f t="shared" si="520"/>
        <v>14497.987567376342</v>
      </c>
      <c r="BE557" s="32">
        <f t="shared" si="521"/>
        <v>1.5707273517046543</v>
      </c>
      <c r="BF557" s="59" t="str">
        <f t="shared" si="522"/>
        <v>-7.00622777754463E-06+0.00216119630143981i</v>
      </c>
      <c r="BG557" s="50">
        <f t="shared" si="523"/>
        <v>-53.306070045498331</v>
      </c>
      <c r="BH557" s="61">
        <f t="shared" si="524"/>
        <v>90.185742440629667</v>
      </c>
      <c r="BI557" s="59" t="str">
        <f t="shared" si="525"/>
        <v>-0.00011769555974435-0.0000134663202072614i</v>
      </c>
      <c r="BJ557" s="64">
        <f t="shared" si="526"/>
        <v>-78.528313221532642</v>
      </c>
      <c r="BK557" s="61">
        <f t="shared" si="527"/>
        <v>-173.47279852287377</v>
      </c>
      <c r="BL557" s="59" t="str">
        <f t="shared" si="478"/>
        <v>0.0179477817899987-0.000972976109055159i</v>
      </c>
      <c r="BM557" s="64">
        <f t="shared" si="528"/>
        <v>-34.907039682818834</v>
      </c>
      <c r="BN557" s="61">
        <f t="shared" si="479"/>
        <v>-3.1030524876465444</v>
      </c>
      <c r="BO557" s="50">
        <f t="shared" si="529"/>
        <v>-78.528313221532642</v>
      </c>
      <c r="BP557" s="61">
        <f t="shared" si="530"/>
        <v>-173.47279852287377</v>
      </c>
    </row>
    <row r="558" spans="14:68" x14ac:dyDescent="0.25">
      <c r="N558" s="11">
        <v>40</v>
      </c>
      <c r="O558" s="51">
        <f t="shared" si="480"/>
        <v>2511886.431509587</v>
      </c>
      <c r="P558" s="49" t="str">
        <f t="shared" si="481"/>
        <v>25.6231073841137</v>
      </c>
      <c r="Q558" s="18" t="str">
        <f t="shared" si="482"/>
        <v>1+13648.5162828154i</v>
      </c>
      <c r="R558" s="18">
        <f t="shared" si="494"/>
        <v>13648.516319449418</v>
      </c>
      <c r="S558" s="18">
        <f t="shared" si="495"/>
        <v>1.570723058757735</v>
      </c>
      <c r="T558" s="18" t="str">
        <f t="shared" si="483"/>
        <v>1+14.2043831277883i</v>
      </c>
      <c r="U558" s="18">
        <f t="shared" si="496"/>
        <v>14.239540022100325</v>
      </c>
      <c r="V558" s="18">
        <f t="shared" si="497"/>
        <v>1.500511486156006</v>
      </c>
      <c r="W558" s="32" t="str">
        <f t="shared" si="484"/>
        <v>1-318.283399715257i</v>
      </c>
      <c r="X558" s="18">
        <f t="shared" si="498"/>
        <v>318.28497063842349</v>
      </c>
      <c r="Y558" s="18">
        <f t="shared" si="499"/>
        <v>-1.5676544830465315</v>
      </c>
      <c r="Z558" s="32" t="str">
        <f t="shared" si="485"/>
        <v>-156.739336120049+25.1996278452245i</v>
      </c>
      <c r="AA558" s="18">
        <f t="shared" si="500"/>
        <v>158.75213614591618</v>
      </c>
      <c r="AB558" s="18">
        <f t="shared" si="501"/>
        <v>2.9821826916487768</v>
      </c>
      <c r="AC558" s="32" t="str">
        <f>IMDIV(IMSUM(COMPLEX(0,2*PI()*O558*Constants!$B$71*Constants!$B$72),COMPLEX(1,0)),IMSUM(COMPLEX(0,2*PI()*O558*Constants!$B$71*Constants!$B$72),COMPLEX(2,0)))</f>
        <v>0.999498680477605+0.0158242990345136i</v>
      </c>
      <c r="AD558" s="18">
        <f t="shared" si="502"/>
        <v>0.99962393964750929</v>
      </c>
      <c r="AE558" s="18">
        <f t="shared" si="503"/>
        <v>1.5830913407936045E-2</v>
      </c>
      <c r="AF558" s="66" t="str">
        <f t="shared" si="504"/>
        <v>-0.00578415166542683+0.053263500669329i</v>
      </c>
      <c r="AG558" s="64">
        <f t="shared" si="505"/>
        <v>-25.420489675683502</v>
      </c>
      <c r="AH558" s="61">
        <f t="shared" si="506"/>
        <v>96.197750159288589</v>
      </c>
      <c r="AI558" s="50" t="str">
        <f t="shared" si="486"/>
        <v>108.866083054159</v>
      </c>
      <c r="AJ558" s="50" t="str">
        <f t="shared" si="487"/>
        <v>1+12913.0755707167i</v>
      </c>
      <c r="AK558" s="50">
        <f t="shared" si="507"/>
        <v>12913.075609437141</v>
      </c>
      <c r="AL558" s="50">
        <f t="shared" si="508"/>
        <v>1.5707188859100722</v>
      </c>
      <c r="AM558" s="50" t="str">
        <f t="shared" si="488"/>
        <v>1+14.2043831277883i</v>
      </c>
      <c r="AN558" s="50">
        <f t="shared" si="509"/>
        <v>14.239540022100325</v>
      </c>
      <c r="AO558" s="50">
        <f t="shared" si="510"/>
        <v>1.500511486156006</v>
      </c>
      <c r="AP558" s="50" t="str">
        <f t="shared" si="489"/>
        <v>1-70.8756293546071i</v>
      </c>
      <c r="AQ558" s="50">
        <f t="shared" si="511"/>
        <v>70.882683614629343</v>
      </c>
      <c r="AR558" s="50">
        <f t="shared" si="512"/>
        <v>-1.5566880407688897</v>
      </c>
      <c r="AS558" s="59" t="str">
        <f t="shared" si="513"/>
        <v>-0.477119532815388-8.49601500139263i</v>
      </c>
      <c r="AT558" s="50">
        <f t="shared" si="514"/>
        <v>18.597980313918459</v>
      </c>
      <c r="AU558" s="61">
        <f t="shared" si="515"/>
        <v>-93.21424245104221</v>
      </c>
      <c r="AV558" s="32" t="str">
        <f t="shared" si="490"/>
        <v>-0.0000333333333333333</v>
      </c>
      <c r="AW558" s="32" t="str">
        <f t="shared" si="491"/>
        <v>0.75756710014871i</v>
      </c>
      <c r="AX558" s="32">
        <f t="shared" si="516"/>
        <v>0.75756710014870998</v>
      </c>
      <c r="AY558" s="32">
        <f t="shared" si="517"/>
        <v>1.5707963267948966</v>
      </c>
      <c r="AZ558" s="32" t="str">
        <f t="shared" si="492"/>
        <v>1+309.076855095394i</v>
      </c>
      <c r="BA558" s="32">
        <f t="shared" si="518"/>
        <v>309.0784728117751</v>
      </c>
      <c r="BB558" s="32">
        <f t="shared" si="519"/>
        <v>1.5675608968551384</v>
      </c>
      <c r="BC558" s="32" t="str">
        <f t="shared" si="493"/>
        <v>1+14835.6890445789i</v>
      </c>
      <c r="BD558" s="32">
        <f t="shared" si="520"/>
        <v>14835.68907828141</v>
      </c>
      <c r="BE558" s="32">
        <f t="shared" si="521"/>
        <v>1.5707289217693881</v>
      </c>
      <c r="BF558" s="59" t="str">
        <f t="shared" si="522"/>
        <v>-6.69089888442063E-06+0.00211200248778712i</v>
      </c>
      <c r="BG558" s="50">
        <f t="shared" si="523"/>
        <v>-53.506067903879327</v>
      </c>
      <c r="BH558" s="61">
        <f t="shared" si="524"/>
        <v>90.181514456978803</v>
      </c>
      <c r="BI558" s="59" t="str">
        <f t="shared" si="525"/>
        <v>-0.000112453944747948-0.0000125725234043282i</v>
      </c>
      <c r="BJ558" s="64">
        <f t="shared" si="526"/>
        <v>-78.926557579562854</v>
      </c>
      <c r="BK558" s="61">
        <f t="shared" si="527"/>
        <v>-173.62073538373261</v>
      </c>
      <c r="BL558" s="59" t="str">
        <f t="shared" si="478"/>
        <v>0.0179467971777678-0.000950831662983089i</v>
      </c>
      <c r="BM558" s="64">
        <f t="shared" si="528"/>
        <v>-34.908087589960857</v>
      </c>
      <c r="BN558" s="61">
        <f t="shared" si="479"/>
        <v>-3.0327279940634133</v>
      </c>
      <c r="BO558" s="50">
        <f t="shared" si="529"/>
        <v>-78.926557579562854</v>
      </c>
      <c r="BP558" s="61">
        <f t="shared" si="530"/>
        <v>-173.62073538373261</v>
      </c>
    </row>
    <row r="559" spans="14:68" x14ac:dyDescent="0.25">
      <c r="N559" s="11">
        <v>41</v>
      </c>
      <c r="O559" s="51">
        <f t="shared" si="480"/>
        <v>2570395.782768866</v>
      </c>
      <c r="P559" s="49" t="str">
        <f t="shared" si="481"/>
        <v>25.6231073841137</v>
      </c>
      <c r="Q559" s="18" t="str">
        <f t="shared" si="482"/>
        <v>1+13966.4310672348i</v>
      </c>
      <c r="R559" s="18">
        <f t="shared" si="494"/>
        <v>13966.431103034925</v>
      </c>
      <c r="S559" s="18">
        <f t="shared" si="495"/>
        <v>1.5707247265418702</v>
      </c>
      <c r="T559" s="18" t="str">
        <f t="shared" si="483"/>
        <v>1+14.5352457143367i</v>
      </c>
      <c r="U559" s="18">
        <f t="shared" si="496"/>
        <v>14.56960424912576</v>
      </c>
      <c r="V559" s="18">
        <f t="shared" si="497"/>
        <v>1.5021062784511063</v>
      </c>
      <c r="W559" s="32" t="str">
        <f t="shared" si="484"/>
        <v>1-325.697172487916i</v>
      </c>
      <c r="X559" s="18">
        <f t="shared" si="498"/>
        <v>325.69870765267603</v>
      </c>
      <c r="Y559" s="18">
        <f t="shared" si="499"/>
        <v>-1.5677259996868764</v>
      </c>
      <c r="Z559" s="32" t="str">
        <f t="shared" si="485"/>
        <v>-164.173362001899+25.7866025821011i</v>
      </c>
      <c r="AA559" s="18">
        <f t="shared" si="500"/>
        <v>166.18616568094288</v>
      </c>
      <c r="AB559" s="18">
        <f t="shared" si="501"/>
        <v>2.9857961927216685</v>
      </c>
      <c r="AC559" s="32" t="str">
        <f>IMDIV(IMSUM(COMPLEX(0,2*PI()*O559*Constants!$B$71*Constants!$B$72),COMPLEX(1,0)),IMSUM(COMPLEX(0,2*PI()*O559*Constants!$B$71*Constants!$B$72),COMPLEX(2,0)))</f>
        <v>0.999521221967457+0.0154647918792072i</v>
      </c>
      <c r="AD559" s="18">
        <f t="shared" si="502"/>
        <v>0.9996408519819433</v>
      </c>
      <c r="AE559" s="18">
        <f t="shared" si="503"/>
        <v>1.5470965181207838E-2</v>
      </c>
      <c r="AF559" s="66" t="str">
        <f t="shared" si="504"/>
        <v>-0.00552591605375631+0.0520748198508219i</v>
      </c>
      <c r="AG559" s="64">
        <f t="shared" si="505"/>
        <v>-25.618814555210847</v>
      </c>
      <c r="AH559" s="61">
        <f t="shared" si="506"/>
        <v>96.05726999337152</v>
      </c>
      <c r="AI559" s="50" t="str">
        <f t="shared" si="486"/>
        <v>108.866083054159</v>
      </c>
      <c r="AJ559" s="50" t="str">
        <f t="shared" si="487"/>
        <v>1+13213.8597403061i</v>
      </c>
      <c r="AK559" s="50">
        <f t="shared" si="507"/>
        <v>13213.859778145155</v>
      </c>
      <c r="AL559" s="50">
        <f t="shared" si="508"/>
        <v>1.5707206486798155</v>
      </c>
      <c r="AM559" s="50" t="str">
        <f t="shared" si="488"/>
        <v>1+14.5352457143367i</v>
      </c>
      <c r="AN559" s="50">
        <f t="shared" si="509"/>
        <v>14.56960424912576</v>
      </c>
      <c r="AO559" s="50">
        <f t="shared" si="510"/>
        <v>1.5021062784511063</v>
      </c>
      <c r="AP559" s="50" t="str">
        <f t="shared" si="489"/>
        <v>1-72.5265348420574i</v>
      </c>
      <c r="AQ559" s="50">
        <f t="shared" si="511"/>
        <v>72.533428542956429</v>
      </c>
      <c r="AR559" s="50">
        <f t="shared" si="512"/>
        <v>-1.5570091433973634</v>
      </c>
      <c r="AS559" s="59" t="str">
        <f t="shared" si="513"/>
        <v>-0.477119562328602-8.69352262980705i</v>
      </c>
      <c r="AT559" s="50">
        <f t="shared" si="514"/>
        <v>18.796977305761583</v>
      </c>
      <c r="AU559" s="61">
        <f t="shared" si="515"/>
        <v>-93.141366408001659</v>
      </c>
      <c r="AV559" s="32" t="str">
        <f t="shared" si="490"/>
        <v>-0.0000333333333333333</v>
      </c>
      <c r="AW559" s="32" t="str">
        <f t="shared" si="491"/>
        <v>0.775213104764626i</v>
      </c>
      <c r="AX559" s="32">
        <f t="shared" si="516"/>
        <v>0.77521310476462602</v>
      </c>
      <c r="AY559" s="32">
        <f t="shared" si="517"/>
        <v>1.5707963267948966</v>
      </c>
      <c r="AZ559" s="32" t="str">
        <f t="shared" si="492"/>
        <v>1+316.27617989529i</v>
      </c>
      <c r="BA559" s="32">
        <f t="shared" si="518"/>
        <v>316.27776078813673</v>
      </c>
      <c r="BB559" s="32">
        <f t="shared" si="519"/>
        <v>1.5676345437354258</v>
      </c>
      <c r="BC559" s="32" t="str">
        <f t="shared" si="493"/>
        <v>1+15181.256634974i</v>
      </c>
      <c r="BD559" s="32">
        <f t="shared" si="520"/>
        <v>15181.256667909351</v>
      </c>
      <c r="BE559" s="32">
        <f t="shared" si="521"/>
        <v>1.5707304560950859</v>
      </c>
      <c r="BF559" s="59" t="str">
        <f t="shared" si="522"/>
        <v>-6.38976183888949E-06+0.00206392839395004i</v>
      </c>
      <c r="BG559" s="50">
        <f t="shared" si="523"/>
        <v>-53.706065858648017</v>
      </c>
      <c r="BH559" s="61">
        <f t="shared" si="524"/>
        <v>90.177382711950898</v>
      </c>
      <c r="BI559" s="59" t="str">
        <f t="shared" si="525"/>
        <v>-0.000107443390012419-0.0000117378407425818i</v>
      </c>
      <c r="BJ559" s="64">
        <f t="shared" si="526"/>
        <v>-79.324880413858892</v>
      </c>
      <c r="BK559" s="61">
        <f t="shared" si="527"/>
        <v>-173.76534729467755</v>
      </c>
      <c r="BL559" s="59" t="str">
        <f t="shared" si="478"/>
        <v>0.017945856879478-0.000929191072853554i</v>
      </c>
      <c r="BM559" s="64">
        <f t="shared" si="528"/>
        <v>-34.909088552886409</v>
      </c>
      <c r="BN559" s="61">
        <f t="shared" si="479"/>
        <v>-2.9639836960507431</v>
      </c>
      <c r="BO559" s="50">
        <f t="shared" si="529"/>
        <v>-79.324880413858892</v>
      </c>
      <c r="BP559" s="61">
        <f t="shared" si="530"/>
        <v>-173.76534729467755</v>
      </c>
    </row>
    <row r="560" spans="14:68" ht="15.75" thickBot="1" x14ac:dyDescent="0.3">
      <c r="N560" s="11">
        <v>42</v>
      </c>
      <c r="O560" s="51">
        <f t="shared" si="480"/>
        <v>2630267.9918953842</v>
      </c>
      <c r="P560" s="49" t="str">
        <f t="shared" si="481"/>
        <v>25.6231073841137</v>
      </c>
      <c r="Q560" s="18" t="str">
        <f t="shared" si="482"/>
        <v>1+14291.7510382735i</v>
      </c>
      <c r="R560" s="18">
        <f t="shared" si="494"/>
        <v>14291.751073258716</v>
      </c>
      <c r="S560" s="18">
        <f t="shared" si="495"/>
        <v>1.5707263563626039</v>
      </c>
      <c r="T560" s="18" t="str">
        <f t="shared" si="483"/>
        <v>1+14.8738150805596i</v>
      </c>
      <c r="U560" s="18">
        <f t="shared" si="496"/>
        <v>14.90739330167022</v>
      </c>
      <c r="V560" s="18">
        <f t="shared" si="497"/>
        <v>1.5036651070737541</v>
      </c>
      <c r="W560" s="32" t="str">
        <f t="shared" si="484"/>
        <v>1-333.28363421254i</v>
      </c>
      <c r="X560" s="18">
        <f t="shared" si="498"/>
        <v>333.28513443284294</v>
      </c>
      <c r="Y560" s="18">
        <f t="shared" si="499"/>
        <v>-1.5677958884400875</v>
      </c>
      <c r="Z560" s="32" t="str">
        <f t="shared" si="485"/>
        <v>-171.957742729734+26.3872497169928i</v>
      </c>
      <c r="AA560" s="18">
        <f t="shared" si="500"/>
        <v>173.97054989949396</v>
      </c>
      <c r="AB560" s="18">
        <f t="shared" si="501"/>
        <v>2.9893284442432804</v>
      </c>
      <c r="AC560" s="32" t="str">
        <f>IMDIV(IMSUM(COMPLEX(0,2*PI()*O560*Constants!$B$71*Constants!$B$72),COMPLEX(1,0)),IMSUM(COMPLEX(0,2*PI()*O560*Constants!$B$71*Constants!$B$72),COMPLEX(2,0)))</f>
        <v>0.999542750822447+0.0151134215836737i</v>
      </c>
      <c r="AD560" s="18">
        <f t="shared" si="502"/>
        <v>0.99965700429380799</v>
      </c>
      <c r="AE560" s="18">
        <f t="shared" si="503"/>
        <v>1.5119183209371733E-2</v>
      </c>
      <c r="AF560" s="66" t="str">
        <f t="shared" si="504"/>
        <v>-0.00527912000577989+0.0509116273788683i</v>
      </c>
      <c r="AG560" s="65">
        <f t="shared" si="505"/>
        <v>-25.817214334185806</v>
      </c>
      <c r="AH560" s="63">
        <f t="shared" si="506"/>
        <v>95.919947855327607</v>
      </c>
      <c r="AI560" s="50" t="str">
        <f t="shared" si="486"/>
        <v>108.866083054159</v>
      </c>
      <c r="AJ560" s="50" t="str">
        <f t="shared" si="487"/>
        <v>1+13521.650073236i</v>
      </c>
      <c r="AK560" s="50">
        <f t="shared" si="507"/>
        <v>13521.650110213735</v>
      </c>
      <c r="AL560" s="50">
        <f t="shared" si="508"/>
        <v>1.5707223713240213</v>
      </c>
      <c r="AM560" s="50" t="str">
        <f t="shared" si="488"/>
        <v>1+14.8738150805596i</v>
      </c>
      <c r="AN560" s="50">
        <f t="shared" si="509"/>
        <v>14.90739330167022</v>
      </c>
      <c r="AO560" s="50">
        <f t="shared" si="510"/>
        <v>1.5036651070737541</v>
      </c>
      <c r="AP560" s="50" t="str">
        <f t="shared" si="489"/>
        <v>1-74.2158948582832i</v>
      </c>
      <c r="AQ560" s="50">
        <f t="shared" si="511"/>
        <v>74.222631653800505</v>
      </c>
      <c r="AR560" s="50">
        <f t="shared" si="512"/>
        <v>-1.5573229395851067</v>
      </c>
      <c r="AS560" s="62" t="str">
        <f t="shared" si="513"/>
        <v>-0.4771195905135-8.89563967899202i</v>
      </c>
      <c r="AT560" s="56">
        <f t="shared" si="514"/>
        <v>18.99601924024681</v>
      </c>
      <c r="AU560" s="63">
        <f t="shared" si="515"/>
        <v>-93.070130004367286</v>
      </c>
      <c r="AV560" s="32" t="str">
        <f t="shared" si="490"/>
        <v>-0.0000333333333333333</v>
      </c>
      <c r="AW560" s="32" t="str">
        <f t="shared" si="491"/>
        <v>0.793270137629848i</v>
      </c>
      <c r="AX560" s="32">
        <f t="shared" si="516"/>
        <v>0.79327013762984799</v>
      </c>
      <c r="AY560" s="32">
        <f t="shared" si="517"/>
        <v>1.5707963267948966</v>
      </c>
      <c r="AZ560" s="32" t="str">
        <f t="shared" si="492"/>
        <v>1+323.643198512177i</v>
      </c>
      <c r="BA560" s="32">
        <f t="shared" si="518"/>
        <v>323.64474341968292</v>
      </c>
      <c r="BB560" s="32">
        <f t="shared" si="519"/>
        <v>1.5677065142411919</v>
      </c>
      <c r="BC560" s="32" t="str">
        <f t="shared" si="493"/>
        <v>1+15534.8735285845i</v>
      </c>
      <c r="BD560" s="32">
        <f t="shared" si="520"/>
        <v>15534.873560770147</v>
      </c>
      <c r="BE560" s="32">
        <f t="shared" si="521"/>
        <v>1.5707319554952668</v>
      </c>
      <c r="BF560" s="62" t="str">
        <f t="shared" si="522"/>
        <v>-6.10217792814639E-06+0.00201694853653872i</v>
      </c>
      <c r="BG560" s="56">
        <f t="shared" si="523"/>
        <v>-53.906063905466496</v>
      </c>
      <c r="BH560" s="63">
        <f t="shared" si="524"/>
        <v>90.173345015023273</v>
      </c>
      <c r="BI560" s="62" t="str">
        <f t="shared" si="525"/>
        <v>-0.000102653918205034-0.0000109583851787474i</v>
      </c>
      <c r="BJ560" s="65">
        <f t="shared" si="526"/>
        <v>-79.723278239652274</v>
      </c>
      <c r="BK560" s="63">
        <f t="shared" si="527"/>
        <v>-173.90670712964911</v>
      </c>
      <c r="BL560" s="62" t="str">
        <f t="shared" si="478"/>
        <v>0.017944958900753-0.000908042883734269i</v>
      </c>
      <c r="BM560" s="65">
        <f t="shared" si="528"/>
        <v>-34.910044665219701</v>
      </c>
      <c r="BN560" s="63">
        <f t="shared" si="479"/>
        <v>-2.8967849893440283</v>
      </c>
      <c r="BO560" s="56">
        <f t="shared" si="529"/>
        <v>-79.723278239652274</v>
      </c>
      <c r="BP560" s="63">
        <f t="shared" si="530"/>
        <v>-173.90670712964911</v>
      </c>
    </row>
    <row r="561" spans="14:34" x14ac:dyDescent="0.25">
      <c r="N561" s="11"/>
      <c r="P561" s="49"/>
      <c r="Q561" s="18"/>
      <c r="R561" s="18"/>
      <c r="S561" s="18"/>
      <c r="T561" s="18"/>
      <c r="U561" s="18"/>
      <c r="V561" s="18"/>
      <c r="W561" s="32"/>
      <c r="X561" s="18"/>
      <c r="Y561" s="18"/>
      <c r="Z561" s="32"/>
      <c r="AA561" s="18"/>
      <c r="AB561" s="18"/>
      <c r="AC561" s="18"/>
      <c r="AD561" s="18"/>
      <c r="AE561" s="18"/>
      <c r="AF561" s="18"/>
      <c r="AG561" s="33"/>
      <c r="AH561" s="32"/>
    </row>
    <row r="562" spans="14:34" x14ac:dyDescent="0.25">
      <c r="N562" s="11"/>
      <c r="P562" s="49"/>
      <c r="Q562" s="18"/>
      <c r="R562" s="18"/>
      <c r="S562" s="18"/>
      <c r="T562" s="18"/>
      <c r="U562" s="18"/>
      <c r="V562" s="18"/>
      <c r="W562" s="32"/>
      <c r="X562" s="18"/>
      <c r="Y562" s="18"/>
      <c r="Z562" s="32"/>
      <c r="AA562" s="18"/>
      <c r="AB562" s="18"/>
      <c r="AC562" s="18"/>
      <c r="AD562" s="18"/>
      <c r="AE562" s="18"/>
      <c r="AF562" s="18"/>
      <c r="AG562" s="33"/>
      <c r="AH562" s="32"/>
    </row>
    <row r="563" spans="14:34" x14ac:dyDescent="0.25">
      <c r="N563" s="11"/>
      <c r="P563" s="49"/>
      <c r="Q563" s="18"/>
      <c r="R563" s="18"/>
      <c r="S563" s="18"/>
      <c r="T563" s="18"/>
      <c r="U563" s="18"/>
      <c r="V563" s="18"/>
      <c r="W563" s="32"/>
      <c r="X563" s="18"/>
      <c r="Y563" s="18"/>
      <c r="Z563" s="32"/>
      <c r="AA563" s="18"/>
      <c r="AB563" s="18"/>
      <c r="AC563" s="18"/>
      <c r="AD563" s="18"/>
      <c r="AE563" s="18"/>
      <c r="AF563" s="18"/>
      <c r="AG563" s="33"/>
      <c r="AH563" s="32"/>
    </row>
    <row r="564" spans="14:34" x14ac:dyDescent="0.25">
      <c r="N564" s="11"/>
      <c r="P564" s="49"/>
      <c r="Q564" s="18"/>
      <c r="R564" s="18"/>
      <c r="S564" s="18"/>
      <c r="T564" s="18"/>
      <c r="U564" s="18"/>
      <c r="V564" s="18"/>
      <c r="W564" s="32"/>
      <c r="X564" s="18"/>
      <c r="Y564" s="18"/>
      <c r="Z564" s="32"/>
      <c r="AA564" s="18"/>
      <c r="AB564" s="18"/>
      <c r="AC564" s="18"/>
      <c r="AD564" s="18"/>
      <c r="AE564" s="18"/>
      <c r="AF564" s="18"/>
      <c r="AG564" s="33"/>
      <c r="AH564" s="32"/>
    </row>
    <row r="565" spans="14:34" x14ac:dyDescent="0.25">
      <c r="N565" s="11"/>
      <c r="P565" s="49"/>
      <c r="Q565" s="18"/>
      <c r="R565" s="18"/>
      <c r="S565" s="18"/>
      <c r="T565" s="18"/>
      <c r="U565" s="18"/>
      <c r="V565" s="18"/>
      <c r="W565" s="32"/>
      <c r="X565" s="18"/>
      <c r="Y565" s="18"/>
      <c r="Z565" s="32"/>
      <c r="AA565" s="18"/>
      <c r="AB565" s="18"/>
      <c r="AC565" s="18"/>
      <c r="AD565" s="18"/>
      <c r="AE565" s="18"/>
      <c r="AF565" s="18"/>
      <c r="AG565" s="33"/>
      <c r="AH565" s="32"/>
    </row>
    <row r="566" spans="14:34" x14ac:dyDescent="0.25">
      <c r="N566" s="11"/>
      <c r="P566" s="49"/>
      <c r="Q566" s="18"/>
      <c r="R566" s="18"/>
      <c r="S566" s="18"/>
      <c r="T566" s="18"/>
      <c r="U566" s="18"/>
      <c r="V566" s="18"/>
      <c r="W566" s="32"/>
      <c r="X566" s="18"/>
      <c r="Y566" s="18"/>
      <c r="Z566" s="32"/>
      <c r="AA566" s="18"/>
      <c r="AB566" s="18"/>
      <c r="AC566" s="18"/>
      <c r="AD566" s="18"/>
      <c r="AE566" s="18"/>
      <c r="AF566" s="18"/>
      <c r="AG566" s="33"/>
      <c r="AH566" s="32"/>
    </row>
    <row r="567" spans="14:34" x14ac:dyDescent="0.25">
      <c r="N567" s="11"/>
      <c r="P567" s="49"/>
      <c r="Q567" s="18"/>
      <c r="R567" s="18"/>
      <c r="S567" s="18"/>
      <c r="T567" s="18"/>
      <c r="U567" s="18"/>
      <c r="V567" s="18"/>
      <c r="W567" s="32"/>
      <c r="X567" s="18"/>
      <c r="Y567" s="18"/>
      <c r="Z567" s="32"/>
      <c r="AA567" s="18"/>
      <c r="AB567" s="18"/>
      <c r="AC567" s="18"/>
      <c r="AD567" s="18"/>
      <c r="AE567" s="18"/>
      <c r="AF567" s="18"/>
      <c r="AG567" s="33"/>
      <c r="AH567" s="32"/>
    </row>
    <row r="568" spans="14:34" x14ac:dyDescent="0.25">
      <c r="N568" s="11"/>
      <c r="P568" s="49"/>
      <c r="Q568" s="18"/>
      <c r="R568" s="18"/>
      <c r="S568" s="18"/>
      <c r="T568" s="18"/>
      <c r="U568" s="18"/>
      <c r="V568" s="18"/>
      <c r="W568" s="32"/>
      <c r="X568" s="18"/>
      <c r="Y568" s="18"/>
      <c r="Z568" s="32"/>
      <c r="AA568" s="18"/>
      <c r="AB568" s="18"/>
      <c r="AC568" s="18"/>
      <c r="AD568" s="18"/>
      <c r="AE568" s="18"/>
      <c r="AF568" s="18"/>
      <c r="AG568" s="33"/>
      <c r="AH568" s="32"/>
    </row>
    <row r="569" spans="14:34" x14ac:dyDescent="0.25">
      <c r="N569" s="11"/>
      <c r="P569" s="49"/>
      <c r="Q569" s="18"/>
      <c r="R569" s="18"/>
      <c r="S569" s="18"/>
      <c r="T569" s="18"/>
      <c r="U569" s="18"/>
      <c r="V569" s="18"/>
      <c r="W569" s="32"/>
      <c r="X569" s="18"/>
      <c r="Y569" s="18"/>
      <c r="Z569" s="32"/>
      <c r="AA569" s="18"/>
      <c r="AB569" s="18"/>
      <c r="AC569" s="18"/>
      <c r="AD569" s="18"/>
      <c r="AE569" s="18"/>
      <c r="AF569" s="18"/>
      <c r="AG569" s="33"/>
      <c r="AH569" s="32"/>
    </row>
    <row r="570" spans="14:34" x14ac:dyDescent="0.25">
      <c r="N570" s="11"/>
      <c r="P570" s="49"/>
      <c r="Q570" s="18"/>
      <c r="R570" s="18"/>
      <c r="S570" s="18"/>
      <c r="T570" s="18"/>
      <c r="U570" s="18"/>
      <c r="V570" s="18"/>
      <c r="W570" s="32"/>
      <c r="X570" s="18"/>
      <c r="Y570" s="18"/>
      <c r="Z570" s="32"/>
      <c r="AA570" s="18"/>
      <c r="AB570" s="18"/>
      <c r="AC570" s="18"/>
      <c r="AD570" s="18"/>
      <c r="AE570" s="18"/>
      <c r="AF570" s="18"/>
      <c r="AG570" s="33"/>
      <c r="AH570" s="32"/>
    </row>
    <row r="571" spans="14:34" x14ac:dyDescent="0.25">
      <c r="N571" s="11"/>
      <c r="P571" s="49"/>
      <c r="Q571" s="18"/>
      <c r="R571" s="18"/>
      <c r="S571" s="18"/>
      <c r="T571" s="18"/>
      <c r="U571" s="18"/>
      <c r="V571" s="18"/>
      <c r="W571" s="32"/>
      <c r="X571" s="18"/>
      <c r="Y571" s="18"/>
      <c r="Z571" s="32"/>
      <c r="AA571" s="18"/>
      <c r="AB571" s="18"/>
      <c r="AC571" s="18"/>
      <c r="AD571" s="18"/>
      <c r="AE571" s="18"/>
      <c r="AF571" s="18"/>
      <c r="AG571" s="33"/>
      <c r="AH571" s="32"/>
    </row>
    <row r="572" spans="14:34" x14ac:dyDescent="0.25">
      <c r="N572" s="11"/>
      <c r="P572" s="49"/>
      <c r="Q572" s="18"/>
      <c r="R572" s="18"/>
      <c r="S572" s="18"/>
      <c r="T572" s="18"/>
      <c r="U572" s="18"/>
      <c r="V572" s="18"/>
      <c r="W572" s="32"/>
      <c r="X572" s="18"/>
      <c r="Y572" s="18"/>
      <c r="Z572" s="32"/>
      <c r="AA572" s="18"/>
      <c r="AB572" s="18"/>
      <c r="AC572" s="18"/>
      <c r="AD572" s="18"/>
      <c r="AE572" s="18"/>
      <c r="AF572" s="18"/>
      <c r="AG572" s="33"/>
      <c r="AH572" s="32"/>
    </row>
    <row r="573" spans="14:34" x14ac:dyDescent="0.25">
      <c r="N573" s="11"/>
      <c r="P573" s="49"/>
      <c r="Q573" s="18"/>
      <c r="R573" s="18"/>
      <c r="S573" s="18"/>
      <c r="T573" s="18"/>
      <c r="U573" s="18"/>
      <c r="V573" s="18"/>
      <c r="W573" s="32"/>
      <c r="X573" s="18"/>
      <c r="Y573" s="18"/>
      <c r="Z573" s="32"/>
      <c r="AA573" s="18"/>
      <c r="AB573" s="18"/>
      <c r="AC573" s="18"/>
      <c r="AD573" s="18"/>
      <c r="AE573" s="18"/>
      <c r="AF573" s="18"/>
      <c r="AG573" s="33"/>
      <c r="AH573" s="32"/>
    </row>
    <row r="574" spans="14:34" x14ac:dyDescent="0.25">
      <c r="N574" s="11"/>
      <c r="P574" s="49"/>
      <c r="Q574" s="18"/>
      <c r="R574" s="18"/>
      <c r="S574" s="18"/>
      <c r="T574" s="18"/>
      <c r="U574" s="18"/>
      <c r="V574" s="18"/>
      <c r="W574" s="32"/>
      <c r="X574" s="18"/>
      <c r="Y574" s="18"/>
      <c r="Z574" s="32"/>
      <c r="AA574" s="18"/>
      <c r="AB574" s="18"/>
      <c r="AC574" s="18"/>
      <c r="AD574" s="18"/>
      <c r="AE574" s="18"/>
      <c r="AF574" s="18"/>
      <c r="AG574" s="33"/>
      <c r="AH574" s="32"/>
    </row>
    <row r="575" spans="14:34" x14ac:dyDescent="0.25">
      <c r="N575" s="11"/>
      <c r="P575" s="49"/>
      <c r="Q575" s="18"/>
      <c r="R575" s="18"/>
      <c r="S575" s="18"/>
      <c r="T575" s="18"/>
      <c r="U575" s="18"/>
      <c r="V575" s="18"/>
      <c r="W575" s="32"/>
      <c r="X575" s="18"/>
      <c r="Y575" s="18"/>
      <c r="Z575" s="32"/>
      <c r="AA575" s="18"/>
      <c r="AB575" s="18"/>
      <c r="AC575" s="18"/>
      <c r="AD575" s="18"/>
      <c r="AE575" s="18"/>
      <c r="AF575" s="18"/>
      <c r="AG575" s="33"/>
      <c r="AH575" s="32"/>
    </row>
    <row r="576" spans="14:34" x14ac:dyDescent="0.25">
      <c r="N576" s="11"/>
      <c r="P576" s="49"/>
      <c r="Q576" s="18"/>
      <c r="R576" s="18"/>
      <c r="S576" s="18"/>
      <c r="T576" s="18"/>
      <c r="U576" s="18"/>
      <c r="V576" s="18"/>
      <c r="W576" s="32"/>
      <c r="X576" s="18"/>
      <c r="Y576" s="18"/>
      <c r="Z576" s="32"/>
      <c r="AA576" s="18"/>
      <c r="AB576" s="18"/>
      <c r="AC576" s="18"/>
      <c r="AD576" s="18"/>
      <c r="AE576" s="18"/>
      <c r="AF576" s="18"/>
      <c r="AG576" s="33"/>
      <c r="AH576" s="32"/>
    </row>
    <row r="577" spans="14:34" x14ac:dyDescent="0.25">
      <c r="N577" s="11"/>
      <c r="P577" s="49"/>
      <c r="Q577" s="18"/>
      <c r="R577" s="18"/>
      <c r="S577" s="18"/>
      <c r="T577" s="18"/>
      <c r="U577" s="18"/>
      <c r="V577" s="18"/>
      <c r="W577" s="32"/>
      <c r="X577" s="18"/>
      <c r="Y577" s="18"/>
      <c r="Z577" s="32"/>
      <c r="AA577" s="18"/>
      <c r="AB577" s="18"/>
      <c r="AC577" s="18"/>
      <c r="AD577" s="18"/>
      <c r="AE577" s="18"/>
      <c r="AF577" s="18"/>
      <c r="AG577" s="33"/>
      <c r="AH577" s="32"/>
    </row>
    <row r="578" spans="14:34" x14ac:dyDescent="0.25">
      <c r="N578" s="11"/>
      <c r="P578" s="49"/>
      <c r="Q578" s="18"/>
      <c r="R578" s="18"/>
      <c r="S578" s="18"/>
      <c r="T578" s="18"/>
      <c r="U578" s="18"/>
      <c r="V578" s="18"/>
      <c r="W578" s="32"/>
      <c r="X578" s="18"/>
      <c r="Y578" s="18"/>
      <c r="Z578" s="32"/>
      <c r="AA578" s="18"/>
      <c r="AB578" s="18"/>
      <c r="AC578" s="18"/>
      <c r="AD578" s="18"/>
      <c r="AE578" s="18"/>
      <c r="AF578" s="18"/>
      <c r="AG578" s="33"/>
      <c r="AH578" s="32"/>
    </row>
    <row r="579" spans="14:34" x14ac:dyDescent="0.25">
      <c r="N579" s="11"/>
      <c r="P579" s="49"/>
      <c r="Q579" s="18"/>
      <c r="R579" s="18"/>
      <c r="S579" s="18"/>
      <c r="T579" s="18"/>
      <c r="U579" s="18"/>
      <c r="V579" s="18"/>
      <c r="W579" s="32"/>
      <c r="X579" s="18"/>
      <c r="Y579" s="18"/>
      <c r="Z579" s="32"/>
      <c r="AA579" s="18"/>
      <c r="AB579" s="18"/>
      <c r="AC579" s="18"/>
      <c r="AD579" s="18"/>
      <c r="AE579" s="18"/>
      <c r="AF579" s="18"/>
      <c r="AG579" s="33"/>
      <c r="AH579" s="32"/>
    </row>
    <row r="580" spans="14:34" x14ac:dyDescent="0.25">
      <c r="N580" s="11"/>
      <c r="P580" s="49"/>
      <c r="Q580" s="18"/>
      <c r="R580" s="18"/>
      <c r="S580" s="18"/>
      <c r="T580" s="18"/>
      <c r="U580" s="18"/>
      <c r="V580" s="18"/>
      <c r="W580" s="32"/>
      <c r="X580" s="18"/>
      <c r="Y580" s="18"/>
      <c r="Z580" s="32"/>
      <c r="AA580" s="18"/>
      <c r="AB580" s="18"/>
      <c r="AC580" s="18"/>
      <c r="AD580" s="18"/>
      <c r="AE580" s="18"/>
      <c r="AF580" s="18"/>
      <c r="AG580" s="33"/>
      <c r="AH580" s="32"/>
    </row>
    <row r="581" spans="14:34" x14ac:dyDescent="0.25">
      <c r="N581" s="11"/>
      <c r="P581" s="49"/>
      <c r="Q581" s="18"/>
      <c r="R581" s="18"/>
      <c r="S581" s="18"/>
      <c r="T581" s="18"/>
      <c r="U581" s="18"/>
      <c r="V581" s="18"/>
      <c r="W581" s="32"/>
      <c r="X581" s="18"/>
      <c r="Y581" s="18"/>
      <c r="Z581" s="32"/>
      <c r="AA581" s="18"/>
      <c r="AB581" s="18"/>
      <c r="AC581" s="18"/>
      <c r="AD581" s="18"/>
      <c r="AE581" s="18"/>
      <c r="AF581" s="18"/>
      <c r="AG581" s="33"/>
      <c r="AH581" s="32"/>
    </row>
    <row r="582" spans="14:34" x14ac:dyDescent="0.25">
      <c r="N582" s="11"/>
      <c r="P582" s="49"/>
      <c r="Q582" s="18"/>
      <c r="R582" s="18"/>
      <c r="S582" s="18"/>
      <c r="T582" s="18"/>
      <c r="U582" s="18"/>
      <c r="V582" s="18"/>
      <c r="W582" s="32"/>
      <c r="X582" s="18"/>
      <c r="Y582" s="18"/>
      <c r="Z582" s="32"/>
      <c r="AA582" s="18"/>
      <c r="AB582" s="18"/>
      <c r="AC582" s="18"/>
      <c r="AD582" s="18"/>
      <c r="AE582" s="18"/>
      <c r="AF582" s="18"/>
      <c r="AG582" s="33"/>
      <c r="AH582" s="32"/>
    </row>
    <row r="583" spans="14:34" x14ac:dyDescent="0.25">
      <c r="N583" s="11"/>
      <c r="P583" s="49"/>
      <c r="Q583" s="18"/>
      <c r="R583" s="18"/>
      <c r="S583" s="18"/>
      <c r="T583" s="18"/>
      <c r="U583" s="18"/>
      <c r="V583" s="18"/>
      <c r="W583" s="32"/>
      <c r="X583" s="18"/>
      <c r="Y583" s="18"/>
      <c r="Z583" s="32"/>
      <c r="AA583" s="18"/>
      <c r="AB583" s="18"/>
      <c r="AC583" s="18"/>
      <c r="AD583" s="18"/>
      <c r="AE583" s="18"/>
      <c r="AF583" s="18"/>
      <c r="AG583" s="33"/>
      <c r="AH583" s="32"/>
    </row>
    <row r="584" spans="14:34" x14ac:dyDescent="0.25">
      <c r="N584" s="11"/>
      <c r="P584" s="49"/>
      <c r="Q584" s="18"/>
      <c r="R584" s="18"/>
      <c r="S584" s="18"/>
      <c r="T584" s="18"/>
      <c r="U584" s="18"/>
      <c r="V584" s="18"/>
      <c r="W584" s="32"/>
      <c r="X584" s="18"/>
      <c r="Y584" s="18"/>
      <c r="Z584" s="32"/>
      <c r="AA584" s="18"/>
      <c r="AB584" s="18"/>
      <c r="AC584" s="18"/>
      <c r="AD584" s="18"/>
      <c r="AE584" s="18"/>
      <c r="AF584" s="18"/>
      <c r="AG584" s="33"/>
      <c r="AH584" s="32"/>
    </row>
    <row r="585" spans="14:34" x14ac:dyDescent="0.25">
      <c r="N585" s="11"/>
      <c r="P585" s="49"/>
      <c r="Q585" s="18"/>
      <c r="R585" s="18"/>
      <c r="S585" s="18"/>
      <c r="T585" s="18"/>
      <c r="U585" s="18"/>
      <c r="V585" s="18"/>
      <c r="W585" s="32"/>
      <c r="X585" s="18"/>
      <c r="Y585" s="18"/>
      <c r="Z585" s="32"/>
      <c r="AA585" s="18"/>
      <c r="AB585" s="18"/>
      <c r="AC585" s="18"/>
      <c r="AD585" s="18"/>
      <c r="AE585" s="18"/>
      <c r="AF585" s="18"/>
      <c r="AG585" s="33"/>
      <c r="AH585" s="32"/>
    </row>
    <row r="586" spans="14:34" x14ac:dyDescent="0.25">
      <c r="N586" s="11"/>
      <c r="P586" s="49"/>
      <c r="Q586" s="18"/>
      <c r="R586" s="18"/>
      <c r="S586" s="18"/>
      <c r="T586" s="18"/>
      <c r="U586" s="18"/>
      <c r="V586" s="18"/>
      <c r="W586" s="32"/>
      <c r="X586" s="18"/>
      <c r="Y586" s="18"/>
      <c r="Z586" s="32"/>
      <c r="AA586" s="18"/>
      <c r="AB586" s="18"/>
      <c r="AC586" s="18"/>
      <c r="AD586" s="18"/>
      <c r="AE586" s="18"/>
      <c r="AF586" s="18"/>
      <c r="AG586" s="33"/>
      <c r="AH586" s="32"/>
    </row>
    <row r="587" spans="14:34" x14ac:dyDescent="0.25">
      <c r="N587" s="11"/>
      <c r="P587" s="49"/>
      <c r="Q587" s="18"/>
      <c r="R587" s="18"/>
      <c r="S587" s="18"/>
      <c r="T587" s="18"/>
      <c r="U587" s="18"/>
      <c r="V587" s="18"/>
      <c r="W587" s="32"/>
      <c r="X587" s="18"/>
      <c r="Y587" s="18"/>
      <c r="Z587" s="32"/>
      <c r="AA587" s="18"/>
      <c r="AB587" s="18"/>
      <c r="AC587" s="18"/>
      <c r="AD587" s="18"/>
      <c r="AE587" s="18"/>
      <c r="AF587" s="18"/>
      <c r="AG587" s="33"/>
      <c r="AH587" s="32"/>
    </row>
    <row r="588" spans="14:34" x14ac:dyDescent="0.25">
      <c r="N588" s="11"/>
      <c r="P588" s="49"/>
      <c r="Q588" s="18"/>
      <c r="R588" s="18"/>
      <c r="S588" s="18"/>
      <c r="T588" s="18"/>
      <c r="U588" s="18"/>
      <c r="V588" s="18"/>
      <c r="W588" s="32"/>
      <c r="X588" s="18"/>
      <c r="Y588" s="18"/>
      <c r="Z588" s="32"/>
      <c r="AA588" s="18"/>
      <c r="AB588" s="18"/>
      <c r="AC588" s="18"/>
      <c r="AD588" s="18"/>
      <c r="AE588" s="18"/>
      <c r="AF588" s="18"/>
      <c r="AG588" s="33"/>
      <c r="AH588" s="32"/>
    </row>
    <row r="589" spans="14:34" x14ac:dyDescent="0.25">
      <c r="N589" s="11"/>
      <c r="P589" s="49"/>
      <c r="Q589" s="18"/>
      <c r="R589" s="18"/>
      <c r="S589" s="18"/>
      <c r="T589" s="18"/>
      <c r="U589" s="18"/>
      <c r="V589" s="18"/>
      <c r="W589" s="32"/>
      <c r="X589" s="18"/>
      <c r="Y589" s="18"/>
      <c r="Z589" s="32"/>
      <c r="AA589" s="18"/>
      <c r="AB589" s="18"/>
      <c r="AC589" s="18"/>
      <c r="AD589" s="18"/>
      <c r="AE589" s="18"/>
      <c r="AF589" s="18"/>
      <c r="AG589" s="33"/>
      <c r="AH589" s="32"/>
    </row>
    <row r="590" spans="14:34" x14ac:dyDescent="0.25">
      <c r="N590" s="11"/>
      <c r="P590" s="49"/>
      <c r="Q590" s="18"/>
      <c r="R590" s="18"/>
      <c r="S590" s="18"/>
      <c r="T590" s="18"/>
      <c r="U590" s="18"/>
      <c r="V590" s="18"/>
      <c r="W590" s="32"/>
      <c r="X590" s="18"/>
      <c r="Y590" s="18"/>
      <c r="Z590" s="32"/>
      <c r="AA590" s="18"/>
      <c r="AB590" s="18"/>
      <c r="AC590" s="18"/>
      <c r="AD590" s="18"/>
      <c r="AE590" s="18"/>
      <c r="AF590" s="18"/>
      <c r="AG590" s="33"/>
      <c r="AH590" s="32"/>
    </row>
    <row r="591" spans="14:34" x14ac:dyDescent="0.25">
      <c r="N591" s="11"/>
      <c r="P591" s="49"/>
      <c r="Q591" s="18"/>
      <c r="R591" s="18"/>
      <c r="S591" s="18"/>
      <c r="T591" s="18"/>
      <c r="U591" s="18"/>
      <c r="V591" s="18"/>
      <c r="W591" s="32"/>
      <c r="X591" s="18"/>
      <c r="Y591" s="18"/>
      <c r="Z591" s="32"/>
      <c r="AA591" s="18"/>
      <c r="AB591" s="18"/>
      <c r="AC591" s="18"/>
      <c r="AD591" s="18"/>
      <c r="AE591" s="18"/>
      <c r="AF591" s="18"/>
      <c r="AG591" s="33"/>
      <c r="AH591" s="32"/>
    </row>
    <row r="592" spans="14:34" x14ac:dyDescent="0.25">
      <c r="N592" s="11"/>
      <c r="P592" s="49"/>
      <c r="Q592" s="18"/>
      <c r="R592" s="18"/>
      <c r="S592" s="18"/>
      <c r="T592" s="18"/>
      <c r="U592" s="18"/>
      <c r="V592" s="18"/>
      <c r="W592" s="32"/>
      <c r="X592" s="18"/>
      <c r="Y592" s="18"/>
      <c r="Z592" s="32"/>
      <c r="AA592" s="18"/>
      <c r="AB592" s="18"/>
      <c r="AC592" s="18"/>
      <c r="AD592" s="18"/>
      <c r="AE592" s="18"/>
      <c r="AF592" s="18"/>
      <c r="AG592" s="33"/>
      <c r="AH592" s="32"/>
    </row>
    <row r="593" spans="14:34" x14ac:dyDescent="0.25">
      <c r="N593" s="11"/>
      <c r="P593" s="49"/>
      <c r="Q593" s="18"/>
      <c r="R593" s="18"/>
      <c r="S593" s="18"/>
      <c r="T593" s="18"/>
      <c r="U593" s="18"/>
      <c r="V593" s="18"/>
      <c r="W593" s="32"/>
      <c r="X593" s="18"/>
      <c r="Y593" s="18"/>
      <c r="Z593" s="32"/>
      <c r="AA593" s="18"/>
      <c r="AB593" s="18"/>
      <c r="AC593" s="18"/>
      <c r="AD593" s="18"/>
      <c r="AE593" s="18"/>
      <c r="AF593" s="18"/>
      <c r="AG593" s="33"/>
      <c r="AH593" s="32"/>
    </row>
    <row r="594" spans="14:34" x14ac:dyDescent="0.25">
      <c r="N594" s="11"/>
      <c r="P594" s="49"/>
      <c r="Q594" s="18"/>
      <c r="R594" s="18"/>
      <c r="S594" s="18"/>
      <c r="T594" s="18"/>
      <c r="U594" s="18"/>
      <c r="V594" s="18"/>
      <c r="W594" s="32"/>
      <c r="X594" s="18"/>
      <c r="Y594" s="18"/>
      <c r="Z594" s="32"/>
      <c r="AA594" s="18"/>
      <c r="AB594" s="18"/>
      <c r="AC594" s="18"/>
      <c r="AD594" s="18"/>
      <c r="AE594" s="18"/>
      <c r="AF594" s="18"/>
      <c r="AG594" s="33"/>
      <c r="AH594" s="32"/>
    </row>
    <row r="595" spans="14:34" x14ac:dyDescent="0.25">
      <c r="N595" s="11"/>
      <c r="P595" s="49"/>
      <c r="Q595" s="18"/>
      <c r="R595" s="18"/>
      <c r="S595" s="18"/>
      <c r="T595" s="18"/>
      <c r="U595" s="18"/>
      <c r="V595" s="18"/>
      <c r="W595" s="32"/>
      <c r="X595" s="18"/>
      <c r="Y595" s="18"/>
      <c r="Z595" s="32"/>
      <c r="AA595" s="18"/>
      <c r="AB595" s="18"/>
      <c r="AC595" s="18"/>
      <c r="AD595" s="18"/>
      <c r="AE595" s="18"/>
      <c r="AF595" s="18"/>
      <c r="AG595" s="33"/>
      <c r="AH595" s="32"/>
    </row>
    <row r="596" spans="14:34" x14ac:dyDescent="0.25">
      <c r="N596" s="11"/>
      <c r="P596" s="49"/>
      <c r="Q596" s="18"/>
      <c r="R596" s="18"/>
      <c r="S596" s="18"/>
      <c r="T596" s="18"/>
      <c r="U596" s="18"/>
      <c r="V596" s="18"/>
      <c r="W596" s="32"/>
      <c r="X596" s="18"/>
      <c r="Y596" s="18"/>
      <c r="Z596" s="32"/>
      <c r="AA596" s="18"/>
      <c r="AB596" s="18"/>
      <c r="AC596" s="18"/>
      <c r="AD596" s="18"/>
      <c r="AE596" s="18"/>
      <c r="AF596" s="18"/>
      <c r="AG596" s="33"/>
      <c r="AH596" s="32"/>
    </row>
    <row r="597" spans="14:34" x14ac:dyDescent="0.25">
      <c r="N597" s="11"/>
      <c r="P597" s="49"/>
      <c r="Q597" s="18"/>
      <c r="R597" s="18"/>
      <c r="S597" s="18"/>
      <c r="T597" s="18"/>
      <c r="U597" s="18"/>
      <c r="V597" s="18"/>
      <c r="W597" s="32"/>
      <c r="X597" s="18"/>
      <c r="Y597" s="18"/>
      <c r="Z597" s="32"/>
      <c r="AA597" s="18"/>
      <c r="AB597" s="18"/>
      <c r="AC597" s="18"/>
      <c r="AD597" s="18"/>
      <c r="AE597" s="18"/>
      <c r="AF597" s="18"/>
      <c r="AG597" s="33"/>
      <c r="AH597" s="32"/>
    </row>
    <row r="598" spans="14:34" x14ac:dyDescent="0.25">
      <c r="N598" s="11"/>
      <c r="P598" s="49"/>
      <c r="Q598" s="18"/>
      <c r="R598" s="18"/>
      <c r="S598" s="18"/>
      <c r="T598" s="18"/>
      <c r="U598" s="18"/>
      <c r="V598" s="18"/>
      <c r="W598" s="32"/>
      <c r="X598" s="18"/>
      <c r="Y598" s="18"/>
      <c r="Z598" s="32"/>
      <c r="AA598" s="18"/>
      <c r="AB598" s="18"/>
      <c r="AC598" s="18"/>
      <c r="AD598" s="18"/>
      <c r="AE598" s="18"/>
      <c r="AF598" s="18"/>
      <c r="AG598" s="33"/>
      <c r="AH598" s="32"/>
    </row>
    <row r="599" spans="14:34" x14ac:dyDescent="0.25">
      <c r="N599" s="11"/>
      <c r="P599" s="49"/>
      <c r="Q599" s="18"/>
      <c r="R599" s="18"/>
      <c r="S599" s="18"/>
      <c r="T599" s="18"/>
      <c r="U599" s="18"/>
      <c r="V599" s="18"/>
      <c r="W599" s="32"/>
      <c r="X599" s="18"/>
      <c r="Y599" s="18"/>
      <c r="Z599" s="32"/>
      <c r="AA599" s="18"/>
      <c r="AB599" s="18"/>
      <c r="AC599" s="18"/>
      <c r="AD599" s="18"/>
      <c r="AE599" s="18"/>
      <c r="AF599" s="18"/>
      <c r="AG599" s="33"/>
      <c r="AH599" s="32"/>
    </row>
    <row r="600" spans="14:34" x14ac:dyDescent="0.25">
      <c r="N600" s="11"/>
      <c r="P600" s="49"/>
      <c r="Q600" s="18"/>
      <c r="R600" s="18"/>
      <c r="S600" s="18"/>
      <c r="T600" s="18"/>
      <c r="U600" s="18"/>
      <c r="V600" s="18"/>
      <c r="W600" s="32"/>
      <c r="X600" s="18"/>
      <c r="Y600" s="18"/>
      <c r="Z600" s="32"/>
      <c r="AA600" s="18"/>
      <c r="AB600" s="18"/>
      <c r="AC600" s="18"/>
      <c r="AD600" s="18"/>
      <c r="AE600" s="18"/>
      <c r="AF600" s="18"/>
      <c r="AG600" s="33"/>
      <c r="AH600" s="32"/>
    </row>
    <row r="601" spans="14:34" x14ac:dyDescent="0.25">
      <c r="N601" s="11"/>
      <c r="P601" s="49"/>
      <c r="Q601" s="18"/>
      <c r="R601" s="18"/>
      <c r="S601" s="18"/>
      <c r="T601" s="18"/>
      <c r="U601" s="18"/>
      <c r="V601" s="18"/>
      <c r="W601" s="32"/>
      <c r="X601" s="18"/>
      <c r="Y601" s="18"/>
      <c r="Z601" s="32"/>
      <c r="AA601" s="18"/>
      <c r="AB601" s="18"/>
      <c r="AC601" s="18"/>
      <c r="AD601" s="18"/>
      <c r="AE601" s="18"/>
      <c r="AF601" s="18"/>
      <c r="AG601" s="33"/>
      <c r="AH601" s="32"/>
    </row>
    <row r="602" spans="14:34" x14ac:dyDescent="0.25">
      <c r="N602" s="11"/>
      <c r="P602" s="49"/>
      <c r="Q602" s="18"/>
      <c r="R602" s="18"/>
      <c r="S602" s="18"/>
      <c r="T602" s="18"/>
      <c r="U602" s="18"/>
      <c r="V602" s="18"/>
      <c r="W602" s="32"/>
      <c r="X602" s="18"/>
      <c r="Y602" s="18"/>
      <c r="Z602" s="32"/>
      <c r="AA602" s="18"/>
      <c r="AB602" s="18"/>
      <c r="AC602" s="18"/>
      <c r="AD602" s="18"/>
      <c r="AE602" s="18"/>
      <c r="AF602" s="18"/>
      <c r="AG602" s="33"/>
      <c r="AH602" s="32"/>
    </row>
    <row r="603" spans="14:34" x14ac:dyDescent="0.25">
      <c r="N603" s="11"/>
      <c r="P603" s="49"/>
      <c r="Q603" s="18"/>
      <c r="R603" s="18"/>
      <c r="S603" s="18"/>
      <c r="T603" s="18"/>
      <c r="U603" s="18"/>
      <c r="V603" s="18"/>
      <c r="W603" s="32"/>
      <c r="X603" s="18"/>
      <c r="Y603" s="18"/>
      <c r="Z603" s="32"/>
      <c r="AA603" s="18"/>
      <c r="AB603" s="18"/>
      <c r="AC603" s="18"/>
      <c r="AD603" s="18"/>
      <c r="AE603" s="18"/>
      <c r="AF603" s="18"/>
      <c r="AG603" s="33"/>
      <c r="AH603" s="32"/>
    </row>
    <row r="604" spans="14:34" x14ac:dyDescent="0.25">
      <c r="N604" s="11"/>
      <c r="P604" s="49"/>
      <c r="Q604" s="18"/>
      <c r="R604" s="18"/>
      <c r="S604" s="18"/>
      <c r="T604" s="18"/>
      <c r="U604" s="18"/>
      <c r="V604" s="18"/>
      <c r="W604" s="32"/>
      <c r="X604" s="18"/>
      <c r="Y604" s="18"/>
      <c r="Z604" s="32"/>
      <c r="AA604" s="18"/>
      <c r="AB604" s="18"/>
      <c r="AC604" s="18"/>
      <c r="AD604" s="18"/>
      <c r="AE604" s="18"/>
      <c r="AF604" s="18"/>
      <c r="AG604" s="33"/>
      <c r="AH604" s="32"/>
    </row>
    <row r="605" spans="14:34" x14ac:dyDescent="0.25">
      <c r="N605" s="11"/>
      <c r="P605" s="49"/>
      <c r="Q605" s="18"/>
      <c r="R605" s="18"/>
      <c r="S605" s="18"/>
      <c r="T605" s="18"/>
      <c r="U605" s="18"/>
      <c r="V605" s="18"/>
      <c r="W605" s="32"/>
      <c r="X605" s="18"/>
      <c r="Y605" s="18"/>
      <c r="Z605" s="32"/>
      <c r="AA605" s="18"/>
      <c r="AB605" s="18"/>
      <c r="AC605" s="18"/>
      <c r="AD605" s="18"/>
      <c r="AE605" s="18"/>
      <c r="AF605" s="18"/>
      <c r="AG605" s="33"/>
      <c r="AH605" s="32"/>
    </row>
    <row r="606" spans="14:34" x14ac:dyDescent="0.25">
      <c r="N606" s="11"/>
      <c r="P606" s="49"/>
      <c r="Q606" s="18"/>
      <c r="R606" s="18"/>
      <c r="S606" s="18"/>
      <c r="T606" s="18"/>
      <c r="U606" s="18"/>
      <c r="V606" s="18"/>
      <c r="W606" s="32"/>
      <c r="X606" s="18"/>
      <c r="Y606" s="18"/>
      <c r="Z606" s="32"/>
      <c r="AA606" s="18"/>
      <c r="AB606" s="18"/>
      <c r="AC606" s="18"/>
      <c r="AD606" s="18"/>
      <c r="AE606" s="18"/>
      <c r="AF606" s="18"/>
      <c r="AG606" s="33"/>
      <c r="AH606" s="32"/>
    </row>
    <row r="607" spans="14:34" x14ac:dyDescent="0.25">
      <c r="N607" s="11"/>
      <c r="P607" s="49"/>
      <c r="Q607" s="18"/>
      <c r="R607" s="18"/>
      <c r="S607" s="18"/>
      <c r="T607" s="18"/>
      <c r="U607" s="18"/>
      <c r="V607" s="18"/>
      <c r="W607" s="32"/>
      <c r="X607" s="18"/>
      <c r="Y607" s="18"/>
      <c r="Z607" s="32"/>
      <c r="AA607" s="18"/>
      <c r="AB607" s="18"/>
      <c r="AC607" s="18"/>
      <c r="AD607" s="18"/>
      <c r="AE607" s="18"/>
      <c r="AF607" s="18"/>
      <c r="AG607" s="33"/>
      <c r="AH607" s="32"/>
    </row>
    <row r="608" spans="14:34" x14ac:dyDescent="0.25">
      <c r="N608" s="11"/>
      <c r="P608" s="49"/>
      <c r="Q608" s="18"/>
      <c r="R608" s="18"/>
      <c r="S608" s="18"/>
      <c r="T608" s="18"/>
      <c r="U608" s="18"/>
      <c r="V608" s="18"/>
      <c r="W608" s="32"/>
      <c r="X608" s="18"/>
      <c r="Y608" s="18"/>
      <c r="Z608" s="32"/>
      <c r="AA608" s="18"/>
      <c r="AB608" s="18"/>
      <c r="AC608" s="18"/>
      <c r="AD608" s="18"/>
      <c r="AE608" s="18"/>
      <c r="AF608" s="18"/>
      <c r="AG608" s="33"/>
      <c r="AH608" s="32"/>
    </row>
    <row r="609" spans="14:34" x14ac:dyDescent="0.25">
      <c r="N609" s="11"/>
      <c r="P609" s="49"/>
      <c r="Q609" s="18"/>
      <c r="R609" s="18"/>
      <c r="S609" s="18"/>
      <c r="T609" s="18"/>
      <c r="U609" s="18"/>
      <c r="V609" s="18"/>
      <c r="W609" s="32"/>
      <c r="X609" s="18"/>
      <c r="Y609" s="18"/>
      <c r="Z609" s="32"/>
      <c r="AA609" s="18"/>
      <c r="AB609" s="18"/>
      <c r="AC609" s="18"/>
      <c r="AD609" s="18"/>
      <c r="AE609" s="18"/>
      <c r="AF609" s="18"/>
      <c r="AG609" s="33"/>
      <c r="AH609" s="32"/>
    </row>
    <row r="610" spans="14:34" x14ac:dyDescent="0.25">
      <c r="N610" s="11"/>
      <c r="P610" s="49"/>
      <c r="Q610" s="18"/>
      <c r="R610" s="18"/>
      <c r="S610" s="18"/>
      <c r="T610" s="18"/>
      <c r="U610" s="18"/>
      <c r="V610" s="18"/>
      <c r="W610" s="32"/>
      <c r="X610" s="18"/>
      <c r="Y610" s="18"/>
      <c r="Z610" s="32"/>
      <c r="AA610" s="18"/>
      <c r="AB610" s="18"/>
      <c r="AC610" s="18"/>
      <c r="AD610" s="18"/>
      <c r="AE610" s="18"/>
      <c r="AF610" s="18"/>
      <c r="AG610" s="33"/>
      <c r="AH610" s="32"/>
    </row>
    <row r="611" spans="14:34" x14ac:dyDescent="0.25">
      <c r="N611" s="11"/>
      <c r="P611" s="49"/>
      <c r="Q611" s="18"/>
      <c r="R611" s="18"/>
      <c r="S611" s="18"/>
      <c r="T611" s="18"/>
      <c r="U611" s="18"/>
      <c r="V611" s="18"/>
      <c r="W611" s="32"/>
      <c r="X611" s="18"/>
      <c r="Y611" s="18"/>
      <c r="Z611" s="32"/>
      <c r="AA611" s="18"/>
      <c r="AB611" s="18"/>
      <c r="AC611" s="18"/>
      <c r="AD611" s="18"/>
      <c r="AE611" s="18"/>
      <c r="AF611" s="18"/>
      <c r="AG611" s="33"/>
      <c r="AH611" s="32"/>
    </row>
    <row r="612" spans="14:34" x14ac:dyDescent="0.25">
      <c r="N612" s="11"/>
      <c r="P612" s="49"/>
      <c r="Q612" s="18"/>
      <c r="R612" s="18"/>
      <c r="S612" s="18"/>
      <c r="T612" s="18"/>
      <c r="U612" s="18"/>
      <c r="V612" s="18"/>
      <c r="W612" s="32"/>
      <c r="X612" s="18"/>
      <c r="Y612" s="18"/>
      <c r="Z612" s="32"/>
      <c r="AA612" s="18"/>
      <c r="AB612" s="18"/>
      <c r="AC612" s="18"/>
      <c r="AD612" s="18"/>
      <c r="AE612" s="18"/>
      <c r="AF612" s="18"/>
      <c r="AG612" s="33"/>
      <c r="AH612" s="32"/>
    </row>
    <row r="613" spans="14:34" x14ac:dyDescent="0.25">
      <c r="N613" s="11"/>
      <c r="P613" s="49"/>
      <c r="Q613" s="18"/>
      <c r="R613" s="18"/>
      <c r="S613" s="18"/>
      <c r="T613" s="18"/>
      <c r="U613" s="18"/>
      <c r="V613" s="18"/>
      <c r="W613" s="32"/>
      <c r="X613" s="18"/>
      <c r="Y613" s="18"/>
      <c r="Z613" s="32"/>
      <c r="AA613" s="18"/>
      <c r="AB613" s="18"/>
      <c r="AC613" s="18"/>
      <c r="AD613" s="18"/>
      <c r="AE613" s="18"/>
      <c r="AF613" s="18"/>
      <c r="AG613" s="33"/>
      <c r="AH613" s="32"/>
    </row>
    <row r="614" spans="14:34" x14ac:dyDescent="0.25">
      <c r="N614" s="11"/>
      <c r="P614" s="49"/>
      <c r="Q614" s="18"/>
      <c r="R614" s="18"/>
      <c r="S614" s="18"/>
      <c r="T614" s="18"/>
      <c r="U614" s="18"/>
      <c r="V614" s="18"/>
      <c r="W614" s="32"/>
      <c r="X614" s="18"/>
      <c r="Y614" s="18"/>
      <c r="Z614" s="32"/>
      <c r="AA614" s="18"/>
      <c r="AB614" s="18"/>
      <c r="AC614" s="18"/>
      <c r="AD614" s="18"/>
      <c r="AE614" s="18"/>
      <c r="AF614" s="18"/>
      <c r="AG614" s="33"/>
      <c r="AH614" s="32"/>
    </row>
    <row r="615" spans="14:34" x14ac:dyDescent="0.25">
      <c r="N615" s="11"/>
      <c r="P615" s="49"/>
      <c r="Q615" s="18"/>
      <c r="R615" s="18"/>
      <c r="S615" s="18"/>
      <c r="T615" s="18"/>
      <c r="U615" s="18"/>
      <c r="V615" s="18"/>
      <c r="W615" s="32"/>
      <c r="X615" s="18"/>
      <c r="Y615" s="18"/>
      <c r="Z615" s="32"/>
      <c r="AA615" s="18"/>
      <c r="AB615" s="18"/>
      <c r="AC615" s="18"/>
      <c r="AD615" s="18"/>
      <c r="AE615" s="18"/>
      <c r="AF615" s="18"/>
      <c r="AG615" s="33"/>
      <c r="AH615" s="32"/>
    </row>
    <row r="616" spans="14:34" x14ac:dyDescent="0.25">
      <c r="N616" s="11"/>
      <c r="P616" s="49"/>
      <c r="Q616" s="18"/>
      <c r="R616" s="18"/>
      <c r="S616" s="18"/>
      <c r="T616" s="18"/>
      <c r="U616" s="18"/>
      <c r="V616" s="18"/>
      <c r="W616" s="32"/>
      <c r="X616" s="18"/>
      <c r="Y616" s="18"/>
      <c r="Z616" s="32"/>
      <c r="AA616" s="18"/>
      <c r="AB616" s="18"/>
      <c r="AC616" s="18"/>
      <c r="AD616" s="18"/>
      <c r="AE616" s="18"/>
      <c r="AF616" s="18"/>
      <c r="AG616" s="33"/>
      <c r="AH616" s="32"/>
    </row>
    <row r="617" spans="14:34" x14ac:dyDescent="0.25">
      <c r="N617" s="11"/>
      <c r="P617" s="49"/>
      <c r="Q617" s="18"/>
      <c r="R617" s="18"/>
      <c r="S617" s="18"/>
      <c r="T617" s="18"/>
      <c r="U617" s="18"/>
      <c r="V617" s="18"/>
      <c r="W617" s="32"/>
      <c r="X617" s="18"/>
      <c r="Y617" s="18"/>
      <c r="Z617" s="32"/>
      <c r="AA617" s="18"/>
      <c r="AB617" s="18"/>
      <c r="AC617" s="18"/>
      <c r="AD617" s="18"/>
      <c r="AE617" s="18"/>
      <c r="AF617" s="18"/>
      <c r="AG617" s="33"/>
      <c r="AH617" s="32"/>
    </row>
    <row r="618" spans="14:34" x14ac:dyDescent="0.25">
      <c r="N618" s="11"/>
      <c r="P618" s="49"/>
      <c r="Q618" s="18"/>
      <c r="R618" s="18"/>
      <c r="S618" s="18"/>
      <c r="T618" s="18"/>
      <c r="U618" s="18"/>
      <c r="V618" s="18"/>
      <c r="W618" s="32"/>
      <c r="X618" s="18"/>
      <c r="Y618" s="18"/>
      <c r="Z618" s="32"/>
      <c r="AA618" s="18"/>
      <c r="AB618" s="18"/>
      <c r="AC618" s="18"/>
      <c r="AD618" s="18"/>
      <c r="AE618" s="18"/>
      <c r="AF618" s="18"/>
      <c r="AG618" s="33"/>
      <c r="AH618" s="32"/>
    </row>
    <row r="619" spans="14:34" x14ac:dyDescent="0.25">
      <c r="N619" s="11"/>
      <c r="P619" s="49"/>
      <c r="Q619" s="18"/>
      <c r="R619" s="18"/>
      <c r="S619" s="18"/>
      <c r="T619" s="18"/>
      <c r="U619" s="18"/>
      <c r="V619" s="18"/>
      <c r="W619" s="32"/>
      <c r="X619" s="18"/>
      <c r="Y619" s="18"/>
      <c r="Z619" s="32"/>
      <c r="AA619" s="18"/>
      <c r="AB619" s="18"/>
      <c r="AC619" s="18"/>
      <c r="AD619" s="18"/>
      <c r="AE619" s="18"/>
      <c r="AF619" s="18"/>
      <c r="AG619" s="33"/>
      <c r="AH619" s="32"/>
    </row>
    <row r="620" spans="14:34" x14ac:dyDescent="0.25">
      <c r="N620" s="11"/>
      <c r="P620" s="49"/>
      <c r="Q620" s="18"/>
      <c r="R620" s="18"/>
      <c r="S620" s="18"/>
      <c r="T620" s="18"/>
      <c r="U620" s="18"/>
      <c r="V620" s="18"/>
      <c r="W620" s="32"/>
      <c r="X620" s="18"/>
      <c r="Y620" s="18"/>
      <c r="Z620" s="32"/>
      <c r="AA620" s="18"/>
      <c r="AB620" s="18"/>
      <c r="AC620" s="18"/>
      <c r="AD620" s="18"/>
      <c r="AE620" s="18"/>
      <c r="AF620" s="18"/>
      <c r="AG620" s="33"/>
      <c r="AH620" s="32"/>
    </row>
    <row r="621" spans="14:34" x14ac:dyDescent="0.25">
      <c r="N621" s="11"/>
      <c r="P621" s="49"/>
      <c r="Q621" s="18"/>
      <c r="R621" s="18"/>
      <c r="S621" s="18"/>
      <c r="T621" s="18"/>
      <c r="U621" s="18"/>
      <c r="V621" s="18"/>
      <c r="W621" s="32"/>
      <c r="X621" s="18"/>
      <c r="Y621" s="18"/>
      <c r="Z621" s="32"/>
      <c r="AA621" s="18"/>
      <c r="AB621" s="18"/>
      <c r="AC621" s="18"/>
      <c r="AD621" s="18"/>
      <c r="AE621" s="18"/>
      <c r="AF621" s="18"/>
      <c r="AG621" s="33"/>
      <c r="AH621" s="32"/>
    </row>
    <row r="622" spans="14:34" x14ac:dyDescent="0.25">
      <c r="N622" s="11"/>
      <c r="P622" s="49"/>
      <c r="Q622" s="18"/>
      <c r="R622" s="18"/>
      <c r="S622" s="18"/>
      <c r="T622" s="18"/>
      <c r="U622" s="18"/>
      <c r="V622" s="18"/>
      <c r="W622" s="32"/>
      <c r="X622" s="18"/>
      <c r="Y622" s="18"/>
      <c r="Z622" s="32"/>
      <c r="AA622" s="18"/>
      <c r="AB622" s="18"/>
      <c r="AC622" s="18"/>
      <c r="AD622" s="18"/>
      <c r="AE622" s="18"/>
      <c r="AF622" s="18"/>
      <c r="AG622" s="33"/>
      <c r="AH622" s="32"/>
    </row>
    <row r="623" spans="14:34" x14ac:dyDescent="0.25">
      <c r="N623" s="11"/>
      <c r="P623" s="49"/>
      <c r="Q623" s="18"/>
      <c r="R623" s="18"/>
      <c r="S623" s="18"/>
      <c r="T623" s="18"/>
      <c r="U623" s="18"/>
      <c r="V623" s="18"/>
      <c r="W623" s="32"/>
      <c r="X623" s="18"/>
      <c r="Y623" s="18"/>
      <c r="Z623" s="32"/>
      <c r="AA623" s="18"/>
      <c r="AB623" s="18"/>
      <c r="AC623" s="18"/>
      <c r="AD623" s="18"/>
      <c r="AE623" s="18"/>
      <c r="AF623" s="18"/>
      <c r="AG623" s="33"/>
      <c r="AH623" s="32"/>
    </row>
    <row r="624" spans="14:34" x14ac:dyDescent="0.25">
      <c r="N624" s="11"/>
      <c r="P624" s="49"/>
      <c r="Q624" s="18"/>
      <c r="R624" s="18"/>
      <c r="S624" s="18"/>
      <c r="T624" s="18"/>
      <c r="U624" s="18"/>
      <c r="V624" s="18"/>
      <c r="W624" s="32"/>
      <c r="X624" s="18"/>
      <c r="Y624" s="18"/>
      <c r="Z624" s="32"/>
      <c r="AA624" s="18"/>
      <c r="AB624" s="18"/>
      <c r="AC624" s="18"/>
      <c r="AD624" s="18"/>
      <c r="AE624" s="18"/>
      <c r="AF624" s="18"/>
      <c r="AG624" s="33"/>
      <c r="AH624" s="32"/>
    </row>
    <row r="625" spans="14:34" x14ac:dyDescent="0.25">
      <c r="N625" s="11"/>
      <c r="P625" s="49"/>
      <c r="Q625" s="18"/>
      <c r="R625" s="18"/>
      <c r="S625" s="18"/>
      <c r="T625" s="18"/>
      <c r="U625" s="18"/>
      <c r="V625" s="18"/>
      <c r="W625" s="32"/>
      <c r="X625" s="18"/>
      <c r="Y625" s="18"/>
      <c r="Z625" s="32"/>
      <c r="AA625" s="18"/>
      <c r="AB625" s="18"/>
      <c r="AC625" s="18"/>
      <c r="AD625" s="18"/>
      <c r="AE625" s="18"/>
      <c r="AF625" s="18"/>
      <c r="AG625" s="33"/>
      <c r="AH625" s="32"/>
    </row>
    <row r="626" spans="14:34" x14ac:dyDescent="0.25">
      <c r="N626" s="11"/>
      <c r="P626" s="49"/>
      <c r="Q626" s="18"/>
      <c r="R626" s="18"/>
      <c r="S626" s="18"/>
      <c r="T626" s="18"/>
      <c r="U626" s="18"/>
      <c r="V626" s="18"/>
      <c r="W626" s="32"/>
      <c r="X626" s="18"/>
      <c r="Y626" s="18"/>
      <c r="Z626" s="32"/>
      <c r="AA626" s="18"/>
      <c r="AB626" s="18"/>
      <c r="AC626" s="18"/>
      <c r="AD626" s="18"/>
      <c r="AE626" s="18"/>
      <c r="AF626" s="18"/>
      <c r="AG626" s="33"/>
      <c r="AH626" s="32"/>
    </row>
    <row r="627" spans="14:34" x14ac:dyDescent="0.25">
      <c r="N627" s="11"/>
      <c r="P627" s="49"/>
      <c r="Q627" s="18"/>
      <c r="R627" s="18"/>
      <c r="S627" s="18"/>
      <c r="T627" s="18"/>
      <c r="U627" s="18"/>
      <c r="V627" s="18"/>
      <c r="W627" s="32"/>
      <c r="X627" s="18"/>
      <c r="Y627" s="18"/>
      <c r="Z627" s="32"/>
      <c r="AA627" s="18"/>
      <c r="AB627" s="18"/>
      <c r="AC627" s="18"/>
      <c r="AD627" s="18"/>
      <c r="AE627" s="18"/>
      <c r="AF627" s="18"/>
      <c r="AG627" s="33"/>
      <c r="AH627" s="32"/>
    </row>
    <row r="628" spans="14:34" x14ac:dyDescent="0.25">
      <c r="N628" s="11"/>
      <c r="P628" s="49"/>
      <c r="Q628" s="18"/>
      <c r="R628" s="18"/>
      <c r="S628" s="18"/>
      <c r="T628" s="18"/>
      <c r="U628" s="18"/>
      <c r="V628" s="18"/>
      <c r="W628" s="32"/>
      <c r="X628" s="18"/>
      <c r="Y628" s="18"/>
      <c r="Z628" s="32"/>
      <c r="AA628" s="18"/>
      <c r="AB628" s="18"/>
      <c r="AC628" s="18"/>
      <c r="AD628" s="18"/>
      <c r="AE628" s="18"/>
      <c r="AF628" s="18"/>
      <c r="AG628" s="33"/>
      <c r="AH628" s="32"/>
    </row>
    <row r="629" spans="14:34" x14ac:dyDescent="0.25">
      <c r="N629" s="11"/>
      <c r="P629" s="49"/>
      <c r="Q629" s="18"/>
      <c r="R629" s="18"/>
      <c r="S629" s="18"/>
      <c r="T629" s="18"/>
      <c r="U629" s="18"/>
      <c r="V629" s="18"/>
      <c r="W629" s="32"/>
      <c r="X629" s="18"/>
      <c r="Y629" s="18"/>
      <c r="Z629" s="32"/>
      <c r="AA629" s="18"/>
      <c r="AB629" s="18"/>
      <c r="AC629" s="18"/>
      <c r="AD629" s="18"/>
      <c r="AE629" s="18"/>
      <c r="AF629" s="18"/>
      <c r="AG629" s="33"/>
      <c r="AH629" s="32"/>
    </row>
    <row r="630" spans="14:34" x14ac:dyDescent="0.25">
      <c r="N630" s="11"/>
      <c r="P630" s="49"/>
      <c r="Q630" s="18"/>
      <c r="R630" s="18"/>
      <c r="S630" s="18"/>
      <c r="T630" s="18"/>
      <c r="U630" s="18"/>
      <c r="V630" s="18"/>
      <c r="W630" s="32"/>
      <c r="X630" s="18"/>
      <c r="Y630" s="18"/>
      <c r="Z630" s="32"/>
      <c r="AA630" s="18"/>
      <c r="AB630" s="18"/>
      <c r="AC630" s="18"/>
      <c r="AD630" s="18"/>
      <c r="AE630" s="18"/>
      <c r="AF630" s="18"/>
      <c r="AG630" s="33"/>
      <c r="AH630" s="32"/>
    </row>
    <row r="631" spans="14:34" x14ac:dyDescent="0.25">
      <c r="N631" s="11"/>
      <c r="P631" s="49"/>
      <c r="Q631" s="18"/>
      <c r="R631" s="18"/>
      <c r="S631" s="18"/>
      <c r="T631" s="18"/>
      <c r="U631" s="18"/>
      <c r="V631" s="18"/>
      <c r="W631" s="32"/>
      <c r="X631" s="18"/>
      <c r="Y631" s="18"/>
      <c r="Z631" s="32"/>
      <c r="AA631" s="18"/>
      <c r="AB631" s="18"/>
      <c r="AC631" s="18"/>
      <c r="AD631" s="18"/>
      <c r="AE631" s="18"/>
      <c r="AF631" s="18"/>
      <c r="AG631" s="33"/>
      <c r="AH631" s="32"/>
    </row>
    <row r="632" spans="14:34" x14ac:dyDescent="0.25">
      <c r="N632" s="11"/>
      <c r="P632" s="49"/>
      <c r="Q632" s="18"/>
      <c r="R632" s="18"/>
      <c r="S632" s="18"/>
      <c r="T632" s="18"/>
      <c r="U632" s="18"/>
      <c r="V632" s="18"/>
      <c r="W632" s="32"/>
      <c r="X632" s="18"/>
      <c r="Y632" s="18"/>
      <c r="Z632" s="32"/>
      <c r="AA632" s="18"/>
      <c r="AB632" s="18"/>
      <c r="AC632" s="18"/>
      <c r="AD632" s="18"/>
      <c r="AE632" s="18"/>
      <c r="AF632" s="18"/>
      <c r="AG632" s="33"/>
      <c r="AH632" s="32"/>
    </row>
    <row r="633" spans="14:34" x14ac:dyDescent="0.25">
      <c r="N633" s="11"/>
      <c r="P633" s="49"/>
      <c r="Q633" s="18"/>
      <c r="R633" s="18"/>
      <c r="S633" s="18"/>
      <c r="T633" s="18"/>
      <c r="U633" s="18"/>
      <c r="V633" s="18"/>
      <c r="W633" s="32"/>
      <c r="X633" s="18"/>
      <c r="Y633" s="18"/>
      <c r="Z633" s="32"/>
      <c r="AA633" s="18"/>
      <c r="AB633" s="18"/>
      <c r="AC633" s="18"/>
      <c r="AD633" s="18"/>
      <c r="AE633" s="18"/>
      <c r="AF633" s="18"/>
      <c r="AG633" s="33"/>
      <c r="AH633" s="32"/>
    </row>
    <row r="634" spans="14:34" x14ac:dyDescent="0.25">
      <c r="N634" s="11"/>
      <c r="P634" s="49"/>
      <c r="Q634" s="18"/>
      <c r="R634" s="18"/>
      <c r="S634" s="18"/>
      <c r="T634" s="18"/>
      <c r="U634" s="18"/>
      <c r="V634" s="18"/>
      <c r="W634" s="32"/>
      <c r="X634" s="18"/>
      <c r="Y634" s="18"/>
      <c r="Z634" s="32"/>
      <c r="AA634" s="18"/>
      <c r="AB634" s="18"/>
      <c r="AC634" s="18"/>
      <c r="AD634" s="18"/>
      <c r="AE634" s="18"/>
      <c r="AF634" s="18"/>
      <c r="AG634" s="33"/>
      <c r="AH634" s="32"/>
    </row>
    <row r="635" spans="14:34" x14ac:dyDescent="0.25">
      <c r="N635" s="11"/>
      <c r="P635" s="49"/>
      <c r="Q635" s="18"/>
      <c r="R635" s="18"/>
      <c r="S635" s="18"/>
      <c r="T635" s="18"/>
      <c r="U635" s="18"/>
      <c r="V635" s="18"/>
      <c r="W635" s="32"/>
      <c r="X635" s="18"/>
      <c r="Y635" s="18"/>
      <c r="Z635" s="32"/>
      <c r="AA635" s="18"/>
      <c r="AB635" s="18"/>
      <c r="AC635" s="18"/>
      <c r="AD635" s="18"/>
      <c r="AE635" s="18"/>
      <c r="AF635" s="18"/>
      <c r="AG635" s="33"/>
      <c r="AH635" s="32"/>
    </row>
    <row r="636" spans="14:34" x14ac:dyDescent="0.25">
      <c r="N636" s="11"/>
      <c r="P636" s="49"/>
      <c r="Q636" s="18"/>
      <c r="R636" s="18"/>
      <c r="S636" s="18"/>
      <c r="T636" s="18"/>
      <c r="U636" s="18"/>
      <c r="V636" s="18"/>
      <c r="W636" s="32"/>
      <c r="X636" s="18"/>
      <c r="Y636" s="18"/>
      <c r="Z636" s="32"/>
      <c r="AA636" s="18"/>
      <c r="AB636" s="18"/>
      <c r="AC636" s="18"/>
      <c r="AD636" s="18"/>
      <c r="AE636" s="18"/>
      <c r="AF636" s="18"/>
      <c r="AG636" s="33"/>
      <c r="AH636" s="32"/>
    </row>
    <row r="637" spans="14:34" x14ac:dyDescent="0.25">
      <c r="N637" s="11"/>
      <c r="P637" s="49"/>
      <c r="Q637" s="18"/>
      <c r="R637" s="18"/>
      <c r="S637" s="18"/>
      <c r="T637" s="18"/>
      <c r="U637" s="18"/>
      <c r="V637" s="18"/>
      <c r="W637" s="32"/>
      <c r="X637" s="18"/>
      <c r="Y637" s="18"/>
      <c r="Z637" s="32"/>
      <c r="AA637" s="18"/>
      <c r="AB637" s="18"/>
      <c r="AC637" s="18"/>
      <c r="AD637" s="18"/>
      <c r="AE637" s="18"/>
      <c r="AF637" s="18"/>
      <c r="AG637" s="33"/>
      <c r="AH637" s="32"/>
    </row>
    <row r="638" spans="14:34" x14ac:dyDescent="0.25">
      <c r="N638" s="11"/>
      <c r="P638" s="49"/>
      <c r="Q638" s="18"/>
      <c r="R638" s="18"/>
      <c r="S638" s="18"/>
      <c r="T638" s="18"/>
      <c r="U638" s="18"/>
      <c r="V638" s="18"/>
      <c r="W638" s="32"/>
      <c r="X638" s="18"/>
      <c r="Y638" s="18"/>
      <c r="Z638" s="32"/>
      <c r="AA638" s="18"/>
      <c r="AB638" s="18"/>
      <c r="AC638" s="18"/>
      <c r="AD638" s="18"/>
      <c r="AE638" s="18"/>
      <c r="AF638" s="18"/>
      <c r="AG638" s="33"/>
      <c r="AH638" s="32"/>
    </row>
    <row r="639" spans="14:34" x14ac:dyDescent="0.25">
      <c r="N639" s="11"/>
      <c r="P639" s="49"/>
      <c r="Q639" s="18"/>
      <c r="R639" s="18"/>
      <c r="S639" s="18"/>
      <c r="T639" s="18"/>
      <c r="U639" s="18"/>
      <c r="V639" s="18"/>
      <c r="W639" s="32"/>
      <c r="X639" s="18"/>
      <c r="Y639" s="18"/>
      <c r="Z639" s="32"/>
      <c r="AA639" s="18"/>
      <c r="AB639" s="18"/>
      <c r="AC639" s="18"/>
      <c r="AD639" s="18"/>
      <c r="AE639" s="18"/>
      <c r="AF639" s="18"/>
      <c r="AG639" s="33"/>
      <c r="AH639" s="32"/>
    </row>
    <row r="640" spans="14:34" x14ac:dyDescent="0.25">
      <c r="N640" s="11"/>
      <c r="P640" s="49"/>
      <c r="Q640" s="18"/>
      <c r="R640" s="18"/>
      <c r="S640" s="18"/>
      <c r="T640" s="18"/>
      <c r="U640" s="18"/>
      <c r="V640" s="18"/>
      <c r="W640" s="32"/>
      <c r="X640" s="18"/>
      <c r="Y640" s="18"/>
      <c r="Z640" s="32"/>
      <c r="AA640" s="18"/>
      <c r="AB640" s="18"/>
      <c r="AC640" s="18"/>
      <c r="AD640" s="18"/>
      <c r="AE640" s="18"/>
      <c r="AF640" s="18"/>
      <c r="AG640" s="33"/>
      <c r="AH640" s="32"/>
    </row>
    <row r="641" spans="14:34" x14ac:dyDescent="0.25">
      <c r="N641" s="11"/>
      <c r="P641" s="49"/>
      <c r="Q641" s="18"/>
      <c r="R641" s="18"/>
      <c r="S641" s="18"/>
      <c r="T641" s="18"/>
      <c r="U641" s="18"/>
      <c r="V641" s="18"/>
      <c r="W641" s="32"/>
      <c r="X641" s="18"/>
      <c r="Y641" s="18"/>
      <c r="Z641" s="32"/>
      <c r="AA641" s="18"/>
      <c r="AB641" s="18"/>
      <c r="AC641" s="18"/>
      <c r="AD641" s="18"/>
      <c r="AE641" s="18"/>
      <c r="AF641" s="18"/>
      <c r="AG641" s="33"/>
      <c r="AH641" s="32"/>
    </row>
    <row r="642" spans="14:34" x14ac:dyDescent="0.25">
      <c r="N642" s="11"/>
      <c r="P642" s="49"/>
      <c r="Q642" s="18"/>
      <c r="R642" s="18"/>
      <c r="S642" s="18"/>
      <c r="T642" s="18"/>
      <c r="U642" s="18"/>
      <c r="V642" s="18"/>
      <c r="W642" s="32"/>
      <c r="X642" s="18"/>
      <c r="Y642" s="18"/>
      <c r="Z642" s="32"/>
      <c r="AA642" s="18"/>
      <c r="AB642" s="18"/>
      <c r="AC642" s="18"/>
      <c r="AD642" s="18"/>
      <c r="AE642" s="18"/>
      <c r="AF642" s="18"/>
      <c r="AG642" s="33"/>
      <c r="AH642" s="32"/>
    </row>
    <row r="643" spans="14:34" x14ac:dyDescent="0.25">
      <c r="N643" s="11"/>
      <c r="P643" s="49"/>
      <c r="Q643" s="18"/>
      <c r="R643" s="18"/>
      <c r="S643" s="18"/>
      <c r="T643" s="18"/>
      <c r="U643" s="18"/>
      <c r="V643" s="18"/>
      <c r="W643" s="32"/>
      <c r="X643" s="18"/>
      <c r="Y643" s="18"/>
      <c r="Z643" s="32"/>
      <c r="AA643" s="18"/>
      <c r="AB643" s="18"/>
      <c r="AC643" s="18"/>
      <c r="AD643" s="18"/>
      <c r="AE643" s="18"/>
      <c r="AF643" s="18"/>
      <c r="AG643" s="33"/>
      <c r="AH643" s="32"/>
    </row>
    <row r="644" spans="14:34" x14ac:dyDescent="0.25">
      <c r="N644" s="11"/>
      <c r="P644" s="49"/>
      <c r="Q644" s="18"/>
      <c r="R644" s="18"/>
      <c r="S644" s="18"/>
      <c r="T644" s="18"/>
      <c r="U644" s="18"/>
      <c r="V644" s="18"/>
      <c r="W644" s="32"/>
      <c r="X644" s="18"/>
      <c r="Y644" s="18"/>
      <c r="Z644" s="32"/>
      <c r="AA644" s="18"/>
      <c r="AB644" s="18"/>
      <c r="AC644" s="18"/>
      <c r="AD644" s="18"/>
      <c r="AE644" s="18"/>
      <c r="AF644" s="18"/>
      <c r="AG644" s="33"/>
      <c r="AH644" s="32"/>
    </row>
    <row r="645" spans="14:34" x14ac:dyDescent="0.25">
      <c r="N645" s="11"/>
      <c r="P645" s="49"/>
      <c r="Q645" s="18"/>
      <c r="R645" s="18"/>
      <c r="S645" s="18"/>
      <c r="T645" s="18"/>
      <c r="U645" s="18"/>
      <c r="V645" s="18"/>
      <c r="W645" s="32"/>
      <c r="X645" s="18"/>
      <c r="Y645" s="18"/>
      <c r="Z645" s="32"/>
      <c r="AA645" s="18"/>
      <c r="AB645" s="18"/>
      <c r="AC645" s="18"/>
      <c r="AD645" s="18"/>
      <c r="AE645" s="18"/>
      <c r="AF645" s="18"/>
      <c r="AG645" s="33"/>
      <c r="AH645" s="32"/>
    </row>
    <row r="646" spans="14:34" x14ac:dyDescent="0.25">
      <c r="N646" s="11"/>
      <c r="P646" s="49"/>
      <c r="Q646" s="18"/>
      <c r="R646" s="18"/>
      <c r="S646" s="18"/>
      <c r="T646" s="18"/>
      <c r="U646" s="18"/>
      <c r="V646" s="18"/>
      <c r="W646" s="32"/>
      <c r="X646" s="18"/>
      <c r="Y646" s="18"/>
      <c r="Z646" s="32"/>
      <c r="AA646" s="18"/>
      <c r="AB646" s="18"/>
      <c r="AC646" s="18"/>
      <c r="AD646" s="18"/>
      <c r="AE646" s="18"/>
      <c r="AF646" s="18"/>
      <c r="AG646" s="33"/>
      <c r="AH646" s="32"/>
    </row>
    <row r="647" spans="14:34" x14ac:dyDescent="0.25">
      <c r="N647" s="11"/>
      <c r="P647" s="49"/>
      <c r="Q647" s="18"/>
      <c r="R647" s="18"/>
      <c r="S647" s="18"/>
      <c r="T647" s="18"/>
      <c r="U647" s="18"/>
      <c r="V647" s="18"/>
      <c r="W647" s="32"/>
      <c r="X647" s="18"/>
      <c r="Y647" s="18"/>
      <c r="Z647" s="32"/>
      <c r="AA647" s="18"/>
      <c r="AB647" s="18"/>
      <c r="AC647" s="18"/>
      <c r="AD647" s="18"/>
      <c r="AE647" s="18"/>
      <c r="AF647" s="18"/>
      <c r="AG647" s="33"/>
      <c r="AH647" s="32"/>
    </row>
    <row r="648" spans="14:34" x14ac:dyDescent="0.25">
      <c r="N648" s="11"/>
      <c r="P648" s="49"/>
      <c r="Q648" s="18"/>
      <c r="R648" s="18"/>
      <c r="S648" s="18"/>
      <c r="T648" s="18"/>
      <c r="U648" s="18"/>
      <c r="V648" s="18"/>
      <c r="W648" s="32"/>
      <c r="X648" s="18"/>
      <c r="Y648" s="18"/>
      <c r="Z648" s="32"/>
      <c r="AA648" s="18"/>
      <c r="AB648" s="18"/>
      <c r="AC648" s="18"/>
      <c r="AD648" s="18"/>
      <c r="AE648" s="18"/>
      <c r="AF648" s="18"/>
      <c r="AG648" s="33"/>
      <c r="AH648" s="32"/>
    </row>
    <row r="649" spans="14:34" x14ac:dyDescent="0.25">
      <c r="N649" s="11"/>
      <c r="P649" s="49"/>
      <c r="Q649" s="18"/>
      <c r="R649" s="18"/>
      <c r="S649" s="18"/>
      <c r="T649" s="18"/>
      <c r="U649" s="18"/>
      <c r="V649" s="18"/>
      <c r="W649" s="32"/>
      <c r="X649" s="18"/>
      <c r="Y649" s="18"/>
      <c r="Z649" s="32"/>
      <c r="AA649" s="18"/>
      <c r="AB649" s="18"/>
      <c r="AC649" s="18"/>
      <c r="AD649" s="18"/>
      <c r="AE649" s="18"/>
      <c r="AF649" s="18"/>
      <c r="AG649" s="33"/>
      <c r="AH649" s="32"/>
    </row>
    <row r="650" spans="14:34" x14ac:dyDescent="0.25">
      <c r="N650" s="11"/>
      <c r="P650" s="49"/>
      <c r="Q650" s="18"/>
      <c r="R650" s="18"/>
      <c r="S650" s="18"/>
      <c r="T650" s="18"/>
      <c r="U650" s="18"/>
      <c r="V650" s="18"/>
      <c r="W650" s="32"/>
      <c r="X650" s="18"/>
      <c r="Y650" s="18"/>
      <c r="Z650" s="32"/>
      <c r="AA650" s="18"/>
      <c r="AB650" s="18"/>
      <c r="AC650" s="18"/>
      <c r="AD650" s="18"/>
      <c r="AE650" s="18"/>
      <c r="AF650" s="18"/>
      <c r="AG650" s="33"/>
      <c r="AH650" s="32"/>
    </row>
    <row r="651" spans="14:34" x14ac:dyDescent="0.25">
      <c r="N651" s="11"/>
      <c r="P651" s="49"/>
      <c r="Q651" s="18"/>
      <c r="R651" s="18"/>
      <c r="S651" s="18"/>
      <c r="T651" s="18"/>
      <c r="U651" s="18"/>
      <c r="V651" s="18"/>
      <c r="W651" s="32"/>
      <c r="X651" s="18"/>
      <c r="Y651" s="18"/>
      <c r="Z651" s="32"/>
      <c r="AA651" s="18"/>
      <c r="AB651" s="18"/>
      <c r="AC651" s="18"/>
      <c r="AD651" s="18"/>
      <c r="AE651" s="18"/>
      <c r="AF651" s="18"/>
      <c r="AG651" s="33"/>
      <c r="AH651" s="32"/>
    </row>
    <row r="652" spans="14:34" x14ac:dyDescent="0.25">
      <c r="N652" s="11"/>
      <c r="P652" s="49"/>
      <c r="Q652" s="18"/>
      <c r="R652" s="18"/>
      <c r="S652" s="18"/>
      <c r="T652" s="18"/>
      <c r="U652" s="18"/>
      <c r="V652" s="18"/>
      <c r="W652" s="32"/>
      <c r="X652" s="18"/>
      <c r="Y652" s="18"/>
      <c r="Z652" s="32"/>
      <c r="AA652" s="18"/>
      <c r="AB652" s="18"/>
      <c r="AC652" s="18"/>
      <c r="AD652" s="18"/>
      <c r="AE652" s="18"/>
      <c r="AF652" s="18"/>
      <c r="AG652" s="33"/>
      <c r="AH652" s="32"/>
    </row>
    <row r="653" spans="14:34" x14ac:dyDescent="0.25">
      <c r="N653" s="11"/>
      <c r="P653" s="49"/>
      <c r="Q653" s="18"/>
      <c r="R653" s="18"/>
      <c r="S653" s="18"/>
      <c r="T653" s="18"/>
      <c r="U653" s="18"/>
      <c r="V653" s="18"/>
      <c r="W653" s="32"/>
      <c r="X653" s="18"/>
      <c r="Y653" s="18"/>
      <c r="Z653" s="32"/>
      <c r="AA653" s="18"/>
      <c r="AB653" s="18"/>
      <c r="AC653" s="18"/>
      <c r="AD653" s="18"/>
      <c r="AE653" s="18"/>
      <c r="AF653" s="18"/>
      <c r="AG653" s="33"/>
      <c r="AH653" s="32"/>
    </row>
    <row r="654" spans="14:34" x14ac:dyDescent="0.25">
      <c r="N654" s="11"/>
      <c r="P654" s="49"/>
      <c r="Q654" s="18"/>
      <c r="R654" s="18"/>
      <c r="S654" s="18"/>
      <c r="T654" s="18"/>
      <c r="U654" s="18"/>
      <c r="V654" s="18"/>
      <c r="W654" s="32"/>
      <c r="X654" s="18"/>
      <c r="Y654" s="18"/>
      <c r="Z654" s="32"/>
      <c r="AA654" s="18"/>
      <c r="AB654" s="18"/>
      <c r="AC654" s="18"/>
      <c r="AD654" s="18"/>
      <c r="AE654" s="18"/>
      <c r="AF654" s="18"/>
      <c r="AG654" s="33"/>
      <c r="AH654" s="32"/>
    </row>
    <row r="655" spans="14:34" x14ac:dyDescent="0.25">
      <c r="N655" s="11"/>
      <c r="P655" s="49"/>
      <c r="Q655" s="18"/>
      <c r="R655" s="18"/>
      <c r="S655" s="18"/>
      <c r="T655" s="18"/>
      <c r="U655" s="18"/>
      <c r="V655" s="18"/>
      <c r="W655" s="32"/>
      <c r="X655" s="18"/>
      <c r="Y655" s="18"/>
      <c r="Z655" s="32"/>
      <c r="AA655" s="18"/>
      <c r="AB655" s="18"/>
      <c r="AC655" s="18"/>
      <c r="AD655" s="18"/>
      <c r="AE655" s="18"/>
      <c r="AF655" s="18"/>
      <c r="AG655" s="33"/>
      <c r="AH655" s="32"/>
    </row>
    <row r="656" spans="14:34" x14ac:dyDescent="0.25">
      <c r="N656" s="11"/>
      <c r="P656" s="49"/>
      <c r="Q656" s="18"/>
      <c r="R656" s="18"/>
      <c r="S656" s="18"/>
      <c r="T656" s="18"/>
      <c r="U656" s="18"/>
      <c r="V656" s="18"/>
      <c r="W656" s="32"/>
      <c r="X656" s="18"/>
      <c r="Y656" s="18"/>
      <c r="Z656" s="32"/>
      <c r="AA656" s="18"/>
      <c r="AB656" s="18"/>
      <c r="AC656" s="18"/>
      <c r="AD656" s="18"/>
      <c r="AE656" s="18"/>
      <c r="AF656" s="18"/>
      <c r="AG656" s="33"/>
      <c r="AH656" s="32"/>
    </row>
    <row r="657" spans="14:34" x14ac:dyDescent="0.25">
      <c r="N657" s="11"/>
      <c r="P657" s="49"/>
      <c r="Q657" s="18"/>
      <c r="R657" s="18"/>
      <c r="S657" s="18"/>
      <c r="T657" s="18"/>
      <c r="U657" s="18"/>
      <c r="V657" s="18"/>
      <c r="W657" s="32"/>
      <c r="X657" s="18"/>
      <c r="Y657" s="18"/>
      <c r="Z657" s="32"/>
      <c r="AA657" s="18"/>
      <c r="AB657" s="18"/>
      <c r="AC657" s="18"/>
      <c r="AD657" s="18"/>
      <c r="AE657" s="18"/>
      <c r="AF657" s="18"/>
      <c r="AG657" s="33"/>
      <c r="AH657" s="32"/>
    </row>
    <row r="658" spans="14:34" x14ac:dyDescent="0.25">
      <c r="N658" s="11"/>
      <c r="P658" s="49"/>
      <c r="Q658" s="18"/>
      <c r="R658" s="18"/>
      <c r="S658" s="18"/>
      <c r="T658" s="18"/>
      <c r="U658" s="18"/>
      <c r="V658" s="18"/>
      <c r="W658" s="32"/>
      <c r="X658" s="18"/>
      <c r="Y658" s="18"/>
      <c r="Z658" s="32"/>
      <c r="AA658" s="18"/>
      <c r="AB658" s="18"/>
      <c r="AC658" s="18"/>
      <c r="AD658" s="18"/>
      <c r="AE658" s="18"/>
      <c r="AF658" s="18"/>
      <c r="AG658" s="33"/>
      <c r="AH658" s="32"/>
    </row>
    <row r="659" spans="14:34" x14ac:dyDescent="0.25">
      <c r="N659" s="11"/>
      <c r="P659" s="49"/>
      <c r="Q659" s="18"/>
      <c r="R659" s="18"/>
      <c r="S659" s="18"/>
      <c r="T659" s="18"/>
      <c r="U659" s="18"/>
      <c r="V659" s="18"/>
      <c r="W659" s="32"/>
      <c r="X659" s="18"/>
      <c r="Y659" s="18"/>
      <c r="Z659" s="32"/>
      <c r="AA659" s="18"/>
      <c r="AB659" s="18"/>
      <c r="AC659" s="18"/>
      <c r="AD659" s="18"/>
      <c r="AE659" s="18"/>
      <c r="AF659" s="18"/>
      <c r="AG659" s="33"/>
      <c r="AH659" s="32"/>
    </row>
    <row r="660" spans="14:34" x14ac:dyDescent="0.25">
      <c r="N660" s="11"/>
      <c r="P660" s="49"/>
      <c r="Q660" s="18"/>
      <c r="R660" s="18"/>
      <c r="S660" s="18"/>
      <c r="T660" s="18"/>
      <c r="U660" s="18"/>
      <c r="V660" s="18"/>
      <c r="W660" s="32"/>
      <c r="X660" s="18"/>
      <c r="Y660" s="18"/>
      <c r="Z660" s="32"/>
      <c r="AA660" s="18"/>
      <c r="AB660" s="18"/>
      <c r="AC660" s="18"/>
      <c r="AD660" s="18"/>
      <c r="AE660" s="18"/>
      <c r="AF660" s="18"/>
      <c r="AG660" s="33"/>
      <c r="AH660" s="32"/>
    </row>
    <row r="661" spans="14:34" x14ac:dyDescent="0.25">
      <c r="N661" s="11"/>
      <c r="P661" s="49"/>
      <c r="Q661" s="18"/>
      <c r="R661" s="18"/>
      <c r="S661" s="18"/>
      <c r="T661" s="18"/>
      <c r="U661" s="18"/>
      <c r="V661" s="18"/>
      <c r="W661" s="32"/>
      <c r="X661" s="18"/>
      <c r="Y661" s="18"/>
      <c r="Z661" s="32"/>
      <c r="AA661" s="18"/>
      <c r="AB661" s="18"/>
      <c r="AC661" s="18"/>
      <c r="AD661" s="18"/>
      <c r="AE661" s="18"/>
      <c r="AF661" s="18"/>
      <c r="AG661" s="33"/>
      <c r="AH661" s="32"/>
    </row>
    <row r="662" spans="14:34" x14ac:dyDescent="0.25">
      <c r="N662" s="11"/>
      <c r="P662" s="49"/>
      <c r="Q662" s="18"/>
      <c r="R662" s="18"/>
      <c r="S662" s="18"/>
      <c r="T662" s="18"/>
      <c r="U662" s="18"/>
      <c r="V662" s="18"/>
      <c r="W662" s="32"/>
      <c r="X662" s="18"/>
      <c r="Y662" s="18"/>
      <c r="Z662" s="32"/>
      <c r="AA662" s="18"/>
      <c r="AB662" s="18"/>
      <c r="AC662" s="18"/>
      <c r="AD662" s="18"/>
      <c r="AE662" s="18"/>
      <c r="AF662" s="18"/>
      <c r="AG662" s="33"/>
      <c r="AH662" s="32"/>
    </row>
    <row r="663" spans="14:34" x14ac:dyDescent="0.25">
      <c r="N663" s="11"/>
      <c r="P663" s="49"/>
      <c r="Q663" s="18"/>
      <c r="R663" s="18"/>
      <c r="S663" s="18"/>
      <c r="T663" s="18"/>
      <c r="U663" s="18"/>
      <c r="V663" s="18"/>
      <c r="W663" s="32"/>
      <c r="X663" s="18"/>
      <c r="Y663" s="18"/>
      <c r="Z663" s="32"/>
      <c r="AA663" s="18"/>
      <c r="AB663" s="18"/>
      <c r="AC663" s="18"/>
      <c r="AD663" s="18"/>
      <c r="AE663" s="18"/>
      <c r="AF663" s="18"/>
      <c r="AG663" s="33"/>
      <c r="AH663" s="32"/>
    </row>
    <row r="664" spans="14:34" x14ac:dyDescent="0.25">
      <c r="N664" s="11"/>
      <c r="P664" s="49"/>
      <c r="Q664" s="18"/>
      <c r="R664" s="18"/>
      <c r="S664" s="18"/>
      <c r="T664" s="18"/>
      <c r="U664" s="18"/>
      <c r="V664" s="18"/>
      <c r="W664" s="32"/>
      <c r="X664" s="18"/>
      <c r="Y664" s="18"/>
      <c r="Z664" s="32"/>
      <c r="AA664" s="18"/>
      <c r="AB664" s="18"/>
      <c r="AC664" s="18"/>
      <c r="AD664" s="18"/>
      <c r="AE664" s="18"/>
      <c r="AF664" s="18"/>
      <c r="AG664" s="33"/>
      <c r="AH664" s="32"/>
    </row>
    <row r="665" spans="14:34" x14ac:dyDescent="0.25">
      <c r="N665" s="11"/>
      <c r="P665" s="49"/>
      <c r="Q665" s="18"/>
      <c r="R665" s="18"/>
      <c r="S665" s="18"/>
      <c r="T665" s="18"/>
      <c r="U665" s="18"/>
      <c r="V665" s="18"/>
      <c r="W665" s="32"/>
      <c r="X665" s="18"/>
      <c r="Y665" s="18"/>
      <c r="Z665" s="32"/>
      <c r="AA665" s="18"/>
      <c r="AB665" s="18"/>
      <c r="AC665" s="18"/>
      <c r="AD665" s="18"/>
      <c r="AE665" s="18"/>
      <c r="AF665" s="18"/>
      <c r="AG665" s="33"/>
      <c r="AH665" s="32"/>
    </row>
    <row r="666" spans="14:34" x14ac:dyDescent="0.25">
      <c r="N666" s="11"/>
      <c r="P666" s="49"/>
      <c r="Q666" s="18"/>
      <c r="R666" s="18"/>
      <c r="S666" s="18"/>
      <c r="T666" s="18"/>
      <c r="U666" s="18"/>
      <c r="V666" s="18"/>
      <c r="W666" s="32"/>
      <c r="X666" s="18"/>
      <c r="Y666" s="18"/>
      <c r="Z666" s="32"/>
      <c r="AA666" s="18"/>
      <c r="AB666" s="18"/>
      <c r="AC666" s="18"/>
      <c r="AD666" s="18"/>
      <c r="AE666" s="18"/>
      <c r="AF666" s="18"/>
      <c r="AG666" s="33"/>
      <c r="AH666" s="32"/>
    </row>
    <row r="667" spans="14:34" x14ac:dyDescent="0.25">
      <c r="N667" s="11"/>
      <c r="P667" s="49"/>
      <c r="Q667" s="18"/>
      <c r="R667" s="18"/>
      <c r="S667" s="18"/>
      <c r="T667" s="18"/>
      <c r="U667" s="18"/>
      <c r="V667" s="18"/>
      <c r="W667" s="32"/>
      <c r="X667" s="18"/>
      <c r="Y667" s="18"/>
      <c r="Z667" s="32"/>
      <c r="AA667" s="18"/>
      <c r="AB667" s="18"/>
      <c r="AC667" s="18"/>
      <c r="AD667" s="18"/>
      <c r="AE667" s="18"/>
      <c r="AF667" s="18"/>
      <c r="AG667" s="33"/>
      <c r="AH667" s="32"/>
    </row>
    <row r="668" spans="14:34" x14ac:dyDescent="0.25">
      <c r="N668" s="11"/>
      <c r="P668" s="49"/>
      <c r="Q668" s="18"/>
      <c r="R668" s="18"/>
      <c r="S668" s="18"/>
      <c r="T668" s="18"/>
      <c r="U668" s="18"/>
      <c r="V668" s="18"/>
      <c r="W668" s="32"/>
      <c r="X668" s="18"/>
      <c r="Y668" s="18"/>
      <c r="Z668" s="32"/>
      <c r="AA668" s="18"/>
      <c r="AB668" s="18"/>
      <c r="AC668" s="18"/>
      <c r="AD668" s="18"/>
      <c r="AE668" s="18"/>
      <c r="AF668" s="18"/>
      <c r="AG668" s="33"/>
      <c r="AH668" s="32"/>
    </row>
    <row r="669" spans="14:34" x14ac:dyDescent="0.25">
      <c r="N669" s="11"/>
      <c r="P669" s="49"/>
      <c r="Q669" s="18"/>
      <c r="R669" s="18"/>
      <c r="S669" s="18"/>
      <c r="T669" s="18"/>
      <c r="U669" s="18"/>
      <c r="V669" s="18"/>
      <c r="W669" s="32"/>
      <c r="X669" s="18"/>
      <c r="Y669" s="18"/>
      <c r="Z669" s="32"/>
      <c r="AA669" s="18"/>
      <c r="AB669" s="18"/>
      <c r="AC669" s="18"/>
      <c r="AD669" s="18"/>
      <c r="AE669" s="18"/>
      <c r="AF669" s="18"/>
      <c r="AG669" s="33"/>
      <c r="AH669" s="32"/>
    </row>
    <row r="670" spans="14:34" x14ac:dyDescent="0.25">
      <c r="N670" s="11"/>
      <c r="P670" s="49"/>
      <c r="Q670" s="18"/>
      <c r="R670" s="18"/>
      <c r="S670" s="18"/>
      <c r="T670" s="18"/>
      <c r="U670" s="18"/>
      <c r="V670" s="18"/>
      <c r="W670" s="32"/>
      <c r="X670" s="18"/>
      <c r="Y670" s="18"/>
      <c r="Z670" s="32"/>
      <c r="AA670" s="18"/>
      <c r="AB670" s="18"/>
      <c r="AC670" s="18"/>
      <c r="AD670" s="18"/>
      <c r="AE670" s="18"/>
      <c r="AF670" s="18"/>
      <c r="AG670" s="33"/>
      <c r="AH670" s="32"/>
    </row>
    <row r="671" spans="14:34" x14ac:dyDescent="0.25">
      <c r="N671" s="11"/>
      <c r="P671" s="49"/>
      <c r="Q671" s="18"/>
      <c r="R671" s="18"/>
      <c r="S671" s="18"/>
      <c r="T671" s="18"/>
      <c r="U671" s="18"/>
      <c r="V671" s="18"/>
      <c r="W671" s="32"/>
      <c r="X671" s="18"/>
      <c r="Y671" s="18"/>
      <c r="Z671" s="32"/>
      <c r="AA671" s="18"/>
      <c r="AB671" s="18"/>
      <c r="AC671" s="18"/>
      <c r="AD671" s="18"/>
      <c r="AE671" s="18"/>
      <c r="AF671" s="18"/>
      <c r="AG671" s="33"/>
      <c r="AH671" s="32"/>
    </row>
    <row r="672" spans="14:34" x14ac:dyDescent="0.25">
      <c r="N672" s="11"/>
      <c r="P672" s="49"/>
      <c r="Q672" s="18"/>
      <c r="R672" s="18"/>
      <c r="S672" s="18"/>
      <c r="T672" s="18"/>
      <c r="U672" s="18"/>
      <c r="V672" s="18"/>
      <c r="W672" s="32"/>
      <c r="X672" s="18"/>
      <c r="Y672" s="18"/>
      <c r="Z672" s="32"/>
      <c r="AA672" s="18"/>
      <c r="AB672" s="18"/>
      <c r="AC672" s="18"/>
      <c r="AD672" s="18"/>
      <c r="AE672" s="18"/>
      <c r="AF672" s="18"/>
      <c r="AG672" s="33"/>
      <c r="AH672" s="32"/>
    </row>
    <row r="673" spans="14:34" x14ac:dyDescent="0.25">
      <c r="N673" s="11"/>
      <c r="P673" s="49"/>
      <c r="Q673" s="18"/>
      <c r="R673" s="18"/>
      <c r="S673" s="18"/>
      <c r="T673" s="18"/>
      <c r="U673" s="18"/>
      <c r="V673" s="18"/>
      <c r="W673" s="32"/>
      <c r="X673" s="18"/>
      <c r="Y673" s="18"/>
      <c r="Z673" s="32"/>
      <c r="AA673" s="18"/>
      <c r="AB673" s="18"/>
      <c r="AC673" s="18"/>
      <c r="AD673" s="18"/>
      <c r="AE673" s="18"/>
      <c r="AF673" s="18"/>
      <c r="AG673" s="33"/>
      <c r="AH673" s="32"/>
    </row>
    <row r="674" spans="14:34" x14ac:dyDescent="0.25">
      <c r="N674" s="11"/>
      <c r="P674" s="49"/>
      <c r="Q674" s="18"/>
      <c r="R674" s="18"/>
      <c r="S674" s="18"/>
      <c r="T674" s="18"/>
      <c r="U674" s="18"/>
      <c r="V674" s="18"/>
      <c r="W674" s="32"/>
      <c r="X674" s="18"/>
      <c r="Y674" s="18"/>
      <c r="Z674" s="32"/>
      <c r="AA674" s="18"/>
      <c r="AB674" s="18"/>
      <c r="AC674" s="18"/>
      <c r="AD674" s="18"/>
      <c r="AE674" s="18"/>
      <c r="AF674" s="18"/>
      <c r="AG674" s="33"/>
      <c r="AH674" s="32"/>
    </row>
    <row r="675" spans="14:34" x14ac:dyDescent="0.25">
      <c r="N675" s="11"/>
      <c r="P675" s="49"/>
      <c r="Q675" s="18"/>
      <c r="R675" s="18"/>
      <c r="S675" s="18"/>
      <c r="T675" s="18"/>
      <c r="U675" s="18"/>
      <c r="V675" s="18"/>
      <c r="W675" s="32"/>
      <c r="X675" s="18"/>
      <c r="Y675" s="18"/>
      <c r="Z675" s="32"/>
      <c r="AA675" s="18"/>
      <c r="AB675" s="18"/>
      <c r="AC675" s="18"/>
      <c r="AD675" s="18"/>
      <c r="AE675" s="18"/>
      <c r="AF675" s="18"/>
      <c r="AG675" s="33"/>
      <c r="AH675" s="32"/>
    </row>
    <row r="676" spans="14:34" x14ac:dyDescent="0.25">
      <c r="N676" s="11"/>
      <c r="P676" s="49"/>
      <c r="Q676" s="18"/>
      <c r="R676" s="18"/>
      <c r="S676" s="18"/>
      <c r="T676" s="18"/>
      <c r="U676" s="18"/>
      <c r="V676" s="18"/>
      <c r="W676" s="32"/>
      <c r="X676" s="18"/>
      <c r="Y676" s="18"/>
      <c r="Z676" s="32"/>
      <c r="AA676" s="18"/>
      <c r="AB676" s="18"/>
      <c r="AC676" s="18"/>
      <c r="AD676" s="18"/>
      <c r="AE676" s="18"/>
      <c r="AF676" s="18"/>
      <c r="AG676" s="33"/>
      <c r="AH676" s="32"/>
    </row>
    <row r="677" spans="14:34" x14ac:dyDescent="0.25">
      <c r="N677" s="11"/>
      <c r="P677" s="49"/>
      <c r="Q677" s="18"/>
      <c r="R677" s="18"/>
      <c r="S677" s="18"/>
      <c r="T677" s="18"/>
      <c r="U677" s="18"/>
      <c r="V677" s="18"/>
      <c r="W677" s="32"/>
      <c r="X677" s="18"/>
      <c r="Y677" s="18"/>
      <c r="Z677" s="32"/>
      <c r="AA677" s="18"/>
      <c r="AB677" s="18"/>
      <c r="AC677" s="18"/>
      <c r="AD677" s="18"/>
      <c r="AE677" s="18"/>
      <c r="AF677" s="18"/>
      <c r="AG677" s="33"/>
      <c r="AH677" s="32"/>
    </row>
    <row r="678" spans="14:34" x14ac:dyDescent="0.25">
      <c r="N678" s="11"/>
      <c r="P678" s="49"/>
      <c r="Q678" s="18"/>
      <c r="R678" s="18"/>
      <c r="S678" s="18"/>
      <c r="T678" s="18"/>
      <c r="U678" s="18"/>
      <c r="V678" s="18"/>
      <c r="W678" s="32"/>
      <c r="X678" s="18"/>
      <c r="Y678" s="18"/>
      <c r="Z678" s="32"/>
      <c r="AA678" s="18"/>
      <c r="AB678" s="18"/>
      <c r="AC678" s="18"/>
      <c r="AD678" s="18"/>
      <c r="AE678" s="18"/>
      <c r="AF678" s="18"/>
      <c r="AG678" s="33"/>
      <c r="AH678" s="32"/>
    </row>
    <row r="679" spans="14:34" x14ac:dyDescent="0.25">
      <c r="N679" s="11"/>
      <c r="P679" s="49"/>
      <c r="Q679" s="18"/>
      <c r="R679" s="18"/>
      <c r="S679" s="18"/>
      <c r="T679" s="18"/>
      <c r="U679" s="18"/>
      <c r="V679" s="18"/>
      <c r="W679" s="32"/>
      <c r="X679" s="18"/>
      <c r="Y679" s="18"/>
      <c r="Z679" s="32"/>
      <c r="AA679" s="18"/>
      <c r="AB679" s="18"/>
      <c r="AC679" s="18"/>
      <c r="AD679" s="18"/>
      <c r="AE679" s="18"/>
      <c r="AF679" s="18"/>
      <c r="AG679" s="33"/>
      <c r="AH679" s="32"/>
    </row>
    <row r="680" spans="14:34" x14ac:dyDescent="0.25">
      <c r="N680" s="11"/>
      <c r="P680" s="49"/>
      <c r="Q680" s="18"/>
      <c r="R680" s="18"/>
      <c r="S680" s="18"/>
      <c r="T680" s="18"/>
      <c r="U680" s="18"/>
      <c r="V680" s="18"/>
      <c r="W680" s="32"/>
      <c r="X680" s="18"/>
      <c r="Y680" s="18"/>
      <c r="Z680" s="32"/>
      <c r="AA680" s="18"/>
      <c r="AB680" s="18"/>
      <c r="AC680" s="18"/>
      <c r="AD680" s="18"/>
      <c r="AE680" s="18"/>
      <c r="AF680" s="18"/>
      <c r="AG680" s="33"/>
      <c r="AH680" s="32"/>
    </row>
    <row r="681" spans="14:34" x14ac:dyDescent="0.25">
      <c r="N681" s="11"/>
      <c r="P681" s="49"/>
      <c r="Q681" s="18"/>
      <c r="R681" s="18"/>
      <c r="S681" s="18"/>
      <c r="T681" s="18"/>
      <c r="U681" s="18"/>
      <c r="V681" s="18"/>
      <c r="W681" s="32"/>
      <c r="X681" s="18"/>
      <c r="Y681" s="18"/>
      <c r="Z681" s="32"/>
      <c r="AA681" s="18"/>
      <c r="AB681" s="18"/>
      <c r="AC681" s="18"/>
      <c r="AD681" s="18"/>
      <c r="AE681" s="18"/>
      <c r="AF681" s="18"/>
      <c r="AG681" s="33"/>
      <c r="AH681" s="32"/>
    </row>
    <row r="682" spans="14:34" x14ac:dyDescent="0.25">
      <c r="N682" s="11"/>
      <c r="P682" s="49"/>
      <c r="Q682" s="18"/>
      <c r="R682" s="18"/>
      <c r="S682" s="18"/>
      <c r="T682" s="18"/>
      <c r="U682" s="18"/>
      <c r="V682" s="18"/>
      <c r="W682" s="32"/>
      <c r="X682" s="18"/>
      <c r="Y682" s="18"/>
      <c r="Z682" s="32"/>
      <c r="AA682" s="18"/>
      <c r="AB682" s="18"/>
      <c r="AC682" s="18"/>
      <c r="AD682" s="18"/>
      <c r="AE682" s="18"/>
      <c r="AF682" s="18"/>
      <c r="AG682" s="33"/>
      <c r="AH682" s="32"/>
    </row>
    <row r="683" spans="14:34" x14ac:dyDescent="0.25">
      <c r="N683" s="11"/>
      <c r="P683" s="49"/>
      <c r="Q683" s="18"/>
      <c r="R683" s="18"/>
      <c r="S683" s="18"/>
      <c r="T683" s="18"/>
      <c r="U683" s="18"/>
      <c r="V683" s="18"/>
      <c r="W683" s="32"/>
      <c r="X683" s="18"/>
      <c r="Y683" s="18"/>
      <c r="Z683" s="32"/>
      <c r="AA683" s="18"/>
      <c r="AB683" s="18"/>
      <c r="AC683" s="18"/>
      <c r="AD683" s="18"/>
      <c r="AE683" s="18"/>
      <c r="AF683" s="18"/>
      <c r="AG683" s="33"/>
      <c r="AH683" s="32"/>
    </row>
    <row r="684" spans="14:34" x14ac:dyDescent="0.25">
      <c r="N684" s="11"/>
      <c r="P684" s="49"/>
      <c r="Q684" s="18"/>
      <c r="R684" s="18"/>
      <c r="S684" s="18"/>
      <c r="T684" s="18"/>
      <c r="U684" s="18"/>
      <c r="V684" s="18"/>
      <c r="W684" s="32"/>
      <c r="X684" s="18"/>
      <c r="Y684" s="18"/>
      <c r="Z684" s="32"/>
      <c r="AA684" s="18"/>
      <c r="AB684" s="18"/>
      <c r="AC684" s="18"/>
      <c r="AD684" s="18"/>
      <c r="AE684" s="18"/>
      <c r="AF684" s="18"/>
      <c r="AG684" s="33"/>
      <c r="AH684" s="32"/>
    </row>
    <row r="685" spans="14:34" x14ac:dyDescent="0.25">
      <c r="N685" s="11"/>
      <c r="P685" s="49"/>
      <c r="Q685" s="18"/>
      <c r="R685" s="18"/>
      <c r="S685" s="18"/>
      <c r="T685" s="18"/>
      <c r="U685" s="18"/>
      <c r="V685" s="18"/>
      <c r="W685" s="32"/>
      <c r="X685" s="18"/>
      <c r="Y685" s="18"/>
      <c r="Z685" s="32"/>
      <c r="AA685" s="18"/>
      <c r="AB685" s="18"/>
      <c r="AC685" s="18"/>
      <c r="AD685" s="18"/>
      <c r="AE685" s="18"/>
      <c r="AF685" s="18"/>
      <c r="AG685" s="33"/>
      <c r="AH685" s="32"/>
    </row>
    <row r="686" spans="14:34" x14ac:dyDescent="0.25">
      <c r="N686" s="11"/>
      <c r="P686" s="49"/>
      <c r="Q686" s="18"/>
      <c r="R686" s="18"/>
      <c r="S686" s="18"/>
      <c r="T686" s="18"/>
      <c r="U686" s="18"/>
      <c r="V686" s="18"/>
      <c r="W686" s="32"/>
      <c r="X686" s="18"/>
      <c r="Y686" s="18"/>
      <c r="Z686" s="32"/>
      <c r="AA686" s="18"/>
      <c r="AB686" s="18"/>
      <c r="AC686" s="18"/>
      <c r="AD686" s="18"/>
      <c r="AE686" s="18"/>
      <c r="AF686" s="18"/>
      <c r="AG686" s="33"/>
      <c r="AH686" s="32"/>
    </row>
    <row r="687" spans="14:34" x14ac:dyDescent="0.25">
      <c r="N687" s="11"/>
      <c r="P687" s="49"/>
      <c r="Q687" s="18"/>
      <c r="R687" s="18"/>
      <c r="S687" s="18"/>
      <c r="T687" s="18"/>
      <c r="U687" s="18"/>
      <c r="V687" s="18"/>
      <c r="W687" s="32"/>
      <c r="X687" s="18"/>
      <c r="Y687" s="18"/>
      <c r="Z687" s="32"/>
      <c r="AA687" s="18"/>
      <c r="AB687" s="18"/>
      <c r="AC687" s="18"/>
      <c r="AD687" s="18"/>
      <c r="AE687" s="18"/>
      <c r="AF687" s="18"/>
      <c r="AG687" s="33"/>
      <c r="AH687" s="32"/>
    </row>
    <row r="688" spans="14:34" x14ac:dyDescent="0.25">
      <c r="N688" s="11"/>
      <c r="P688" s="49"/>
      <c r="Q688" s="18"/>
      <c r="R688" s="18"/>
      <c r="S688" s="18"/>
      <c r="T688" s="18"/>
      <c r="U688" s="18"/>
      <c r="V688" s="18"/>
      <c r="W688" s="32"/>
      <c r="X688" s="18"/>
      <c r="Y688" s="18"/>
      <c r="Z688" s="32"/>
      <c r="AA688" s="18"/>
      <c r="AB688" s="18"/>
      <c r="AC688" s="18"/>
      <c r="AD688" s="18"/>
      <c r="AE688" s="18"/>
      <c r="AF688" s="18"/>
      <c r="AG688" s="33"/>
      <c r="AH688" s="32"/>
    </row>
    <row r="689" spans="14:34" x14ac:dyDescent="0.25">
      <c r="N689" s="11"/>
      <c r="P689" s="49"/>
      <c r="Q689" s="18"/>
      <c r="R689" s="18"/>
      <c r="S689" s="18"/>
      <c r="T689" s="18"/>
      <c r="U689" s="18"/>
      <c r="V689" s="18"/>
      <c r="W689" s="32"/>
      <c r="X689" s="18"/>
      <c r="Y689" s="18"/>
      <c r="Z689" s="32"/>
      <c r="AA689" s="18"/>
      <c r="AB689" s="18"/>
      <c r="AC689" s="18"/>
      <c r="AD689" s="18"/>
      <c r="AE689" s="18"/>
      <c r="AF689" s="18"/>
      <c r="AG689" s="33"/>
      <c r="AH689" s="32"/>
    </row>
    <row r="690" spans="14:34" x14ac:dyDescent="0.25">
      <c r="N690" s="11"/>
      <c r="P690" s="49"/>
      <c r="Q690" s="18"/>
      <c r="R690" s="18"/>
      <c r="S690" s="18"/>
      <c r="T690" s="18"/>
      <c r="U690" s="18"/>
      <c r="V690" s="18"/>
      <c r="W690" s="32"/>
      <c r="X690" s="18"/>
      <c r="Y690" s="18"/>
      <c r="Z690" s="32"/>
      <c r="AA690" s="18"/>
      <c r="AB690" s="18"/>
      <c r="AC690" s="18"/>
      <c r="AD690" s="18"/>
      <c r="AE690" s="18"/>
      <c r="AF690" s="18"/>
      <c r="AG690" s="33"/>
      <c r="AH690" s="32"/>
    </row>
    <row r="691" spans="14:34" x14ac:dyDescent="0.25">
      <c r="N691" s="11"/>
      <c r="P691" s="49"/>
      <c r="Q691" s="18"/>
      <c r="R691" s="18"/>
      <c r="S691" s="18"/>
      <c r="T691" s="18"/>
      <c r="U691" s="18"/>
      <c r="V691" s="18"/>
      <c r="W691" s="32"/>
      <c r="X691" s="18"/>
      <c r="Y691" s="18"/>
      <c r="Z691" s="32"/>
      <c r="AA691" s="18"/>
      <c r="AB691" s="18"/>
      <c r="AC691" s="18"/>
      <c r="AD691" s="18"/>
      <c r="AE691" s="18"/>
      <c r="AF691" s="18"/>
      <c r="AG691" s="33"/>
      <c r="AH691" s="32"/>
    </row>
    <row r="692" spans="14:34" x14ac:dyDescent="0.25">
      <c r="N692" s="11"/>
      <c r="P692" s="49"/>
      <c r="Q692" s="18"/>
      <c r="R692" s="18"/>
      <c r="S692" s="18"/>
      <c r="T692" s="18"/>
      <c r="U692" s="18"/>
      <c r="V692" s="18"/>
      <c r="W692" s="32"/>
      <c r="X692" s="18"/>
      <c r="Y692" s="18"/>
      <c r="Z692" s="32"/>
      <c r="AA692" s="18"/>
      <c r="AB692" s="18"/>
      <c r="AC692" s="18"/>
      <c r="AD692" s="18"/>
      <c r="AE692" s="18"/>
      <c r="AF692" s="18"/>
      <c r="AG692" s="33"/>
      <c r="AH692" s="32"/>
    </row>
    <row r="693" spans="14:34" x14ac:dyDescent="0.25">
      <c r="N693" s="11"/>
      <c r="P693" s="49"/>
      <c r="Q693" s="18"/>
      <c r="R693" s="18"/>
      <c r="S693" s="18"/>
      <c r="T693" s="18"/>
      <c r="U693" s="18"/>
      <c r="V693" s="18"/>
      <c r="W693" s="32"/>
      <c r="X693" s="18"/>
      <c r="Y693" s="18"/>
      <c r="Z693" s="32"/>
      <c r="AA693" s="18"/>
      <c r="AB693" s="18"/>
      <c r="AC693" s="18"/>
      <c r="AD693" s="18"/>
      <c r="AE693" s="18"/>
      <c r="AF693" s="18"/>
      <c r="AG693" s="33"/>
      <c r="AH693" s="32"/>
    </row>
    <row r="694" spans="14:34" x14ac:dyDescent="0.25">
      <c r="N694" s="11"/>
      <c r="P694" s="49"/>
      <c r="Q694" s="18"/>
      <c r="R694" s="18"/>
      <c r="S694" s="18"/>
      <c r="T694" s="18"/>
      <c r="U694" s="18"/>
      <c r="V694" s="18"/>
      <c r="W694" s="32"/>
      <c r="X694" s="18"/>
      <c r="Y694" s="18"/>
      <c r="Z694" s="32"/>
      <c r="AA694" s="18"/>
      <c r="AB694" s="18"/>
      <c r="AC694" s="18"/>
      <c r="AD694" s="18"/>
      <c r="AE694" s="18"/>
      <c r="AF694" s="18"/>
      <c r="AG694" s="33"/>
      <c r="AH694" s="32"/>
    </row>
    <row r="695" spans="14:34" x14ac:dyDescent="0.25">
      <c r="N695" s="11"/>
      <c r="P695" s="49"/>
      <c r="Q695" s="18"/>
      <c r="R695" s="18"/>
      <c r="S695" s="18"/>
      <c r="T695" s="18"/>
      <c r="U695" s="18"/>
      <c r="V695" s="18"/>
      <c r="W695" s="32"/>
      <c r="X695" s="18"/>
      <c r="Y695" s="18"/>
      <c r="Z695" s="32"/>
      <c r="AA695" s="18"/>
      <c r="AB695" s="18"/>
      <c r="AC695" s="18"/>
      <c r="AD695" s="18"/>
      <c r="AE695" s="18"/>
      <c r="AF695" s="18"/>
      <c r="AG695" s="33"/>
      <c r="AH695" s="32"/>
    </row>
    <row r="696" spans="14:34" x14ac:dyDescent="0.25">
      <c r="N696" s="11"/>
      <c r="P696" s="49"/>
      <c r="Q696" s="18"/>
      <c r="R696" s="18"/>
      <c r="S696" s="18"/>
      <c r="T696" s="18"/>
      <c r="U696" s="18"/>
      <c r="V696" s="18"/>
      <c r="W696" s="32"/>
      <c r="X696" s="18"/>
      <c r="Y696" s="18"/>
      <c r="Z696" s="32"/>
      <c r="AA696" s="18"/>
      <c r="AB696" s="18"/>
      <c r="AC696" s="18"/>
      <c r="AD696" s="18"/>
      <c r="AE696" s="18"/>
      <c r="AF696" s="18"/>
      <c r="AG696" s="33"/>
      <c r="AH696" s="32"/>
    </row>
    <row r="697" spans="14:34" x14ac:dyDescent="0.25">
      <c r="N697" s="11"/>
      <c r="P697" s="49"/>
      <c r="Q697" s="18"/>
      <c r="R697" s="18"/>
      <c r="S697" s="18"/>
      <c r="T697" s="18"/>
      <c r="U697" s="18"/>
      <c r="V697" s="18"/>
      <c r="W697" s="32"/>
      <c r="X697" s="18"/>
      <c r="Y697" s="18"/>
      <c r="Z697" s="32"/>
      <c r="AA697" s="18"/>
      <c r="AB697" s="18"/>
      <c r="AC697" s="18"/>
      <c r="AD697" s="18"/>
      <c r="AE697" s="18"/>
      <c r="AF697" s="18"/>
      <c r="AG697" s="33"/>
      <c r="AH697" s="32"/>
    </row>
    <row r="698" spans="14:34" x14ac:dyDescent="0.25">
      <c r="N698" s="11"/>
      <c r="P698" s="49"/>
      <c r="Q698" s="18"/>
      <c r="R698" s="18"/>
      <c r="S698" s="18"/>
      <c r="T698" s="18"/>
      <c r="U698" s="18"/>
      <c r="V698" s="18"/>
      <c r="W698" s="32"/>
      <c r="X698" s="18"/>
      <c r="Y698" s="18"/>
      <c r="Z698" s="32"/>
      <c r="AA698" s="18"/>
      <c r="AB698" s="18"/>
      <c r="AC698" s="18"/>
      <c r="AD698" s="18"/>
      <c r="AE698" s="18"/>
      <c r="AF698" s="18"/>
      <c r="AG698" s="33"/>
      <c r="AH698" s="32"/>
    </row>
    <row r="699" spans="14:34" x14ac:dyDescent="0.25">
      <c r="N699" s="11"/>
      <c r="P699" s="49"/>
      <c r="Q699" s="18"/>
      <c r="R699" s="18"/>
      <c r="S699" s="18"/>
      <c r="T699" s="18"/>
      <c r="U699" s="18"/>
      <c r="V699" s="18"/>
      <c r="W699" s="32"/>
      <c r="X699" s="18"/>
      <c r="Y699" s="18"/>
      <c r="Z699" s="32"/>
      <c r="AA699" s="18"/>
      <c r="AB699" s="18"/>
      <c r="AC699" s="18"/>
      <c r="AD699" s="18"/>
      <c r="AE699" s="18"/>
      <c r="AF699" s="18"/>
      <c r="AG699" s="33"/>
      <c r="AH699" s="32"/>
    </row>
    <row r="700" spans="14:34" x14ac:dyDescent="0.25">
      <c r="N700" s="11"/>
      <c r="P700" s="49"/>
      <c r="Q700" s="18"/>
      <c r="R700" s="18"/>
      <c r="S700" s="18"/>
      <c r="T700" s="18"/>
      <c r="U700" s="18"/>
      <c r="V700" s="18"/>
      <c r="W700" s="32"/>
      <c r="X700" s="18"/>
      <c r="Y700" s="18"/>
      <c r="Z700" s="32"/>
      <c r="AA700" s="18"/>
      <c r="AB700" s="18"/>
      <c r="AC700" s="18"/>
      <c r="AD700" s="18"/>
      <c r="AE700" s="18"/>
      <c r="AF700" s="18"/>
      <c r="AG700" s="33"/>
      <c r="AH700" s="32"/>
    </row>
    <row r="701" spans="14:34" x14ac:dyDescent="0.25">
      <c r="N701" s="11"/>
      <c r="P701" s="49"/>
      <c r="Q701" s="18"/>
      <c r="R701" s="18"/>
      <c r="S701" s="18"/>
      <c r="T701" s="18"/>
      <c r="U701" s="18"/>
      <c r="V701" s="18"/>
      <c r="W701" s="32"/>
      <c r="X701" s="18"/>
      <c r="Y701" s="18"/>
      <c r="Z701" s="32"/>
      <c r="AA701" s="18"/>
      <c r="AB701" s="18"/>
      <c r="AC701" s="18"/>
      <c r="AD701" s="18"/>
      <c r="AE701" s="18"/>
      <c r="AF701" s="18"/>
      <c r="AG701" s="33"/>
      <c r="AH701" s="32"/>
    </row>
    <row r="702" spans="14:34" x14ac:dyDescent="0.25">
      <c r="N702" s="11"/>
      <c r="P702" s="49"/>
      <c r="Q702" s="18"/>
      <c r="R702" s="18"/>
      <c r="S702" s="18"/>
      <c r="T702" s="18"/>
      <c r="U702" s="18"/>
      <c r="V702" s="18"/>
      <c r="W702" s="32"/>
      <c r="X702" s="18"/>
      <c r="Y702" s="18"/>
      <c r="Z702" s="32"/>
      <c r="AA702" s="18"/>
      <c r="AB702" s="18"/>
      <c r="AC702" s="18"/>
      <c r="AD702" s="18"/>
      <c r="AE702" s="18"/>
      <c r="AF702" s="18"/>
      <c r="AG702" s="33"/>
      <c r="AH702" s="32"/>
    </row>
    <row r="703" spans="14:34" x14ac:dyDescent="0.25">
      <c r="N703" s="11"/>
      <c r="P703" s="49"/>
      <c r="Q703" s="18"/>
      <c r="R703" s="18"/>
      <c r="S703" s="18"/>
      <c r="T703" s="18"/>
      <c r="U703" s="18"/>
      <c r="V703" s="18"/>
      <c r="W703" s="32"/>
      <c r="X703" s="18"/>
      <c r="Y703" s="18"/>
      <c r="Z703" s="32"/>
      <c r="AA703" s="18"/>
      <c r="AB703" s="18"/>
      <c r="AC703" s="18"/>
      <c r="AD703" s="18"/>
      <c r="AE703" s="18"/>
      <c r="AF703" s="18"/>
      <c r="AG703" s="33"/>
      <c r="AH703" s="32"/>
    </row>
    <row r="704" spans="14:34" x14ac:dyDescent="0.25">
      <c r="N704" s="11"/>
      <c r="P704" s="49"/>
      <c r="Q704" s="18"/>
      <c r="R704" s="18"/>
      <c r="S704" s="18"/>
      <c r="T704" s="18"/>
      <c r="U704" s="18"/>
      <c r="V704" s="18"/>
      <c r="W704" s="32"/>
      <c r="X704" s="18"/>
      <c r="Y704" s="18"/>
      <c r="Z704" s="32"/>
      <c r="AA704" s="18"/>
      <c r="AB704" s="18"/>
      <c r="AC704" s="18"/>
      <c r="AD704" s="18"/>
      <c r="AE704" s="18"/>
      <c r="AF704" s="18"/>
      <c r="AG704" s="33"/>
      <c r="AH704" s="32"/>
    </row>
    <row r="705" spans="14:34" x14ac:dyDescent="0.25">
      <c r="N705" s="11"/>
      <c r="P705" s="49"/>
      <c r="Q705" s="18"/>
      <c r="R705" s="18"/>
      <c r="S705" s="18"/>
      <c r="T705" s="18"/>
      <c r="U705" s="18"/>
      <c r="V705" s="18"/>
      <c r="W705" s="32"/>
      <c r="X705" s="18"/>
      <c r="Y705" s="18"/>
      <c r="Z705" s="32"/>
      <c r="AA705" s="18"/>
      <c r="AB705" s="18"/>
      <c r="AC705" s="18"/>
      <c r="AD705" s="18"/>
      <c r="AE705" s="18"/>
      <c r="AF705" s="18"/>
      <c r="AG705" s="33"/>
      <c r="AH705" s="32"/>
    </row>
    <row r="706" spans="14:34" x14ac:dyDescent="0.25">
      <c r="N706" s="11"/>
      <c r="P706" s="49"/>
      <c r="Q706" s="18"/>
      <c r="R706" s="18"/>
      <c r="S706" s="18"/>
      <c r="T706" s="18"/>
      <c r="U706" s="18"/>
      <c r="V706" s="18"/>
      <c r="W706" s="32"/>
      <c r="X706" s="18"/>
      <c r="Y706" s="18"/>
      <c r="Z706" s="32"/>
      <c r="AA706" s="18"/>
      <c r="AB706" s="18"/>
      <c r="AC706" s="18"/>
      <c r="AD706" s="18"/>
      <c r="AE706" s="18"/>
      <c r="AF706" s="18"/>
      <c r="AG706" s="33"/>
      <c r="AH706" s="32"/>
    </row>
    <row r="707" spans="14:34" x14ac:dyDescent="0.25">
      <c r="N707" s="11"/>
      <c r="P707" s="49"/>
      <c r="Q707" s="18"/>
      <c r="R707" s="18"/>
      <c r="S707" s="18"/>
      <c r="T707" s="18"/>
      <c r="U707" s="18"/>
      <c r="V707" s="18"/>
      <c r="W707" s="32"/>
      <c r="X707" s="18"/>
      <c r="Y707" s="18"/>
      <c r="Z707" s="32"/>
      <c r="AA707" s="18"/>
      <c r="AB707" s="18"/>
      <c r="AC707" s="18"/>
      <c r="AD707" s="18"/>
      <c r="AE707" s="18"/>
      <c r="AF707" s="18"/>
      <c r="AG707" s="33"/>
      <c r="AH707" s="32"/>
    </row>
    <row r="708" spans="14:34" x14ac:dyDescent="0.25">
      <c r="N708" s="11"/>
      <c r="P708" s="49"/>
      <c r="Q708" s="18"/>
      <c r="R708" s="18"/>
      <c r="S708" s="18"/>
      <c r="T708" s="18"/>
      <c r="U708" s="18"/>
      <c r="V708" s="18"/>
      <c r="W708" s="32"/>
      <c r="X708" s="18"/>
      <c r="Y708" s="18"/>
      <c r="Z708" s="32"/>
      <c r="AA708" s="18"/>
      <c r="AB708" s="18"/>
      <c r="AC708" s="18"/>
      <c r="AD708" s="18"/>
      <c r="AE708" s="18"/>
      <c r="AF708" s="18"/>
      <c r="AG708" s="33"/>
      <c r="AH708" s="32"/>
    </row>
  </sheetData>
  <mergeCells count="48">
    <mergeCell ref="AC5:AE5"/>
    <mergeCell ref="AI4:AU4"/>
    <mergeCell ref="BO16:BP16"/>
    <mergeCell ref="BL16:BN16"/>
    <mergeCell ref="BL17:BN17"/>
    <mergeCell ref="BL4:BN4"/>
    <mergeCell ref="BL5:BN5"/>
    <mergeCell ref="BI5:BK5"/>
    <mergeCell ref="AJ5:AL5"/>
    <mergeCell ref="AM5:AO5"/>
    <mergeCell ref="AP5:AR5"/>
    <mergeCell ref="AS5:AU5"/>
    <mergeCell ref="BF17:BH17"/>
    <mergeCell ref="BI16:BK16"/>
    <mergeCell ref="BI17:BK17"/>
    <mergeCell ref="AW17:AY17"/>
    <mergeCell ref="AZ17:BB17"/>
    <mergeCell ref="A1:M1"/>
    <mergeCell ref="N1:X1"/>
    <mergeCell ref="P4:AH4"/>
    <mergeCell ref="BO5:BP5"/>
    <mergeCell ref="BO4:BP4"/>
    <mergeCell ref="AV4:BH4"/>
    <mergeCell ref="BI4:BK4"/>
    <mergeCell ref="Q5:S5"/>
    <mergeCell ref="T5:V5"/>
    <mergeCell ref="W5:Y5"/>
    <mergeCell ref="Z5:AB5"/>
    <mergeCell ref="AF5:AH5"/>
    <mergeCell ref="AW5:AY5"/>
    <mergeCell ref="AZ5:BB5"/>
    <mergeCell ref="BC5:BE5"/>
    <mergeCell ref="BF5:BH5"/>
    <mergeCell ref="E6:K6"/>
    <mergeCell ref="Q17:S17"/>
    <mergeCell ref="T17:V17"/>
    <mergeCell ref="W17:Y17"/>
    <mergeCell ref="P16:AH16"/>
    <mergeCell ref="Z17:AB17"/>
    <mergeCell ref="AF17:AH17"/>
    <mergeCell ref="AC17:AE17"/>
    <mergeCell ref="BC17:BE17"/>
    <mergeCell ref="AV16:BH16"/>
    <mergeCell ref="AI16:AU16"/>
    <mergeCell ref="AJ17:AL17"/>
    <mergeCell ref="AM17:AO17"/>
    <mergeCell ref="AP17:AR17"/>
    <mergeCell ref="AS17:AU17"/>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W207"/>
  <sheetViews>
    <sheetView topLeftCell="N1" zoomScale="70" zoomScaleNormal="70" workbookViewId="0">
      <pane ySplit="6" topLeftCell="A118" activePane="bottomLeft" state="frozen"/>
      <selection activeCell="R1" sqref="R1"/>
      <selection pane="bottomLeft" activeCell="AD157" sqref="AD157"/>
    </sheetView>
  </sheetViews>
  <sheetFormatPr defaultRowHeight="15" x14ac:dyDescent="0.25"/>
  <cols>
    <col min="10" max="10" width="10" bestFit="1" customWidth="1"/>
    <col min="18" max="18" width="8.7109375" style="32"/>
    <col min="21" max="21" width="8.7109375" style="32"/>
    <col min="24" max="24" width="8.7109375" style="32"/>
    <col min="25" max="25" width="12" bestFit="1" customWidth="1"/>
    <col min="28" max="28" width="8.7109375" style="32"/>
    <col min="30" max="30" width="8.7109375" style="32"/>
    <col min="35" max="35" width="8.7109375" style="32"/>
    <col min="39" max="39" width="11" bestFit="1" customWidth="1"/>
    <col min="40" max="40" width="11" style="32" customWidth="1"/>
    <col min="43" max="46" width="8.7109375" style="32"/>
  </cols>
  <sheetData>
    <row r="1" spans="1:49" ht="27.75" x14ac:dyDescent="0.4">
      <c r="A1" s="357" t="s">
        <v>9</v>
      </c>
      <c r="B1" s="357"/>
      <c r="C1" s="357"/>
      <c r="D1" s="357"/>
      <c r="E1" s="357"/>
      <c r="F1" s="357"/>
      <c r="G1" s="357"/>
      <c r="H1" s="357"/>
      <c r="I1" s="357"/>
      <c r="J1" s="357"/>
      <c r="K1" s="357"/>
      <c r="L1" s="357"/>
      <c r="M1" s="357"/>
    </row>
    <row r="4" spans="1:49" ht="15.75" thickBot="1" x14ac:dyDescent="0.3">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row>
    <row r="5" spans="1:49" ht="30" x14ac:dyDescent="0.25">
      <c r="Q5" s="32"/>
      <c r="R5" s="379" t="s">
        <v>260</v>
      </c>
      <c r="S5" s="380"/>
      <c r="T5" s="380"/>
      <c r="U5" s="381"/>
      <c r="V5" s="379" t="s">
        <v>261</v>
      </c>
      <c r="W5" s="380"/>
      <c r="X5" s="381"/>
      <c r="Y5" s="379" t="s">
        <v>324</v>
      </c>
      <c r="Z5" s="380"/>
      <c r="AA5" s="380"/>
      <c r="AB5" s="380"/>
      <c r="AC5" s="380"/>
      <c r="AD5" s="381"/>
      <c r="AE5" s="379" t="s">
        <v>469</v>
      </c>
      <c r="AF5" s="380"/>
      <c r="AG5" s="380"/>
      <c r="AH5" s="380"/>
      <c r="AI5" s="381"/>
      <c r="AJ5" s="379" t="s">
        <v>470</v>
      </c>
      <c r="AK5" s="380"/>
      <c r="AL5" s="380"/>
      <c r="AM5" s="380"/>
      <c r="AN5" s="382"/>
      <c r="AO5" s="381"/>
      <c r="AP5" s="375" t="s">
        <v>321</v>
      </c>
      <c r="AQ5" s="376"/>
      <c r="AR5" s="376"/>
      <c r="AS5" s="377"/>
      <c r="AT5" s="378"/>
      <c r="AU5" s="108" t="s">
        <v>314</v>
      </c>
      <c r="AV5" s="109"/>
      <c r="AW5" s="110"/>
    </row>
    <row r="6" spans="1:49" ht="18" x14ac:dyDescent="0.35">
      <c r="R6" s="94" t="s">
        <v>25</v>
      </c>
      <c r="S6" s="92" t="s">
        <v>26</v>
      </c>
      <c r="T6" s="92" t="s">
        <v>243</v>
      </c>
      <c r="U6" s="95" t="s">
        <v>246</v>
      </c>
      <c r="V6" s="94" t="s">
        <v>244</v>
      </c>
      <c r="W6" s="92" t="s">
        <v>245</v>
      </c>
      <c r="X6" s="95" t="s">
        <v>265</v>
      </c>
      <c r="Y6" s="105" t="s">
        <v>262</v>
      </c>
      <c r="Z6" s="102" t="s">
        <v>264</v>
      </c>
      <c r="AA6" s="102" t="s">
        <v>263</v>
      </c>
      <c r="AB6" s="103" t="s">
        <v>268</v>
      </c>
      <c r="AC6" s="103" t="s">
        <v>269</v>
      </c>
      <c r="AD6" s="106" t="s">
        <v>312</v>
      </c>
      <c r="AE6" s="105" t="s">
        <v>307</v>
      </c>
      <c r="AF6" s="102" t="s">
        <v>308</v>
      </c>
      <c r="AG6" s="103" t="s">
        <v>310</v>
      </c>
      <c r="AH6" s="103" t="s">
        <v>309</v>
      </c>
      <c r="AI6" s="106" t="s">
        <v>311</v>
      </c>
      <c r="AJ6" s="105" t="s">
        <v>267</v>
      </c>
      <c r="AK6" s="102" t="s">
        <v>475</v>
      </c>
      <c r="AL6" s="102" t="s">
        <v>270</v>
      </c>
      <c r="AM6" s="102" t="s">
        <v>271</v>
      </c>
      <c r="AN6" s="210" t="s">
        <v>476</v>
      </c>
      <c r="AO6" s="107" t="s">
        <v>479</v>
      </c>
      <c r="AP6" s="105" t="s">
        <v>313</v>
      </c>
      <c r="AQ6" s="229" t="s">
        <v>269</v>
      </c>
      <c r="AR6" s="229" t="s">
        <v>480</v>
      </c>
      <c r="AS6" s="102" t="s">
        <v>316</v>
      </c>
      <c r="AT6" s="107" t="s">
        <v>317</v>
      </c>
      <c r="AU6" s="105" t="s">
        <v>315</v>
      </c>
      <c r="AV6" s="102" t="s">
        <v>323</v>
      </c>
      <c r="AW6" s="107" t="s">
        <v>322</v>
      </c>
    </row>
    <row r="7" spans="1:49" x14ac:dyDescent="0.25">
      <c r="Q7">
        <v>0</v>
      </c>
      <c r="R7" s="94">
        <f t="shared" ref="R7:R70" si="0">VOUT</f>
        <v>45</v>
      </c>
      <c r="S7" s="92">
        <f t="shared" ref="S7:S38" si="1">Q7*$O$12</f>
        <v>0</v>
      </c>
      <c r="T7" s="92">
        <f t="shared" ref="T7:T70" si="2">VIN_var</f>
        <v>9</v>
      </c>
      <c r="U7" s="95">
        <f t="shared" ref="U7:U38" si="3">(R7*S7)/(T7*EFF_est)</f>
        <v>0</v>
      </c>
      <c r="V7" s="94">
        <f>IF(Variable_Management!$B$22=3,2,IF((S7*R7/T7)&lt;((T7*(1-(T7/R7)))/(2*Lm*Fsw)),1,2))</f>
        <v>1</v>
      </c>
      <c r="W7" s="92">
        <f>CHOOSE(V7,SQRT((2*S7*Lm*Fsw*(R7-T7))/((T7)^2)),1-(T7/R7))</f>
        <v>0</v>
      </c>
      <c r="X7" s="95">
        <f t="shared" ref="X7:X38" si="4">CHOOSE(V7,(Lm*Z7*Fsw)/(R7-T7),1-W7)</f>
        <v>0</v>
      </c>
      <c r="Y7" s="94">
        <f t="shared" ref="Y7:Y38" si="5">(T7*W7)/(Lm*Fsw)</f>
        <v>0</v>
      </c>
      <c r="Z7" s="92">
        <f>CHOOSE(V7,Y7,U7+(0.5*Y7))</f>
        <v>0</v>
      </c>
      <c r="AA7" s="92">
        <f>CHOOSE(V7,Z7*SQRT((W7+X7)/3),SQRT((U7^2)+((Y7^2)/12)))</f>
        <v>0</v>
      </c>
      <c r="AB7" s="92">
        <v>0</v>
      </c>
      <c r="AC7" s="92">
        <f t="shared" ref="AC7:AC38" si="6">(AA7^2)*Rdcr</f>
        <v>0</v>
      </c>
      <c r="AD7" s="95">
        <f>AB7+AC7</f>
        <v>0</v>
      </c>
      <c r="AE7" s="94">
        <f>U7*W7</f>
        <v>0</v>
      </c>
      <c r="AF7" s="92">
        <f>CHOOSE(V7,Z7*SQRT(W7/3),SQRT(W7*((Z7^2)+((Y7^2)/3)-(Z7*Y7))))</f>
        <v>0</v>
      </c>
      <c r="AG7" s="92">
        <f t="shared" ref="AG7:AG38" si="7">(AF7^2)*RDS_on</f>
        <v>0</v>
      </c>
      <c r="AH7" s="92">
        <f>((R7*U7)/2)*Fsw*(tr_sw+tf_sw)</f>
        <v>0</v>
      </c>
      <c r="AI7" s="95">
        <f>AG7+AH7</f>
        <v>0</v>
      </c>
      <c r="AJ7" s="94">
        <f>X7*U7</f>
        <v>0</v>
      </c>
      <c r="AK7" s="92">
        <f>CHOOSE(V7,Z7*SQRT(X7/3),SQRT(X7*((Z7^2)+((Y7^2)/3)-(Y7*Z7))))</f>
        <v>0</v>
      </c>
      <c r="AL7" s="92">
        <f t="shared" ref="AL7:AL38" si="8">(AK7^2)*RDS_on_HS</f>
        <v>0</v>
      </c>
      <c r="AM7" s="92">
        <f>CHOOSE(V7,0,(R7+Vd_rect)*Qrr*Fsw)</f>
        <v>0</v>
      </c>
      <c r="AN7" s="211">
        <f>Vd_rect*t_dead*Fsw*Z7</f>
        <v>0</v>
      </c>
      <c r="AO7" s="95">
        <f>AL7+AM7+AN7</f>
        <v>0</v>
      </c>
      <c r="AP7" s="94">
        <f>(AA7^2)*R_cs</f>
        <v>0</v>
      </c>
      <c r="AQ7" s="230">
        <f t="shared" ref="AQ7:AQ38" si="9">Rdcr*AA7^2</f>
        <v>0</v>
      </c>
      <c r="AR7" s="230">
        <f t="shared" ref="AR7:AR38" si="10">ABS(7.759*10^-3*Fsw^0.9458*(0.00787*Y7)^2.304)</f>
        <v>0</v>
      </c>
      <c r="AS7" s="92">
        <f t="shared" ref="AS7:AS38" si="11">(Qg_tot+Qg_tot_HS)*Vcc*Fsw</f>
        <v>3.6000000000000004E-2</v>
      </c>
      <c r="AT7" s="95">
        <f t="shared" ref="AT7:AT38" si="12">IQ*T7</f>
        <v>2.9699999999999997E-5</v>
      </c>
      <c r="AU7" s="94">
        <f>AP7+AO7+AI7+AD7+AS7+AT7+AQ7+AR7</f>
        <v>3.6029700000000005E-2</v>
      </c>
      <c r="AV7" s="92">
        <f>R7*S7</f>
        <v>0</v>
      </c>
      <c r="AW7" s="95">
        <f>(AV7/(AV7+AU7))*100</f>
        <v>0</v>
      </c>
    </row>
    <row r="8" spans="1:49" x14ac:dyDescent="0.25">
      <c r="M8">
        <f>Fsw</f>
        <v>400000</v>
      </c>
      <c r="Q8">
        <v>1</v>
      </c>
      <c r="R8" s="94">
        <f t="shared" si="0"/>
        <v>45</v>
      </c>
      <c r="S8" s="92">
        <f t="shared" si="1"/>
        <v>7.3333333333333334E-2</v>
      </c>
      <c r="T8" s="92">
        <f t="shared" si="2"/>
        <v>9</v>
      </c>
      <c r="U8" s="95">
        <f t="shared" si="3"/>
        <v>0.36666666666666664</v>
      </c>
      <c r="V8" s="94">
        <f>IF(Variable_Management!$B$22=3,2,IF((S8*R8/T8)&lt;((T8*(1-(T8/R8)))/(2*Lm*Fsw)),1,2))</f>
        <v>1</v>
      </c>
      <c r="W8" s="92">
        <f t="shared" ref="W8:W38" si="13">CHOOSE(V8,SQRT((2*S8*Lm*Fsw*(R8-T8))/((T8)^2)),1-(T8/R8))</f>
        <v>0.29333333333333333</v>
      </c>
      <c r="X8" s="95">
        <f t="shared" si="4"/>
        <v>7.3333333333333348E-2</v>
      </c>
      <c r="Y8" s="94">
        <f t="shared" si="5"/>
        <v>2.0000000000000004</v>
      </c>
      <c r="Z8" s="92">
        <f t="shared" ref="Z8:Z15" si="14">CHOOSE(V8,Y8,U8+(0.5*Y8))</f>
        <v>2.0000000000000004</v>
      </c>
      <c r="AA8" s="92">
        <f t="shared" ref="AA8:AA15" si="15">CHOOSE(V8,Z8*SQRT((W8+X8)/3),SQRT((U8^2)+((Y8^2)/12)))</f>
        <v>0.6992058987801012</v>
      </c>
      <c r="AB8" s="92">
        <v>0</v>
      </c>
      <c r="AC8" s="92">
        <f t="shared" si="6"/>
        <v>2.9333333333333347E-3</v>
      </c>
      <c r="AD8" s="95">
        <f t="shared" ref="AD8:AD71" si="16">AB8+AC8</f>
        <v>2.9333333333333347E-3</v>
      </c>
      <c r="AE8" s="94">
        <f>U8*W8</f>
        <v>0.10755555555555554</v>
      </c>
      <c r="AF8" s="92">
        <f t="shared" ref="AF8:AF71" si="17">CHOOSE(V8,Z8*SQRT(W8/3),SQRT(W8*((Z8^2)+((Y8^2)/3)-(Z8*Y8))))</f>
        <v>0.62538876797645737</v>
      </c>
      <c r="AG8" s="92">
        <f t="shared" si="7"/>
        <v>2.7377777777777786E-3</v>
      </c>
      <c r="AH8" s="92">
        <f t="shared" ref="AH8:AH38" si="18">((R8*U8)/2)*Fsw*(tr_sw+tf_sw)</f>
        <v>0.17075892857142858</v>
      </c>
      <c r="AI8" s="95">
        <f t="shared" ref="AI8:AI71" si="19">AG8+AH8</f>
        <v>0.17349670634920636</v>
      </c>
      <c r="AJ8" s="94">
        <f t="shared" ref="AJ8:AJ71" si="20">X8*U8</f>
        <v>2.6888888888888893E-2</v>
      </c>
      <c r="AK8" s="92">
        <f t="shared" ref="AK8:AK38" si="21">CHOOSE(V8,Z8*SQRT(X8/3),SQRT(X8*((Z8^2)+((Y8^2)/3)-(Y8*Z8))))</f>
        <v>0.31269438398822874</v>
      </c>
      <c r="AL8" s="92">
        <f t="shared" si="8"/>
        <v>6.8444444444444488E-4</v>
      </c>
      <c r="AM8" s="92">
        <f t="shared" ref="AM8:AM39" si="22">CHOOSE(V8,(R8+Vd_rect)*Qrr*Fsw,(R8+Vd_rect)*Qrr*Fsw)</f>
        <v>0.34846000000000005</v>
      </c>
      <c r="AN8" s="211">
        <f t="shared" ref="AN8:AN38" si="23">Vd_rect*t_dead*Fsw*Z8</f>
        <v>1.3600000000000003E-2</v>
      </c>
      <c r="AO8" s="95">
        <f t="shared" ref="AO8:AO71" si="24">AL8+AM8+AN8</f>
        <v>0.36274444444444448</v>
      </c>
      <c r="AP8" s="94">
        <f t="shared" ref="AP8:AP38" si="25">(AA8^2)*R_cs</f>
        <v>7.3333333333333367E-4</v>
      </c>
      <c r="AQ8" s="230">
        <f t="shared" si="9"/>
        <v>2.9333333333333347E-3</v>
      </c>
      <c r="AR8" s="230">
        <f t="shared" si="10"/>
        <v>0.10817651471906777</v>
      </c>
      <c r="AS8" s="92">
        <f t="shared" si="11"/>
        <v>3.6000000000000004E-2</v>
      </c>
      <c r="AT8" s="95">
        <f t="shared" si="12"/>
        <v>2.9699999999999997E-5</v>
      </c>
      <c r="AU8" s="94">
        <f t="shared" ref="AU8:AU71" si="26">AP8+AO8+AI8+AD8+AS8+AT8+AQ8+AR8</f>
        <v>0.68704736551271861</v>
      </c>
      <c r="AV8" s="92">
        <f t="shared" ref="AV8:AV71" si="27">R8*S8</f>
        <v>3.3</v>
      </c>
      <c r="AW8" s="95">
        <f t="shared" ref="AW8:AW71" si="28">(AV8/(AV8+AU8))*100</f>
        <v>82.768015964506432</v>
      </c>
    </row>
    <row r="9" spans="1:49" x14ac:dyDescent="0.25">
      <c r="N9" s="92" t="s">
        <v>173</v>
      </c>
      <c r="O9" s="92">
        <f>VIN_var</f>
        <v>9</v>
      </c>
      <c r="P9" t="s">
        <v>5</v>
      </c>
      <c r="Q9">
        <v>2</v>
      </c>
      <c r="R9" s="94">
        <f t="shared" si="0"/>
        <v>45</v>
      </c>
      <c r="S9" s="92">
        <f t="shared" si="1"/>
        <v>0.14666666666666667</v>
      </c>
      <c r="T9" s="92">
        <f t="shared" si="2"/>
        <v>9</v>
      </c>
      <c r="U9" s="95">
        <f t="shared" si="3"/>
        <v>0.73333333333333328</v>
      </c>
      <c r="V9" s="94">
        <f>IF(Variable_Management!$B$22=3,2,IF((S9*R9/T9)&lt;((T9*(1-(T9/R9)))/(2*Lm*Fsw)),1,2))</f>
        <v>1</v>
      </c>
      <c r="W9" s="92">
        <f t="shared" si="13"/>
        <v>0.41483597829610785</v>
      </c>
      <c r="X9" s="95">
        <f t="shared" si="4"/>
        <v>0.10370899457402696</v>
      </c>
      <c r="Y9" s="94">
        <f t="shared" si="5"/>
        <v>2.8284271247461903</v>
      </c>
      <c r="Z9" s="92">
        <f t="shared" si="14"/>
        <v>2.8284271247461903</v>
      </c>
      <c r="AA9" s="92">
        <f t="shared" si="15"/>
        <v>1.1759194676168772</v>
      </c>
      <c r="AB9" s="92">
        <v>0</v>
      </c>
      <c r="AC9" s="92">
        <f t="shared" si="6"/>
        <v>8.2967195659221591E-3</v>
      </c>
      <c r="AD9" s="95">
        <f t="shared" si="16"/>
        <v>8.2967195659221591E-3</v>
      </c>
      <c r="AE9" s="94">
        <f t="shared" ref="AE9:AE72" si="29">U9*W9</f>
        <v>0.30421305075047905</v>
      </c>
      <c r="AF9" s="92">
        <f t="shared" si="17"/>
        <v>1.0517743462626798</v>
      </c>
      <c r="AG9" s="92">
        <f t="shared" si="7"/>
        <v>7.7436049281940124E-3</v>
      </c>
      <c r="AH9" s="92">
        <f t="shared" si="18"/>
        <v>0.34151785714285715</v>
      </c>
      <c r="AI9" s="95">
        <f t="shared" si="19"/>
        <v>0.34926146207105119</v>
      </c>
      <c r="AJ9" s="94">
        <f t="shared" si="20"/>
        <v>7.6053262687619763E-2</v>
      </c>
      <c r="AK9" s="92">
        <f t="shared" si="21"/>
        <v>0.52588717313133992</v>
      </c>
      <c r="AL9" s="92">
        <f t="shared" si="8"/>
        <v>1.9359012320485031E-3</v>
      </c>
      <c r="AM9" s="92">
        <f t="shared" si="22"/>
        <v>0.34846000000000005</v>
      </c>
      <c r="AN9" s="211">
        <f t="shared" si="23"/>
        <v>1.9233304448274095E-2</v>
      </c>
      <c r="AO9" s="95">
        <f t="shared" si="24"/>
        <v>0.36962920568032265</v>
      </c>
      <c r="AP9" s="94">
        <f t="shared" si="25"/>
        <v>2.0741798914805398E-3</v>
      </c>
      <c r="AQ9" s="230">
        <f t="shared" si="9"/>
        <v>8.2967195659221591E-3</v>
      </c>
      <c r="AR9" s="230">
        <f t="shared" si="10"/>
        <v>0.24039173947968484</v>
      </c>
      <c r="AS9" s="92">
        <f t="shared" si="11"/>
        <v>3.6000000000000004E-2</v>
      </c>
      <c r="AT9" s="95">
        <f t="shared" si="12"/>
        <v>2.9699999999999997E-5</v>
      </c>
      <c r="AU9" s="94">
        <f t="shared" si="26"/>
        <v>1.0139797262543837</v>
      </c>
      <c r="AV9" s="92">
        <f t="shared" si="27"/>
        <v>6.6</v>
      </c>
      <c r="AW9" s="95">
        <f t="shared" si="28"/>
        <v>86.682657917278163</v>
      </c>
    </row>
    <row r="10" spans="1:49" x14ac:dyDescent="0.25">
      <c r="N10" s="92"/>
      <c r="O10" s="92"/>
      <c r="Q10">
        <v>3</v>
      </c>
      <c r="R10" s="94">
        <f t="shared" si="0"/>
        <v>45</v>
      </c>
      <c r="S10" s="92">
        <f t="shared" si="1"/>
        <v>0.22</v>
      </c>
      <c r="T10" s="92">
        <f t="shared" si="2"/>
        <v>9</v>
      </c>
      <c r="U10" s="95">
        <f t="shared" si="3"/>
        <v>1.1000000000000001</v>
      </c>
      <c r="V10" s="94">
        <f>IF(Variable_Management!$B$22=3,2,IF((S10*R10/T10)&lt;((T10*(1-(T10/R10)))/(2*Lm*Fsw)),1,2))</f>
        <v>1</v>
      </c>
      <c r="W10" s="92">
        <f t="shared" si="13"/>
        <v>0.50806823688687064</v>
      </c>
      <c r="X10" s="95">
        <f t="shared" si="4"/>
        <v>0.12701705922171766</v>
      </c>
      <c r="Y10" s="94">
        <f t="shared" si="5"/>
        <v>3.4641016151377548</v>
      </c>
      <c r="Z10" s="92">
        <f t="shared" si="14"/>
        <v>3.4641016151377548</v>
      </c>
      <c r="AA10" s="92">
        <f t="shared" si="15"/>
        <v>1.5938447805336484</v>
      </c>
      <c r="AB10" s="92">
        <v>0</v>
      </c>
      <c r="AC10" s="92">
        <f t="shared" si="6"/>
        <v>1.5242047106606123E-2</v>
      </c>
      <c r="AD10" s="95">
        <f t="shared" si="16"/>
        <v>1.5242047106606123E-2</v>
      </c>
      <c r="AE10" s="94">
        <f t="shared" si="29"/>
        <v>0.5588750605755578</v>
      </c>
      <c r="AF10" s="92">
        <f t="shared" si="17"/>
        <v>1.4255781099425884</v>
      </c>
      <c r="AG10" s="92">
        <f t="shared" si="7"/>
        <v>1.4225910632832378E-2</v>
      </c>
      <c r="AH10" s="92">
        <f t="shared" si="18"/>
        <v>0.51227678571428581</v>
      </c>
      <c r="AI10" s="95">
        <f t="shared" si="19"/>
        <v>0.52650269634711822</v>
      </c>
      <c r="AJ10" s="94">
        <f t="shared" si="20"/>
        <v>0.13971876514388945</v>
      </c>
      <c r="AK10" s="92">
        <f t="shared" si="21"/>
        <v>0.71278905497129419</v>
      </c>
      <c r="AL10" s="92">
        <f t="shared" si="8"/>
        <v>3.5564776582080945E-3</v>
      </c>
      <c r="AM10" s="92">
        <f t="shared" si="22"/>
        <v>0.34846000000000005</v>
      </c>
      <c r="AN10" s="211">
        <f t="shared" si="23"/>
        <v>2.3555890982936731E-2</v>
      </c>
      <c r="AO10" s="95">
        <f t="shared" si="24"/>
        <v>0.3755723686411449</v>
      </c>
      <c r="AP10" s="94">
        <f t="shared" si="25"/>
        <v>3.8105117766515308E-3</v>
      </c>
      <c r="AQ10" s="230">
        <f t="shared" si="9"/>
        <v>1.5242047106606123E-2</v>
      </c>
      <c r="AR10" s="230">
        <f t="shared" si="10"/>
        <v>0.38350998042536993</v>
      </c>
      <c r="AS10" s="92">
        <f t="shared" si="11"/>
        <v>3.6000000000000004E-2</v>
      </c>
      <c r="AT10" s="95">
        <f t="shared" si="12"/>
        <v>2.9699999999999997E-5</v>
      </c>
      <c r="AU10" s="94">
        <f t="shared" si="26"/>
        <v>1.355909351403497</v>
      </c>
      <c r="AV10" s="92">
        <f t="shared" si="27"/>
        <v>9.9</v>
      </c>
      <c r="AW10" s="95">
        <f t="shared" si="28"/>
        <v>87.953800007864942</v>
      </c>
    </row>
    <row r="11" spans="1:49" x14ac:dyDescent="0.25">
      <c r="N11" s="92" t="s">
        <v>241</v>
      </c>
      <c r="O11" s="92">
        <v>150</v>
      </c>
      <c r="Q11">
        <v>4</v>
      </c>
      <c r="R11" s="94">
        <f t="shared" si="0"/>
        <v>45</v>
      </c>
      <c r="S11" s="92">
        <f t="shared" si="1"/>
        <v>0.29333333333333333</v>
      </c>
      <c r="T11" s="92">
        <f t="shared" si="2"/>
        <v>9</v>
      </c>
      <c r="U11" s="95">
        <f t="shared" si="3"/>
        <v>1.4666666666666666</v>
      </c>
      <c r="V11" s="94">
        <f>IF(Variable_Management!$B$22=3,2,IF((S11*R11/T11)&lt;((T11*(1-(T11/R11)))/(2*Lm*Fsw)),1,2))</f>
        <v>1</v>
      </c>
      <c r="W11" s="92">
        <f t="shared" si="13"/>
        <v>0.58666666666666667</v>
      </c>
      <c r="X11" s="95">
        <f t="shared" si="4"/>
        <v>0.1466666666666667</v>
      </c>
      <c r="Y11" s="94">
        <f t="shared" si="5"/>
        <v>4.0000000000000009</v>
      </c>
      <c r="Z11" s="92">
        <f t="shared" si="14"/>
        <v>4.0000000000000009</v>
      </c>
      <c r="AA11" s="92">
        <f t="shared" si="15"/>
        <v>1.9776529298921772</v>
      </c>
      <c r="AB11" s="92">
        <v>0</v>
      </c>
      <c r="AC11" s="92">
        <f t="shared" si="6"/>
        <v>2.3466666666666677E-2</v>
      </c>
      <c r="AD11" s="95">
        <f t="shared" si="16"/>
        <v>2.3466666666666677E-2</v>
      </c>
      <c r="AE11" s="94">
        <f t="shared" si="29"/>
        <v>0.86044444444444435</v>
      </c>
      <c r="AF11" s="92">
        <f t="shared" si="17"/>
        <v>1.7688665548562137</v>
      </c>
      <c r="AG11" s="92">
        <f t="shared" si="7"/>
        <v>2.1902222222222233E-2</v>
      </c>
      <c r="AH11" s="92">
        <f t="shared" si="18"/>
        <v>0.6830357142857143</v>
      </c>
      <c r="AI11" s="95">
        <f t="shared" si="19"/>
        <v>0.70493793650793657</v>
      </c>
      <c r="AJ11" s="94">
        <f t="shared" si="20"/>
        <v>0.21511111111111114</v>
      </c>
      <c r="AK11" s="92">
        <f t="shared" si="21"/>
        <v>0.88443327742810696</v>
      </c>
      <c r="AL11" s="92">
        <f t="shared" si="8"/>
        <v>5.4755555555555599E-3</v>
      </c>
      <c r="AM11" s="92">
        <f t="shared" si="22"/>
        <v>0.34846000000000005</v>
      </c>
      <c r="AN11" s="211">
        <f t="shared" si="23"/>
        <v>2.7200000000000005E-2</v>
      </c>
      <c r="AO11" s="95">
        <f t="shared" si="24"/>
        <v>0.38113555555555562</v>
      </c>
      <c r="AP11" s="94">
        <f t="shared" si="25"/>
        <v>5.8666666666666693E-3</v>
      </c>
      <c r="AQ11" s="230">
        <f t="shared" si="9"/>
        <v>2.3466666666666677E-2</v>
      </c>
      <c r="AR11" s="230">
        <f t="shared" si="10"/>
        <v>0.53420272006491787</v>
      </c>
      <c r="AS11" s="92">
        <f t="shared" si="11"/>
        <v>3.6000000000000004E-2</v>
      </c>
      <c r="AT11" s="95">
        <f t="shared" si="12"/>
        <v>2.9699999999999997E-5</v>
      </c>
      <c r="AU11" s="94">
        <f t="shared" si="26"/>
        <v>1.7091059121284102</v>
      </c>
      <c r="AV11" s="92">
        <f t="shared" si="27"/>
        <v>13.2</v>
      </c>
      <c r="AW11" s="95">
        <f t="shared" si="28"/>
        <v>88.536496271462724</v>
      </c>
    </row>
    <row r="12" spans="1:49" x14ac:dyDescent="0.25">
      <c r="N12" s="92" t="s">
        <v>242</v>
      </c>
      <c r="O12" s="92">
        <f>IOUT/(O11)</f>
        <v>7.3333333333333334E-2</v>
      </c>
      <c r="Q12">
        <v>5</v>
      </c>
      <c r="R12" s="94">
        <f t="shared" si="0"/>
        <v>45</v>
      </c>
      <c r="S12" s="92">
        <f t="shared" si="1"/>
        <v>0.3666666666666667</v>
      </c>
      <c r="T12" s="92">
        <f t="shared" si="2"/>
        <v>9</v>
      </c>
      <c r="U12" s="95">
        <f t="shared" si="3"/>
        <v>1.8333333333333333</v>
      </c>
      <c r="V12" s="94">
        <f>IF(Variable_Management!$B$22=3,2,IF((S12*R12/T12)&lt;((T12*(1-(T12/R12)))/(2*Lm*Fsw)),1,2))</f>
        <v>1</v>
      </c>
      <c r="W12" s="92">
        <f t="shared" si="13"/>
        <v>0.65591327339993832</v>
      </c>
      <c r="X12" s="95">
        <f t="shared" si="4"/>
        <v>0.16397831834998458</v>
      </c>
      <c r="Y12" s="94">
        <f t="shared" si="5"/>
        <v>4.4721359549995796</v>
      </c>
      <c r="Z12" s="92">
        <f t="shared" si="14"/>
        <v>4.4721359549995796</v>
      </c>
      <c r="AA12" s="92">
        <f t="shared" si="15"/>
        <v>2.3379358299575901</v>
      </c>
      <c r="AB12" s="92">
        <v>0</v>
      </c>
      <c r="AC12" s="92">
        <f t="shared" si="6"/>
        <v>3.2795663669996915E-2</v>
      </c>
      <c r="AD12" s="95">
        <f t="shared" si="16"/>
        <v>3.2795663669996915E-2</v>
      </c>
      <c r="AE12" s="94">
        <f t="shared" si="29"/>
        <v>1.2025076678998869</v>
      </c>
      <c r="AF12" s="92">
        <f t="shared" si="17"/>
        <v>2.0911133771270243</v>
      </c>
      <c r="AG12" s="92">
        <f t="shared" si="7"/>
        <v>3.0609286091997118E-2</v>
      </c>
      <c r="AH12" s="92">
        <f t="shared" si="18"/>
        <v>0.8537946428571429</v>
      </c>
      <c r="AI12" s="95">
        <f t="shared" si="19"/>
        <v>0.88440392894913999</v>
      </c>
      <c r="AJ12" s="94">
        <f t="shared" si="20"/>
        <v>0.30062691697497174</v>
      </c>
      <c r="AK12" s="92">
        <f t="shared" si="21"/>
        <v>1.0455566885635121</v>
      </c>
      <c r="AL12" s="92">
        <f t="shared" si="8"/>
        <v>7.6523215229992794E-3</v>
      </c>
      <c r="AM12" s="92">
        <f t="shared" si="22"/>
        <v>0.34846000000000005</v>
      </c>
      <c r="AN12" s="211">
        <f t="shared" si="23"/>
        <v>3.041052449399714E-2</v>
      </c>
      <c r="AO12" s="95">
        <f t="shared" si="24"/>
        <v>0.38652284601699644</v>
      </c>
      <c r="AP12" s="94">
        <f t="shared" si="25"/>
        <v>8.1989159174992287E-3</v>
      </c>
      <c r="AQ12" s="230">
        <f t="shared" si="9"/>
        <v>3.2795663669996915E-2</v>
      </c>
      <c r="AR12" s="230">
        <f t="shared" si="10"/>
        <v>0.69079061717035406</v>
      </c>
      <c r="AS12" s="92">
        <f t="shared" si="11"/>
        <v>3.6000000000000004E-2</v>
      </c>
      <c r="AT12" s="95">
        <f t="shared" si="12"/>
        <v>2.9699999999999997E-5</v>
      </c>
      <c r="AU12" s="94">
        <f t="shared" si="26"/>
        <v>2.0715373353939834</v>
      </c>
      <c r="AV12" s="92">
        <f t="shared" si="27"/>
        <v>16.5</v>
      </c>
      <c r="AW12" s="95">
        <f t="shared" si="28"/>
        <v>88.845633519816332</v>
      </c>
    </row>
    <row r="13" spans="1:49" x14ac:dyDescent="0.25">
      <c r="Q13">
        <v>6</v>
      </c>
      <c r="R13" s="94">
        <f t="shared" si="0"/>
        <v>45</v>
      </c>
      <c r="S13" s="92">
        <f t="shared" si="1"/>
        <v>0.44</v>
      </c>
      <c r="T13" s="92">
        <f t="shared" si="2"/>
        <v>9</v>
      </c>
      <c r="U13" s="95">
        <f t="shared" si="3"/>
        <v>2.2000000000000002</v>
      </c>
      <c r="V13" s="94">
        <f>IF(Variable_Management!$B$22=3,2,IF((S13*R13/T13)&lt;((T13*(1-(T13/R13)))/(2*Lm*Fsw)),1,2))</f>
        <v>1</v>
      </c>
      <c r="W13" s="92">
        <f t="shared" si="13"/>
        <v>0.71851699121639889</v>
      </c>
      <c r="X13" s="95">
        <f t="shared" si="4"/>
        <v>0.17962924780409972</v>
      </c>
      <c r="Y13" s="94">
        <f t="shared" si="5"/>
        <v>4.8989794855663567</v>
      </c>
      <c r="Z13" s="92">
        <f t="shared" si="14"/>
        <v>4.8989794855663567</v>
      </c>
      <c r="AA13" s="92">
        <f t="shared" si="15"/>
        <v>2.6805167248431765</v>
      </c>
      <c r="AB13" s="92">
        <v>0</v>
      </c>
      <c r="AC13" s="92">
        <f t="shared" si="6"/>
        <v>4.3111019472983937E-2</v>
      </c>
      <c r="AD13" s="95">
        <f t="shared" si="16"/>
        <v>4.3111019472983937E-2</v>
      </c>
      <c r="AE13" s="94">
        <f t="shared" si="29"/>
        <v>1.5807373806760776</v>
      </c>
      <c r="AF13" s="92">
        <f t="shared" si="17"/>
        <v>2.3975270446297769</v>
      </c>
      <c r="AG13" s="92">
        <f t="shared" si="7"/>
        <v>4.0236951508118346E-2</v>
      </c>
      <c r="AH13" s="92">
        <f t="shared" si="18"/>
        <v>1.0245535714285716</v>
      </c>
      <c r="AI13" s="95">
        <f t="shared" si="19"/>
        <v>1.0647905229366899</v>
      </c>
      <c r="AJ13" s="94">
        <f t="shared" si="20"/>
        <v>0.3951843451690194</v>
      </c>
      <c r="AK13" s="92">
        <f t="shared" si="21"/>
        <v>1.1987635223148885</v>
      </c>
      <c r="AL13" s="92">
        <f t="shared" si="8"/>
        <v>1.0059237877029586E-2</v>
      </c>
      <c r="AM13" s="92">
        <f t="shared" si="22"/>
        <v>0.34846000000000005</v>
      </c>
      <c r="AN13" s="211">
        <f t="shared" si="23"/>
        <v>3.3313060501851226E-2</v>
      </c>
      <c r="AO13" s="95">
        <f t="shared" si="24"/>
        <v>0.39183229837888089</v>
      </c>
      <c r="AP13" s="94">
        <f t="shared" si="25"/>
        <v>1.0777754868245984E-2</v>
      </c>
      <c r="AQ13" s="230">
        <f t="shared" si="9"/>
        <v>4.3111019472983937E-2</v>
      </c>
      <c r="AR13" s="230">
        <f t="shared" si="10"/>
        <v>0.85224257355394539</v>
      </c>
      <c r="AS13" s="92">
        <f t="shared" si="11"/>
        <v>3.6000000000000004E-2</v>
      </c>
      <c r="AT13" s="95">
        <f t="shared" si="12"/>
        <v>2.9699999999999997E-5</v>
      </c>
      <c r="AU13" s="94">
        <f t="shared" si="26"/>
        <v>2.4418948886837302</v>
      </c>
      <c r="AV13" s="92">
        <f t="shared" si="27"/>
        <v>19.8</v>
      </c>
      <c r="AW13" s="95">
        <f t="shared" si="28"/>
        <v>89.021192209994112</v>
      </c>
    </row>
    <row r="14" spans="1:49" x14ac:dyDescent="0.25">
      <c r="Q14" s="32">
        <v>7</v>
      </c>
      <c r="R14" s="94">
        <f t="shared" si="0"/>
        <v>45</v>
      </c>
      <c r="S14" s="92">
        <f t="shared" si="1"/>
        <v>0.51333333333333331</v>
      </c>
      <c r="T14" s="92">
        <f t="shared" si="2"/>
        <v>9</v>
      </c>
      <c r="U14" s="95">
        <f t="shared" si="3"/>
        <v>2.5666666666666664</v>
      </c>
      <c r="V14" s="94">
        <f>IF(Variable_Management!$B$22=3,2,IF((S14*R14/T14)&lt;((T14*(1-(T14/R14)))/(2*Lm*Fsw)),1,2))</f>
        <v>1</v>
      </c>
      <c r="W14" s="92">
        <f t="shared" si="13"/>
        <v>0.77608705124561317</v>
      </c>
      <c r="X14" s="95">
        <f t="shared" si="4"/>
        <v>0.19402176281140329</v>
      </c>
      <c r="Y14" s="94">
        <f t="shared" si="5"/>
        <v>5.2915026221291814</v>
      </c>
      <c r="Z14" s="92">
        <f t="shared" si="14"/>
        <v>5.2915026221291814</v>
      </c>
      <c r="AA14" s="92">
        <f t="shared" si="15"/>
        <v>3.0090445213055292</v>
      </c>
      <c r="AB14" s="92">
        <v>0</v>
      </c>
      <c r="AC14" s="92">
        <f t="shared" si="6"/>
        <v>5.4326093587192932E-2</v>
      </c>
      <c r="AD14" s="95">
        <f t="shared" si="16"/>
        <v>5.4326093587192932E-2</v>
      </c>
      <c r="AE14" s="94">
        <f t="shared" si="29"/>
        <v>1.9919567648637402</v>
      </c>
      <c r="AF14" s="92">
        <f t="shared" si="17"/>
        <v>2.6913712387849911</v>
      </c>
      <c r="AG14" s="92">
        <f t="shared" si="7"/>
        <v>5.0704354014713404E-2</v>
      </c>
      <c r="AH14" s="92">
        <f t="shared" si="18"/>
        <v>1.1953124999999998</v>
      </c>
      <c r="AI14" s="95">
        <f t="shared" si="19"/>
        <v>1.2460168540147132</v>
      </c>
      <c r="AJ14" s="94">
        <f t="shared" si="20"/>
        <v>0.49798919121593505</v>
      </c>
      <c r="AK14" s="92">
        <f t="shared" si="21"/>
        <v>1.3456856193924955</v>
      </c>
      <c r="AL14" s="92">
        <f t="shared" si="8"/>
        <v>1.2676088503678351E-2</v>
      </c>
      <c r="AM14" s="92">
        <f t="shared" si="22"/>
        <v>0.34846000000000005</v>
      </c>
      <c r="AN14" s="211">
        <f t="shared" si="23"/>
        <v>3.5982217830478433E-2</v>
      </c>
      <c r="AO14" s="95">
        <f t="shared" si="24"/>
        <v>0.39711830633415685</v>
      </c>
      <c r="AP14" s="94">
        <f t="shared" si="25"/>
        <v>1.3581523396798233E-2</v>
      </c>
      <c r="AQ14" s="230">
        <f t="shared" si="9"/>
        <v>5.4326093587192932E-2</v>
      </c>
      <c r="AR14" s="230">
        <f t="shared" si="10"/>
        <v>1.0178550299206703</v>
      </c>
      <c r="AS14" s="92">
        <f t="shared" si="11"/>
        <v>3.6000000000000004E-2</v>
      </c>
      <c r="AT14" s="95">
        <f t="shared" si="12"/>
        <v>2.9699999999999997E-5</v>
      </c>
      <c r="AU14" s="94">
        <f t="shared" si="26"/>
        <v>2.8192536008407245</v>
      </c>
      <c r="AV14" s="92">
        <f t="shared" si="27"/>
        <v>23.099999999999998</v>
      </c>
      <c r="AW14" s="95">
        <f t="shared" si="28"/>
        <v>89.122936777973891</v>
      </c>
    </row>
    <row r="15" spans="1:49" x14ac:dyDescent="0.25">
      <c r="O15">
        <f>0.205*2.5/(Lm*Fsw)</f>
        <v>0.38825757575757575</v>
      </c>
      <c r="Q15" s="32">
        <v>8</v>
      </c>
      <c r="R15" s="94">
        <f t="shared" si="0"/>
        <v>45</v>
      </c>
      <c r="S15" s="92">
        <f t="shared" si="1"/>
        <v>0.58666666666666667</v>
      </c>
      <c r="T15" s="92">
        <f t="shared" si="2"/>
        <v>9</v>
      </c>
      <c r="U15" s="95">
        <f t="shared" si="3"/>
        <v>2.9333333333333331</v>
      </c>
      <c r="V15" s="94">
        <f>IF(Variable_Management!$B$22=3,2,IF((S15*R15/T15)&lt;((T15*(1-(T15/R15)))/(2*Lm*Fsw)),1,2))</f>
        <v>2</v>
      </c>
      <c r="W15" s="92">
        <f t="shared" si="13"/>
        <v>0.8</v>
      </c>
      <c r="X15" s="95">
        <f t="shared" si="4"/>
        <v>0.19999999999999996</v>
      </c>
      <c r="Y15" s="94">
        <f t="shared" si="5"/>
        <v>5.454545454545455</v>
      </c>
      <c r="Z15" s="92">
        <f t="shared" si="14"/>
        <v>5.6606060606060602</v>
      </c>
      <c r="AA15" s="92">
        <f t="shared" si="15"/>
        <v>3.3292316361916976</v>
      </c>
      <c r="AB15" s="92">
        <v>0</v>
      </c>
      <c r="AC15" s="92">
        <f t="shared" si="6"/>
        <v>6.6502699724517889E-2</v>
      </c>
      <c r="AD15" s="95">
        <f t="shared" si="16"/>
        <v>6.6502699724517889E-2</v>
      </c>
      <c r="AE15" s="94">
        <f t="shared" si="29"/>
        <v>2.3466666666666667</v>
      </c>
      <c r="AF15" s="92">
        <f t="shared" si="17"/>
        <v>2.9777553005469937</v>
      </c>
      <c r="AG15" s="92">
        <f t="shared" si="7"/>
        <v>6.2069186409550017E-2</v>
      </c>
      <c r="AH15" s="92">
        <f t="shared" si="18"/>
        <v>1.3660714285714286</v>
      </c>
      <c r="AI15" s="95">
        <f t="shared" si="19"/>
        <v>1.4281406149809786</v>
      </c>
      <c r="AJ15" s="94">
        <f t="shared" si="20"/>
        <v>0.58666666666666645</v>
      </c>
      <c r="AK15" s="92">
        <f t="shared" si="21"/>
        <v>1.4888776502734966</v>
      </c>
      <c r="AL15" s="92">
        <f t="shared" si="8"/>
        <v>1.5517296602387499E-2</v>
      </c>
      <c r="AM15" s="92">
        <f t="shared" si="22"/>
        <v>0.34846000000000005</v>
      </c>
      <c r="AN15" s="211">
        <f t="shared" si="23"/>
        <v>3.8492121212121207E-2</v>
      </c>
      <c r="AO15" s="95">
        <f t="shared" si="24"/>
        <v>0.40246941781450873</v>
      </c>
      <c r="AP15" s="94">
        <f t="shared" si="25"/>
        <v>1.6625674931129472E-2</v>
      </c>
      <c r="AQ15" s="230">
        <f t="shared" si="9"/>
        <v>6.6502699724517889E-2</v>
      </c>
      <c r="AR15" s="230">
        <f t="shared" si="10"/>
        <v>1.0915700452567536</v>
      </c>
      <c r="AS15" s="92">
        <f t="shared" si="11"/>
        <v>3.6000000000000004E-2</v>
      </c>
      <c r="AT15" s="95">
        <f t="shared" si="12"/>
        <v>2.9699999999999997E-5</v>
      </c>
      <c r="AU15" s="94">
        <f t="shared" si="26"/>
        <v>3.1078408524324059</v>
      </c>
      <c r="AV15" s="92">
        <f t="shared" si="27"/>
        <v>26.4</v>
      </c>
      <c r="AW15" s="95">
        <f t="shared" si="28"/>
        <v>89.467745647759855</v>
      </c>
    </row>
    <row r="16" spans="1:49" x14ac:dyDescent="0.25">
      <c r="Q16" s="32">
        <v>9</v>
      </c>
      <c r="R16" s="94">
        <f t="shared" si="0"/>
        <v>45</v>
      </c>
      <c r="S16" s="92">
        <f t="shared" si="1"/>
        <v>0.66</v>
      </c>
      <c r="T16" s="92">
        <f t="shared" si="2"/>
        <v>9</v>
      </c>
      <c r="U16" s="95">
        <f t="shared" si="3"/>
        <v>3.3000000000000003</v>
      </c>
      <c r="V16" s="94">
        <f>IF(Variable_Management!$B$22=3,2,IF((S16*R16/T16)&lt;((T16*(1-(T16/R16)))/(2*Lm*Fsw)),1,2))</f>
        <v>2</v>
      </c>
      <c r="W16" s="92">
        <f t="shared" si="13"/>
        <v>0.8</v>
      </c>
      <c r="X16" s="95">
        <f t="shared" si="4"/>
        <v>0.19999999999999996</v>
      </c>
      <c r="Y16" s="94">
        <f t="shared" si="5"/>
        <v>5.454545454545455</v>
      </c>
      <c r="Z16" s="92">
        <f t="shared" ref="Z16:Z79" si="30">CHOOSE(V16,Y16,U16+(0.5*Y16))</f>
        <v>6.0272727272727273</v>
      </c>
      <c r="AA16" s="92">
        <f t="shared" ref="AA16:AA79" si="31">CHOOSE(V16,Z16*SQRT((W16+X16)/3),SQRT((U16^2)+((Y16^2)/12)))</f>
        <v>3.6564106502108333</v>
      </c>
      <c r="AB16" s="92">
        <v>0</v>
      </c>
      <c r="AC16" s="92">
        <f t="shared" si="6"/>
        <v>8.0216033057851258E-2</v>
      </c>
      <c r="AD16" s="95">
        <f t="shared" si="16"/>
        <v>8.0216033057851258E-2</v>
      </c>
      <c r="AE16" s="94">
        <f t="shared" si="29"/>
        <v>2.6400000000000006</v>
      </c>
      <c r="AF16" s="92">
        <f t="shared" si="17"/>
        <v>3.2703931070102512</v>
      </c>
      <c r="AG16" s="92">
        <f t="shared" si="7"/>
        <v>7.4868297520661153E-2</v>
      </c>
      <c r="AH16" s="92">
        <f t="shared" si="18"/>
        <v>1.5368303571428572</v>
      </c>
      <c r="AI16" s="95">
        <f t="shared" si="19"/>
        <v>1.6116986546635184</v>
      </c>
      <c r="AJ16" s="94">
        <f t="shared" si="20"/>
        <v>0.65999999999999992</v>
      </c>
      <c r="AK16" s="92">
        <f t="shared" si="21"/>
        <v>1.6351965535051254</v>
      </c>
      <c r="AL16" s="92">
        <f t="shared" si="8"/>
        <v>1.8717074380165285E-2</v>
      </c>
      <c r="AM16" s="92">
        <f t="shared" si="22"/>
        <v>0.34846000000000005</v>
      </c>
      <c r="AN16" s="211">
        <f t="shared" si="23"/>
        <v>4.098545454545454E-2</v>
      </c>
      <c r="AO16" s="95">
        <f t="shared" si="24"/>
        <v>0.40816252892561988</v>
      </c>
      <c r="AP16" s="94">
        <f t="shared" si="25"/>
        <v>2.0054008264462814E-2</v>
      </c>
      <c r="AQ16" s="230">
        <f t="shared" si="9"/>
        <v>8.0216033057851258E-2</v>
      </c>
      <c r="AR16" s="230">
        <f t="shared" si="10"/>
        <v>1.0915700452567536</v>
      </c>
      <c r="AS16" s="92">
        <f t="shared" si="11"/>
        <v>3.6000000000000004E-2</v>
      </c>
      <c r="AT16" s="95">
        <f t="shared" si="12"/>
        <v>2.9699999999999997E-5</v>
      </c>
      <c r="AU16" s="94">
        <f t="shared" si="26"/>
        <v>3.3279470032260567</v>
      </c>
      <c r="AV16" s="92">
        <f t="shared" si="27"/>
        <v>29.700000000000003</v>
      </c>
      <c r="AW16" s="95">
        <f t="shared" si="28"/>
        <v>89.923845394020418</v>
      </c>
    </row>
    <row r="17" spans="17:49" x14ac:dyDescent="0.25">
      <c r="Q17" s="32">
        <v>10</v>
      </c>
      <c r="R17" s="94">
        <f t="shared" si="0"/>
        <v>45</v>
      </c>
      <c r="S17" s="92">
        <f t="shared" si="1"/>
        <v>0.73333333333333339</v>
      </c>
      <c r="T17" s="92">
        <f t="shared" si="2"/>
        <v>9</v>
      </c>
      <c r="U17" s="95">
        <f t="shared" si="3"/>
        <v>3.6666666666666665</v>
      </c>
      <c r="V17" s="94">
        <f>IF(Variable_Management!$B$22=3,2,IF((S17*R17/T17)&lt;((T17*(1-(T17/R17)))/(2*Lm*Fsw)),1,2))</f>
        <v>2</v>
      </c>
      <c r="W17" s="92">
        <f t="shared" si="13"/>
        <v>0.8</v>
      </c>
      <c r="X17" s="95">
        <f t="shared" si="4"/>
        <v>0.19999999999999996</v>
      </c>
      <c r="Y17" s="94">
        <f t="shared" si="5"/>
        <v>5.454545454545455</v>
      </c>
      <c r="Z17" s="92">
        <f t="shared" si="30"/>
        <v>6.3939393939393945</v>
      </c>
      <c r="AA17" s="92">
        <f t="shared" si="31"/>
        <v>3.9904615381456376</v>
      </c>
      <c r="AB17" s="92">
        <v>0</v>
      </c>
      <c r="AC17" s="92">
        <f t="shared" si="6"/>
        <v>9.5542699724517885E-2</v>
      </c>
      <c r="AD17" s="95">
        <f t="shared" si="16"/>
        <v>9.5542699724517885E-2</v>
      </c>
      <c r="AE17" s="94">
        <f t="shared" si="29"/>
        <v>2.9333333333333336</v>
      </c>
      <c r="AF17" s="92">
        <f t="shared" si="17"/>
        <v>3.5691773043568067</v>
      </c>
      <c r="AG17" s="92">
        <f t="shared" si="7"/>
        <v>8.9173186409550048E-2</v>
      </c>
      <c r="AH17" s="92">
        <f t="shared" si="18"/>
        <v>1.7075892857142858</v>
      </c>
      <c r="AI17" s="95">
        <f t="shared" si="19"/>
        <v>1.7967624721238358</v>
      </c>
      <c r="AJ17" s="94">
        <f t="shared" si="20"/>
        <v>0.73333333333333317</v>
      </c>
      <c r="AK17" s="92">
        <f t="shared" si="21"/>
        <v>1.7845886521784031</v>
      </c>
      <c r="AL17" s="92">
        <f t="shared" si="8"/>
        <v>2.2293296602387509E-2</v>
      </c>
      <c r="AM17" s="92">
        <f t="shared" si="22"/>
        <v>0.34846000000000005</v>
      </c>
      <c r="AN17" s="211">
        <f t="shared" si="23"/>
        <v>4.3478787878787881E-2</v>
      </c>
      <c r="AO17" s="95">
        <f t="shared" si="24"/>
        <v>0.41423208448117543</v>
      </c>
      <c r="AP17" s="94">
        <f t="shared" si="25"/>
        <v>2.3885674931129471E-2</v>
      </c>
      <c r="AQ17" s="230">
        <f t="shared" si="9"/>
        <v>9.5542699724517885E-2</v>
      </c>
      <c r="AR17" s="230">
        <f t="shared" si="10"/>
        <v>1.0915700452567536</v>
      </c>
      <c r="AS17" s="92">
        <f t="shared" si="11"/>
        <v>3.6000000000000004E-2</v>
      </c>
      <c r="AT17" s="95">
        <f t="shared" si="12"/>
        <v>2.9699999999999997E-5</v>
      </c>
      <c r="AU17" s="94">
        <f t="shared" si="26"/>
        <v>3.5535653762419299</v>
      </c>
      <c r="AV17" s="92">
        <f t="shared" si="27"/>
        <v>33</v>
      </c>
      <c r="AW17" s="95">
        <f t="shared" si="28"/>
        <v>90.278471225267737</v>
      </c>
    </row>
    <row r="18" spans="17:49" x14ac:dyDescent="0.25">
      <c r="Q18" s="32">
        <v>11</v>
      </c>
      <c r="R18" s="94">
        <f t="shared" si="0"/>
        <v>45</v>
      </c>
      <c r="S18" s="92">
        <f t="shared" si="1"/>
        <v>0.80666666666666664</v>
      </c>
      <c r="T18" s="92">
        <f t="shared" si="2"/>
        <v>9</v>
      </c>
      <c r="U18" s="95">
        <f t="shared" si="3"/>
        <v>4.0333333333333332</v>
      </c>
      <c r="V18" s="94">
        <f>IF(Variable_Management!$B$22=3,2,IF((S18*R18/T18)&lt;((T18*(1-(T18/R18)))/(2*Lm*Fsw)),1,2))</f>
        <v>2</v>
      </c>
      <c r="W18" s="92">
        <f t="shared" si="13"/>
        <v>0.8</v>
      </c>
      <c r="X18" s="95">
        <f t="shared" si="4"/>
        <v>0.19999999999999996</v>
      </c>
      <c r="Y18" s="94">
        <f t="shared" si="5"/>
        <v>5.454545454545455</v>
      </c>
      <c r="Z18" s="92">
        <f t="shared" si="30"/>
        <v>6.7606060606060607</v>
      </c>
      <c r="AA18" s="92">
        <f t="shared" si="31"/>
        <v>4.3297940621642717</v>
      </c>
      <c r="AB18" s="92">
        <v>0</v>
      </c>
      <c r="AC18" s="92">
        <f t="shared" si="6"/>
        <v>0.1124826997245179</v>
      </c>
      <c r="AD18" s="95">
        <f t="shared" si="16"/>
        <v>0.1124826997245179</v>
      </c>
      <c r="AE18" s="94">
        <f t="shared" si="29"/>
        <v>3.2266666666666666</v>
      </c>
      <c r="AF18" s="92">
        <f t="shared" si="17"/>
        <v>3.8726855406297038</v>
      </c>
      <c r="AG18" s="92">
        <f t="shared" si="7"/>
        <v>0.10498385307621667</v>
      </c>
      <c r="AH18" s="92">
        <f t="shared" si="18"/>
        <v>1.8783482142857144</v>
      </c>
      <c r="AI18" s="95">
        <f t="shared" si="19"/>
        <v>1.983332067361931</v>
      </c>
      <c r="AJ18" s="94">
        <f t="shared" si="20"/>
        <v>0.80666666666666642</v>
      </c>
      <c r="AK18" s="92">
        <f t="shared" si="21"/>
        <v>1.9363427703148517</v>
      </c>
      <c r="AL18" s="92">
        <f t="shared" si="8"/>
        <v>2.6245963269054162E-2</v>
      </c>
      <c r="AM18" s="92">
        <f t="shared" si="22"/>
        <v>0.34846000000000005</v>
      </c>
      <c r="AN18" s="211">
        <f t="shared" si="23"/>
        <v>4.5972121212121207E-2</v>
      </c>
      <c r="AO18" s="95">
        <f t="shared" si="24"/>
        <v>0.42067808448117539</v>
      </c>
      <c r="AP18" s="94">
        <f t="shared" si="25"/>
        <v>2.8120674931129474E-2</v>
      </c>
      <c r="AQ18" s="230">
        <f t="shared" si="9"/>
        <v>0.1124826997245179</v>
      </c>
      <c r="AR18" s="230">
        <f t="shared" si="10"/>
        <v>1.0915700452567536</v>
      </c>
      <c r="AS18" s="92">
        <f t="shared" si="11"/>
        <v>3.6000000000000004E-2</v>
      </c>
      <c r="AT18" s="95">
        <f t="shared" si="12"/>
        <v>2.9699999999999997E-5</v>
      </c>
      <c r="AU18" s="94">
        <f t="shared" si="26"/>
        <v>3.7846959714800246</v>
      </c>
      <c r="AV18" s="92">
        <f t="shared" si="27"/>
        <v>36.299999999999997</v>
      </c>
      <c r="AW18" s="95">
        <f t="shared" si="28"/>
        <v>90.558252021737147</v>
      </c>
    </row>
    <row r="19" spans="17:49" x14ac:dyDescent="0.25">
      <c r="Q19" s="32">
        <v>12</v>
      </c>
      <c r="R19" s="94">
        <f t="shared" si="0"/>
        <v>45</v>
      </c>
      <c r="S19" s="92">
        <f t="shared" si="1"/>
        <v>0.88</v>
      </c>
      <c r="T19" s="92">
        <f t="shared" si="2"/>
        <v>9</v>
      </c>
      <c r="U19" s="95">
        <f t="shared" si="3"/>
        <v>4.4000000000000004</v>
      </c>
      <c r="V19" s="94">
        <f>IF(Variable_Management!$B$22=3,2,IF((S19*R19/T19)&lt;((T19*(1-(T19/R19)))/(2*Lm*Fsw)),1,2))</f>
        <v>2</v>
      </c>
      <c r="W19" s="92">
        <f t="shared" si="13"/>
        <v>0.8</v>
      </c>
      <c r="X19" s="95">
        <f t="shared" si="4"/>
        <v>0.19999999999999996</v>
      </c>
      <c r="Y19" s="94">
        <f t="shared" si="5"/>
        <v>5.454545454545455</v>
      </c>
      <c r="Z19" s="92">
        <f t="shared" si="30"/>
        <v>7.1272727272727279</v>
      </c>
      <c r="AA19" s="92">
        <f t="shared" si="31"/>
        <v>4.6732578404123188</v>
      </c>
      <c r="AB19" s="92">
        <v>0</v>
      </c>
      <c r="AC19" s="92">
        <f t="shared" si="6"/>
        <v>0.13103603305785125</v>
      </c>
      <c r="AD19" s="95">
        <f t="shared" si="16"/>
        <v>0.13103603305785125</v>
      </c>
      <c r="AE19" s="94">
        <f t="shared" si="29"/>
        <v>3.5200000000000005</v>
      </c>
      <c r="AF19" s="92">
        <f t="shared" si="17"/>
        <v>4.1798888830183234</v>
      </c>
      <c r="AG19" s="92">
        <f t="shared" si="7"/>
        <v>0.12230029752066118</v>
      </c>
      <c r="AH19" s="92">
        <f t="shared" si="18"/>
        <v>2.0491071428571432</v>
      </c>
      <c r="AI19" s="95">
        <f t="shared" si="19"/>
        <v>2.1714074403778043</v>
      </c>
      <c r="AJ19" s="94">
        <f t="shared" si="20"/>
        <v>0.87999999999999989</v>
      </c>
      <c r="AK19" s="92">
        <f t="shared" si="21"/>
        <v>2.0899444415091617</v>
      </c>
      <c r="AL19" s="92">
        <f t="shared" si="8"/>
        <v>3.0575074380165296E-2</v>
      </c>
      <c r="AM19" s="92">
        <f t="shared" si="22"/>
        <v>0.34846000000000005</v>
      </c>
      <c r="AN19" s="211">
        <f t="shared" si="23"/>
        <v>4.8465454545454548E-2</v>
      </c>
      <c r="AO19" s="95">
        <f t="shared" si="24"/>
        <v>0.4275005289256199</v>
      </c>
      <c r="AP19" s="94">
        <f t="shared" si="25"/>
        <v>3.2759008264462812E-2</v>
      </c>
      <c r="AQ19" s="230">
        <f t="shared" si="9"/>
        <v>0.13103603305785125</v>
      </c>
      <c r="AR19" s="230">
        <f t="shared" si="10"/>
        <v>1.0915700452567536</v>
      </c>
      <c r="AS19" s="92">
        <f t="shared" si="11"/>
        <v>3.6000000000000004E-2</v>
      </c>
      <c r="AT19" s="95">
        <f t="shared" si="12"/>
        <v>2.9699999999999997E-5</v>
      </c>
      <c r="AU19" s="94">
        <f t="shared" si="26"/>
        <v>4.0213387889403425</v>
      </c>
      <c r="AV19" s="92">
        <f t="shared" si="27"/>
        <v>39.6</v>
      </c>
      <c r="AW19" s="95">
        <f t="shared" si="28"/>
        <v>90.781257750026001</v>
      </c>
    </row>
    <row r="20" spans="17:49" x14ac:dyDescent="0.25">
      <c r="Q20" s="32">
        <v>13</v>
      </c>
      <c r="R20" s="94">
        <f t="shared" si="0"/>
        <v>45</v>
      </c>
      <c r="S20" s="92">
        <f t="shared" si="1"/>
        <v>0.95333333333333337</v>
      </c>
      <c r="T20" s="92">
        <f t="shared" si="2"/>
        <v>9</v>
      </c>
      <c r="U20" s="95">
        <f t="shared" si="3"/>
        <v>4.7666666666666666</v>
      </c>
      <c r="V20" s="94">
        <f>IF(Variable_Management!$B$22=3,2,IF((S20*R20/T20)&lt;((T20*(1-(T20/R20)))/(2*Lm*Fsw)),1,2))</f>
        <v>2</v>
      </c>
      <c r="W20" s="92">
        <f t="shared" si="13"/>
        <v>0.8</v>
      </c>
      <c r="X20" s="95">
        <f t="shared" si="4"/>
        <v>0.19999999999999996</v>
      </c>
      <c r="Y20" s="94">
        <f t="shared" si="5"/>
        <v>5.454545454545455</v>
      </c>
      <c r="Z20" s="92">
        <f t="shared" si="30"/>
        <v>7.4939393939393941</v>
      </c>
      <c r="AA20" s="92">
        <f t="shared" si="31"/>
        <v>5.0200049755041398</v>
      </c>
      <c r="AB20" s="92">
        <v>0</v>
      </c>
      <c r="AC20" s="92">
        <f t="shared" si="6"/>
        <v>0.15120269972451791</v>
      </c>
      <c r="AD20" s="95">
        <f t="shared" si="16"/>
        <v>0.15120269972451791</v>
      </c>
      <c r="AE20" s="94">
        <f t="shared" si="29"/>
        <v>3.8133333333333335</v>
      </c>
      <c r="AF20" s="92">
        <f t="shared" si="17"/>
        <v>4.4900289490457697</v>
      </c>
      <c r="AG20" s="92">
        <f t="shared" si="7"/>
        <v>0.14112251974288342</v>
      </c>
      <c r="AH20" s="92">
        <f t="shared" si="18"/>
        <v>2.2198660714285716</v>
      </c>
      <c r="AI20" s="95">
        <f t="shared" si="19"/>
        <v>2.3609885911714552</v>
      </c>
      <c r="AJ20" s="94">
        <f t="shared" si="20"/>
        <v>0.95333333333333314</v>
      </c>
      <c r="AK20" s="92">
        <f t="shared" si="21"/>
        <v>2.2450144745228848</v>
      </c>
      <c r="AL20" s="92">
        <f t="shared" si="8"/>
        <v>3.5280629935720856E-2</v>
      </c>
      <c r="AM20" s="92">
        <f t="shared" si="22"/>
        <v>0.34846000000000005</v>
      </c>
      <c r="AN20" s="211">
        <f t="shared" si="23"/>
        <v>5.0958787878787874E-2</v>
      </c>
      <c r="AO20" s="95">
        <f t="shared" si="24"/>
        <v>0.43469941781450877</v>
      </c>
      <c r="AP20" s="94">
        <f t="shared" si="25"/>
        <v>3.7800674931129478E-2</v>
      </c>
      <c r="AQ20" s="230">
        <f t="shared" si="9"/>
        <v>0.15120269972451791</v>
      </c>
      <c r="AR20" s="230">
        <f t="shared" si="10"/>
        <v>1.0915700452567536</v>
      </c>
      <c r="AS20" s="92">
        <f t="shared" si="11"/>
        <v>3.6000000000000004E-2</v>
      </c>
      <c r="AT20" s="95">
        <f t="shared" si="12"/>
        <v>2.9699999999999997E-5</v>
      </c>
      <c r="AU20" s="94">
        <f t="shared" si="26"/>
        <v>4.2634938286228827</v>
      </c>
      <c r="AV20" s="92">
        <f t="shared" si="27"/>
        <v>42.9</v>
      </c>
      <c r="AW20" s="95">
        <f t="shared" si="28"/>
        <v>90.960182373012771</v>
      </c>
    </row>
    <row r="21" spans="17:49" x14ac:dyDescent="0.25">
      <c r="Q21" s="32">
        <v>14</v>
      </c>
      <c r="R21" s="94">
        <f t="shared" si="0"/>
        <v>45</v>
      </c>
      <c r="S21" s="92">
        <f t="shared" si="1"/>
        <v>1.0266666666666666</v>
      </c>
      <c r="T21" s="92">
        <f t="shared" si="2"/>
        <v>9</v>
      </c>
      <c r="U21" s="95">
        <f t="shared" si="3"/>
        <v>5.1333333333333329</v>
      </c>
      <c r="V21" s="94">
        <f>IF(Variable_Management!$B$22=3,2,IF((S21*R21/T21)&lt;((T21*(1-(T21/R21)))/(2*Lm*Fsw)),1,2))</f>
        <v>2</v>
      </c>
      <c r="W21" s="92">
        <f t="shared" si="13"/>
        <v>0.8</v>
      </c>
      <c r="X21" s="95">
        <f t="shared" si="4"/>
        <v>0.19999999999999996</v>
      </c>
      <c r="Y21" s="94">
        <f t="shared" si="5"/>
        <v>5.454545454545455</v>
      </c>
      <c r="Z21" s="92">
        <f t="shared" si="30"/>
        <v>7.8606060606060604</v>
      </c>
      <c r="AA21" s="92">
        <f t="shared" si="31"/>
        <v>5.3693994034795285</v>
      </c>
      <c r="AB21" s="92">
        <v>0</v>
      </c>
      <c r="AC21" s="92">
        <f t="shared" si="6"/>
        <v>0.17298269972451791</v>
      </c>
      <c r="AD21" s="95">
        <f t="shared" si="16"/>
        <v>0.17298269972451791</v>
      </c>
      <c r="AE21" s="94">
        <f t="shared" si="29"/>
        <v>4.1066666666666665</v>
      </c>
      <c r="AF21" s="92">
        <f t="shared" si="17"/>
        <v>4.8025368258108179</v>
      </c>
      <c r="AG21" s="92">
        <f t="shared" si="7"/>
        <v>0.16145051974288332</v>
      </c>
      <c r="AH21" s="92">
        <f t="shared" si="18"/>
        <v>2.3906249999999996</v>
      </c>
      <c r="AI21" s="95">
        <f t="shared" si="19"/>
        <v>2.5520755197428828</v>
      </c>
      <c r="AJ21" s="94">
        <f t="shared" si="20"/>
        <v>1.0266666666666664</v>
      </c>
      <c r="AK21" s="92">
        <f t="shared" si="21"/>
        <v>2.4012684129054085</v>
      </c>
      <c r="AL21" s="92">
        <f t="shared" si="8"/>
        <v>4.0362629935720817E-2</v>
      </c>
      <c r="AM21" s="92">
        <f t="shared" si="22"/>
        <v>0.34846000000000005</v>
      </c>
      <c r="AN21" s="211">
        <f t="shared" si="23"/>
        <v>5.3452121212121208E-2</v>
      </c>
      <c r="AO21" s="95">
        <f t="shared" si="24"/>
        <v>0.44227475114784209</v>
      </c>
      <c r="AP21" s="94">
        <f t="shared" si="25"/>
        <v>4.3245674931129477E-2</v>
      </c>
      <c r="AQ21" s="230">
        <f t="shared" si="9"/>
        <v>0.17298269972451791</v>
      </c>
      <c r="AR21" s="230">
        <f t="shared" si="10"/>
        <v>1.0915700452567536</v>
      </c>
      <c r="AS21" s="92">
        <f t="shared" si="11"/>
        <v>3.6000000000000004E-2</v>
      </c>
      <c r="AT21" s="95">
        <f t="shared" si="12"/>
        <v>2.9699999999999997E-5</v>
      </c>
      <c r="AU21" s="94">
        <f t="shared" si="26"/>
        <v>4.5111610905276436</v>
      </c>
      <c r="AV21" s="92">
        <f t="shared" si="27"/>
        <v>46.199999999999996</v>
      </c>
      <c r="AW21" s="95">
        <f t="shared" si="28"/>
        <v>91.10420468883666</v>
      </c>
    </row>
    <row r="22" spans="17:49" x14ac:dyDescent="0.25">
      <c r="Q22" s="32">
        <v>15</v>
      </c>
      <c r="R22" s="94">
        <f t="shared" si="0"/>
        <v>45</v>
      </c>
      <c r="S22" s="92">
        <f t="shared" si="1"/>
        <v>1.1000000000000001</v>
      </c>
      <c r="T22" s="92">
        <f t="shared" si="2"/>
        <v>9</v>
      </c>
      <c r="U22" s="95">
        <f t="shared" si="3"/>
        <v>5.5000000000000009</v>
      </c>
      <c r="V22" s="94">
        <f>IF(Variable_Management!$B$22=3,2,IF((S22*R22/T22)&lt;((T22*(1-(T22/R22)))/(2*Lm*Fsw)),1,2))</f>
        <v>2</v>
      </c>
      <c r="W22" s="92">
        <f t="shared" si="13"/>
        <v>0.8</v>
      </c>
      <c r="X22" s="95">
        <f t="shared" si="4"/>
        <v>0.19999999999999996</v>
      </c>
      <c r="Y22" s="94">
        <f t="shared" si="5"/>
        <v>5.454545454545455</v>
      </c>
      <c r="Z22" s="92">
        <f t="shared" si="30"/>
        <v>8.2272727272727284</v>
      </c>
      <c r="AA22" s="92">
        <f t="shared" si="31"/>
        <v>5.7209561126594233</v>
      </c>
      <c r="AB22" s="92">
        <v>0</v>
      </c>
      <c r="AC22" s="92">
        <f t="shared" si="6"/>
        <v>0.19637603305785131</v>
      </c>
      <c r="AD22" s="95">
        <f t="shared" si="16"/>
        <v>0.19637603305785131</v>
      </c>
      <c r="AE22" s="94">
        <f t="shared" si="29"/>
        <v>4.4000000000000012</v>
      </c>
      <c r="AF22" s="92">
        <f t="shared" si="17"/>
        <v>5.1169787056797666</v>
      </c>
      <c r="AG22" s="92">
        <f t="shared" si="7"/>
        <v>0.18328429752066125</v>
      </c>
      <c r="AH22" s="92">
        <f t="shared" si="18"/>
        <v>2.5613839285714288</v>
      </c>
      <c r="AI22" s="95">
        <f t="shared" si="19"/>
        <v>2.7446682260920903</v>
      </c>
      <c r="AJ22" s="94">
        <f t="shared" si="20"/>
        <v>1.0999999999999999</v>
      </c>
      <c r="AK22" s="92">
        <f t="shared" si="21"/>
        <v>2.5584893528398829</v>
      </c>
      <c r="AL22" s="92">
        <f t="shared" si="8"/>
        <v>4.5821074380165305E-2</v>
      </c>
      <c r="AM22" s="92">
        <f t="shared" si="22"/>
        <v>0.34846000000000005</v>
      </c>
      <c r="AN22" s="211">
        <f t="shared" si="23"/>
        <v>5.5945454545454548E-2</v>
      </c>
      <c r="AO22" s="95">
        <f t="shared" si="24"/>
        <v>0.45022652892561987</v>
      </c>
      <c r="AP22" s="94">
        <f t="shared" si="25"/>
        <v>4.9094008264462828E-2</v>
      </c>
      <c r="AQ22" s="230">
        <f t="shared" si="9"/>
        <v>0.19637603305785131</v>
      </c>
      <c r="AR22" s="230">
        <f t="shared" si="10"/>
        <v>1.0915700452567536</v>
      </c>
      <c r="AS22" s="92">
        <f t="shared" si="11"/>
        <v>3.6000000000000004E-2</v>
      </c>
      <c r="AT22" s="95">
        <f t="shared" si="12"/>
        <v>2.9699999999999997E-5</v>
      </c>
      <c r="AU22" s="94">
        <f t="shared" si="26"/>
        <v>4.7643405746546295</v>
      </c>
      <c r="AV22" s="92">
        <f t="shared" si="27"/>
        <v>49.500000000000007</v>
      </c>
      <c r="AW22" s="95">
        <f t="shared" si="28"/>
        <v>91.220126285142911</v>
      </c>
    </row>
    <row r="23" spans="17:49" x14ac:dyDescent="0.25">
      <c r="Q23" s="32">
        <v>16</v>
      </c>
      <c r="R23" s="94">
        <f t="shared" si="0"/>
        <v>45</v>
      </c>
      <c r="S23" s="92">
        <f t="shared" si="1"/>
        <v>1.1733333333333333</v>
      </c>
      <c r="T23" s="92">
        <f t="shared" si="2"/>
        <v>9</v>
      </c>
      <c r="U23" s="95">
        <f t="shared" si="3"/>
        <v>5.8666666666666663</v>
      </c>
      <c r="V23" s="94">
        <f>IF(Variable_Management!$B$22=3,2,IF((S23*R23/T23)&lt;((T23*(1-(T23/R23)))/(2*Lm*Fsw)),1,2))</f>
        <v>2</v>
      </c>
      <c r="W23" s="92">
        <f t="shared" si="13"/>
        <v>0.8</v>
      </c>
      <c r="X23" s="95">
        <f t="shared" si="4"/>
        <v>0.19999999999999996</v>
      </c>
      <c r="Y23" s="94">
        <f t="shared" si="5"/>
        <v>5.454545454545455</v>
      </c>
      <c r="Z23" s="92">
        <f t="shared" si="30"/>
        <v>8.5939393939393938</v>
      </c>
      <c r="AA23" s="92">
        <f t="shared" si="31"/>
        <v>6.0742996815067478</v>
      </c>
      <c r="AB23" s="92">
        <v>0</v>
      </c>
      <c r="AC23" s="92">
        <f t="shared" si="6"/>
        <v>0.22138269972451785</v>
      </c>
      <c r="AD23" s="95">
        <f t="shared" si="16"/>
        <v>0.22138269972451785</v>
      </c>
      <c r="AE23" s="94">
        <f t="shared" si="29"/>
        <v>4.6933333333333334</v>
      </c>
      <c r="AF23" s="92">
        <f t="shared" si="17"/>
        <v>5.4330188014217651</v>
      </c>
      <c r="AG23" s="92">
        <f t="shared" si="7"/>
        <v>0.20662385307621675</v>
      </c>
      <c r="AH23" s="92">
        <f t="shared" si="18"/>
        <v>2.7321428571428572</v>
      </c>
      <c r="AI23" s="95">
        <f t="shared" si="19"/>
        <v>2.938766710219074</v>
      </c>
      <c r="AJ23" s="94">
        <f t="shared" si="20"/>
        <v>1.1733333333333329</v>
      </c>
      <c r="AK23" s="92">
        <f t="shared" si="21"/>
        <v>2.7165094007108816</v>
      </c>
      <c r="AL23" s="92">
        <f t="shared" si="8"/>
        <v>5.1655963269054153E-2</v>
      </c>
      <c r="AM23" s="92">
        <f t="shared" si="22"/>
        <v>0.34846000000000005</v>
      </c>
      <c r="AN23" s="211">
        <f t="shared" si="23"/>
        <v>5.8438787878787875E-2</v>
      </c>
      <c r="AO23" s="95">
        <f t="shared" si="24"/>
        <v>0.45855475114784205</v>
      </c>
      <c r="AP23" s="94">
        <f t="shared" si="25"/>
        <v>5.5345674931129463E-2</v>
      </c>
      <c r="AQ23" s="230">
        <f t="shared" si="9"/>
        <v>0.22138269972451785</v>
      </c>
      <c r="AR23" s="230">
        <f t="shared" si="10"/>
        <v>1.0915700452567536</v>
      </c>
      <c r="AS23" s="92">
        <f t="shared" si="11"/>
        <v>3.6000000000000004E-2</v>
      </c>
      <c r="AT23" s="95">
        <f t="shared" si="12"/>
        <v>2.9699999999999997E-5</v>
      </c>
      <c r="AU23" s="94">
        <f t="shared" si="26"/>
        <v>5.023032281003835</v>
      </c>
      <c r="AV23" s="92">
        <f t="shared" si="27"/>
        <v>52.8</v>
      </c>
      <c r="AW23" s="95">
        <f t="shared" si="28"/>
        <v>91.313094310597037</v>
      </c>
    </row>
    <row r="24" spans="17:49" x14ac:dyDescent="0.25">
      <c r="Q24" s="32">
        <v>17</v>
      </c>
      <c r="R24" s="94">
        <f t="shared" si="0"/>
        <v>45</v>
      </c>
      <c r="S24" s="92">
        <f t="shared" si="1"/>
        <v>1.2466666666666666</v>
      </c>
      <c r="T24" s="92">
        <f t="shared" si="2"/>
        <v>9</v>
      </c>
      <c r="U24" s="95">
        <f t="shared" si="3"/>
        <v>6.2333333333333325</v>
      </c>
      <c r="V24" s="94">
        <f>IF(Variable_Management!$B$22=3,2,IF((S24*R24/T24)&lt;((T24*(1-(T24/R24)))/(2*Lm*Fsw)),1,2))</f>
        <v>2</v>
      </c>
      <c r="W24" s="92">
        <f t="shared" si="13"/>
        <v>0.8</v>
      </c>
      <c r="X24" s="95">
        <f t="shared" si="4"/>
        <v>0.19999999999999996</v>
      </c>
      <c r="Y24" s="94">
        <f t="shared" si="5"/>
        <v>5.454545454545455</v>
      </c>
      <c r="Z24" s="92">
        <f t="shared" si="30"/>
        <v>8.9606060606060609</v>
      </c>
      <c r="AA24" s="92">
        <f t="shared" si="31"/>
        <v>6.4291355007823281</v>
      </c>
      <c r="AB24" s="92">
        <v>0</v>
      </c>
      <c r="AC24" s="92">
        <f t="shared" si="6"/>
        <v>0.24800269972451783</v>
      </c>
      <c r="AD24" s="95">
        <f t="shared" si="16"/>
        <v>0.24800269972451783</v>
      </c>
      <c r="AE24" s="94">
        <f t="shared" si="29"/>
        <v>4.9866666666666664</v>
      </c>
      <c r="AF24" s="92">
        <f t="shared" si="17"/>
        <v>5.750393606522576</v>
      </c>
      <c r="AG24" s="92">
        <f t="shared" si="7"/>
        <v>0.23146918640955003</v>
      </c>
      <c r="AH24" s="92">
        <f t="shared" si="18"/>
        <v>2.9029017857142851</v>
      </c>
      <c r="AI24" s="95">
        <f t="shared" si="19"/>
        <v>3.1343709721238353</v>
      </c>
      <c r="AJ24" s="94">
        <f t="shared" si="20"/>
        <v>1.2466666666666661</v>
      </c>
      <c r="AK24" s="92">
        <f t="shared" si="21"/>
        <v>2.8751968032612876</v>
      </c>
      <c r="AL24" s="92">
        <f t="shared" si="8"/>
        <v>5.7867296602387493E-2</v>
      </c>
      <c r="AM24" s="92">
        <f t="shared" si="22"/>
        <v>0.34846000000000005</v>
      </c>
      <c r="AN24" s="211">
        <f t="shared" si="23"/>
        <v>6.0932121212121208E-2</v>
      </c>
      <c r="AO24" s="95">
        <f t="shared" si="24"/>
        <v>0.46725941781450875</v>
      </c>
      <c r="AP24" s="94">
        <f t="shared" si="25"/>
        <v>6.2000674931129457E-2</v>
      </c>
      <c r="AQ24" s="230">
        <f t="shared" si="9"/>
        <v>0.24800269972451783</v>
      </c>
      <c r="AR24" s="230">
        <f t="shared" si="10"/>
        <v>1.0915700452567536</v>
      </c>
      <c r="AS24" s="92">
        <f t="shared" si="11"/>
        <v>3.6000000000000004E-2</v>
      </c>
      <c r="AT24" s="95">
        <f t="shared" si="12"/>
        <v>2.9699999999999997E-5</v>
      </c>
      <c r="AU24" s="94">
        <f t="shared" si="26"/>
        <v>5.287236209575263</v>
      </c>
      <c r="AV24" s="92">
        <f t="shared" si="27"/>
        <v>56.099999999999994</v>
      </c>
      <c r="AW24" s="95">
        <f t="shared" si="28"/>
        <v>91.387075659303662</v>
      </c>
    </row>
    <row r="25" spans="17:49" x14ac:dyDescent="0.25">
      <c r="Q25" s="32">
        <v>18</v>
      </c>
      <c r="R25" s="94">
        <f t="shared" si="0"/>
        <v>45</v>
      </c>
      <c r="S25" s="92">
        <f t="shared" si="1"/>
        <v>1.32</v>
      </c>
      <c r="T25" s="92">
        <f t="shared" si="2"/>
        <v>9</v>
      </c>
      <c r="U25" s="95">
        <f t="shared" si="3"/>
        <v>6.6000000000000005</v>
      </c>
      <c r="V25" s="94">
        <f>IF(Variable_Management!$B$22=3,2,IF((S25*R25/T25)&lt;((T25*(1-(T25/R25)))/(2*Lm*Fsw)),1,2))</f>
        <v>2</v>
      </c>
      <c r="W25" s="92">
        <f t="shared" si="13"/>
        <v>0.8</v>
      </c>
      <c r="X25" s="95">
        <f t="shared" si="4"/>
        <v>0.19999999999999996</v>
      </c>
      <c r="Y25" s="94">
        <f t="shared" si="5"/>
        <v>5.454545454545455</v>
      </c>
      <c r="Z25" s="92">
        <f t="shared" si="30"/>
        <v>9.327272727272728</v>
      </c>
      <c r="AA25" s="92">
        <f t="shared" si="31"/>
        <v>6.7852294613354989</v>
      </c>
      <c r="AB25" s="92">
        <v>0</v>
      </c>
      <c r="AC25" s="92">
        <f t="shared" si="6"/>
        <v>0.27623603305785138</v>
      </c>
      <c r="AD25" s="95">
        <f t="shared" si="16"/>
        <v>0.27623603305785138</v>
      </c>
      <c r="AE25" s="94">
        <f t="shared" si="29"/>
        <v>5.2800000000000011</v>
      </c>
      <c r="AF25" s="92">
        <f t="shared" si="17"/>
        <v>6.0688937273921812</v>
      </c>
      <c r="AG25" s="92">
        <f t="shared" si="7"/>
        <v>0.25782029752066116</v>
      </c>
      <c r="AH25" s="92">
        <f t="shared" si="18"/>
        <v>3.0736607142857144</v>
      </c>
      <c r="AI25" s="95">
        <f t="shared" si="19"/>
        <v>3.3314810118063756</v>
      </c>
      <c r="AJ25" s="94">
        <f t="shared" si="20"/>
        <v>1.3199999999999998</v>
      </c>
      <c r="AK25" s="92">
        <f t="shared" si="21"/>
        <v>3.0344468636960906</v>
      </c>
      <c r="AL25" s="92">
        <f t="shared" si="8"/>
        <v>6.4455074380165289E-2</v>
      </c>
      <c r="AM25" s="92">
        <f t="shared" si="22"/>
        <v>0.34846000000000005</v>
      </c>
      <c r="AN25" s="211">
        <f t="shared" si="23"/>
        <v>6.3425454545454549E-2</v>
      </c>
      <c r="AO25" s="95">
        <f t="shared" si="24"/>
        <v>0.4763405289256199</v>
      </c>
      <c r="AP25" s="94">
        <f t="shared" si="25"/>
        <v>6.9059008264462846E-2</v>
      </c>
      <c r="AQ25" s="230">
        <f t="shared" si="9"/>
        <v>0.27623603305785138</v>
      </c>
      <c r="AR25" s="230">
        <f t="shared" si="10"/>
        <v>1.0915700452567536</v>
      </c>
      <c r="AS25" s="92">
        <f t="shared" si="11"/>
        <v>3.6000000000000004E-2</v>
      </c>
      <c r="AT25" s="95">
        <f t="shared" si="12"/>
        <v>2.9699999999999997E-5</v>
      </c>
      <c r="AU25" s="94">
        <f t="shared" si="26"/>
        <v>5.5569523603689142</v>
      </c>
      <c r="AV25" s="92">
        <f t="shared" si="27"/>
        <v>59.400000000000006</v>
      </c>
      <c r="AW25" s="95">
        <f t="shared" si="28"/>
        <v>91.445176908023669</v>
      </c>
    </row>
    <row r="26" spans="17:49" x14ac:dyDescent="0.25">
      <c r="Q26" s="32">
        <v>19</v>
      </c>
      <c r="R26" s="94">
        <f t="shared" si="0"/>
        <v>45</v>
      </c>
      <c r="S26" s="92">
        <f t="shared" si="1"/>
        <v>1.3933333333333333</v>
      </c>
      <c r="T26" s="92">
        <f t="shared" si="2"/>
        <v>9</v>
      </c>
      <c r="U26" s="95">
        <f t="shared" si="3"/>
        <v>6.9666666666666659</v>
      </c>
      <c r="V26" s="94">
        <f>IF(Variable_Management!$B$22=3,2,IF((S26*R26/T26)&lt;((T26*(1-(T26/R26)))/(2*Lm*Fsw)),1,2))</f>
        <v>2</v>
      </c>
      <c r="W26" s="92">
        <f t="shared" si="13"/>
        <v>0.8</v>
      </c>
      <c r="X26" s="95">
        <f t="shared" si="4"/>
        <v>0.19999999999999996</v>
      </c>
      <c r="Y26" s="94">
        <f t="shared" si="5"/>
        <v>5.454545454545455</v>
      </c>
      <c r="Z26" s="92">
        <f t="shared" si="30"/>
        <v>9.6939393939393934</v>
      </c>
      <c r="AA26" s="92">
        <f t="shared" si="31"/>
        <v>7.1423933864930484</v>
      </c>
      <c r="AB26" s="92">
        <v>0</v>
      </c>
      <c r="AC26" s="92">
        <f t="shared" si="6"/>
        <v>0.30608269972451779</v>
      </c>
      <c r="AD26" s="95">
        <f t="shared" si="16"/>
        <v>0.30608269972451779</v>
      </c>
      <c r="AE26" s="94">
        <f t="shared" si="29"/>
        <v>5.5733333333333333</v>
      </c>
      <c r="AF26" s="92">
        <f t="shared" si="17"/>
        <v>6.3883508536973537</v>
      </c>
      <c r="AG26" s="92">
        <f t="shared" si="7"/>
        <v>0.28567718640954998</v>
      </c>
      <c r="AH26" s="92">
        <f t="shared" si="18"/>
        <v>3.2444196428571419</v>
      </c>
      <c r="AI26" s="95">
        <f t="shared" si="19"/>
        <v>3.5300968292666921</v>
      </c>
      <c r="AJ26" s="94">
        <f t="shared" si="20"/>
        <v>1.3933333333333329</v>
      </c>
      <c r="AK26" s="92">
        <f t="shared" si="21"/>
        <v>3.1941754268486764</v>
      </c>
      <c r="AL26" s="92">
        <f t="shared" si="8"/>
        <v>7.1419296602387466E-2</v>
      </c>
      <c r="AM26" s="92">
        <f t="shared" si="22"/>
        <v>0.34846000000000005</v>
      </c>
      <c r="AN26" s="211">
        <f t="shared" si="23"/>
        <v>6.5918787878787868E-2</v>
      </c>
      <c r="AO26" s="95">
        <f t="shared" si="24"/>
        <v>0.4857980844811754</v>
      </c>
      <c r="AP26" s="94">
        <f t="shared" si="25"/>
        <v>7.6520674931129448E-2</v>
      </c>
      <c r="AQ26" s="230">
        <f t="shared" si="9"/>
        <v>0.30608269972451779</v>
      </c>
      <c r="AR26" s="230">
        <f t="shared" si="10"/>
        <v>1.0915700452567536</v>
      </c>
      <c r="AS26" s="92">
        <f t="shared" si="11"/>
        <v>3.6000000000000004E-2</v>
      </c>
      <c r="AT26" s="95">
        <f t="shared" si="12"/>
        <v>2.9699999999999997E-5</v>
      </c>
      <c r="AU26" s="94">
        <f t="shared" si="26"/>
        <v>5.832180733384785</v>
      </c>
      <c r="AV26" s="92">
        <f t="shared" si="27"/>
        <v>62.699999999999996</v>
      </c>
      <c r="AW26" s="95">
        <f t="shared" si="28"/>
        <v>91.489865533282682</v>
      </c>
    </row>
    <row r="27" spans="17:49" x14ac:dyDescent="0.25">
      <c r="Q27" s="32">
        <v>20</v>
      </c>
      <c r="R27" s="94">
        <f t="shared" si="0"/>
        <v>45</v>
      </c>
      <c r="S27" s="92">
        <f t="shared" si="1"/>
        <v>1.4666666666666668</v>
      </c>
      <c r="T27" s="92">
        <f t="shared" si="2"/>
        <v>9</v>
      </c>
      <c r="U27" s="95">
        <f t="shared" si="3"/>
        <v>7.333333333333333</v>
      </c>
      <c r="V27" s="94">
        <f>IF(Variable_Management!$B$22=3,2,IF((S27*R27/T27)&lt;((T27*(1-(T27/R27)))/(2*Lm*Fsw)),1,2))</f>
        <v>2</v>
      </c>
      <c r="W27" s="92">
        <f t="shared" si="13"/>
        <v>0.8</v>
      </c>
      <c r="X27" s="95">
        <f t="shared" si="4"/>
        <v>0.19999999999999996</v>
      </c>
      <c r="Y27" s="94">
        <f t="shared" si="5"/>
        <v>5.454545454545455</v>
      </c>
      <c r="Z27" s="92">
        <f t="shared" si="30"/>
        <v>10.060606060606061</v>
      </c>
      <c r="AA27" s="92">
        <f t="shared" si="31"/>
        <v>7.5004744263781733</v>
      </c>
      <c r="AB27" s="92">
        <v>0</v>
      </c>
      <c r="AC27" s="92">
        <f t="shared" si="6"/>
        <v>0.33754269972451795</v>
      </c>
      <c r="AD27" s="95">
        <f t="shared" si="16"/>
        <v>0.33754269972451795</v>
      </c>
      <c r="AE27" s="94">
        <f t="shared" si="29"/>
        <v>5.8666666666666671</v>
      </c>
      <c r="AF27" s="92">
        <f t="shared" si="17"/>
        <v>6.7086282723521347</v>
      </c>
      <c r="AG27" s="92">
        <f t="shared" si="7"/>
        <v>0.31503985307621674</v>
      </c>
      <c r="AH27" s="92">
        <f t="shared" si="18"/>
        <v>3.4151785714285716</v>
      </c>
      <c r="AI27" s="95">
        <f t="shared" si="19"/>
        <v>3.7302184245047885</v>
      </c>
      <c r="AJ27" s="94">
        <f t="shared" si="20"/>
        <v>1.4666666666666663</v>
      </c>
      <c r="AK27" s="92">
        <f t="shared" si="21"/>
        <v>3.3543141361760669</v>
      </c>
      <c r="AL27" s="92">
        <f t="shared" si="8"/>
        <v>7.8759963269054156E-2</v>
      </c>
      <c r="AM27" s="92">
        <f t="shared" si="22"/>
        <v>0.34846000000000005</v>
      </c>
      <c r="AN27" s="211">
        <f t="shared" si="23"/>
        <v>6.8412121212121202E-2</v>
      </c>
      <c r="AO27" s="95">
        <f t="shared" si="24"/>
        <v>0.49563208448117541</v>
      </c>
      <c r="AP27" s="94">
        <f t="shared" si="25"/>
        <v>8.4385674931129487E-2</v>
      </c>
      <c r="AQ27" s="230">
        <f t="shared" si="9"/>
        <v>0.33754269972451795</v>
      </c>
      <c r="AR27" s="230">
        <f t="shared" si="10"/>
        <v>1.0915700452567536</v>
      </c>
      <c r="AS27" s="92">
        <f t="shared" si="11"/>
        <v>3.6000000000000004E-2</v>
      </c>
      <c r="AT27" s="95">
        <f t="shared" si="12"/>
        <v>2.9699999999999997E-5</v>
      </c>
      <c r="AU27" s="94">
        <f t="shared" si="26"/>
        <v>6.1129213286228836</v>
      </c>
      <c r="AV27" s="92">
        <f t="shared" si="27"/>
        <v>66</v>
      </c>
      <c r="AW27" s="95">
        <f t="shared" si="28"/>
        <v>91.52312620817851</v>
      </c>
    </row>
    <row r="28" spans="17:49" x14ac:dyDescent="0.25">
      <c r="Q28" s="32">
        <v>21</v>
      </c>
      <c r="R28" s="94">
        <f t="shared" si="0"/>
        <v>45</v>
      </c>
      <c r="S28" s="92">
        <f t="shared" si="1"/>
        <v>1.54</v>
      </c>
      <c r="T28" s="92">
        <f t="shared" si="2"/>
        <v>9</v>
      </c>
      <c r="U28" s="95">
        <f t="shared" si="3"/>
        <v>7.6999999999999993</v>
      </c>
      <c r="V28" s="94">
        <f>IF(Variable_Management!$B$22=3,2,IF((S28*R28/T28)&lt;((T28*(1-(T28/R28)))/(2*Lm*Fsw)),1,2))</f>
        <v>2</v>
      </c>
      <c r="W28" s="92">
        <f t="shared" si="13"/>
        <v>0.8</v>
      </c>
      <c r="X28" s="95">
        <f t="shared" si="4"/>
        <v>0.19999999999999996</v>
      </c>
      <c r="Y28" s="94">
        <f t="shared" si="5"/>
        <v>5.454545454545455</v>
      </c>
      <c r="Z28" s="92">
        <f t="shared" si="30"/>
        <v>10.427272727272726</v>
      </c>
      <c r="AA28" s="92">
        <f t="shared" si="31"/>
        <v>7.8593472275358343</v>
      </c>
      <c r="AB28" s="92">
        <v>0</v>
      </c>
      <c r="AC28" s="92">
        <f t="shared" si="6"/>
        <v>0.37061603305785124</v>
      </c>
      <c r="AD28" s="95">
        <f t="shared" si="16"/>
        <v>0.37061603305785124</v>
      </c>
      <c r="AE28" s="94">
        <f t="shared" si="29"/>
        <v>6.16</v>
      </c>
      <c r="AF28" s="92">
        <f t="shared" si="17"/>
        <v>7.0296138638178522</v>
      </c>
      <c r="AG28" s="92">
        <f t="shared" si="7"/>
        <v>0.3459082975206611</v>
      </c>
      <c r="AH28" s="92">
        <f t="shared" si="18"/>
        <v>3.5859374999999991</v>
      </c>
      <c r="AI28" s="95">
        <f t="shared" si="19"/>
        <v>3.9318457975206602</v>
      </c>
      <c r="AJ28" s="94">
        <f t="shared" si="20"/>
        <v>1.5399999999999996</v>
      </c>
      <c r="AK28" s="92">
        <f t="shared" si="21"/>
        <v>3.5148069319089257</v>
      </c>
      <c r="AL28" s="92">
        <f t="shared" si="8"/>
        <v>8.6477074380165248E-2</v>
      </c>
      <c r="AM28" s="92">
        <f t="shared" si="22"/>
        <v>0.34846000000000005</v>
      </c>
      <c r="AN28" s="211">
        <f t="shared" si="23"/>
        <v>7.0905454545454535E-2</v>
      </c>
      <c r="AO28" s="95">
        <f t="shared" si="24"/>
        <v>0.50584252892561976</v>
      </c>
      <c r="AP28" s="94">
        <f t="shared" si="25"/>
        <v>9.2654008264462809E-2</v>
      </c>
      <c r="AQ28" s="230">
        <f t="shared" si="9"/>
        <v>0.37061603305785124</v>
      </c>
      <c r="AR28" s="230">
        <f t="shared" si="10"/>
        <v>1.0915700452567536</v>
      </c>
      <c r="AS28" s="92">
        <f t="shared" si="11"/>
        <v>3.6000000000000004E-2</v>
      </c>
      <c r="AT28" s="95">
        <f t="shared" si="12"/>
        <v>2.9699999999999997E-5</v>
      </c>
      <c r="AU28" s="94">
        <f t="shared" si="26"/>
        <v>6.3991741460831992</v>
      </c>
      <c r="AV28" s="92">
        <f t="shared" si="27"/>
        <v>69.3</v>
      </c>
      <c r="AW28" s="95">
        <f t="shared" si="28"/>
        <v>91.546573369830739</v>
      </c>
    </row>
    <row r="29" spans="17:49" x14ac:dyDescent="0.25">
      <c r="Q29" s="32">
        <v>22</v>
      </c>
      <c r="R29" s="94">
        <f t="shared" si="0"/>
        <v>45</v>
      </c>
      <c r="S29" s="92">
        <f t="shared" si="1"/>
        <v>1.6133333333333333</v>
      </c>
      <c r="T29" s="92">
        <f t="shared" si="2"/>
        <v>9</v>
      </c>
      <c r="U29" s="95">
        <f t="shared" si="3"/>
        <v>8.0666666666666664</v>
      </c>
      <c r="V29" s="94">
        <f>IF(Variable_Management!$B$22=3,2,IF((S29*R29/T29)&lt;((T29*(1-(T29/R29)))/(2*Lm*Fsw)),1,2))</f>
        <v>2</v>
      </c>
      <c r="W29" s="92">
        <f t="shared" si="13"/>
        <v>0.8</v>
      </c>
      <c r="X29" s="95">
        <f t="shared" si="4"/>
        <v>0.19999999999999996</v>
      </c>
      <c r="Y29" s="94">
        <f t="shared" si="5"/>
        <v>5.454545454545455</v>
      </c>
      <c r="Z29" s="92">
        <f t="shared" si="30"/>
        <v>10.793939393939393</v>
      </c>
      <c r="AA29" s="92">
        <f t="shared" si="31"/>
        <v>8.2189080755345056</v>
      </c>
      <c r="AB29" s="92">
        <v>0</v>
      </c>
      <c r="AC29" s="92">
        <f t="shared" si="6"/>
        <v>0.40530269972451793</v>
      </c>
      <c r="AD29" s="95">
        <f t="shared" si="16"/>
        <v>0.40530269972451793</v>
      </c>
      <c r="AE29" s="94">
        <f t="shared" si="29"/>
        <v>6.4533333333333331</v>
      </c>
      <c r="AF29" s="92">
        <f t="shared" si="17"/>
        <v>7.3512148630868523</v>
      </c>
      <c r="AG29" s="92">
        <f t="shared" si="7"/>
        <v>0.37828251974288335</v>
      </c>
      <c r="AH29" s="92">
        <f t="shared" si="18"/>
        <v>3.7566964285714288</v>
      </c>
      <c r="AI29" s="95">
        <f t="shared" si="19"/>
        <v>4.1349789483143118</v>
      </c>
      <c r="AJ29" s="94">
        <f t="shared" si="20"/>
        <v>1.6133333333333328</v>
      </c>
      <c r="AK29" s="92">
        <f t="shared" si="21"/>
        <v>3.6756074315434257</v>
      </c>
      <c r="AL29" s="92">
        <f t="shared" si="8"/>
        <v>9.457062993572081E-2</v>
      </c>
      <c r="AM29" s="92">
        <f t="shared" si="22"/>
        <v>0.34846000000000005</v>
      </c>
      <c r="AN29" s="211">
        <f t="shared" si="23"/>
        <v>7.3398787878787869E-2</v>
      </c>
      <c r="AO29" s="95">
        <f t="shared" si="24"/>
        <v>0.51642941781450868</v>
      </c>
      <c r="AP29" s="94">
        <f t="shared" si="25"/>
        <v>0.10132567493112948</v>
      </c>
      <c r="AQ29" s="230">
        <f t="shared" si="9"/>
        <v>0.40530269972451793</v>
      </c>
      <c r="AR29" s="230">
        <f t="shared" si="10"/>
        <v>1.0915700452567536</v>
      </c>
      <c r="AS29" s="92">
        <f t="shared" si="11"/>
        <v>3.6000000000000004E-2</v>
      </c>
      <c r="AT29" s="95">
        <f t="shared" si="12"/>
        <v>2.9699999999999997E-5</v>
      </c>
      <c r="AU29" s="94">
        <f t="shared" si="26"/>
        <v>6.6909391857657399</v>
      </c>
      <c r="AV29" s="92">
        <f t="shared" si="27"/>
        <v>72.599999999999994</v>
      </c>
      <c r="AW29" s="95">
        <f t="shared" si="28"/>
        <v>91.561533695432757</v>
      </c>
    </row>
    <row r="30" spans="17:49" x14ac:dyDescent="0.25">
      <c r="Q30" s="32">
        <v>23</v>
      </c>
      <c r="R30" s="94">
        <f t="shared" si="0"/>
        <v>45</v>
      </c>
      <c r="S30" s="92">
        <f t="shared" si="1"/>
        <v>1.6866666666666668</v>
      </c>
      <c r="T30" s="92">
        <f t="shared" si="2"/>
        <v>9</v>
      </c>
      <c r="U30" s="95">
        <f t="shared" si="3"/>
        <v>8.4333333333333336</v>
      </c>
      <c r="V30" s="94">
        <f>IF(Variable_Management!$B$22=3,2,IF((S30*R30/T30)&lt;((T30*(1-(T30/R30)))/(2*Lm*Fsw)),1,2))</f>
        <v>2</v>
      </c>
      <c r="W30" s="92">
        <f t="shared" si="13"/>
        <v>0.8</v>
      </c>
      <c r="X30" s="95">
        <f t="shared" si="4"/>
        <v>0.19999999999999996</v>
      </c>
      <c r="Y30" s="94">
        <f t="shared" si="5"/>
        <v>5.454545454545455</v>
      </c>
      <c r="Z30" s="92">
        <f t="shared" si="30"/>
        <v>11.16060606060606</v>
      </c>
      <c r="AA30" s="92">
        <f t="shared" si="31"/>
        <v>8.579070459792618</v>
      </c>
      <c r="AB30" s="92">
        <v>0</v>
      </c>
      <c r="AC30" s="92">
        <f t="shared" si="6"/>
        <v>0.44160269972451788</v>
      </c>
      <c r="AD30" s="95">
        <f t="shared" si="16"/>
        <v>0.44160269972451788</v>
      </c>
      <c r="AE30" s="94">
        <f t="shared" si="29"/>
        <v>6.746666666666667</v>
      </c>
      <c r="AF30" s="92">
        <f t="shared" si="17"/>
        <v>7.673353892742667</v>
      </c>
      <c r="AG30" s="92">
        <f t="shared" si="7"/>
        <v>0.41216251974288332</v>
      </c>
      <c r="AH30" s="92">
        <f t="shared" si="18"/>
        <v>3.9274553571428572</v>
      </c>
      <c r="AI30" s="95">
        <f t="shared" si="19"/>
        <v>4.3396178768857405</v>
      </c>
      <c r="AJ30" s="94">
        <f t="shared" si="20"/>
        <v>1.6866666666666663</v>
      </c>
      <c r="AK30" s="92">
        <f t="shared" si="21"/>
        <v>3.8366769463713331</v>
      </c>
      <c r="AL30" s="92">
        <f t="shared" si="8"/>
        <v>0.1030406299357208</v>
      </c>
      <c r="AM30" s="92">
        <f t="shared" si="22"/>
        <v>0.34846000000000005</v>
      </c>
      <c r="AN30" s="211">
        <f t="shared" si="23"/>
        <v>7.5892121212121202E-2</v>
      </c>
      <c r="AO30" s="95">
        <f t="shared" si="24"/>
        <v>0.52739275114784201</v>
      </c>
      <c r="AP30" s="94">
        <f t="shared" si="25"/>
        <v>0.11040067493112947</v>
      </c>
      <c r="AQ30" s="230">
        <f t="shared" si="9"/>
        <v>0.44160269972451788</v>
      </c>
      <c r="AR30" s="230">
        <f t="shared" si="10"/>
        <v>1.0915700452567536</v>
      </c>
      <c r="AS30" s="92">
        <f t="shared" si="11"/>
        <v>3.6000000000000004E-2</v>
      </c>
      <c r="AT30" s="95">
        <f t="shared" si="12"/>
        <v>2.9699999999999997E-5</v>
      </c>
      <c r="AU30" s="94">
        <f t="shared" si="26"/>
        <v>6.9882164476705011</v>
      </c>
      <c r="AV30" s="92">
        <f t="shared" si="27"/>
        <v>75.900000000000006</v>
      </c>
      <c r="AW30" s="95">
        <f t="shared" si="28"/>
        <v>91.569107471286543</v>
      </c>
    </row>
    <row r="31" spans="17:49" x14ac:dyDescent="0.25">
      <c r="Q31" s="32">
        <v>24</v>
      </c>
      <c r="R31" s="94">
        <f t="shared" si="0"/>
        <v>45</v>
      </c>
      <c r="S31" s="92">
        <f t="shared" si="1"/>
        <v>1.76</v>
      </c>
      <c r="T31" s="92">
        <f t="shared" si="2"/>
        <v>9</v>
      </c>
      <c r="U31" s="95">
        <f t="shared" si="3"/>
        <v>8.8000000000000007</v>
      </c>
      <c r="V31" s="94">
        <f>IF(Variable_Management!$B$22=3,2,IF((S31*R31/T31)&lt;((T31*(1-(T31/R31)))/(2*Lm*Fsw)),1,2))</f>
        <v>2</v>
      </c>
      <c r="W31" s="92">
        <f t="shared" si="13"/>
        <v>0.8</v>
      </c>
      <c r="X31" s="95">
        <f t="shared" si="4"/>
        <v>0.19999999999999996</v>
      </c>
      <c r="Y31" s="94">
        <f t="shared" si="5"/>
        <v>5.454545454545455</v>
      </c>
      <c r="Z31" s="92">
        <f t="shared" si="30"/>
        <v>11.527272727272727</v>
      </c>
      <c r="AA31" s="92">
        <f t="shared" si="31"/>
        <v>8.9397616770792734</v>
      </c>
      <c r="AB31" s="92">
        <v>0</v>
      </c>
      <c r="AC31" s="92">
        <f t="shared" si="6"/>
        <v>0.47951603305785134</v>
      </c>
      <c r="AD31" s="95">
        <f t="shared" si="16"/>
        <v>0.47951603305785134</v>
      </c>
      <c r="AE31" s="94">
        <f t="shared" si="29"/>
        <v>7.0400000000000009</v>
      </c>
      <c r="AF31" s="92">
        <f t="shared" si="17"/>
        <v>7.9959659250387114</v>
      </c>
      <c r="AG31" s="92">
        <f t="shared" si="7"/>
        <v>0.44754829752066122</v>
      </c>
      <c r="AH31" s="92">
        <f t="shared" si="18"/>
        <v>4.0982142857142865</v>
      </c>
      <c r="AI31" s="95">
        <f t="shared" si="19"/>
        <v>4.5457625832349473</v>
      </c>
      <c r="AJ31" s="94">
        <f t="shared" si="20"/>
        <v>1.7599999999999998</v>
      </c>
      <c r="AK31" s="92">
        <f t="shared" si="21"/>
        <v>3.9979829625193553</v>
      </c>
      <c r="AL31" s="92">
        <f t="shared" si="8"/>
        <v>0.11188707438016528</v>
      </c>
      <c r="AM31" s="92">
        <f t="shared" si="22"/>
        <v>0.34846000000000005</v>
      </c>
      <c r="AN31" s="211">
        <f t="shared" si="23"/>
        <v>7.8385454545454536E-2</v>
      </c>
      <c r="AO31" s="95">
        <f t="shared" si="24"/>
        <v>0.53873252892561985</v>
      </c>
      <c r="AP31" s="94">
        <f t="shared" si="25"/>
        <v>0.11987900826446284</v>
      </c>
      <c r="AQ31" s="230">
        <f t="shared" si="9"/>
        <v>0.47951603305785134</v>
      </c>
      <c r="AR31" s="230">
        <f t="shared" si="10"/>
        <v>1.0915700452567536</v>
      </c>
      <c r="AS31" s="92">
        <f t="shared" si="11"/>
        <v>3.6000000000000004E-2</v>
      </c>
      <c r="AT31" s="95">
        <f t="shared" si="12"/>
        <v>2.9699999999999997E-5</v>
      </c>
      <c r="AU31" s="94">
        <f t="shared" si="26"/>
        <v>7.2910059317974847</v>
      </c>
      <c r="AV31" s="92">
        <f t="shared" si="27"/>
        <v>79.2</v>
      </c>
      <c r="AW31" s="95">
        <f t="shared" si="28"/>
        <v>91.570214898937806</v>
      </c>
    </row>
    <row r="32" spans="17:49" x14ac:dyDescent="0.25">
      <c r="Q32" s="32">
        <v>25</v>
      </c>
      <c r="R32" s="94">
        <f t="shared" si="0"/>
        <v>45</v>
      </c>
      <c r="S32" s="92">
        <f t="shared" si="1"/>
        <v>1.8333333333333333</v>
      </c>
      <c r="T32" s="92">
        <f t="shared" si="2"/>
        <v>9</v>
      </c>
      <c r="U32" s="95">
        <f t="shared" si="3"/>
        <v>9.1666666666666661</v>
      </c>
      <c r="V32" s="94">
        <f>IF(Variable_Management!$B$22=3,2,IF((S32*R32/T32)&lt;((T32*(1-(T32/R32)))/(2*Lm*Fsw)),1,2))</f>
        <v>2</v>
      </c>
      <c r="W32" s="92">
        <f t="shared" si="13"/>
        <v>0.8</v>
      </c>
      <c r="X32" s="95">
        <f t="shared" si="4"/>
        <v>0.19999999999999996</v>
      </c>
      <c r="Y32" s="94">
        <f t="shared" si="5"/>
        <v>5.454545454545455</v>
      </c>
      <c r="Z32" s="92">
        <f t="shared" si="30"/>
        <v>11.893939393939394</v>
      </c>
      <c r="AA32" s="92">
        <f t="shared" si="31"/>
        <v>9.3009202029021285</v>
      </c>
      <c r="AB32" s="92">
        <v>0</v>
      </c>
      <c r="AC32" s="92">
        <f t="shared" si="6"/>
        <v>0.51904269972451778</v>
      </c>
      <c r="AD32" s="95">
        <f t="shared" si="16"/>
        <v>0.51904269972451778</v>
      </c>
      <c r="AE32" s="94">
        <f t="shared" si="29"/>
        <v>7.333333333333333</v>
      </c>
      <c r="AF32" s="92">
        <f t="shared" si="17"/>
        <v>8.3189959307961203</v>
      </c>
      <c r="AG32" s="92">
        <f t="shared" si="7"/>
        <v>0.48443985307621684</v>
      </c>
      <c r="AH32" s="92">
        <f t="shared" si="18"/>
        <v>4.2689732142857144</v>
      </c>
      <c r="AI32" s="95">
        <f t="shared" si="19"/>
        <v>4.7534130673619313</v>
      </c>
      <c r="AJ32" s="94">
        <f t="shared" si="20"/>
        <v>1.8333333333333328</v>
      </c>
      <c r="AK32" s="92">
        <f t="shared" si="21"/>
        <v>4.1594979653980593</v>
      </c>
      <c r="AL32" s="92">
        <f t="shared" si="8"/>
        <v>0.12110996326905415</v>
      </c>
      <c r="AM32" s="92">
        <f t="shared" si="22"/>
        <v>0.34846000000000005</v>
      </c>
      <c r="AN32" s="211">
        <f t="shared" si="23"/>
        <v>8.0878787878787883E-2</v>
      </c>
      <c r="AO32" s="95">
        <f t="shared" si="24"/>
        <v>0.55044875114784209</v>
      </c>
      <c r="AP32" s="94">
        <f t="shared" si="25"/>
        <v>0.12976067493112944</v>
      </c>
      <c r="AQ32" s="230">
        <f t="shared" si="9"/>
        <v>0.51904269972451778</v>
      </c>
      <c r="AR32" s="230">
        <f t="shared" si="10"/>
        <v>1.0915700452567536</v>
      </c>
      <c r="AS32" s="92">
        <f t="shared" si="11"/>
        <v>3.6000000000000004E-2</v>
      </c>
      <c r="AT32" s="95">
        <f t="shared" si="12"/>
        <v>2.9699999999999997E-5</v>
      </c>
      <c r="AU32" s="94">
        <f t="shared" si="26"/>
        <v>7.5993076381466924</v>
      </c>
      <c r="AV32" s="92">
        <f t="shared" si="27"/>
        <v>82.5</v>
      </c>
      <c r="AW32" s="95">
        <f t="shared" si="28"/>
        <v>91.565631482245408</v>
      </c>
    </row>
    <row r="33" spans="17:49" x14ac:dyDescent="0.25">
      <c r="Q33" s="32">
        <v>26</v>
      </c>
      <c r="R33" s="94">
        <f t="shared" si="0"/>
        <v>45</v>
      </c>
      <c r="S33" s="92">
        <f t="shared" si="1"/>
        <v>1.9066666666666667</v>
      </c>
      <c r="T33" s="92">
        <f t="shared" si="2"/>
        <v>9</v>
      </c>
      <c r="U33" s="95">
        <f t="shared" si="3"/>
        <v>9.5333333333333332</v>
      </c>
      <c r="V33" s="94">
        <f>IF(Variable_Management!$B$22=3,2,IF((S33*R33/T33)&lt;((T33*(1-(T33/R33)))/(2*Lm*Fsw)),1,2))</f>
        <v>2</v>
      </c>
      <c r="W33" s="92">
        <f t="shared" si="13"/>
        <v>0.8</v>
      </c>
      <c r="X33" s="95">
        <f t="shared" si="4"/>
        <v>0.19999999999999996</v>
      </c>
      <c r="Y33" s="94">
        <f t="shared" si="5"/>
        <v>5.454545454545455</v>
      </c>
      <c r="Z33" s="92">
        <f t="shared" si="30"/>
        <v>12.260606060606062</v>
      </c>
      <c r="AA33" s="92">
        <f t="shared" si="31"/>
        <v>9.6624936371218197</v>
      </c>
      <c r="AB33" s="92">
        <v>0</v>
      </c>
      <c r="AC33" s="92">
        <f t="shared" si="6"/>
        <v>0.56018269972451795</v>
      </c>
      <c r="AD33" s="95">
        <f t="shared" si="16"/>
        <v>0.56018269972451795</v>
      </c>
      <c r="AE33" s="94">
        <f t="shared" si="29"/>
        <v>7.6266666666666669</v>
      </c>
      <c r="AF33" s="92">
        <f t="shared" si="17"/>
        <v>8.642397041905431</v>
      </c>
      <c r="AG33" s="92">
        <f t="shared" si="7"/>
        <v>0.52283718640955024</v>
      </c>
      <c r="AH33" s="92">
        <f t="shared" si="18"/>
        <v>4.4397321428571432</v>
      </c>
      <c r="AI33" s="95">
        <f t="shared" si="19"/>
        <v>4.9625693292666933</v>
      </c>
      <c r="AJ33" s="94">
        <f t="shared" si="20"/>
        <v>1.9066666666666663</v>
      </c>
      <c r="AK33" s="92">
        <f t="shared" si="21"/>
        <v>4.3211985209527146</v>
      </c>
      <c r="AL33" s="92">
        <f t="shared" si="8"/>
        <v>0.1307092966023875</v>
      </c>
      <c r="AM33" s="92">
        <f t="shared" si="22"/>
        <v>0.34846000000000005</v>
      </c>
      <c r="AN33" s="211">
        <f t="shared" si="23"/>
        <v>8.3372121212121217E-2</v>
      </c>
      <c r="AO33" s="95">
        <f t="shared" si="24"/>
        <v>0.56254141781450873</v>
      </c>
      <c r="AP33" s="94">
        <f t="shared" si="25"/>
        <v>0.14004567493112949</v>
      </c>
      <c r="AQ33" s="230">
        <f t="shared" si="9"/>
        <v>0.56018269972451795</v>
      </c>
      <c r="AR33" s="230">
        <f t="shared" si="10"/>
        <v>1.0915700452567536</v>
      </c>
      <c r="AS33" s="92">
        <f t="shared" si="11"/>
        <v>3.6000000000000004E-2</v>
      </c>
      <c r="AT33" s="95">
        <f t="shared" si="12"/>
        <v>2.9699999999999997E-5</v>
      </c>
      <c r="AU33" s="94">
        <f t="shared" si="26"/>
        <v>7.9131215667181198</v>
      </c>
      <c r="AV33" s="92">
        <f t="shared" si="27"/>
        <v>85.8</v>
      </c>
      <c r="AW33" s="95">
        <f t="shared" si="28"/>
        <v>91.556015385652856</v>
      </c>
    </row>
    <row r="34" spans="17:49" x14ac:dyDescent="0.25">
      <c r="Q34" s="32">
        <v>27</v>
      </c>
      <c r="R34" s="94">
        <f t="shared" si="0"/>
        <v>45</v>
      </c>
      <c r="S34" s="92">
        <f t="shared" si="1"/>
        <v>1.98</v>
      </c>
      <c r="T34" s="92">
        <f t="shared" si="2"/>
        <v>9</v>
      </c>
      <c r="U34" s="95">
        <f t="shared" si="3"/>
        <v>9.8999999999999986</v>
      </c>
      <c r="V34" s="94">
        <f>IF(Variable_Management!$B$22=3,2,IF((S34*R34/T34)&lt;((T34*(1-(T34/R34)))/(2*Lm*Fsw)),1,2))</f>
        <v>2</v>
      </c>
      <c r="W34" s="92">
        <f t="shared" si="13"/>
        <v>0.8</v>
      </c>
      <c r="X34" s="95">
        <f t="shared" si="4"/>
        <v>0.19999999999999996</v>
      </c>
      <c r="Y34" s="94">
        <f t="shared" si="5"/>
        <v>5.454545454545455</v>
      </c>
      <c r="Z34" s="92">
        <f t="shared" si="30"/>
        <v>12.627272727272725</v>
      </c>
      <c r="AA34" s="92">
        <f t="shared" si="31"/>
        <v>10.024437083596025</v>
      </c>
      <c r="AB34" s="92">
        <v>0</v>
      </c>
      <c r="AC34" s="92">
        <f t="shared" si="6"/>
        <v>0.60293603305785115</v>
      </c>
      <c r="AD34" s="95">
        <f t="shared" si="16"/>
        <v>0.60293603305785115</v>
      </c>
      <c r="AE34" s="94">
        <f t="shared" si="29"/>
        <v>7.919999999999999</v>
      </c>
      <c r="AF34" s="92">
        <f t="shared" si="17"/>
        <v>8.9661291020361826</v>
      </c>
      <c r="AG34" s="92">
        <f t="shared" si="7"/>
        <v>0.56274029752066113</v>
      </c>
      <c r="AH34" s="92">
        <f t="shared" si="18"/>
        <v>4.6104910714285703</v>
      </c>
      <c r="AI34" s="95">
        <f t="shared" si="19"/>
        <v>5.1732313689492315</v>
      </c>
      <c r="AJ34" s="94">
        <f t="shared" si="20"/>
        <v>1.9799999999999993</v>
      </c>
      <c r="AK34" s="92">
        <f t="shared" si="21"/>
        <v>4.4830645510180904</v>
      </c>
      <c r="AL34" s="92">
        <f t="shared" si="8"/>
        <v>0.14068507438016523</v>
      </c>
      <c r="AM34" s="92">
        <f t="shared" si="22"/>
        <v>0.34846000000000005</v>
      </c>
      <c r="AN34" s="211">
        <f t="shared" si="23"/>
        <v>8.5865454545454523E-2</v>
      </c>
      <c r="AO34" s="95">
        <f t="shared" si="24"/>
        <v>0.57501052892561977</v>
      </c>
      <c r="AP34" s="94">
        <f t="shared" si="25"/>
        <v>0.15073400826446279</v>
      </c>
      <c r="AQ34" s="230">
        <f t="shared" si="9"/>
        <v>0.60293603305785115</v>
      </c>
      <c r="AR34" s="230">
        <f t="shared" si="10"/>
        <v>1.0915700452567536</v>
      </c>
      <c r="AS34" s="92">
        <f t="shared" si="11"/>
        <v>3.6000000000000004E-2</v>
      </c>
      <c r="AT34" s="95">
        <f t="shared" si="12"/>
        <v>2.9699999999999997E-5</v>
      </c>
      <c r="AU34" s="94">
        <f t="shared" si="26"/>
        <v>8.2324477175117696</v>
      </c>
      <c r="AV34" s="92">
        <f t="shared" si="27"/>
        <v>89.1</v>
      </c>
      <c r="AW34" s="95">
        <f t="shared" si="28"/>
        <v>91.541928811443412</v>
      </c>
    </row>
    <row r="35" spans="17:49" x14ac:dyDescent="0.25">
      <c r="Q35" s="32">
        <v>28</v>
      </c>
      <c r="R35" s="94">
        <f t="shared" si="0"/>
        <v>45</v>
      </c>
      <c r="S35" s="92">
        <f t="shared" si="1"/>
        <v>2.0533333333333332</v>
      </c>
      <c r="T35" s="92">
        <f t="shared" si="2"/>
        <v>9</v>
      </c>
      <c r="U35" s="95">
        <f t="shared" si="3"/>
        <v>10.266666666666666</v>
      </c>
      <c r="V35" s="94">
        <f>IF(Variable_Management!$B$22=3,2,IF((S35*R35/T35)&lt;((T35*(1-(T35/R35)))/(2*Lm*Fsw)),1,2))</f>
        <v>2</v>
      </c>
      <c r="W35" s="92">
        <f t="shared" si="13"/>
        <v>0.8</v>
      </c>
      <c r="X35" s="95">
        <f t="shared" si="4"/>
        <v>0.19999999999999996</v>
      </c>
      <c r="Y35" s="94">
        <f t="shared" si="5"/>
        <v>5.454545454545455</v>
      </c>
      <c r="Z35" s="92">
        <f t="shared" si="30"/>
        <v>12.993939393939392</v>
      </c>
      <c r="AA35" s="92">
        <f t="shared" si="31"/>
        <v>10.386711861191666</v>
      </c>
      <c r="AB35" s="92">
        <v>0</v>
      </c>
      <c r="AC35" s="92">
        <f t="shared" si="6"/>
        <v>0.64730269972451782</v>
      </c>
      <c r="AD35" s="95">
        <f t="shared" si="16"/>
        <v>0.64730269972451782</v>
      </c>
      <c r="AE35" s="94">
        <f t="shared" si="29"/>
        <v>8.2133333333333329</v>
      </c>
      <c r="AF35" s="92">
        <f t="shared" si="17"/>
        <v>9.2901575137311703</v>
      </c>
      <c r="AG35" s="92">
        <f t="shared" si="7"/>
        <v>0.60414918640955007</v>
      </c>
      <c r="AH35" s="92">
        <f t="shared" si="18"/>
        <v>4.7812499999999991</v>
      </c>
      <c r="AI35" s="95">
        <f t="shared" si="19"/>
        <v>5.3853991864095487</v>
      </c>
      <c r="AJ35" s="94">
        <f t="shared" si="20"/>
        <v>2.0533333333333328</v>
      </c>
      <c r="AK35" s="92">
        <f t="shared" si="21"/>
        <v>4.6450787568655842</v>
      </c>
      <c r="AL35" s="92">
        <f t="shared" si="8"/>
        <v>0.15103729660238746</v>
      </c>
      <c r="AM35" s="92">
        <f t="shared" si="22"/>
        <v>0.34846000000000005</v>
      </c>
      <c r="AN35" s="211">
        <f t="shared" si="23"/>
        <v>8.8358787878787856E-2</v>
      </c>
      <c r="AO35" s="95">
        <f t="shared" si="24"/>
        <v>0.58785608448117532</v>
      </c>
      <c r="AP35" s="94">
        <f t="shared" si="25"/>
        <v>0.16182567493112945</v>
      </c>
      <c r="AQ35" s="230">
        <f t="shared" si="9"/>
        <v>0.64730269972451782</v>
      </c>
      <c r="AR35" s="230">
        <f t="shared" si="10"/>
        <v>1.0915700452567536</v>
      </c>
      <c r="AS35" s="92">
        <f t="shared" si="11"/>
        <v>3.6000000000000004E-2</v>
      </c>
      <c r="AT35" s="95">
        <f t="shared" si="12"/>
        <v>2.9699999999999997E-5</v>
      </c>
      <c r="AU35" s="94">
        <f t="shared" si="26"/>
        <v>8.5572860905276418</v>
      </c>
      <c r="AV35" s="92">
        <f t="shared" si="27"/>
        <v>92.399999999999991</v>
      </c>
      <c r="AW35" s="95">
        <f t="shared" si="28"/>
        <v>91.52385486783551</v>
      </c>
    </row>
    <row r="36" spans="17:49" x14ac:dyDescent="0.25">
      <c r="Q36" s="32">
        <v>29</v>
      </c>
      <c r="R36" s="94">
        <f t="shared" si="0"/>
        <v>45</v>
      </c>
      <c r="S36" s="92">
        <f t="shared" si="1"/>
        <v>2.1266666666666665</v>
      </c>
      <c r="T36" s="92">
        <f t="shared" si="2"/>
        <v>9</v>
      </c>
      <c r="U36" s="95">
        <f t="shared" si="3"/>
        <v>10.633333333333333</v>
      </c>
      <c r="V36" s="94">
        <f>IF(Variable_Management!$B$22=3,2,IF((S36*R36/T36)&lt;((T36*(1-(T36/R36)))/(2*Lm*Fsw)),1,2))</f>
        <v>2</v>
      </c>
      <c r="W36" s="92">
        <f t="shared" si="13"/>
        <v>0.8</v>
      </c>
      <c r="X36" s="95">
        <f t="shared" si="4"/>
        <v>0.19999999999999996</v>
      </c>
      <c r="Y36" s="94">
        <f t="shared" si="5"/>
        <v>5.454545454545455</v>
      </c>
      <c r="Z36" s="92">
        <f t="shared" si="30"/>
        <v>13.360606060606059</v>
      </c>
      <c r="AA36" s="92">
        <f t="shared" si="31"/>
        <v>10.74928447017535</v>
      </c>
      <c r="AB36" s="92">
        <v>0</v>
      </c>
      <c r="AC36" s="92">
        <f t="shared" si="6"/>
        <v>0.69328269972451773</v>
      </c>
      <c r="AD36" s="95">
        <f t="shared" si="16"/>
        <v>0.69328269972451773</v>
      </c>
      <c r="AE36" s="94">
        <f t="shared" si="29"/>
        <v>8.5066666666666659</v>
      </c>
      <c r="AF36" s="92">
        <f t="shared" si="17"/>
        <v>9.6144523139179583</v>
      </c>
      <c r="AG36" s="92">
        <f t="shared" si="7"/>
        <v>0.64706385307621661</v>
      </c>
      <c r="AH36" s="92">
        <f t="shared" si="18"/>
        <v>4.9520089285714288</v>
      </c>
      <c r="AI36" s="95">
        <f t="shared" si="19"/>
        <v>5.5990727816476458</v>
      </c>
      <c r="AJ36" s="94">
        <f t="shared" si="20"/>
        <v>2.126666666666666</v>
      </c>
      <c r="AK36" s="92">
        <f t="shared" si="21"/>
        <v>4.8072261569589783</v>
      </c>
      <c r="AL36" s="92">
        <f t="shared" si="8"/>
        <v>0.16176596326905412</v>
      </c>
      <c r="AM36" s="92">
        <f t="shared" si="22"/>
        <v>0.34846000000000005</v>
      </c>
      <c r="AN36" s="211">
        <f t="shared" si="23"/>
        <v>9.0852121212121204E-2</v>
      </c>
      <c r="AO36" s="95">
        <f t="shared" si="24"/>
        <v>0.60107808448117539</v>
      </c>
      <c r="AP36" s="94">
        <f t="shared" si="25"/>
        <v>0.17332067493112943</v>
      </c>
      <c r="AQ36" s="230">
        <f t="shared" si="9"/>
        <v>0.69328269972451773</v>
      </c>
      <c r="AR36" s="230">
        <f t="shared" si="10"/>
        <v>1.0915700452567536</v>
      </c>
      <c r="AS36" s="92">
        <f t="shared" si="11"/>
        <v>3.6000000000000004E-2</v>
      </c>
      <c r="AT36" s="95">
        <f t="shared" si="12"/>
        <v>2.9699999999999997E-5</v>
      </c>
      <c r="AU36" s="94">
        <f t="shared" si="26"/>
        <v>8.8876366857657381</v>
      </c>
      <c r="AV36" s="92">
        <f t="shared" si="27"/>
        <v>95.699999999999989</v>
      </c>
      <c r="AW36" s="95">
        <f t="shared" si="28"/>
        <v>91.502210999882607</v>
      </c>
    </row>
    <row r="37" spans="17:49" x14ac:dyDescent="0.25">
      <c r="Q37" s="32">
        <v>30</v>
      </c>
      <c r="R37" s="94">
        <f t="shared" si="0"/>
        <v>45</v>
      </c>
      <c r="S37" s="92">
        <f t="shared" si="1"/>
        <v>2.2000000000000002</v>
      </c>
      <c r="T37" s="92">
        <f t="shared" si="2"/>
        <v>9</v>
      </c>
      <c r="U37" s="95">
        <f t="shared" si="3"/>
        <v>11.000000000000002</v>
      </c>
      <c r="V37" s="94">
        <f>IF(Variable_Management!$B$22=3,2,IF((S37*R37/T37)&lt;((T37*(1-(T37/R37)))/(2*Lm*Fsw)),1,2))</f>
        <v>2</v>
      </c>
      <c r="W37" s="92">
        <f t="shared" si="13"/>
        <v>0.8</v>
      </c>
      <c r="X37" s="95">
        <f t="shared" si="4"/>
        <v>0.19999999999999996</v>
      </c>
      <c r="Y37" s="94">
        <f t="shared" si="5"/>
        <v>5.454545454545455</v>
      </c>
      <c r="Z37" s="92">
        <f t="shared" si="30"/>
        <v>13.72727272727273</v>
      </c>
      <c r="AA37" s="92">
        <f t="shared" si="31"/>
        <v>11.112125757161644</v>
      </c>
      <c r="AB37" s="92">
        <v>0</v>
      </c>
      <c r="AC37" s="92">
        <f t="shared" si="6"/>
        <v>0.74087603305785155</v>
      </c>
      <c r="AD37" s="95">
        <f t="shared" si="16"/>
        <v>0.74087603305785155</v>
      </c>
      <c r="AE37" s="94">
        <f t="shared" si="29"/>
        <v>8.8000000000000025</v>
      </c>
      <c r="AF37" s="92">
        <f t="shared" si="17"/>
        <v>9.9389874270159044</v>
      </c>
      <c r="AG37" s="92">
        <f t="shared" si="7"/>
        <v>0.69148429752066165</v>
      </c>
      <c r="AH37" s="92">
        <f t="shared" si="18"/>
        <v>5.1227678571428577</v>
      </c>
      <c r="AI37" s="95">
        <f t="shared" si="19"/>
        <v>5.8142521546635191</v>
      </c>
      <c r="AJ37" s="94">
        <f t="shared" si="20"/>
        <v>2.1999999999999997</v>
      </c>
      <c r="AK37" s="92">
        <f t="shared" si="21"/>
        <v>4.9694937135079513</v>
      </c>
      <c r="AL37" s="92">
        <f t="shared" si="8"/>
        <v>0.17287107438016533</v>
      </c>
      <c r="AM37" s="92">
        <f t="shared" si="22"/>
        <v>0.34846000000000005</v>
      </c>
      <c r="AN37" s="211">
        <f t="shared" si="23"/>
        <v>9.3345454545454565E-2</v>
      </c>
      <c r="AO37" s="95">
        <f t="shared" si="24"/>
        <v>0.61467652892561997</v>
      </c>
      <c r="AP37" s="94">
        <f t="shared" si="25"/>
        <v>0.18521900826446289</v>
      </c>
      <c r="AQ37" s="230">
        <f t="shared" si="9"/>
        <v>0.74087603305785155</v>
      </c>
      <c r="AR37" s="230">
        <f t="shared" si="10"/>
        <v>1.0915700452567536</v>
      </c>
      <c r="AS37" s="92">
        <f t="shared" si="11"/>
        <v>3.6000000000000004E-2</v>
      </c>
      <c r="AT37" s="95">
        <f t="shared" si="12"/>
        <v>2.9699999999999997E-5</v>
      </c>
      <c r="AU37" s="94">
        <f t="shared" si="26"/>
        <v>9.2234995032260585</v>
      </c>
      <c r="AV37" s="92">
        <f t="shared" si="27"/>
        <v>99.000000000000014</v>
      </c>
      <c r="AW37" s="95">
        <f t="shared" si="28"/>
        <v>91.477359773464812</v>
      </c>
    </row>
    <row r="38" spans="17:49" x14ac:dyDescent="0.25">
      <c r="Q38" s="32">
        <v>31</v>
      </c>
      <c r="R38" s="94">
        <f t="shared" si="0"/>
        <v>45</v>
      </c>
      <c r="S38" s="92">
        <f t="shared" si="1"/>
        <v>2.2733333333333334</v>
      </c>
      <c r="T38" s="92">
        <f t="shared" si="2"/>
        <v>9</v>
      </c>
      <c r="U38" s="95">
        <f t="shared" si="3"/>
        <v>11.366666666666667</v>
      </c>
      <c r="V38" s="94">
        <f>IF(Variable_Management!$B$22=3,2,IF((S38*R38/T38)&lt;((T38*(1-(T38/R38)))/(2*Lm*Fsw)),1,2))</f>
        <v>2</v>
      </c>
      <c r="W38" s="92">
        <f t="shared" si="13"/>
        <v>0.8</v>
      </c>
      <c r="X38" s="95">
        <f t="shared" si="4"/>
        <v>0.19999999999999996</v>
      </c>
      <c r="Y38" s="94">
        <f t="shared" si="5"/>
        <v>5.454545454545455</v>
      </c>
      <c r="Z38" s="92">
        <f t="shared" si="30"/>
        <v>14.093939393939394</v>
      </c>
      <c r="AA38" s="92">
        <f t="shared" si="31"/>
        <v>11.475210235724935</v>
      </c>
      <c r="AB38" s="92">
        <v>0</v>
      </c>
      <c r="AC38" s="92">
        <f t="shared" si="6"/>
        <v>0.79008269972451795</v>
      </c>
      <c r="AD38" s="95">
        <f t="shared" si="16"/>
        <v>0.79008269972451795</v>
      </c>
      <c r="AE38" s="94">
        <f t="shared" si="29"/>
        <v>9.0933333333333337</v>
      </c>
      <c r="AF38" s="92">
        <f t="shared" si="17"/>
        <v>10.263740057272937</v>
      </c>
      <c r="AG38" s="92">
        <f t="shared" si="7"/>
        <v>0.73741051974288352</v>
      </c>
      <c r="AH38" s="92">
        <f t="shared" si="18"/>
        <v>5.2935267857142856</v>
      </c>
      <c r="AI38" s="95">
        <f t="shared" si="19"/>
        <v>6.0309373054571687</v>
      </c>
      <c r="AJ38" s="94">
        <f t="shared" si="20"/>
        <v>2.273333333333333</v>
      </c>
      <c r="AK38" s="92">
        <f t="shared" si="21"/>
        <v>5.1318700286364676</v>
      </c>
      <c r="AL38" s="92">
        <f t="shared" si="8"/>
        <v>0.1843526299357208</v>
      </c>
      <c r="AM38" s="92">
        <f t="shared" si="22"/>
        <v>0.34846000000000005</v>
      </c>
      <c r="AN38" s="211">
        <f t="shared" si="23"/>
        <v>9.5838787878787871E-2</v>
      </c>
      <c r="AO38" s="95">
        <f t="shared" si="24"/>
        <v>0.62865141781450873</v>
      </c>
      <c r="AP38" s="94">
        <f t="shared" si="25"/>
        <v>0.19752067493112949</v>
      </c>
      <c r="AQ38" s="230">
        <f t="shared" si="9"/>
        <v>0.79008269972451795</v>
      </c>
      <c r="AR38" s="230">
        <f t="shared" si="10"/>
        <v>1.0915700452567536</v>
      </c>
      <c r="AS38" s="92">
        <f t="shared" si="11"/>
        <v>3.6000000000000004E-2</v>
      </c>
      <c r="AT38" s="95">
        <f t="shared" si="12"/>
        <v>2.9699999999999997E-5</v>
      </c>
      <c r="AU38" s="94">
        <f t="shared" si="26"/>
        <v>9.564874542908596</v>
      </c>
      <c r="AV38" s="92">
        <f t="shared" si="27"/>
        <v>102.30000000000001</v>
      </c>
      <c r="AW38" s="95">
        <f t="shared" si="28"/>
        <v>91.449617601600451</v>
      </c>
    </row>
    <row r="39" spans="17:49" x14ac:dyDescent="0.25">
      <c r="Q39" s="32">
        <v>32</v>
      </c>
      <c r="R39" s="94">
        <f t="shared" si="0"/>
        <v>45</v>
      </c>
      <c r="S39" s="92">
        <f t="shared" ref="S39:S70" si="32">Q39*$O$12</f>
        <v>2.3466666666666667</v>
      </c>
      <c r="T39" s="92">
        <f t="shared" si="2"/>
        <v>9</v>
      </c>
      <c r="U39" s="95">
        <f t="shared" ref="U39:U70" si="33">(R39*S39)/(T39*EFF_est)</f>
        <v>11.733333333333333</v>
      </c>
      <c r="V39" s="94">
        <f>IF(Variable_Management!$B$22=3,2,IF((S39*R39/T39)&lt;((T39*(1-(T39/R39)))/(2*Lm*Fsw)),1,2))</f>
        <v>2</v>
      </c>
      <c r="W39" s="92">
        <f t="shared" ref="W39:W70" si="34">CHOOSE(V39,SQRT((2*S39*Lm*Fsw*(R39-T39))/((T39)^2)),1-(T39/R39))</f>
        <v>0.8</v>
      </c>
      <c r="X39" s="95">
        <f t="shared" ref="X39:X70" si="35">CHOOSE(V39,(Lm*Z39*Fsw)/(R39-T39),1-W39)</f>
        <v>0.19999999999999996</v>
      </c>
      <c r="Y39" s="94">
        <f t="shared" ref="Y39:Y70" si="36">(T39*W39)/(Lm*Fsw)</f>
        <v>5.454545454545455</v>
      </c>
      <c r="Z39" s="92">
        <f t="shared" si="30"/>
        <v>14.460606060606061</v>
      </c>
      <c r="AA39" s="92">
        <f t="shared" si="31"/>
        <v>11.838515530001484</v>
      </c>
      <c r="AB39" s="92">
        <v>0</v>
      </c>
      <c r="AC39" s="92">
        <f t="shared" ref="AC39:AC70" si="37">(AA39^2)*Rdcr</f>
        <v>0.84090269972451781</v>
      </c>
      <c r="AD39" s="95">
        <f t="shared" si="16"/>
        <v>0.84090269972451781</v>
      </c>
      <c r="AE39" s="94">
        <f t="shared" si="29"/>
        <v>9.3866666666666667</v>
      </c>
      <c r="AF39" s="92">
        <f t="shared" si="17"/>
        <v>10.58869019110811</v>
      </c>
      <c r="AG39" s="92">
        <f t="shared" ref="AG39:AG70" si="38">(AF39^2)*RDS_on</f>
        <v>0.78484251974288377</v>
      </c>
      <c r="AH39" s="92">
        <f t="shared" ref="AH39:AH70" si="39">((R39*U39)/2)*Fsw*(tr_sw+tf_sw)</f>
        <v>5.4642857142857144</v>
      </c>
      <c r="AI39" s="95">
        <f t="shared" si="19"/>
        <v>6.2491282340285981</v>
      </c>
      <c r="AJ39" s="94">
        <f t="shared" si="20"/>
        <v>2.3466666666666658</v>
      </c>
      <c r="AK39" s="92">
        <f t="shared" ref="AK39:AK70" si="40">CHOOSE(V39,Z39*SQRT(X39/3),SQRT(X39*((Z39^2)+((Y39^2)/3)-(Y39*Z39))))</f>
        <v>5.2943450955540534</v>
      </c>
      <c r="AL39" s="92">
        <f t="shared" ref="AL39:AL70" si="41">(AK39^2)*RDS_on_HS</f>
        <v>0.19621062993572083</v>
      </c>
      <c r="AM39" s="92">
        <f t="shared" si="22"/>
        <v>0.34846000000000005</v>
      </c>
      <c r="AN39" s="211">
        <f t="shared" ref="AN39:AN70" si="42">Vd_rect*t_dead*Fsw*Z39</f>
        <v>9.8332121212121204E-2</v>
      </c>
      <c r="AO39" s="95">
        <f t="shared" si="24"/>
        <v>0.64300275114784211</v>
      </c>
      <c r="AP39" s="94">
        <f t="shared" ref="AP39:AP70" si="43">(AA39^2)*R_cs</f>
        <v>0.21022567493112945</v>
      </c>
      <c r="AQ39" s="230">
        <f t="shared" ref="AQ39:AQ70" si="44">Rdcr*AA39^2</f>
        <v>0.84090269972451781</v>
      </c>
      <c r="AR39" s="230">
        <f t="shared" ref="AR39:AR70" si="45">ABS(7.759*10^-3*Fsw^0.9458*(0.00787*Y39)^2.304)</f>
        <v>1.0915700452567536</v>
      </c>
      <c r="AS39" s="92">
        <f t="shared" ref="AS39:AS70" si="46">(Qg_tot+Qg_tot_HS)*Vcc*Fsw</f>
        <v>3.6000000000000004E-2</v>
      </c>
      <c r="AT39" s="95">
        <f t="shared" ref="AT39:AT70" si="47">IQ*T39</f>
        <v>2.9699999999999997E-5</v>
      </c>
      <c r="AU39" s="94">
        <f t="shared" si="26"/>
        <v>9.9117618048133593</v>
      </c>
      <c r="AV39" s="92">
        <f t="shared" si="27"/>
        <v>105.6</v>
      </c>
      <c r="AW39" s="95">
        <f t="shared" si="28"/>
        <v>91.419261857020402</v>
      </c>
    </row>
    <row r="40" spans="17:49" x14ac:dyDescent="0.25">
      <c r="Q40" s="32">
        <v>33</v>
      </c>
      <c r="R40" s="94">
        <f t="shared" si="0"/>
        <v>45</v>
      </c>
      <c r="S40" s="92">
        <f t="shared" si="32"/>
        <v>2.42</v>
      </c>
      <c r="T40" s="92">
        <f t="shared" si="2"/>
        <v>9</v>
      </c>
      <c r="U40" s="95">
        <f t="shared" si="33"/>
        <v>12.1</v>
      </c>
      <c r="V40" s="94">
        <f>IF(Variable_Management!$B$22=3,2,IF((S40*R40/T40)&lt;((T40*(1-(T40/R40)))/(2*Lm*Fsw)),1,2))</f>
        <v>2</v>
      </c>
      <c r="W40" s="92">
        <f t="shared" si="34"/>
        <v>0.8</v>
      </c>
      <c r="X40" s="95">
        <f t="shared" si="35"/>
        <v>0.19999999999999996</v>
      </c>
      <c r="Y40" s="94">
        <f t="shared" si="36"/>
        <v>5.454545454545455</v>
      </c>
      <c r="Z40" s="92">
        <f t="shared" si="30"/>
        <v>14.827272727272728</v>
      </c>
      <c r="AA40" s="92">
        <f t="shared" si="31"/>
        <v>12.202021916181565</v>
      </c>
      <c r="AB40" s="92">
        <v>0</v>
      </c>
      <c r="AC40" s="92">
        <f t="shared" si="37"/>
        <v>0.89333603305785148</v>
      </c>
      <c r="AD40" s="95">
        <f t="shared" si="16"/>
        <v>0.89333603305785148</v>
      </c>
      <c r="AE40" s="94">
        <f t="shared" si="29"/>
        <v>9.68</v>
      </c>
      <c r="AF40" s="92">
        <f t="shared" si="17"/>
        <v>10.913820187009689</v>
      </c>
      <c r="AG40" s="92">
        <f t="shared" si="38"/>
        <v>0.83378029752066141</v>
      </c>
      <c r="AH40" s="92">
        <f t="shared" si="39"/>
        <v>5.6350446428571432</v>
      </c>
      <c r="AI40" s="95">
        <f t="shared" si="19"/>
        <v>6.4688249403778046</v>
      </c>
      <c r="AJ40" s="94">
        <f t="shared" si="20"/>
        <v>2.4199999999999995</v>
      </c>
      <c r="AK40" s="92">
        <f t="shared" si="40"/>
        <v>5.4569100935048436</v>
      </c>
      <c r="AL40" s="92">
        <f t="shared" si="41"/>
        <v>0.2084450743801653</v>
      </c>
      <c r="AM40" s="92">
        <f t="shared" ref="AM40:AM71" si="48">CHOOSE(V40,(R40+Vd_rect)*Qrr*Fsw,(R40+Vd_rect)*Qrr*Fsw)</f>
        <v>0.34846000000000005</v>
      </c>
      <c r="AN40" s="211">
        <f t="shared" si="42"/>
        <v>0.10082545454545455</v>
      </c>
      <c r="AO40" s="95">
        <f t="shared" si="24"/>
        <v>0.6577305289256199</v>
      </c>
      <c r="AP40" s="94">
        <f t="shared" si="43"/>
        <v>0.22333400826446287</v>
      </c>
      <c r="AQ40" s="230">
        <f t="shared" si="44"/>
        <v>0.89333603305785148</v>
      </c>
      <c r="AR40" s="230">
        <f t="shared" si="45"/>
        <v>1.0915700452567536</v>
      </c>
      <c r="AS40" s="92">
        <f t="shared" si="46"/>
        <v>3.6000000000000004E-2</v>
      </c>
      <c r="AT40" s="95">
        <f t="shared" si="47"/>
        <v>2.9699999999999997E-5</v>
      </c>
      <c r="AU40" s="94">
        <f t="shared" si="26"/>
        <v>10.264161288940345</v>
      </c>
      <c r="AV40" s="92">
        <f t="shared" si="27"/>
        <v>108.89999999999999</v>
      </c>
      <c r="AW40" s="95">
        <f t="shared" si="28"/>
        <v>91.38653670875712</v>
      </c>
    </row>
    <row r="41" spans="17:49" x14ac:dyDescent="0.25">
      <c r="Q41" s="32">
        <v>34</v>
      </c>
      <c r="R41" s="94">
        <f t="shared" si="0"/>
        <v>45</v>
      </c>
      <c r="S41" s="92">
        <f t="shared" si="32"/>
        <v>2.4933333333333332</v>
      </c>
      <c r="T41" s="92">
        <f t="shared" si="2"/>
        <v>9</v>
      </c>
      <c r="U41" s="95">
        <f t="shared" si="33"/>
        <v>12.466666666666665</v>
      </c>
      <c r="V41" s="94">
        <f>IF(Variable_Management!$B$22=3,2,IF((S41*R41/T41)&lt;((T41*(1-(T41/R41)))/(2*Lm*Fsw)),1,2))</f>
        <v>2</v>
      </c>
      <c r="W41" s="92">
        <f t="shared" si="34"/>
        <v>0.8</v>
      </c>
      <c r="X41" s="95">
        <f t="shared" si="35"/>
        <v>0.19999999999999996</v>
      </c>
      <c r="Y41" s="94">
        <f t="shared" si="36"/>
        <v>5.454545454545455</v>
      </c>
      <c r="Z41" s="92">
        <f t="shared" si="30"/>
        <v>15.193939393939392</v>
      </c>
      <c r="AA41" s="92">
        <f t="shared" si="31"/>
        <v>12.56571194245487</v>
      </c>
      <c r="AB41" s="92">
        <v>0</v>
      </c>
      <c r="AC41" s="92">
        <f t="shared" si="37"/>
        <v>0.94738269972451761</v>
      </c>
      <c r="AD41" s="95">
        <f t="shared" si="16"/>
        <v>0.94738269972451761</v>
      </c>
      <c r="AE41" s="94">
        <f t="shared" si="29"/>
        <v>9.9733333333333327</v>
      </c>
      <c r="AF41" s="92">
        <f t="shared" si="17"/>
        <v>11.239114435604007</v>
      </c>
      <c r="AG41" s="92">
        <f t="shared" si="38"/>
        <v>0.88422385307621665</v>
      </c>
      <c r="AH41" s="92">
        <f t="shared" si="39"/>
        <v>5.8058035714285703</v>
      </c>
      <c r="AI41" s="95">
        <f t="shared" si="19"/>
        <v>6.6900274245047866</v>
      </c>
      <c r="AJ41" s="94">
        <f t="shared" si="20"/>
        <v>2.4933333333333323</v>
      </c>
      <c r="AK41" s="92">
        <f t="shared" si="40"/>
        <v>5.6195572178020026</v>
      </c>
      <c r="AL41" s="92">
        <f t="shared" si="41"/>
        <v>0.22105596326905408</v>
      </c>
      <c r="AM41" s="92">
        <f t="shared" si="48"/>
        <v>0.34846000000000005</v>
      </c>
      <c r="AN41" s="211">
        <f t="shared" si="42"/>
        <v>0.10331878787878786</v>
      </c>
      <c r="AO41" s="95">
        <f t="shared" si="24"/>
        <v>0.67283475114784197</v>
      </c>
      <c r="AP41" s="94">
        <f t="shared" si="43"/>
        <v>0.2368456749311294</v>
      </c>
      <c r="AQ41" s="230">
        <f t="shared" si="44"/>
        <v>0.94738269972451761</v>
      </c>
      <c r="AR41" s="230">
        <f t="shared" si="45"/>
        <v>1.0915700452567536</v>
      </c>
      <c r="AS41" s="92">
        <f t="shared" si="46"/>
        <v>3.6000000000000004E-2</v>
      </c>
      <c r="AT41" s="95">
        <f t="shared" si="47"/>
        <v>2.9699999999999997E-5</v>
      </c>
      <c r="AU41" s="94">
        <f t="shared" si="26"/>
        <v>10.622072995289548</v>
      </c>
      <c r="AV41" s="92">
        <f t="shared" si="27"/>
        <v>112.19999999999999</v>
      </c>
      <c r="AW41" s="95">
        <f t="shared" si="28"/>
        <v>91.351657942056619</v>
      </c>
    </row>
    <row r="42" spans="17:49" x14ac:dyDescent="0.25">
      <c r="Q42" s="32">
        <v>35</v>
      </c>
      <c r="R42" s="94">
        <f t="shared" si="0"/>
        <v>45</v>
      </c>
      <c r="S42" s="92">
        <f t="shared" si="32"/>
        <v>2.5666666666666669</v>
      </c>
      <c r="T42" s="92">
        <f t="shared" si="2"/>
        <v>9</v>
      </c>
      <c r="U42" s="95">
        <f t="shared" si="33"/>
        <v>12.833333333333336</v>
      </c>
      <c r="V42" s="94">
        <f>IF(Variable_Management!$B$22=3,2,IF((S42*R42/T42)&lt;((T42*(1-(T42/R42)))/(2*Lm*Fsw)),1,2))</f>
        <v>2</v>
      </c>
      <c r="W42" s="92">
        <f t="shared" si="34"/>
        <v>0.8</v>
      </c>
      <c r="X42" s="95">
        <f t="shared" si="35"/>
        <v>0.19999999999999996</v>
      </c>
      <c r="Y42" s="94">
        <f t="shared" si="36"/>
        <v>5.454545454545455</v>
      </c>
      <c r="Z42" s="92">
        <f t="shared" si="30"/>
        <v>15.560606060606062</v>
      </c>
      <c r="AA42" s="92">
        <f t="shared" si="31"/>
        <v>12.929570112243475</v>
      </c>
      <c r="AB42" s="92">
        <v>0</v>
      </c>
      <c r="AC42" s="92">
        <f t="shared" si="37"/>
        <v>1.0030426997245185</v>
      </c>
      <c r="AD42" s="95">
        <f t="shared" si="16"/>
        <v>1.0030426997245185</v>
      </c>
      <c r="AE42" s="94">
        <f t="shared" si="29"/>
        <v>10.266666666666669</v>
      </c>
      <c r="AF42" s="92">
        <f t="shared" si="17"/>
        <v>11.564559076330397</v>
      </c>
      <c r="AG42" s="92">
        <f t="shared" si="38"/>
        <v>0.9361731864095505</v>
      </c>
      <c r="AH42" s="92">
        <f t="shared" si="39"/>
        <v>5.9765625000000018</v>
      </c>
      <c r="AI42" s="95">
        <f t="shared" si="19"/>
        <v>6.9127356864095519</v>
      </c>
      <c r="AJ42" s="94">
        <f t="shared" si="20"/>
        <v>2.5666666666666664</v>
      </c>
      <c r="AK42" s="92">
        <f t="shared" si="40"/>
        <v>5.7822795381651977</v>
      </c>
      <c r="AL42" s="92">
        <f t="shared" si="41"/>
        <v>0.23404329660238751</v>
      </c>
      <c r="AM42" s="92">
        <f t="shared" si="48"/>
        <v>0.34846000000000005</v>
      </c>
      <c r="AN42" s="211">
        <f t="shared" si="42"/>
        <v>0.10581212121212122</v>
      </c>
      <c r="AO42" s="95">
        <f t="shared" si="24"/>
        <v>0.68831541781450878</v>
      </c>
      <c r="AP42" s="94">
        <f t="shared" si="43"/>
        <v>0.25076067493112963</v>
      </c>
      <c r="AQ42" s="230">
        <f t="shared" si="44"/>
        <v>1.0030426997245185</v>
      </c>
      <c r="AR42" s="230">
        <f t="shared" si="45"/>
        <v>1.0915700452567536</v>
      </c>
      <c r="AS42" s="92">
        <f t="shared" si="46"/>
        <v>3.6000000000000004E-2</v>
      </c>
      <c r="AT42" s="95">
        <f t="shared" si="47"/>
        <v>2.9699999999999997E-5</v>
      </c>
      <c r="AU42" s="94">
        <f t="shared" si="26"/>
        <v>10.985496923860982</v>
      </c>
      <c r="AV42" s="92">
        <f t="shared" si="27"/>
        <v>115.50000000000001</v>
      </c>
      <c r="AW42" s="95">
        <f t="shared" si="28"/>
        <v>91.314816962395469</v>
      </c>
    </row>
    <row r="43" spans="17:49" x14ac:dyDescent="0.25">
      <c r="Q43" s="32">
        <v>36</v>
      </c>
      <c r="R43" s="94">
        <f t="shared" si="0"/>
        <v>45</v>
      </c>
      <c r="S43" s="92">
        <f t="shared" si="32"/>
        <v>2.64</v>
      </c>
      <c r="T43" s="92">
        <f t="shared" si="2"/>
        <v>9</v>
      </c>
      <c r="U43" s="95">
        <f t="shared" si="33"/>
        <v>13.200000000000001</v>
      </c>
      <c r="V43" s="94">
        <f>IF(Variable_Management!$B$22=3,2,IF((S43*R43/T43)&lt;((T43*(1-(T43/R43)))/(2*Lm*Fsw)),1,2))</f>
        <v>2</v>
      </c>
      <c r="W43" s="92">
        <f t="shared" si="34"/>
        <v>0.8</v>
      </c>
      <c r="X43" s="95">
        <f t="shared" si="35"/>
        <v>0.19999999999999996</v>
      </c>
      <c r="Y43" s="94">
        <f t="shared" si="36"/>
        <v>5.454545454545455</v>
      </c>
      <c r="Z43" s="92">
        <f t="shared" si="30"/>
        <v>15.927272727272729</v>
      </c>
      <c r="AA43" s="92">
        <f t="shared" si="31"/>
        <v>13.29358261880428</v>
      </c>
      <c r="AB43" s="92">
        <v>0</v>
      </c>
      <c r="AC43" s="92">
        <f t="shared" si="37"/>
        <v>1.0603160330578516</v>
      </c>
      <c r="AD43" s="95">
        <f t="shared" si="16"/>
        <v>1.0603160330578516</v>
      </c>
      <c r="AE43" s="94">
        <f t="shared" si="29"/>
        <v>10.560000000000002</v>
      </c>
      <c r="AF43" s="92">
        <f t="shared" si="17"/>
        <v>11.890141760062418</v>
      </c>
      <c r="AG43" s="92">
        <f t="shared" si="38"/>
        <v>0.9896282975206615</v>
      </c>
      <c r="AH43" s="92">
        <f t="shared" si="39"/>
        <v>6.1473214285714288</v>
      </c>
      <c r="AI43" s="95">
        <f t="shared" si="19"/>
        <v>7.13694972609209</v>
      </c>
      <c r="AJ43" s="94">
        <f t="shared" si="20"/>
        <v>2.6399999999999997</v>
      </c>
      <c r="AK43" s="92">
        <f t="shared" si="40"/>
        <v>5.9450708800312082</v>
      </c>
      <c r="AL43" s="92">
        <f t="shared" si="41"/>
        <v>0.24740707438016532</v>
      </c>
      <c r="AM43" s="92">
        <f t="shared" si="48"/>
        <v>0.34846000000000005</v>
      </c>
      <c r="AN43" s="211">
        <f t="shared" si="42"/>
        <v>0.10830545454545455</v>
      </c>
      <c r="AO43" s="95">
        <f t="shared" si="24"/>
        <v>0.70417252892561999</v>
      </c>
      <c r="AP43" s="94">
        <f t="shared" si="43"/>
        <v>0.2650790082644629</v>
      </c>
      <c r="AQ43" s="230">
        <f t="shared" si="44"/>
        <v>1.0603160330578516</v>
      </c>
      <c r="AR43" s="230">
        <f t="shared" si="45"/>
        <v>1.0915700452567536</v>
      </c>
      <c r="AS43" s="92">
        <f t="shared" si="46"/>
        <v>3.6000000000000004E-2</v>
      </c>
      <c r="AT43" s="95">
        <f t="shared" si="47"/>
        <v>2.9699999999999997E-5</v>
      </c>
      <c r="AU43" s="94">
        <f t="shared" si="26"/>
        <v>11.354433074654631</v>
      </c>
      <c r="AV43" s="92">
        <f t="shared" si="27"/>
        <v>118.80000000000001</v>
      </c>
      <c r="AW43" s="95">
        <f t="shared" si="28"/>
        <v>91.276184140311315</v>
      </c>
    </row>
    <row r="44" spans="17:49" x14ac:dyDescent="0.25">
      <c r="Q44" s="32">
        <v>37</v>
      </c>
      <c r="R44" s="94">
        <f t="shared" si="0"/>
        <v>45</v>
      </c>
      <c r="S44" s="92">
        <f t="shared" si="32"/>
        <v>2.7133333333333334</v>
      </c>
      <c r="T44" s="92">
        <f t="shared" si="2"/>
        <v>9</v>
      </c>
      <c r="U44" s="95">
        <f t="shared" si="33"/>
        <v>13.566666666666668</v>
      </c>
      <c r="V44" s="94">
        <f>IF(Variable_Management!$B$22=3,2,IF((S44*R44/T44)&lt;((T44*(1-(T44/R44)))/(2*Lm*Fsw)),1,2))</f>
        <v>2</v>
      </c>
      <c r="W44" s="92">
        <f t="shared" si="34"/>
        <v>0.8</v>
      </c>
      <c r="X44" s="95">
        <f t="shared" si="35"/>
        <v>0.19999999999999996</v>
      </c>
      <c r="Y44" s="94">
        <f t="shared" si="36"/>
        <v>5.454545454545455</v>
      </c>
      <c r="Z44" s="92">
        <f t="shared" si="30"/>
        <v>16.293939393939397</v>
      </c>
      <c r="AA44" s="92">
        <f t="shared" si="31"/>
        <v>13.657737121771662</v>
      </c>
      <c r="AB44" s="92">
        <v>0</v>
      </c>
      <c r="AC44" s="92">
        <f t="shared" si="37"/>
        <v>1.1192026997245181</v>
      </c>
      <c r="AD44" s="95">
        <f t="shared" si="16"/>
        <v>1.1192026997245181</v>
      </c>
      <c r="AE44" s="94">
        <f t="shared" si="29"/>
        <v>10.853333333333335</v>
      </c>
      <c r="AF44" s="92">
        <f t="shared" si="17"/>
        <v>12.215851449241507</v>
      </c>
      <c r="AG44" s="92">
        <f t="shared" si="38"/>
        <v>1.0445891864095509</v>
      </c>
      <c r="AH44" s="92">
        <f t="shared" si="39"/>
        <v>6.3180803571428585</v>
      </c>
      <c r="AI44" s="95">
        <f t="shared" si="19"/>
        <v>7.3626695435524097</v>
      </c>
      <c r="AJ44" s="94">
        <f t="shared" si="20"/>
        <v>2.7133333333333329</v>
      </c>
      <c r="AK44" s="92">
        <f t="shared" si="40"/>
        <v>6.1079257246207517</v>
      </c>
      <c r="AL44" s="92">
        <f t="shared" si="41"/>
        <v>0.26114729660238756</v>
      </c>
      <c r="AM44" s="92">
        <f t="shared" si="48"/>
        <v>0.34846000000000005</v>
      </c>
      <c r="AN44" s="211">
        <f t="shared" si="42"/>
        <v>0.11079878787878789</v>
      </c>
      <c r="AO44" s="95">
        <f t="shared" si="24"/>
        <v>0.72040608448117549</v>
      </c>
      <c r="AP44" s="94">
        <f t="shared" si="43"/>
        <v>0.27980067493112953</v>
      </c>
      <c r="AQ44" s="230">
        <f t="shared" si="44"/>
        <v>1.1192026997245181</v>
      </c>
      <c r="AR44" s="230">
        <f t="shared" si="45"/>
        <v>1.0915700452567536</v>
      </c>
      <c r="AS44" s="92">
        <f t="shared" si="46"/>
        <v>3.6000000000000004E-2</v>
      </c>
      <c r="AT44" s="95">
        <f t="shared" si="47"/>
        <v>2.9699999999999997E-5</v>
      </c>
      <c r="AU44" s="94">
        <f t="shared" si="26"/>
        <v>11.728881447670505</v>
      </c>
      <c r="AV44" s="92">
        <f t="shared" si="27"/>
        <v>122.10000000000001</v>
      </c>
      <c r="AW44" s="95">
        <f t="shared" si="28"/>
        <v>91.235911620275544</v>
      </c>
    </row>
    <row r="45" spans="17:49" x14ac:dyDescent="0.25">
      <c r="Q45" s="32">
        <v>38</v>
      </c>
      <c r="R45" s="94">
        <f t="shared" si="0"/>
        <v>45</v>
      </c>
      <c r="S45" s="92">
        <f t="shared" si="32"/>
        <v>2.7866666666666666</v>
      </c>
      <c r="T45" s="92">
        <f t="shared" si="2"/>
        <v>9</v>
      </c>
      <c r="U45" s="95">
        <f t="shared" si="33"/>
        <v>13.933333333333332</v>
      </c>
      <c r="V45" s="94">
        <f>IF(Variable_Management!$B$22=3,2,IF((S45*R45/T45)&lt;((T45*(1-(T45/R45)))/(2*Lm*Fsw)),1,2))</f>
        <v>2</v>
      </c>
      <c r="W45" s="92">
        <f t="shared" si="34"/>
        <v>0.8</v>
      </c>
      <c r="X45" s="95">
        <f t="shared" si="35"/>
        <v>0.19999999999999996</v>
      </c>
      <c r="Y45" s="94">
        <f t="shared" si="36"/>
        <v>5.454545454545455</v>
      </c>
      <c r="Z45" s="92">
        <f t="shared" si="30"/>
        <v>16.66060606060606</v>
      </c>
      <c r="AA45" s="92">
        <f t="shared" si="31"/>
        <v>14.022022558131653</v>
      </c>
      <c r="AB45" s="92">
        <v>0</v>
      </c>
      <c r="AC45" s="92">
        <f t="shared" si="37"/>
        <v>1.1797026997245177</v>
      </c>
      <c r="AD45" s="95">
        <f t="shared" si="16"/>
        <v>1.1797026997245177</v>
      </c>
      <c r="AE45" s="94">
        <f t="shared" si="29"/>
        <v>11.146666666666667</v>
      </c>
      <c r="AF45" s="92">
        <f t="shared" si="17"/>
        <v>12.541678248807148</v>
      </c>
      <c r="AG45" s="92">
        <f t="shared" si="38"/>
        <v>1.1010558530762162</v>
      </c>
      <c r="AH45" s="92">
        <f t="shared" si="39"/>
        <v>6.4888392857142838</v>
      </c>
      <c r="AI45" s="95">
        <f t="shared" si="19"/>
        <v>7.5898951387905003</v>
      </c>
      <c r="AJ45" s="94">
        <f t="shared" si="20"/>
        <v>2.7866666666666657</v>
      </c>
      <c r="AK45" s="92">
        <f t="shared" si="40"/>
        <v>6.2708391244035742</v>
      </c>
      <c r="AL45" s="92">
        <f t="shared" si="41"/>
        <v>0.27526396326905406</v>
      </c>
      <c r="AM45" s="92">
        <f t="shared" si="48"/>
        <v>0.34846000000000005</v>
      </c>
      <c r="AN45" s="211">
        <f t="shared" si="42"/>
        <v>0.11329212121212121</v>
      </c>
      <c r="AO45" s="95">
        <f t="shared" si="24"/>
        <v>0.73701608448117528</v>
      </c>
      <c r="AP45" s="94">
        <f t="shared" si="43"/>
        <v>0.29492567493112942</v>
      </c>
      <c r="AQ45" s="230">
        <f t="shared" si="44"/>
        <v>1.1797026997245177</v>
      </c>
      <c r="AR45" s="230">
        <f t="shared" si="45"/>
        <v>1.0915700452567536</v>
      </c>
      <c r="AS45" s="92">
        <f t="shared" si="46"/>
        <v>3.6000000000000004E-2</v>
      </c>
      <c r="AT45" s="95">
        <f t="shared" si="47"/>
        <v>2.9699999999999997E-5</v>
      </c>
      <c r="AU45" s="94">
        <f t="shared" si="26"/>
        <v>12.108842042908593</v>
      </c>
      <c r="AV45" s="92">
        <f t="shared" si="27"/>
        <v>125.39999999999999</v>
      </c>
      <c r="AW45" s="95">
        <f t="shared" si="28"/>
        <v>91.194135691194234</v>
      </c>
    </row>
    <row r="46" spans="17:49" x14ac:dyDescent="0.25">
      <c r="Q46" s="32">
        <v>39</v>
      </c>
      <c r="R46" s="94">
        <f t="shared" si="0"/>
        <v>45</v>
      </c>
      <c r="S46" s="92">
        <f t="shared" si="32"/>
        <v>2.86</v>
      </c>
      <c r="T46" s="92">
        <f t="shared" si="2"/>
        <v>9</v>
      </c>
      <c r="U46" s="95">
        <f t="shared" si="33"/>
        <v>14.299999999999999</v>
      </c>
      <c r="V46" s="94">
        <f>IF(Variable_Management!$B$22=3,2,IF((S46*R46/T46)&lt;((T46*(1-(T46/R46)))/(2*Lm*Fsw)),1,2))</f>
        <v>2</v>
      </c>
      <c r="W46" s="92">
        <f t="shared" si="34"/>
        <v>0.8</v>
      </c>
      <c r="X46" s="95">
        <f t="shared" si="35"/>
        <v>0.19999999999999996</v>
      </c>
      <c r="Y46" s="94">
        <f t="shared" si="36"/>
        <v>5.454545454545455</v>
      </c>
      <c r="Z46" s="92">
        <f t="shared" si="30"/>
        <v>17.027272727272727</v>
      </c>
      <c r="AA46" s="92">
        <f t="shared" si="31"/>
        <v>14.38642898161233</v>
      </c>
      <c r="AB46" s="92">
        <v>0</v>
      </c>
      <c r="AC46" s="92">
        <f t="shared" si="37"/>
        <v>1.2418160330578509</v>
      </c>
      <c r="AD46" s="95">
        <f t="shared" si="16"/>
        <v>1.2418160330578509</v>
      </c>
      <c r="AE46" s="94">
        <f t="shared" si="29"/>
        <v>11.44</v>
      </c>
      <c r="AF46" s="92">
        <f t="shared" si="17"/>
        <v>12.867613262543298</v>
      </c>
      <c r="AG46" s="92">
        <f t="shared" si="38"/>
        <v>1.1590282975206612</v>
      </c>
      <c r="AH46" s="92">
        <f t="shared" si="39"/>
        <v>6.6595982142857144</v>
      </c>
      <c r="AI46" s="95">
        <f t="shared" si="19"/>
        <v>7.8186265118063751</v>
      </c>
      <c r="AJ46" s="94">
        <f t="shared" si="20"/>
        <v>2.859999999999999</v>
      </c>
      <c r="AK46" s="92">
        <f t="shared" si="40"/>
        <v>6.433806631271648</v>
      </c>
      <c r="AL46" s="92">
        <f t="shared" si="41"/>
        <v>0.28975707438016524</v>
      </c>
      <c r="AM46" s="92">
        <f t="shared" si="48"/>
        <v>0.34846000000000005</v>
      </c>
      <c r="AN46" s="211">
        <f t="shared" si="42"/>
        <v>0.11578545454545454</v>
      </c>
      <c r="AO46" s="95">
        <f t="shared" si="24"/>
        <v>0.75400252892561981</v>
      </c>
      <c r="AP46" s="94">
        <f t="shared" si="43"/>
        <v>0.31045400826446273</v>
      </c>
      <c r="AQ46" s="230">
        <f t="shared" si="44"/>
        <v>1.2418160330578509</v>
      </c>
      <c r="AR46" s="230">
        <f t="shared" si="45"/>
        <v>1.0915700452567536</v>
      </c>
      <c r="AS46" s="92">
        <f t="shared" si="46"/>
        <v>3.6000000000000004E-2</v>
      </c>
      <c r="AT46" s="95">
        <f t="shared" si="47"/>
        <v>2.9699999999999997E-5</v>
      </c>
      <c r="AU46" s="94">
        <f t="shared" si="26"/>
        <v>12.494314860368915</v>
      </c>
      <c r="AV46" s="92">
        <f t="shared" si="27"/>
        <v>128.69999999999999</v>
      </c>
      <c r="AW46" s="95">
        <f t="shared" si="28"/>
        <v>91.150978796331202</v>
      </c>
    </row>
    <row r="47" spans="17:49" x14ac:dyDescent="0.25">
      <c r="Q47" s="32">
        <v>40</v>
      </c>
      <c r="R47" s="94">
        <f t="shared" si="0"/>
        <v>45</v>
      </c>
      <c r="S47" s="92">
        <f t="shared" si="32"/>
        <v>2.9333333333333336</v>
      </c>
      <c r="T47" s="92">
        <f t="shared" si="2"/>
        <v>9</v>
      </c>
      <c r="U47" s="95">
        <f t="shared" si="33"/>
        <v>14.666666666666666</v>
      </c>
      <c r="V47" s="94">
        <f>IF(Variable_Management!$B$22=3,2,IF((S47*R47/T47)&lt;((T47*(1-(T47/R47)))/(2*Lm*Fsw)),1,2))</f>
        <v>2</v>
      </c>
      <c r="W47" s="92">
        <f t="shared" si="34"/>
        <v>0.8</v>
      </c>
      <c r="X47" s="95">
        <f t="shared" si="35"/>
        <v>0.19999999999999996</v>
      </c>
      <c r="Y47" s="94">
        <f t="shared" si="36"/>
        <v>5.454545454545455</v>
      </c>
      <c r="Z47" s="92">
        <f t="shared" si="30"/>
        <v>17.393939393939394</v>
      </c>
      <c r="AA47" s="92">
        <f t="shared" si="31"/>
        <v>14.750947425643083</v>
      </c>
      <c r="AB47" s="92">
        <v>0</v>
      </c>
      <c r="AC47" s="92">
        <f t="shared" si="37"/>
        <v>1.3055426997245179</v>
      </c>
      <c r="AD47" s="95">
        <f t="shared" si="16"/>
        <v>1.3055426997245179</v>
      </c>
      <c r="AE47" s="94">
        <f t="shared" si="29"/>
        <v>11.733333333333334</v>
      </c>
      <c r="AF47" s="92">
        <f t="shared" si="17"/>
        <v>13.193648470505385</v>
      </c>
      <c r="AG47" s="92">
        <f t="shared" si="38"/>
        <v>1.2185065197428837</v>
      </c>
      <c r="AH47" s="92">
        <f t="shared" si="39"/>
        <v>6.8303571428571432</v>
      </c>
      <c r="AI47" s="95">
        <f t="shared" si="19"/>
        <v>8.0488636626000272</v>
      </c>
      <c r="AJ47" s="94">
        <f t="shared" si="20"/>
        <v>2.9333333333333327</v>
      </c>
      <c r="AK47" s="92">
        <f t="shared" si="40"/>
        <v>6.5968242352526918</v>
      </c>
      <c r="AL47" s="92">
        <f t="shared" si="41"/>
        <v>0.30462662993572082</v>
      </c>
      <c r="AM47" s="92">
        <f t="shared" si="48"/>
        <v>0.34846000000000005</v>
      </c>
      <c r="AN47" s="211">
        <f t="shared" si="42"/>
        <v>0.11827878787878787</v>
      </c>
      <c r="AO47" s="95">
        <f t="shared" si="24"/>
        <v>0.77136541781450874</v>
      </c>
      <c r="AP47" s="94">
        <f t="shared" si="43"/>
        <v>0.32638567493112947</v>
      </c>
      <c r="AQ47" s="230">
        <f t="shared" si="44"/>
        <v>1.3055426997245179</v>
      </c>
      <c r="AR47" s="230">
        <f t="shared" si="45"/>
        <v>1.0915700452567536</v>
      </c>
      <c r="AS47" s="92">
        <f t="shared" si="46"/>
        <v>3.6000000000000004E-2</v>
      </c>
      <c r="AT47" s="95">
        <f t="shared" si="47"/>
        <v>2.9699999999999997E-5</v>
      </c>
      <c r="AU47" s="94">
        <f t="shared" si="26"/>
        <v>12.885299900051454</v>
      </c>
      <c r="AV47" s="92">
        <f t="shared" si="27"/>
        <v>132</v>
      </c>
      <c r="AW47" s="95">
        <f t="shared" si="28"/>
        <v>91.10655124506053</v>
      </c>
    </row>
    <row r="48" spans="17:49" x14ac:dyDescent="0.25">
      <c r="Q48" s="32">
        <v>41</v>
      </c>
      <c r="R48" s="94">
        <f t="shared" si="0"/>
        <v>45</v>
      </c>
      <c r="S48" s="92">
        <f t="shared" si="32"/>
        <v>3.0066666666666668</v>
      </c>
      <c r="T48" s="92">
        <f t="shared" si="2"/>
        <v>9</v>
      </c>
      <c r="U48" s="95">
        <f t="shared" si="33"/>
        <v>15.033333333333335</v>
      </c>
      <c r="V48" s="94">
        <f>IF(Variable_Management!$B$22=3,2,IF((S48*R48/T48)&lt;((T48*(1-(T48/R48)))/(2*Lm*Fsw)),1,2))</f>
        <v>2</v>
      </c>
      <c r="W48" s="92">
        <f t="shared" si="34"/>
        <v>0.8</v>
      </c>
      <c r="X48" s="95">
        <f t="shared" si="35"/>
        <v>0.19999999999999996</v>
      </c>
      <c r="Y48" s="94">
        <f t="shared" si="36"/>
        <v>5.454545454545455</v>
      </c>
      <c r="Z48" s="92">
        <f t="shared" si="30"/>
        <v>17.760606060606062</v>
      </c>
      <c r="AA48" s="92">
        <f t="shared" si="31"/>
        <v>15.115569785955353</v>
      </c>
      <c r="AB48" s="92">
        <v>0</v>
      </c>
      <c r="AC48" s="92">
        <f t="shared" si="37"/>
        <v>1.3708826997245183</v>
      </c>
      <c r="AD48" s="95">
        <f t="shared" si="16"/>
        <v>1.3708826997245183</v>
      </c>
      <c r="AE48" s="94">
        <f t="shared" si="29"/>
        <v>12.026666666666669</v>
      </c>
      <c r="AF48" s="92">
        <f t="shared" si="17"/>
        <v>13.519776624015247</v>
      </c>
      <c r="AG48" s="92">
        <f t="shared" si="38"/>
        <v>1.2794905197428839</v>
      </c>
      <c r="AH48" s="92">
        <f t="shared" si="39"/>
        <v>7.001116071428573</v>
      </c>
      <c r="AI48" s="95">
        <f t="shared" si="19"/>
        <v>8.2806065911714573</v>
      </c>
      <c r="AJ48" s="94">
        <f t="shared" si="20"/>
        <v>3.0066666666666664</v>
      </c>
      <c r="AK48" s="92">
        <f t="shared" si="40"/>
        <v>6.7598883120076216</v>
      </c>
      <c r="AL48" s="92">
        <f t="shared" si="41"/>
        <v>0.31987262993572074</v>
      </c>
      <c r="AM48" s="92">
        <f t="shared" si="48"/>
        <v>0.34846000000000005</v>
      </c>
      <c r="AN48" s="211">
        <f t="shared" si="42"/>
        <v>0.12077212121212121</v>
      </c>
      <c r="AO48" s="95">
        <f t="shared" si="24"/>
        <v>0.78910475114784207</v>
      </c>
      <c r="AP48" s="94">
        <f t="shared" si="43"/>
        <v>0.34272067493112957</v>
      </c>
      <c r="AQ48" s="230">
        <f t="shared" si="44"/>
        <v>1.3708826997245183</v>
      </c>
      <c r="AR48" s="230">
        <f t="shared" si="45"/>
        <v>1.0915700452567536</v>
      </c>
      <c r="AS48" s="92">
        <f t="shared" si="46"/>
        <v>3.6000000000000004E-2</v>
      </c>
      <c r="AT48" s="95">
        <f t="shared" si="47"/>
        <v>2.9699999999999997E-5</v>
      </c>
      <c r="AU48" s="94">
        <f t="shared" si="26"/>
        <v>13.28179716195622</v>
      </c>
      <c r="AV48" s="92">
        <f t="shared" si="27"/>
        <v>135.30000000000001</v>
      </c>
      <c r="AW48" s="95">
        <f t="shared" si="28"/>
        <v>91.060952676808142</v>
      </c>
    </row>
    <row r="49" spans="17:49" x14ac:dyDescent="0.25">
      <c r="Q49" s="32">
        <v>42</v>
      </c>
      <c r="R49" s="94">
        <f t="shared" si="0"/>
        <v>45</v>
      </c>
      <c r="S49" s="92">
        <f t="shared" si="32"/>
        <v>3.08</v>
      </c>
      <c r="T49" s="92">
        <f t="shared" si="2"/>
        <v>9</v>
      </c>
      <c r="U49" s="95">
        <f t="shared" si="33"/>
        <v>15.399999999999999</v>
      </c>
      <c r="V49" s="94">
        <f>IF(Variable_Management!$B$22=3,2,IF((S49*R49/T49)&lt;((T49*(1-(T49/R49)))/(2*Lm*Fsw)),1,2))</f>
        <v>2</v>
      </c>
      <c r="W49" s="92">
        <f t="shared" si="34"/>
        <v>0.8</v>
      </c>
      <c r="X49" s="95">
        <f t="shared" si="35"/>
        <v>0.19999999999999996</v>
      </c>
      <c r="Y49" s="94">
        <f t="shared" si="36"/>
        <v>5.454545454545455</v>
      </c>
      <c r="Z49" s="92">
        <f t="shared" si="30"/>
        <v>18.127272727272725</v>
      </c>
      <c r="AA49" s="92">
        <f t="shared" si="31"/>
        <v>15.480288719625845</v>
      </c>
      <c r="AB49" s="92">
        <v>0</v>
      </c>
      <c r="AC49" s="92">
        <f t="shared" si="37"/>
        <v>1.437836033057851</v>
      </c>
      <c r="AD49" s="95">
        <f t="shared" si="16"/>
        <v>1.437836033057851</v>
      </c>
      <c r="AE49" s="94">
        <f t="shared" si="29"/>
        <v>12.32</v>
      </c>
      <c r="AF49" s="92">
        <f t="shared" si="17"/>
        <v>13.845991155362629</v>
      </c>
      <c r="AG49" s="92">
        <f t="shared" si="38"/>
        <v>1.3419802975206609</v>
      </c>
      <c r="AH49" s="92">
        <f t="shared" si="39"/>
        <v>7.1718749999999982</v>
      </c>
      <c r="AI49" s="95">
        <f t="shared" si="19"/>
        <v>8.5138552975206601</v>
      </c>
      <c r="AJ49" s="94">
        <f t="shared" si="20"/>
        <v>3.0799999999999992</v>
      </c>
      <c r="AK49" s="92">
        <f t="shared" si="40"/>
        <v>6.9229955776813137</v>
      </c>
      <c r="AL49" s="92">
        <f t="shared" si="41"/>
        <v>0.33549507438016518</v>
      </c>
      <c r="AM49" s="92">
        <f t="shared" si="48"/>
        <v>0.34846000000000005</v>
      </c>
      <c r="AN49" s="211">
        <f t="shared" si="42"/>
        <v>0.12326545454545453</v>
      </c>
      <c r="AO49" s="95">
        <f t="shared" si="24"/>
        <v>0.8072205289256198</v>
      </c>
      <c r="AP49" s="94">
        <f t="shared" si="43"/>
        <v>0.35945900826446275</v>
      </c>
      <c r="AQ49" s="230">
        <f t="shared" si="44"/>
        <v>1.437836033057851</v>
      </c>
      <c r="AR49" s="230">
        <f t="shared" si="45"/>
        <v>1.0915700452567536</v>
      </c>
      <c r="AS49" s="92">
        <f t="shared" si="46"/>
        <v>3.6000000000000004E-2</v>
      </c>
      <c r="AT49" s="95">
        <f t="shared" si="47"/>
        <v>2.9699999999999997E-5</v>
      </c>
      <c r="AU49" s="94">
        <f t="shared" si="26"/>
        <v>13.683806646083198</v>
      </c>
      <c r="AV49" s="92">
        <f t="shared" si="27"/>
        <v>138.6</v>
      </c>
      <c r="AW49" s="95">
        <f t="shared" si="28"/>
        <v>91.014273318052005</v>
      </c>
    </row>
    <row r="50" spans="17:49" x14ac:dyDescent="0.25">
      <c r="Q50" s="32">
        <v>43</v>
      </c>
      <c r="R50" s="94">
        <f t="shared" si="0"/>
        <v>45</v>
      </c>
      <c r="S50" s="92">
        <f t="shared" si="32"/>
        <v>3.1533333333333333</v>
      </c>
      <c r="T50" s="92">
        <f t="shared" si="2"/>
        <v>9</v>
      </c>
      <c r="U50" s="95">
        <f t="shared" si="33"/>
        <v>15.766666666666667</v>
      </c>
      <c r="V50" s="94">
        <f>IF(Variable_Management!$B$22=3,2,IF((S50*R50/T50)&lt;((T50*(1-(T50/R50)))/(2*Lm*Fsw)),1,2))</f>
        <v>2</v>
      </c>
      <c r="W50" s="92">
        <f t="shared" si="34"/>
        <v>0.8</v>
      </c>
      <c r="X50" s="95">
        <f t="shared" si="35"/>
        <v>0.19999999999999996</v>
      </c>
      <c r="Y50" s="94">
        <f t="shared" si="36"/>
        <v>5.454545454545455</v>
      </c>
      <c r="Z50" s="92">
        <f t="shared" si="30"/>
        <v>18.493939393939396</v>
      </c>
      <c r="AA50" s="92">
        <f t="shared" si="31"/>
        <v>15.845097557943687</v>
      </c>
      <c r="AB50" s="92">
        <v>0</v>
      </c>
      <c r="AC50" s="92">
        <f t="shared" si="37"/>
        <v>1.5064026997245179</v>
      </c>
      <c r="AD50" s="95">
        <f t="shared" si="16"/>
        <v>1.5064026997245179</v>
      </c>
      <c r="AE50" s="94">
        <f t="shared" si="29"/>
        <v>12.613333333333335</v>
      </c>
      <c r="AF50" s="92">
        <f t="shared" si="17"/>
        <v>14.172286099871201</v>
      </c>
      <c r="AG50" s="92">
        <f t="shared" si="38"/>
        <v>1.4059758530762172</v>
      </c>
      <c r="AH50" s="92">
        <f t="shared" si="39"/>
        <v>7.3426339285714288</v>
      </c>
      <c r="AI50" s="95">
        <f t="shared" si="19"/>
        <v>8.7486097816476462</v>
      </c>
      <c r="AJ50" s="94">
        <f t="shared" si="20"/>
        <v>3.1533333333333329</v>
      </c>
      <c r="AK50" s="92">
        <f t="shared" si="40"/>
        <v>7.0861430499355995</v>
      </c>
      <c r="AL50" s="92">
        <f t="shared" si="41"/>
        <v>0.35149396326905424</v>
      </c>
      <c r="AM50" s="92">
        <f t="shared" si="48"/>
        <v>0.34846000000000005</v>
      </c>
      <c r="AN50" s="211">
        <f t="shared" si="42"/>
        <v>0.12575878787878789</v>
      </c>
      <c r="AO50" s="95">
        <f t="shared" si="24"/>
        <v>0.82571275114784226</v>
      </c>
      <c r="AP50" s="94">
        <f t="shared" si="43"/>
        <v>0.37660067493112948</v>
      </c>
      <c r="AQ50" s="230">
        <f t="shared" si="44"/>
        <v>1.5064026997245179</v>
      </c>
      <c r="AR50" s="230">
        <f t="shared" si="45"/>
        <v>1.0915700452567536</v>
      </c>
      <c r="AS50" s="92">
        <f t="shared" si="46"/>
        <v>3.6000000000000004E-2</v>
      </c>
      <c r="AT50" s="95">
        <f t="shared" si="47"/>
        <v>2.9699999999999997E-5</v>
      </c>
      <c r="AU50" s="94">
        <f t="shared" si="26"/>
        <v>14.091328352432408</v>
      </c>
      <c r="AV50" s="92">
        <f t="shared" si="27"/>
        <v>141.9</v>
      </c>
      <c r="AW50" s="95">
        <f t="shared" si="28"/>
        <v>90.966595065723283</v>
      </c>
    </row>
    <row r="51" spans="17:49" x14ac:dyDescent="0.25">
      <c r="Q51" s="32">
        <v>44</v>
      </c>
      <c r="R51" s="94">
        <f t="shared" si="0"/>
        <v>45</v>
      </c>
      <c r="S51" s="92">
        <f t="shared" si="32"/>
        <v>3.2266666666666666</v>
      </c>
      <c r="T51" s="92">
        <f t="shared" si="2"/>
        <v>9</v>
      </c>
      <c r="U51" s="95">
        <f t="shared" si="33"/>
        <v>16.133333333333333</v>
      </c>
      <c r="V51" s="94">
        <f>IF(Variable_Management!$B$22=3,2,IF((S51*R51/T51)&lt;((T51*(1-(T51/R51)))/(2*Lm*Fsw)),1,2))</f>
        <v>2</v>
      </c>
      <c r="W51" s="92">
        <f t="shared" si="34"/>
        <v>0.8</v>
      </c>
      <c r="X51" s="95">
        <f t="shared" si="35"/>
        <v>0.19999999999999996</v>
      </c>
      <c r="Y51" s="94">
        <f t="shared" si="36"/>
        <v>5.454545454545455</v>
      </c>
      <c r="Z51" s="92">
        <f t="shared" si="30"/>
        <v>18.860606060606059</v>
      </c>
      <c r="AA51" s="92">
        <f t="shared" si="31"/>
        <v>16.209990230947692</v>
      </c>
      <c r="AB51" s="92">
        <v>0</v>
      </c>
      <c r="AC51" s="92">
        <f t="shared" si="37"/>
        <v>1.5765826997245178</v>
      </c>
      <c r="AD51" s="95">
        <f t="shared" si="16"/>
        <v>1.5765826997245178</v>
      </c>
      <c r="AE51" s="94">
        <f t="shared" si="29"/>
        <v>12.906666666666666</v>
      </c>
      <c r="AF51" s="92">
        <f t="shared" si="17"/>
        <v>14.498656028402621</v>
      </c>
      <c r="AG51" s="92">
        <f t="shared" si="38"/>
        <v>1.4714771864095497</v>
      </c>
      <c r="AH51" s="92">
        <f t="shared" si="39"/>
        <v>7.5133928571428577</v>
      </c>
      <c r="AI51" s="95">
        <f t="shared" si="19"/>
        <v>8.9848700435524069</v>
      </c>
      <c r="AJ51" s="94">
        <f t="shared" si="20"/>
        <v>3.2266666666666657</v>
      </c>
      <c r="AK51" s="92">
        <f t="shared" si="40"/>
        <v>7.2493280142013097</v>
      </c>
      <c r="AL51" s="92">
        <f t="shared" si="41"/>
        <v>0.36786929660238732</v>
      </c>
      <c r="AM51" s="92">
        <f t="shared" si="48"/>
        <v>0.34846000000000005</v>
      </c>
      <c r="AN51" s="211">
        <f t="shared" si="42"/>
        <v>0.12825212121212121</v>
      </c>
      <c r="AO51" s="95">
        <f t="shared" si="24"/>
        <v>0.84458141781450857</v>
      </c>
      <c r="AP51" s="94">
        <f t="shared" si="43"/>
        <v>0.39414567493112945</v>
      </c>
      <c r="AQ51" s="230">
        <f t="shared" si="44"/>
        <v>1.5765826997245178</v>
      </c>
      <c r="AR51" s="230">
        <f t="shared" si="45"/>
        <v>1.0915700452567536</v>
      </c>
      <c r="AS51" s="92">
        <f t="shared" si="46"/>
        <v>3.6000000000000004E-2</v>
      </c>
      <c r="AT51" s="95">
        <f t="shared" si="47"/>
        <v>2.9699999999999997E-5</v>
      </c>
      <c r="AU51" s="94">
        <f t="shared" si="26"/>
        <v>14.504362281003836</v>
      </c>
      <c r="AV51" s="92">
        <f t="shared" si="27"/>
        <v>145.19999999999999</v>
      </c>
      <c r="AW51" s="95">
        <f t="shared" si="28"/>
        <v>90.917992424350274</v>
      </c>
    </row>
    <row r="52" spans="17:49" x14ac:dyDescent="0.25">
      <c r="Q52" s="32">
        <v>45</v>
      </c>
      <c r="R52" s="94">
        <f t="shared" si="0"/>
        <v>45</v>
      </c>
      <c r="S52" s="92">
        <f t="shared" si="32"/>
        <v>3.3</v>
      </c>
      <c r="T52" s="92">
        <f t="shared" si="2"/>
        <v>9</v>
      </c>
      <c r="U52" s="95">
        <f t="shared" si="33"/>
        <v>16.5</v>
      </c>
      <c r="V52" s="94">
        <f>IF(Variable_Management!$B$22=3,2,IF((S52*R52/T52)&lt;((T52*(1-(T52/R52)))/(2*Lm*Fsw)),1,2))</f>
        <v>2</v>
      </c>
      <c r="W52" s="92">
        <f t="shared" si="34"/>
        <v>0.8</v>
      </c>
      <c r="X52" s="95">
        <f t="shared" si="35"/>
        <v>0.19999999999999996</v>
      </c>
      <c r="Y52" s="94">
        <f t="shared" si="36"/>
        <v>5.454545454545455</v>
      </c>
      <c r="Z52" s="92">
        <f t="shared" si="30"/>
        <v>19.227272727272727</v>
      </c>
      <c r="AA52" s="92">
        <f t="shared" si="31"/>
        <v>16.574961201854297</v>
      </c>
      <c r="AB52" s="92">
        <v>0</v>
      </c>
      <c r="AC52" s="92">
        <f t="shared" si="37"/>
        <v>1.6483760330578512</v>
      </c>
      <c r="AD52" s="95">
        <f t="shared" si="16"/>
        <v>1.6483760330578512</v>
      </c>
      <c r="AE52" s="94">
        <f t="shared" si="29"/>
        <v>13.200000000000001</v>
      </c>
      <c r="AF52" s="92">
        <f t="shared" si="17"/>
        <v>14.825095988707126</v>
      </c>
      <c r="AG52" s="92">
        <f t="shared" si="38"/>
        <v>1.538484297520661</v>
      </c>
      <c r="AH52" s="92">
        <f t="shared" si="39"/>
        <v>7.6841517857142856</v>
      </c>
      <c r="AI52" s="95">
        <f t="shared" si="19"/>
        <v>9.2226360832349457</v>
      </c>
      <c r="AJ52" s="94">
        <f t="shared" si="20"/>
        <v>3.2999999999999994</v>
      </c>
      <c r="AK52" s="92">
        <f t="shared" si="40"/>
        <v>7.4125479943535622</v>
      </c>
      <c r="AL52" s="92">
        <f t="shared" si="41"/>
        <v>0.38462107438016513</v>
      </c>
      <c r="AM52" s="92">
        <f t="shared" si="48"/>
        <v>0.34846000000000005</v>
      </c>
      <c r="AN52" s="211">
        <f t="shared" si="42"/>
        <v>0.13074545454545453</v>
      </c>
      <c r="AO52" s="95">
        <f t="shared" si="24"/>
        <v>0.86382652892561973</v>
      </c>
      <c r="AP52" s="94">
        <f t="shared" si="43"/>
        <v>0.4120940082644628</v>
      </c>
      <c r="AQ52" s="230">
        <f t="shared" si="44"/>
        <v>1.6483760330578512</v>
      </c>
      <c r="AR52" s="230">
        <f t="shared" si="45"/>
        <v>1.0915700452567536</v>
      </c>
      <c r="AS52" s="92">
        <f t="shared" si="46"/>
        <v>3.6000000000000004E-2</v>
      </c>
      <c r="AT52" s="95">
        <f t="shared" si="47"/>
        <v>2.9699999999999997E-5</v>
      </c>
      <c r="AU52" s="94">
        <f t="shared" si="26"/>
        <v>14.922908431797483</v>
      </c>
      <c r="AV52" s="92">
        <f t="shared" si="27"/>
        <v>148.5</v>
      </c>
      <c r="AW52" s="95">
        <f t="shared" si="28"/>
        <v>90.868533319473158</v>
      </c>
    </row>
    <row r="53" spans="17:49" x14ac:dyDescent="0.25">
      <c r="Q53" s="32">
        <v>46</v>
      </c>
      <c r="R53" s="94">
        <f t="shared" si="0"/>
        <v>45</v>
      </c>
      <c r="S53" s="92">
        <f t="shared" si="32"/>
        <v>3.3733333333333335</v>
      </c>
      <c r="T53" s="92">
        <f t="shared" si="2"/>
        <v>9</v>
      </c>
      <c r="U53" s="95">
        <f t="shared" si="33"/>
        <v>16.866666666666667</v>
      </c>
      <c r="V53" s="94">
        <f>IF(Variable_Management!$B$22=3,2,IF((S53*R53/T53)&lt;((T53*(1-(T53/R53)))/(2*Lm*Fsw)),1,2))</f>
        <v>2</v>
      </c>
      <c r="W53" s="92">
        <f t="shared" si="34"/>
        <v>0.8</v>
      </c>
      <c r="X53" s="95">
        <f t="shared" si="35"/>
        <v>0.19999999999999996</v>
      </c>
      <c r="Y53" s="94">
        <f t="shared" si="36"/>
        <v>5.454545454545455</v>
      </c>
      <c r="Z53" s="92">
        <f t="shared" si="30"/>
        <v>19.593939393939394</v>
      </c>
      <c r="AA53" s="92">
        <f t="shared" si="31"/>
        <v>16.940005409899364</v>
      </c>
      <c r="AB53" s="92">
        <v>0</v>
      </c>
      <c r="AC53" s="92">
        <f t="shared" si="37"/>
        <v>1.7217826997245183</v>
      </c>
      <c r="AD53" s="95">
        <f t="shared" si="16"/>
        <v>1.7217826997245183</v>
      </c>
      <c r="AE53" s="94">
        <f t="shared" si="29"/>
        <v>13.493333333333334</v>
      </c>
      <c r="AF53" s="92">
        <f t="shared" si="17"/>
        <v>15.151601454299664</v>
      </c>
      <c r="AG53" s="92">
        <f t="shared" si="38"/>
        <v>1.6069971864095498</v>
      </c>
      <c r="AH53" s="92">
        <f t="shared" si="39"/>
        <v>7.8549107142857144</v>
      </c>
      <c r="AI53" s="95">
        <f t="shared" si="19"/>
        <v>9.4619079006952642</v>
      </c>
      <c r="AJ53" s="94">
        <f t="shared" si="20"/>
        <v>3.3733333333333326</v>
      </c>
      <c r="AK53" s="92">
        <f t="shared" si="40"/>
        <v>7.5758007271498311</v>
      </c>
      <c r="AL53" s="92">
        <f t="shared" si="41"/>
        <v>0.40174929660238734</v>
      </c>
      <c r="AM53" s="92">
        <f t="shared" si="48"/>
        <v>0.34846000000000005</v>
      </c>
      <c r="AN53" s="211">
        <f t="shared" si="42"/>
        <v>0.13323878787878787</v>
      </c>
      <c r="AO53" s="95">
        <f t="shared" si="24"/>
        <v>0.88344808448117529</v>
      </c>
      <c r="AP53" s="94">
        <f t="shared" si="43"/>
        <v>0.43044567493112956</v>
      </c>
      <c r="AQ53" s="230">
        <f t="shared" si="44"/>
        <v>1.7217826997245183</v>
      </c>
      <c r="AR53" s="230">
        <f t="shared" si="45"/>
        <v>1.0915700452567536</v>
      </c>
      <c r="AS53" s="92">
        <f t="shared" si="46"/>
        <v>3.6000000000000004E-2</v>
      </c>
      <c r="AT53" s="95">
        <f t="shared" si="47"/>
        <v>2.9699999999999997E-5</v>
      </c>
      <c r="AU53" s="94">
        <f t="shared" si="26"/>
        <v>15.346966804813357</v>
      </c>
      <c r="AV53" s="92">
        <f t="shared" si="27"/>
        <v>151.80000000000001</v>
      </c>
      <c r="AW53" s="95">
        <f t="shared" si="28"/>
        <v>90.818279805977681</v>
      </c>
    </row>
    <row r="54" spans="17:49" x14ac:dyDescent="0.25">
      <c r="Q54" s="32">
        <v>47</v>
      </c>
      <c r="R54" s="94">
        <f t="shared" si="0"/>
        <v>45</v>
      </c>
      <c r="S54" s="92">
        <f t="shared" si="32"/>
        <v>3.4466666666666668</v>
      </c>
      <c r="T54" s="92">
        <f t="shared" si="2"/>
        <v>9</v>
      </c>
      <c r="U54" s="95">
        <f t="shared" si="33"/>
        <v>17.233333333333334</v>
      </c>
      <c r="V54" s="94">
        <f>IF(Variable_Management!$B$22=3,2,IF((S54*R54/T54)&lt;((T54*(1-(T54/R54)))/(2*Lm*Fsw)),1,2))</f>
        <v>2</v>
      </c>
      <c r="W54" s="92">
        <f t="shared" si="34"/>
        <v>0.8</v>
      </c>
      <c r="X54" s="95">
        <f t="shared" si="35"/>
        <v>0.19999999999999996</v>
      </c>
      <c r="Y54" s="94">
        <f t="shared" si="36"/>
        <v>5.454545454545455</v>
      </c>
      <c r="Z54" s="92">
        <f t="shared" si="30"/>
        <v>19.960606060606061</v>
      </c>
      <c r="AA54" s="92">
        <f t="shared" si="31"/>
        <v>17.30511822036339</v>
      </c>
      <c r="AB54" s="92">
        <v>0</v>
      </c>
      <c r="AC54" s="92">
        <f t="shared" si="37"/>
        <v>1.7968026997245179</v>
      </c>
      <c r="AD54" s="95">
        <f t="shared" si="16"/>
        <v>1.7968026997245179</v>
      </c>
      <c r="AE54" s="94">
        <f t="shared" si="29"/>
        <v>13.786666666666669</v>
      </c>
      <c r="AF54" s="92">
        <f t="shared" si="17"/>
        <v>15.478168279761091</v>
      </c>
      <c r="AG54" s="92">
        <f t="shared" si="38"/>
        <v>1.6770158530762169</v>
      </c>
      <c r="AH54" s="92">
        <f t="shared" si="39"/>
        <v>8.0256696428571423</v>
      </c>
      <c r="AI54" s="95">
        <f t="shared" si="19"/>
        <v>9.7026854959333591</v>
      </c>
      <c r="AJ54" s="94">
        <f t="shared" si="20"/>
        <v>3.4466666666666659</v>
      </c>
      <c r="AK54" s="92">
        <f t="shared" si="40"/>
        <v>7.7390841398805446</v>
      </c>
      <c r="AL54" s="92">
        <f t="shared" si="41"/>
        <v>0.41925396326905412</v>
      </c>
      <c r="AM54" s="92">
        <f t="shared" si="48"/>
        <v>0.34846000000000005</v>
      </c>
      <c r="AN54" s="211">
        <f t="shared" si="42"/>
        <v>0.13573212121212119</v>
      </c>
      <c r="AO54" s="95">
        <f t="shared" si="24"/>
        <v>0.90344608448117536</v>
      </c>
      <c r="AP54" s="94">
        <f t="shared" si="43"/>
        <v>0.44920067493112947</v>
      </c>
      <c r="AQ54" s="230">
        <f t="shared" si="44"/>
        <v>1.7968026997245179</v>
      </c>
      <c r="AR54" s="230">
        <f t="shared" si="45"/>
        <v>1.0915700452567536</v>
      </c>
      <c r="AS54" s="92">
        <f t="shared" si="46"/>
        <v>3.6000000000000004E-2</v>
      </c>
      <c r="AT54" s="95">
        <f t="shared" si="47"/>
        <v>2.9699999999999997E-5</v>
      </c>
      <c r="AU54" s="94">
        <f t="shared" si="26"/>
        <v>15.776537400051454</v>
      </c>
      <c r="AV54" s="92">
        <f t="shared" si="27"/>
        <v>155.1</v>
      </c>
      <c r="AW54" s="95">
        <f t="shared" si="28"/>
        <v>90.767288686851217</v>
      </c>
    </row>
    <row r="55" spans="17:49" x14ac:dyDescent="0.25">
      <c r="Q55" s="32">
        <v>48</v>
      </c>
      <c r="R55" s="94">
        <f t="shared" si="0"/>
        <v>45</v>
      </c>
      <c r="S55" s="92">
        <f t="shared" si="32"/>
        <v>3.52</v>
      </c>
      <c r="T55" s="92">
        <f t="shared" si="2"/>
        <v>9</v>
      </c>
      <c r="U55" s="95">
        <f t="shared" si="33"/>
        <v>17.600000000000001</v>
      </c>
      <c r="V55" s="94">
        <f>IF(Variable_Management!$B$22=3,2,IF((S55*R55/T55)&lt;((T55*(1-(T55/R55)))/(2*Lm*Fsw)),1,2))</f>
        <v>2</v>
      </c>
      <c r="W55" s="92">
        <f t="shared" si="34"/>
        <v>0.8</v>
      </c>
      <c r="X55" s="95">
        <f t="shared" si="35"/>
        <v>0.19999999999999996</v>
      </c>
      <c r="Y55" s="94">
        <f t="shared" si="36"/>
        <v>5.454545454545455</v>
      </c>
      <c r="Z55" s="92">
        <f t="shared" si="30"/>
        <v>20.327272727272728</v>
      </c>
      <c r="AA55" s="92">
        <f t="shared" si="31"/>
        <v>17.670295380750581</v>
      </c>
      <c r="AB55" s="92">
        <v>0</v>
      </c>
      <c r="AC55" s="92">
        <f t="shared" si="37"/>
        <v>1.8734360330578519</v>
      </c>
      <c r="AD55" s="95">
        <f t="shared" si="16"/>
        <v>1.8734360330578519</v>
      </c>
      <c r="AE55" s="94">
        <f t="shared" si="29"/>
        <v>14.080000000000002</v>
      </c>
      <c r="AF55" s="92">
        <f t="shared" si="17"/>
        <v>15.80479266154353</v>
      </c>
      <c r="AG55" s="92">
        <f t="shared" si="38"/>
        <v>1.7485402975206614</v>
      </c>
      <c r="AH55" s="92">
        <f t="shared" si="39"/>
        <v>8.196428571428573</v>
      </c>
      <c r="AI55" s="95">
        <f t="shared" si="19"/>
        <v>9.9449688689492337</v>
      </c>
      <c r="AJ55" s="94">
        <f t="shared" si="20"/>
        <v>3.5199999999999996</v>
      </c>
      <c r="AK55" s="92">
        <f t="shared" si="40"/>
        <v>7.9023963307717642</v>
      </c>
      <c r="AL55" s="92">
        <f t="shared" si="41"/>
        <v>0.4371350743801653</v>
      </c>
      <c r="AM55" s="92">
        <f t="shared" si="48"/>
        <v>0.34846000000000005</v>
      </c>
      <c r="AN55" s="211">
        <f t="shared" si="42"/>
        <v>0.13822545454545454</v>
      </c>
      <c r="AO55" s="95">
        <f t="shared" si="24"/>
        <v>0.92382052892561994</v>
      </c>
      <c r="AP55" s="94">
        <f t="shared" si="43"/>
        <v>0.46835900826446297</v>
      </c>
      <c r="AQ55" s="230">
        <f t="shared" si="44"/>
        <v>1.8734360330578519</v>
      </c>
      <c r="AR55" s="230">
        <f t="shared" si="45"/>
        <v>1.0915700452567536</v>
      </c>
      <c r="AS55" s="92">
        <f t="shared" si="46"/>
        <v>3.6000000000000004E-2</v>
      </c>
      <c r="AT55" s="95">
        <f t="shared" si="47"/>
        <v>2.9699999999999997E-5</v>
      </c>
      <c r="AU55" s="94">
        <f t="shared" si="26"/>
        <v>16.211620217511772</v>
      </c>
      <c r="AV55" s="92">
        <f t="shared" si="27"/>
        <v>158.4</v>
      </c>
      <c r="AW55" s="95">
        <f t="shared" si="28"/>
        <v>90.715612055304717</v>
      </c>
    </row>
    <row r="56" spans="17:49" x14ac:dyDescent="0.25">
      <c r="Q56" s="32">
        <v>49</v>
      </c>
      <c r="R56" s="94">
        <f t="shared" si="0"/>
        <v>45</v>
      </c>
      <c r="S56" s="92">
        <f t="shared" si="32"/>
        <v>3.5933333333333333</v>
      </c>
      <c r="T56" s="92">
        <f t="shared" si="2"/>
        <v>9</v>
      </c>
      <c r="U56" s="95">
        <f t="shared" si="33"/>
        <v>17.966666666666665</v>
      </c>
      <c r="V56" s="94">
        <f>IF(Variable_Management!$B$22=3,2,IF((S56*R56/T56)&lt;((T56*(1-(T56/R56)))/(2*Lm*Fsw)),1,2))</f>
        <v>2</v>
      </c>
      <c r="W56" s="92">
        <f t="shared" si="34"/>
        <v>0.8</v>
      </c>
      <c r="X56" s="95">
        <f t="shared" si="35"/>
        <v>0.19999999999999996</v>
      </c>
      <c r="Y56" s="94">
        <f t="shared" si="36"/>
        <v>5.454545454545455</v>
      </c>
      <c r="Z56" s="92">
        <f t="shared" si="30"/>
        <v>20.693939393939392</v>
      </c>
      <c r="AA56" s="92">
        <f t="shared" si="31"/>
        <v>18.03553298225717</v>
      </c>
      <c r="AB56" s="92">
        <v>0</v>
      </c>
      <c r="AC56" s="92">
        <f t="shared" si="37"/>
        <v>1.9516826997245171</v>
      </c>
      <c r="AD56" s="95">
        <f t="shared" si="16"/>
        <v>1.9516826997245171</v>
      </c>
      <c r="AE56" s="94">
        <f t="shared" si="29"/>
        <v>14.373333333333333</v>
      </c>
      <c r="AF56" s="92">
        <f t="shared" si="17"/>
        <v>16.13147110350662</v>
      </c>
      <c r="AG56" s="92">
        <f t="shared" si="38"/>
        <v>1.8215705197428835</v>
      </c>
      <c r="AH56" s="92">
        <f t="shared" si="39"/>
        <v>8.3671874999999982</v>
      </c>
      <c r="AI56" s="95">
        <f t="shared" si="19"/>
        <v>10.188758019742881</v>
      </c>
      <c r="AJ56" s="94">
        <f t="shared" si="20"/>
        <v>3.5933333333333324</v>
      </c>
      <c r="AK56" s="92">
        <f t="shared" si="40"/>
        <v>8.065735551753308</v>
      </c>
      <c r="AL56" s="92">
        <f t="shared" si="41"/>
        <v>0.45539262993572072</v>
      </c>
      <c r="AM56" s="92">
        <f t="shared" si="48"/>
        <v>0.34846000000000005</v>
      </c>
      <c r="AN56" s="211">
        <f t="shared" si="42"/>
        <v>0.14071878787878786</v>
      </c>
      <c r="AO56" s="95">
        <f t="shared" si="24"/>
        <v>0.9445714178145086</v>
      </c>
      <c r="AP56" s="94">
        <f t="shared" si="43"/>
        <v>0.48792067493112928</v>
      </c>
      <c r="AQ56" s="230">
        <f t="shared" si="44"/>
        <v>1.9516826997245171</v>
      </c>
      <c r="AR56" s="230">
        <f t="shared" si="45"/>
        <v>1.0915700452567536</v>
      </c>
      <c r="AS56" s="92">
        <f t="shared" si="46"/>
        <v>3.6000000000000004E-2</v>
      </c>
      <c r="AT56" s="95">
        <f t="shared" si="47"/>
        <v>2.9699999999999997E-5</v>
      </c>
      <c r="AU56" s="94">
        <f t="shared" si="26"/>
        <v>16.652215257194307</v>
      </c>
      <c r="AV56" s="92">
        <f t="shared" si="27"/>
        <v>161.69999999999999</v>
      </c>
      <c r="AW56" s="95">
        <f t="shared" si="28"/>
        <v>90.663297771109356</v>
      </c>
    </row>
    <row r="57" spans="17:49" x14ac:dyDescent="0.25">
      <c r="Q57" s="32">
        <v>50</v>
      </c>
      <c r="R57" s="94">
        <f t="shared" si="0"/>
        <v>45</v>
      </c>
      <c r="S57" s="92">
        <f t="shared" si="32"/>
        <v>3.6666666666666665</v>
      </c>
      <c r="T57" s="92">
        <f t="shared" si="2"/>
        <v>9</v>
      </c>
      <c r="U57" s="95">
        <f t="shared" si="33"/>
        <v>18.333333333333332</v>
      </c>
      <c r="V57" s="94">
        <f>IF(Variable_Management!$B$22=3,2,IF((S57*R57/T57)&lt;((T57*(1-(T57/R57)))/(2*Lm*Fsw)),1,2))</f>
        <v>2</v>
      </c>
      <c r="W57" s="92">
        <f t="shared" si="34"/>
        <v>0.8</v>
      </c>
      <c r="X57" s="95">
        <f t="shared" si="35"/>
        <v>0.19999999999999996</v>
      </c>
      <c r="Y57" s="94">
        <f t="shared" si="36"/>
        <v>5.454545454545455</v>
      </c>
      <c r="Z57" s="92">
        <f t="shared" si="30"/>
        <v>21.060606060606059</v>
      </c>
      <c r="AA57" s="92">
        <f t="shared" si="31"/>
        <v>18.400827425800347</v>
      </c>
      <c r="AB57" s="92">
        <v>0</v>
      </c>
      <c r="AC57" s="92">
        <f t="shared" si="37"/>
        <v>2.0315426997245174</v>
      </c>
      <c r="AD57" s="95">
        <f t="shared" si="16"/>
        <v>2.0315426997245174</v>
      </c>
      <c r="AE57" s="94">
        <f t="shared" si="29"/>
        <v>14.666666666666666</v>
      </c>
      <c r="AF57" s="92">
        <f t="shared" si="17"/>
        <v>16.458200386532816</v>
      </c>
      <c r="AG57" s="92">
        <f t="shared" si="38"/>
        <v>1.8961065197428826</v>
      </c>
      <c r="AH57" s="92">
        <f t="shared" si="39"/>
        <v>8.5379464285714288</v>
      </c>
      <c r="AI57" s="95">
        <f t="shared" si="19"/>
        <v>10.434052948314312</v>
      </c>
      <c r="AJ57" s="94">
        <f t="shared" si="20"/>
        <v>3.6666666666666656</v>
      </c>
      <c r="AK57" s="92">
        <f t="shared" si="40"/>
        <v>8.2291001932664081</v>
      </c>
      <c r="AL57" s="92">
        <f t="shared" si="41"/>
        <v>0.47402662993572064</v>
      </c>
      <c r="AM57" s="92">
        <f t="shared" si="48"/>
        <v>0.34846000000000005</v>
      </c>
      <c r="AN57" s="211">
        <f t="shared" si="42"/>
        <v>0.14321212121212118</v>
      </c>
      <c r="AO57" s="95">
        <f t="shared" si="24"/>
        <v>0.96569875114784187</v>
      </c>
      <c r="AP57" s="94">
        <f t="shared" si="43"/>
        <v>0.50788567493112935</v>
      </c>
      <c r="AQ57" s="230">
        <f t="shared" si="44"/>
        <v>2.0315426997245174</v>
      </c>
      <c r="AR57" s="230">
        <f t="shared" si="45"/>
        <v>1.0915700452567536</v>
      </c>
      <c r="AS57" s="92">
        <f t="shared" si="46"/>
        <v>3.6000000000000004E-2</v>
      </c>
      <c r="AT57" s="95">
        <f t="shared" si="47"/>
        <v>2.9699999999999997E-5</v>
      </c>
      <c r="AU57" s="94">
        <f t="shared" si="26"/>
        <v>17.098322519099071</v>
      </c>
      <c r="AV57" s="92">
        <f t="shared" si="27"/>
        <v>165</v>
      </c>
      <c r="AW57" s="95">
        <f t="shared" si="28"/>
        <v>90.61038988027704</v>
      </c>
    </row>
    <row r="58" spans="17:49" x14ac:dyDescent="0.25">
      <c r="Q58" s="32">
        <v>51</v>
      </c>
      <c r="R58" s="94">
        <f t="shared" si="0"/>
        <v>45</v>
      </c>
      <c r="S58" s="92">
        <f t="shared" si="32"/>
        <v>3.74</v>
      </c>
      <c r="T58" s="92">
        <f t="shared" si="2"/>
        <v>9</v>
      </c>
      <c r="U58" s="95">
        <f t="shared" si="33"/>
        <v>18.700000000000003</v>
      </c>
      <c r="V58" s="94">
        <f>IF(Variable_Management!$B$22=3,2,IF((S58*R58/T58)&lt;((T58*(1-(T58/R58)))/(2*Lm*Fsw)),1,2))</f>
        <v>2</v>
      </c>
      <c r="W58" s="92">
        <f t="shared" si="34"/>
        <v>0.8</v>
      </c>
      <c r="X58" s="95">
        <f t="shared" si="35"/>
        <v>0.19999999999999996</v>
      </c>
      <c r="Y58" s="94">
        <f t="shared" si="36"/>
        <v>5.454545454545455</v>
      </c>
      <c r="Z58" s="92">
        <f t="shared" si="30"/>
        <v>21.427272727272729</v>
      </c>
      <c r="AA58" s="92">
        <f t="shared" si="31"/>
        <v>18.76617539199118</v>
      </c>
      <c r="AB58" s="92">
        <v>0</v>
      </c>
      <c r="AC58" s="92">
        <f t="shared" si="37"/>
        <v>2.113016033057852</v>
      </c>
      <c r="AD58" s="95">
        <f t="shared" si="16"/>
        <v>2.113016033057852</v>
      </c>
      <c r="AE58" s="94">
        <f t="shared" si="29"/>
        <v>14.960000000000003</v>
      </c>
      <c r="AF58" s="92">
        <f t="shared" si="17"/>
        <v>16.784977541670415</v>
      </c>
      <c r="AG58" s="92">
        <f t="shared" si="38"/>
        <v>1.9721482975206615</v>
      </c>
      <c r="AH58" s="92">
        <f t="shared" si="39"/>
        <v>8.7087053571428594</v>
      </c>
      <c r="AI58" s="95">
        <f t="shared" si="19"/>
        <v>10.680853654663521</v>
      </c>
      <c r="AJ58" s="94">
        <f t="shared" si="20"/>
        <v>3.7399999999999998</v>
      </c>
      <c r="AK58" s="92">
        <f t="shared" si="40"/>
        <v>8.3924887708352074</v>
      </c>
      <c r="AL58" s="92">
        <f t="shared" si="41"/>
        <v>0.49303707438016536</v>
      </c>
      <c r="AM58" s="92">
        <f t="shared" si="48"/>
        <v>0.34846000000000005</v>
      </c>
      <c r="AN58" s="211">
        <f t="shared" si="42"/>
        <v>0.14570545454545455</v>
      </c>
      <c r="AO58" s="95">
        <f t="shared" si="24"/>
        <v>0.98720252892561999</v>
      </c>
      <c r="AP58" s="94">
        <f t="shared" si="43"/>
        <v>0.528254008264463</v>
      </c>
      <c r="AQ58" s="230">
        <f t="shared" si="44"/>
        <v>2.113016033057852</v>
      </c>
      <c r="AR58" s="230">
        <f t="shared" si="45"/>
        <v>1.0915700452567536</v>
      </c>
      <c r="AS58" s="92">
        <f t="shared" si="46"/>
        <v>3.6000000000000004E-2</v>
      </c>
      <c r="AT58" s="95">
        <f t="shared" si="47"/>
        <v>2.9699999999999997E-5</v>
      </c>
      <c r="AU58" s="94">
        <f t="shared" si="26"/>
        <v>17.549942003226061</v>
      </c>
      <c r="AV58" s="92">
        <f t="shared" si="27"/>
        <v>168.3</v>
      </c>
      <c r="AW58" s="95">
        <f t="shared" si="28"/>
        <v>90.55692898579359</v>
      </c>
    </row>
    <row r="59" spans="17:49" x14ac:dyDescent="0.25">
      <c r="Q59" s="32">
        <v>52</v>
      </c>
      <c r="R59" s="94">
        <f t="shared" si="0"/>
        <v>45</v>
      </c>
      <c r="S59" s="92">
        <f t="shared" si="32"/>
        <v>3.8133333333333335</v>
      </c>
      <c r="T59" s="92">
        <f t="shared" si="2"/>
        <v>9</v>
      </c>
      <c r="U59" s="95">
        <f t="shared" si="33"/>
        <v>19.066666666666666</v>
      </c>
      <c r="V59" s="94">
        <f>IF(Variable_Management!$B$22=3,2,IF((S59*R59/T59)&lt;((T59*(1-(T59/R59)))/(2*Lm*Fsw)),1,2))</f>
        <v>2</v>
      </c>
      <c r="W59" s="92">
        <f t="shared" si="34"/>
        <v>0.8</v>
      </c>
      <c r="X59" s="95">
        <f t="shared" si="35"/>
        <v>0.19999999999999996</v>
      </c>
      <c r="Y59" s="94">
        <f t="shared" si="36"/>
        <v>5.454545454545455</v>
      </c>
      <c r="Z59" s="92">
        <f t="shared" si="30"/>
        <v>21.793939393939393</v>
      </c>
      <c r="AA59" s="92">
        <f t="shared" si="31"/>
        <v>19.131573814528512</v>
      </c>
      <c r="AB59" s="92">
        <v>0</v>
      </c>
      <c r="AC59" s="92">
        <f t="shared" si="37"/>
        <v>2.1961026997245181</v>
      </c>
      <c r="AD59" s="95">
        <f t="shared" si="16"/>
        <v>2.1961026997245181</v>
      </c>
      <c r="AE59" s="94">
        <f t="shared" si="29"/>
        <v>15.253333333333334</v>
      </c>
      <c r="AF59" s="92">
        <f t="shared" si="17"/>
        <v>17.111799826336281</v>
      </c>
      <c r="AG59" s="92">
        <f t="shared" si="38"/>
        <v>2.0496958530762166</v>
      </c>
      <c r="AH59" s="92">
        <f t="shared" si="39"/>
        <v>8.8794642857142865</v>
      </c>
      <c r="AI59" s="95">
        <f t="shared" si="19"/>
        <v>10.929160138790504</v>
      </c>
      <c r="AJ59" s="94">
        <f t="shared" si="20"/>
        <v>3.8133333333333326</v>
      </c>
      <c r="AK59" s="92">
        <f t="shared" si="40"/>
        <v>8.5558999131681386</v>
      </c>
      <c r="AL59" s="92">
        <f t="shared" si="41"/>
        <v>0.51242396326905393</v>
      </c>
      <c r="AM59" s="92">
        <f t="shared" si="48"/>
        <v>0.34846000000000005</v>
      </c>
      <c r="AN59" s="211">
        <f t="shared" si="42"/>
        <v>0.14819878787878787</v>
      </c>
      <c r="AO59" s="95">
        <f t="shared" si="24"/>
        <v>1.0090827511478417</v>
      </c>
      <c r="AP59" s="94">
        <f t="shared" si="43"/>
        <v>0.54902567493112953</v>
      </c>
      <c r="AQ59" s="230">
        <f t="shared" si="44"/>
        <v>2.1961026997245181</v>
      </c>
      <c r="AR59" s="230">
        <f t="shared" si="45"/>
        <v>1.0915700452567536</v>
      </c>
      <c r="AS59" s="92">
        <f t="shared" si="46"/>
        <v>3.6000000000000004E-2</v>
      </c>
      <c r="AT59" s="95">
        <f t="shared" si="47"/>
        <v>2.9699999999999997E-5</v>
      </c>
      <c r="AU59" s="94">
        <f t="shared" si="26"/>
        <v>18.007073709575266</v>
      </c>
      <c r="AV59" s="92">
        <f t="shared" si="27"/>
        <v>171.6</v>
      </c>
      <c r="AW59" s="95">
        <f t="shared" si="28"/>
        <v>90.502952575937627</v>
      </c>
    </row>
    <row r="60" spans="17:49" x14ac:dyDescent="0.25">
      <c r="Q60" s="32">
        <v>53</v>
      </c>
      <c r="R60" s="94">
        <f t="shared" si="0"/>
        <v>45</v>
      </c>
      <c r="S60" s="92">
        <f t="shared" si="32"/>
        <v>3.8866666666666667</v>
      </c>
      <c r="T60" s="92">
        <f t="shared" si="2"/>
        <v>9</v>
      </c>
      <c r="U60" s="95">
        <f t="shared" si="33"/>
        <v>19.433333333333334</v>
      </c>
      <c r="V60" s="94">
        <f>IF(Variable_Management!$B$22=3,2,IF((S60*R60/T60)&lt;((T60*(1-(T60/R60)))/(2*Lm*Fsw)),1,2))</f>
        <v>2</v>
      </c>
      <c r="W60" s="92">
        <f t="shared" si="34"/>
        <v>0.8</v>
      </c>
      <c r="X60" s="95">
        <f t="shared" si="35"/>
        <v>0.19999999999999996</v>
      </c>
      <c r="Y60" s="94">
        <f t="shared" si="36"/>
        <v>5.454545454545455</v>
      </c>
      <c r="Z60" s="92">
        <f t="shared" si="30"/>
        <v>22.16060606060606</v>
      </c>
      <c r="AA60" s="92">
        <f t="shared" si="31"/>
        <v>19.497019856568329</v>
      </c>
      <c r="AB60" s="92">
        <v>0</v>
      </c>
      <c r="AC60" s="92">
        <f t="shared" si="37"/>
        <v>2.2808026997245183</v>
      </c>
      <c r="AD60" s="95">
        <f t="shared" si="16"/>
        <v>2.2808026997245183</v>
      </c>
      <c r="AE60" s="94">
        <f t="shared" si="29"/>
        <v>15.546666666666667</v>
      </c>
      <c r="AF60" s="92">
        <f t="shared" si="17"/>
        <v>17.438664703179992</v>
      </c>
      <c r="AG60" s="92">
        <f t="shared" si="38"/>
        <v>2.12874918640955</v>
      </c>
      <c r="AH60" s="92">
        <f t="shared" si="39"/>
        <v>9.0502232142857135</v>
      </c>
      <c r="AI60" s="95">
        <f t="shared" si="19"/>
        <v>11.178972400695264</v>
      </c>
      <c r="AJ60" s="94">
        <f t="shared" si="20"/>
        <v>3.8866666666666658</v>
      </c>
      <c r="AK60" s="92">
        <f t="shared" si="40"/>
        <v>8.7193323515899959</v>
      </c>
      <c r="AL60" s="92">
        <f t="shared" si="41"/>
        <v>0.53218729660238751</v>
      </c>
      <c r="AM60" s="92">
        <f t="shared" si="48"/>
        <v>0.34846000000000005</v>
      </c>
      <c r="AN60" s="211">
        <f t="shared" si="42"/>
        <v>0.15069212121212119</v>
      </c>
      <c r="AO60" s="95">
        <f t="shared" si="24"/>
        <v>1.0313394178145088</v>
      </c>
      <c r="AP60" s="94">
        <f t="shared" si="43"/>
        <v>0.57020067493112958</v>
      </c>
      <c r="AQ60" s="230">
        <f t="shared" si="44"/>
        <v>2.2808026997245183</v>
      </c>
      <c r="AR60" s="230">
        <f t="shared" si="45"/>
        <v>1.0915700452567536</v>
      </c>
      <c r="AS60" s="92">
        <f t="shared" si="46"/>
        <v>3.6000000000000004E-2</v>
      </c>
      <c r="AT60" s="95">
        <f t="shared" si="47"/>
        <v>2.9699999999999997E-5</v>
      </c>
      <c r="AU60" s="94">
        <f t="shared" si="26"/>
        <v>18.46971763814669</v>
      </c>
      <c r="AV60" s="92">
        <f t="shared" si="27"/>
        <v>174.9</v>
      </c>
      <c r="AW60" s="95">
        <f t="shared" si="28"/>
        <v>90.44849531574063</v>
      </c>
    </row>
    <row r="61" spans="17:49" x14ac:dyDescent="0.25">
      <c r="Q61" s="32">
        <v>54</v>
      </c>
      <c r="R61" s="94">
        <f t="shared" si="0"/>
        <v>45</v>
      </c>
      <c r="S61" s="92">
        <f t="shared" si="32"/>
        <v>3.96</v>
      </c>
      <c r="T61" s="92">
        <f t="shared" si="2"/>
        <v>9</v>
      </c>
      <c r="U61" s="95">
        <f t="shared" si="33"/>
        <v>19.799999999999997</v>
      </c>
      <c r="V61" s="94">
        <f>IF(Variable_Management!$B$22=3,2,IF((S61*R61/T61)&lt;((T61*(1-(T61/R61)))/(2*Lm*Fsw)),1,2))</f>
        <v>2</v>
      </c>
      <c r="W61" s="92">
        <f t="shared" si="34"/>
        <v>0.8</v>
      </c>
      <c r="X61" s="95">
        <f t="shared" si="35"/>
        <v>0.19999999999999996</v>
      </c>
      <c r="Y61" s="94">
        <f t="shared" si="36"/>
        <v>5.454545454545455</v>
      </c>
      <c r="Z61" s="92">
        <f t="shared" si="30"/>
        <v>22.527272727272724</v>
      </c>
      <c r="AA61" s="92">
        <f t="shared" si="31"/>
        <v>19.862510889688018</v>
      </c>
      <c r="AB61" s="92">
        <v>0</v>
      </c>
      <c r="AC61" s="92">
        <f t="shared" si="37"/>
        <v>2.3671160330578509</v>
      </c>
      <c r="AD61" s="95">
        <f t="shared" si="16"/>
        <v>2.3671160330578509</v>
      </c>
      <c r="AE61" s="94">
        <f t="shared" si="29"/>
        <v>15.839999999999998</v>
      </c>
      <c r="AF61" s="92">
        <f t="shared" si="17"/>
        <v>17.765569821268894</v>
      </c>
      <c r="AG61" s="92">
        <f t="shared" si="38"/>
        <v>2.2093082975206606</v>
      </c>
      <c r="AH61" s="92">
        <f t="shared" si="39"/>
        <v>9.2209821428571406</v>
      </c>
      <c r="AI61" s="95">
        <f t="shared" si="19"/>
        <v>11.430290440377801</v>
      </c>
      <c r="AJ61" s="94">
        <f t="shared" si="20"/>
        <v>3.9599999999999986</v>
      </c>
      <c r="AK61" s="92">
        <f t="shared" si="40"/>
        <v>8.8827849106344452</v>
      </c>
      <c r="AL61" s="92">
        <f t="shared" si="41"/>
        <v>0.55232707438016493</v>
      </c>
      <c r="AM61" s="92">
        <f t="shared" si="48"/>
        <v>0.34846000000000005</v>
      </c>
      <c r="AN61" s="211">
        <f t="shared" si="42"/>
        <v>0.15318545454545451</v>
      </c>
      <c r="AO61" s="95">
        <f t="shared" si="24"/>
        <v>1.0539725289256194</v>
      </c>
      <c r="AP61" s="94">
        <f t="shared" si="43"/>
        <v>0.59177900826446272</v>
      </c>
      <c r="AQ61" s="230">
        <f t="shared" si="44"/>
        <v>2.3671160330578509</v>
      </c>
      <c r="AR61" s="230">
        <f t="shared" si="45"/>
        <v>1.0915700452567536</v>
      </c>
      <c r="AS61" s="92">
        <f t="shared" si="46"/>
        <v>3.6000000000000004E-2</v>
      </c>
      <c r="AT61" s="95">
        <f t="shared" si="47"/>
        <v>2.9699999999999997E-5</v>
      </c>
      <c r="AU61" s="94">
        <f t="shared" si="26"/>
        <v>18.937873788940337</v>
      </c>
      <c r="AV61" s="92">
        <f t="shared" si="27"/>
        <v>178.2</v>
      </c>
      <c r="AW61" s="95">
        <f t="shared" si="28"/>
        <v>90.393589306326987</v>
      </c>
    </row>
    <row r="62" spans="17:49" x14ac:dyDescent="0.25">
      <c r="Q62" s="32">
        <v>55</v>
      </c>
      <c r="R62" s="94">
        <f t="shared" si="0"/>
        <v>45</v>
      </c>
      <c r="S62" s="92">
        <f t="shared" si="32"/>
        <v>4.0333333333333332</v>
      </c>
      <c r="T62" s="92">
        <f t="shared" si="2"/>
        <v>9</v>
      </c>
      <c r="U62" s="95">
        <f t="shared" si="33"/>
        <v>20.166666666666668</v>
      </c>
      <c r="V62" s="94">
        <f>IF(Variable_Management!$B$22=3,2,IF((S62*R62/T62)&lt;((T62*(1-(T62/R62)))/(2*Lm*Fsw)),1,2))</f>
        <v>2</v>
      </c>
      <c r="W62" s="92">
        <f t="shared" si="34"/>
        <v>0.8</v>
      </c>
      <c r="X62" s="95">
        <f t="shared" si="35"/>
        <v>0.19999999999999996</v>
      </c>
      <c r="Y62" s="94">
        <f t="shared" si="36"/>
        <v>5.454545454545455</v>
      </c>
      <c r="Z62" s="92">
        <f t="shared" si="30"/>
        <v>22.893939393939394</v>
      </c>
      <c r="AA62" s="92">
        <f t="shared" si="31"/>
        <v>20.228044475119678</v>
      </c>
      <c r="AB62" s="92">
        <v>0</v>
      </c>
      <c r="AC62" s="92">
        <f t="shared" si="37"/>
        <v>2.4550426997245185</v>
      </c>
      <c r="AD62" s="95">
        <f t="shared" si="16"/>
        <v>2.4550426997245185</v>
      </c>
      <c r="AE62" s="94">
        <f t="shared" si="29"/>
        <v>16.133333333333336</v>
      </c>
      <c r="AF62" s="92">
        <f t="shared" si="17"/>
        <v>18.092512999302663</v>
      </c>
      <c r="AG62" s="92">
        <f t="shared" si="38"/>
        <v>2.291373186409551</v>
      </c>
      <c r="AH62" s="92">
        <f t="shared" si="39"/>
        <v>9.3917410714285712</v>
      </c>
      <c r="AI62" s="95">
        <f t="shared" si="19"/>
        <v>11.683114257838122</v>
      </c>
      <c r="AJ62" s="94">
        <f t="shared" si="20"/>
        <v>4.0333333333333323</v>
      </c>
      <c r="AK62" s="92">
        <f t="shared" si="40"/>
        <v>9.0462564996513297</v>
      </c>
      <c r="AL62" s="92">
        <f t="shared" si="41"/>
        <v>0.57284329660238742</v>
      </c>
      <c r="AM62" s="92">
        <f t="shared" si="48"/>
        <v>0.34846000000000005</v>
      </c>
      <c r="AN62" s="211">
        <f t="shared" si="42"/>
        <v>0.15567878787878786</v>
      </c>
      <c r="AO62" s="95">
        <f t="shared" si="24"/>
        <v>1.0769820844811755</v>
      </c>
      <c r="AP62" s="94">
        <f t="shared" si="43"/>
        <v>0.61376067493112962</v>
      </c>
      <c r="AQ62" s="230">
        <f t="shared" si="44"/>
        <v>2.4550426997245185</v>
      </c>
      <c r="AR62" s="230">
        <f t="shared" si="45"/>
        <v>1.0915700452567536</v>
      </c>
      <c r="AS62" s="92">
        <f t="shared" si="46"/>
        <v>3.6000000000000004E-2</v>
      </c>
      <c r="AT62" s="95">
        <f t="shared" si="47"/>
        <v>2.9699999999999997E-5</v>
      </c>
      <c r="AU62" s="94">
        <f t="shared" si="26"/>
        <v>19.411542161956216</v>
      </c>
      <c r="AV62" s="92">
        <f t="shared" si="27"/>
        <v>181.5</v>
      </c>
      <c r="AW62" s="95">
        <f t="shared" si="28"/>
        <v>90.338264316189239</v>
      </c>
    </row>
    <row r="63" spans="17:49" x14ac:dyDescent="0.25">
      <c r="Q63" s="32">
        <v>56</v>
      </c>
      <c r="R63" s="94">
        <f t="shared" si="0"/>
        <v>45</v>
      </c>
      <c r="S63" s="92">
        <f t="shared" si="32"/>
        <v>4.1066666666666665</v>
      </c>
      <c r="T63" s="92">
        <f t="shared" si="2"/>
        <v>9</v>
      </c>
      <c r="U63" s="95">
        <f t="shared" si="33"/>
        <v>20.533333333333331</v>
      </c>
      <c r="V63" s="94">
        <f>IF(Variable_Management!$B$22=3,2,IF((S63*R63/T63)&lt;((T63*(1-(T63/R63)))/(2*Lm*Fsw)),1,2))</f>
        <v>2</v>
      </c>
      <c r="W63" s="92">
        <f t="shared" si="34"/>
        <v>0.8</v>
      </c>
      <c r="X63" s="95">
        <f t="shared" si="35"/>
        <v>0.19999999999999996</v>
      </c>
      <c r="Y63" s="94">
        <f t="shared" si="36"/>
        <v>5.454545454545455</v>
      </c>
      <c r="Z63" s="92">
        <f t="shared" si="30"/>
        <v>23.260606060606058</v>
      </c>
      <c r="AA63" s="92">
        <f t="shared" si="31"/>
        <v>20.593618346972271</v>
      </c>
      <c r="AB63" s="92">
        <v>0</v>
      </c>
      <c r="AC63" s="92">
        <f t="shared" si="37"/>
        <v>2.5445826997245176</v>
      </c>
      <c r="AD63" s="95">
        <f t="shared" si="16"/>
        <v>2.5445826997245176</v>
      </c>
      <c r="AE63" s="94">
        <f t="shared" si="29"/>
        <v>16.426666666666666</v>
      </c>
      <c r="AF63" s="92">
        <f t="shared" si="17"/>
        <v>18.419492210606741</v>
      </c>
      <c r="AG63" s="92">
        <f t="shared" si="38"/>
        <v>2.3749438530762168</v>
      </c>
      <c r="AH63" s="92">
        <f t="shared" si="39"/>
        <v>9.5624999999999982</v>
      </c>
      <c r="AI63" s="95">
        <f t="shared" si="19"/>
        <v>11.937443853076214</v>
      </c>
      <c r="AJ63" s="94">
        <f t="shared" si="20"/>
        <v>4.1066666666666656</v>
      </c>
      <c r="AK63" s="92">
        <f t="shared" si="40"/>
        <v>9.2097461053033687</v>
      </c>
      <c r="AL63" s="92">
        <f t="shared" si="41"/>
        <v>0.59373596326905398</v>
      </c>
      <c r="AM63" s="92">
        <f t="shared" si="48"/>
        <v>0.34846000000000005</v>
      </c>
      <c r="AN63" s="211">
        <f t="shared" si="42"/>
        <v>0.15817212121212118</v>
      </c>
      <c r="AO63" s="95">
        <f t="shared" si="24"/>
        <v>1.1003680844811752</v>
      </c>
      <c r="AP63" s="94">
        <f t="shared" si="43"/>
        <v>0.63614567493112939</v>
      </c>
      <c r="AQ63" s="230">
        <f t="shared" si="44"/>
        <v>2.5445826997245176</v>
      </c>
      <c r="AR63" s="230">
        <f t="shared" si="45"/>
        <v>1.0915700452567536</v>
      </c>
      <c r="AS63" s="92">
        <f t="shared" si="46"/>
        <v>3.6000000000000004E-2</v>
      </c>
      <c r="AT63" s="95">
        <f t="shared" si="47"/>
        <v>2.9699999999999997E-5</v>
      </c>
      <c r="AU63" s="94">
        <f t="shared" si="26"/>
        <v>19.890722757194307</v>
      </c>
      <c r="AV63" s="92">
        <f t="shared" si="27"/>
        <v>184.79999999999998</v>
      </c>
      <c r="AW63" s="95">
        <f t="shared" si="28"/>
        <v>90.282547987878843</v>
      </c>
    </row>
    <row r="64" spans="17:49" x14ac:dyDescent="0.25">
      <c r="Q64" s="32">
        <v>57</v>
      </c>
      <c r="R64" s="94">
        <f t="shared" si="0"/>
        <v>45</v>
      </c>
      <c r="S64" s="92">
        <f t="shared" si="32"/>
        <v>4.18</v>
      </c>
      <c r="T64" s="92">
        <f t="shared" si="2"/>
        <v>9</v>
      </c>
      <c r="U64" s="95">
        <f t="shared" si="33"/>
        <v>20.9</v>
      </c>
      <c r="V64" s="94">
        <f>IF(Variable_Management!$B$22=3,2,IF((S64*R64/T64)&lt;((T64*(1-(T64/R64)))/(2*Lm*Fsw)),1,2))</f>
        <v>2</v>
      </c>
      <c r="W64" s="92">
        <f t="shared" si="34"/>
        <v>0.8</v>
      </c>
      <c r="X64" s="95">
        <f t="shared" si="35"/>
        <v>0.19999999999999996</v>
      </c>
      <c r="Y64" s="94">
        <f t="shared" si="36"/>
        <v>5.454545454545455</v>
      </c>
      <c r="Z64" s="92">
        <f t="shared" si="30"/>
        <v>23.627272727272725</v>
      </c>
      <c r="AA64" s="92">
        <f t="shared" si="31"/>
        <v>20.959230397201495</v>
      </c>
      <c r="AB64" s="92">
        <v>0</v>
      </c>
      <c r="AC64" s="92">
        <f t="shared" si="37"/>
        <v>2.6357360330578508</v>
      </c>
      <c r="AD64" s="95">
        <f t="shared" si="16"/>
        <v>2.6357360330578508</v>
      </c>
      <c r="AE64" s="94">
        <f t="shared" si="29"/>
        <v>16.72</v>
      </c>
      <c r="AF64" s="92">
        <f t="shared" si="17"/>
        <v>18.746505569688985</v>
      </c>
      <c r="AG64" s="92">
        <f t="shared" si="38"/>
        <v>2.4600202975206606</v>
      </c>
      <c r="AH64" s="92">
        <f t="shared" si="39"/>
        <v>9.733258928571427</v>
      </c>
      <c r="AI64" s="95">
        <f t="shared" si="19"/>
        <v>12.193279226092088</v>
      </c>
      <c r="AJ64" s="94">
        <f t="shared" si="20"/>
        <v>4.1799999999999988</v>
      </c>
      <c r="AK64" s="92">
        <f t="shared" si="40"/>
        <v>9.3732527848444906</v>
      </c>
      <c r="AL64" s="92">
        <f t="shared" si="41"/>
        <v>0.61500507438016505</v>
      </c>
      <c r="AM64" s="92">
        <f t="shared" si="48"/>
        <v>0.34846000000000005</v>
      </c>
      <c r="AN64" s="211">
        <f t="shared" si="42"/>
        <v>0.16066545454545453</v>
      </c>
      <c r="AO64" s="95">
        <f t="shared" si="24"/>
        <v>1.1241305289256196</v>
      </c>
      <c r="AP64" s="94">
        <f t="shared" si="43"/>
        <v>0.65893400826446269</v>
      </c>
      <c r="AQ64" s="230">
        <f t="shared" si="44"/>
        <v>2.6357360330578508</v>
      </c>
      <c r="AR64" s="230">
        <f t="shared" si="45"/>
        <v>1.0915700452567536</v>
      </c>
      <c r="AS64" s="92">
        <f t="shared" si="46"/>
        <v>3.6000000000000004E-2</v>
      </c>
      <c r="AT64" s="95">
        <f t="shared" si="47"/>
        <v>2.9699999999999997E-5</v>
      </c>
      <c r="AU64" s="94">
        <f t="shared" si="26"/>
        <v>20.375415574654621</v>
      </c>
      <c r="AV64" s="92">
        <f t="shared" si="27"/>
        <v>188.1</v>
      </c>
      <c r="AW64" s="95">
        <f t="shared" si="28"/>
        <v>90.2264660231085</v>
      </c>
    </row>
    <row r="65" spans="17:49" x14ac:dyDescent="0.25">
      <c r="Q65" s="32">
        <v>58</v>
      </c>
      <c r="R65" s="94">
        <f t="shared" si="0"/>
        <v>45</v>
      </c>
      <c r="S65" s="92">
        <f t="shared" si="32"/>
        <v>4.253333333333333</v>
      </c>
      <c r="T65" s="92">
        <f t="shared" si="2"/>
        <v>9</v>
      </c>
      <c r="U65" s="95">
        <f t="shared" si="33"/>
        <v>21.266666666666666</v>
      </c>
      <c r="V65" s="94">
        <f>IF(Variable_Management!$B$22=3,2,IF((S65*R65/T65)&lt;((T65*(1-(T65/R65)))/(2*Lm*Fsw)),1,2))</f>
        <v>2</v>
      </c>
      <c r="W65" s="92">
        <f t="shared" si="34"/>
        <v>0.8</v>
      </c>
      <c r="X65" s="95">
        <f t="shared" si="35"/>
        <v>0.19999999999999996</v>
      </c>
      <c r="Y65" s="94">
        <f t="shared" si="36"/>
        <v>5.454545454545455</v>
      </c>
      <c r="Z65" s="92">
        <f t="shared" si="30"/>
        <v>23.993939393939392</v>
      </c>
      <c r="AA65" s="92">
        <f t="shared" si="31"/>
        <v>21.324878662118721</v>
      </c>
      <c r="AB65" s="92">
        <v>0</v>
      </c>
      <c r="AC65" s="92">
        <f t="shared" si="37"/>
        <v>2.7285026997245181</v>
      </c>
      <c r="AD65" s="95">
        <f t="shared" si="16"/>
        <v>2.7285026997245181</v>
      </c>
      <c r="AE65" s="94">
        <f t="shared" si="29"/>
        <v>17.013333333333332</v>
      </c>
      <c r="AF65" s="92">
        <f t="shared" si="17"/>
        <v>19.073551320172889</v>
      </c>
      <c r="AG65" s="92">
        <f t="shared" si="38"/>
        <v>2.546602519742883</v>
      </c>
      <c r="AH65" s="92">
        <f t="shared" si="39"/>
        <v>9.9040178571428577</v>
      </c>
      <c r="AI65" s="95">
        <f t="shared" si="19"/>
        <v>12.450620376885741</v>
      </c>
      <c r="AJ65" s="94">
        <f t="shared" si="20"/>
        <v>4.2533333333333321</v>
      </c>
      <c r="AK65" s="92">
        <f t="shared" si="40"/>
        <v>9.5367756600864428</v>
      </c>
      <c r="AL65" s="92">
        <f t="shared" si="41"/>
        <v>0.63665062993572041</v>
      </c>
      <c r="AM65" s="92">
        <f t="shared" si="48"/>
        <v>0.34846000000000005</v>
      </c>
      <c r="AN65" s="211">
        <f t="shared" si="42"/>
        <v>0.16315878787878785</v>
      </c>
      <c r="AO65" s="95">
        <f t="shared" si="24"/>
        <v>1.1482694178145083</v>
      </c>
      <c r="AP65" s="94">
        <f t="shared" si="43"/>
        <v>0.68212567493112952</v>
      </c>
      <c r="AQ65" s="230">
        <f t="shared" si="44"/>
        <v>2.7285026997245181</v>
      </c>
      <c r="AR65" s="230">
        <f t="shared" si="45"/>
        <v>1.0915700452567536</v>
      </c>
      <c r="AS65" s="92">
        <f t="shared" si="46"/>
        <v>3.6000000000000004E-2</v>
      </c>
      <c r="AT65" s="95">
        <f t="shared" si="47"/>
        <v>2.9699999999999997E-5</v>
      </c>
      <c r="AU65" s="94">
        <f t="shared" si="26"/>
        <v>20.865620614337168</v>
      </c>
      <c r="AV65" s="92">
        <f t="shared" si="27"/>
        <v>191.39999999999998</v>
      </c>
      <c r="AW65" s="95">
        <f t="shared" si="28"/>
        <v>90.170042348851368</v>
      </c>
    </row>
    <row r="66" spans="17:49" x14ac:dyDescent="0.25">
      <c r="Q66" s="32">
        <v>59</v>
      </c>
      <c r="R66" s="94">
        <f t="shared" si="0"/>
        <v>45</v>
      </c>
      <c r="S66" s="92">
        <f t="shared" si="32"/>
        <v>4.3266666666666671</v>
      </c>
      <c r="T66" s="92">
        <f t="shared" si="2"/>
        <v>9</v>
      </c>
      <c r="U66" s="95">
        <f t="shared" si="33"/>
        <v>21.633333333333336</v>
      </c>
      <c r="V66" s="94">
        <f>IF(Variable_Management!$B$22=3,2,IF((S66*R66/T66)&lt;((T66*(1-(T66/R66)))/(2*Lm*Fsw)),1,2))</f>
        <v>2</v>
      </c>
      <c r="W66" s="92">
        <f t="shared" si="34"/>
        <v>0.8</v>
      </c>
      <c r="X66" s="95">
        <f t="shared" si="35"/>
        <v>0.19999999999999996</v>
      </c>
      <c r="Y66" s="94">
        <f t="shared" si="36"/>
        <v>5.454545454545455</v>
      </c>
      <c r="Z66" s="92">
        <f t="shared" si="30"/>
        <v>24.360606060606063</v>
      </c>
      <c r="AA66" s="92">
        <f t="shared" si="31"/>
        <v>21.69056131025858</v>
      </c>
      <c r="AB66" s="92">
        <v>0</v>
      </c>
      <c r="AC66" s="92">
        <f t="shared" si="37"/>
        <v>2.8228826997245182</v>
      </c>
      <c r="AD66" s="95">
        <f t="shared" si="16"/>
        <v>2.8228826997245182</v>
      </c>
      <c r="AE66" s="94">
        <f t="shared" si="29"/>
        <v>17.306666666666668</v>
      </c>
      <c r="AF66" s="92">
        <f t="shared" si="17"/>
        <v>19.400627823946039</v>
      </c>
      <c r="AG66" s="92">
        <f t="shared" si="38"/>
        <v>2.6346905197428847</v>
      </c>
      <c r="AH66" s="92">
        <f t="shared" si="39"/>
        <v>10.074776785714286</v>
      </c>
      <c r="AI66" s="95">
        <f t="shared" si="19"/>
        <v>12.709467305457171</v>
      </c>
      <c r="AJ66" s="94">
        <f t="shared" si="20"/>
        <v>4.3266666666666662</v>
      </c>
      <c r="AK66" s="92">
        <f t="shared" si="40"/>
        <v>9.7003139119730175</v>
      </c>
      <c r="AL66" s="92">
        <f t="shared" si="41"/>
        <v>0.65867262993572084</v>
      </c>
      <c r="AM66" s="92">
        <f t="shared" si="48"/>
        <v>0.34846000000000005</v>
      </c>
      <c r="AN66" s="211">
        <f t="shared" si="42"/>
        <v>0.16565212121212122</v>
      </c>
      <c r="AO66" s="95">
        <f t="shared" si="24"/>
        <v>1.172784751147842</v>
      </c>
      <c r="AP66" s="94">
        <f t="shared" si="43"/>
        <v>0.70572067493112955</v>
      </c>
      <c r="AQ66" s="230">
        <f t="shared" si="44"/>
        <v>2.8228826997245182</v>
      </c>
      <c r="AR66" s="230">
        <f t="shared" si="45"/>
        <v>1.0915700452567536</v>
      </c>
      <c r="AS66" s="92">
        <f t="shared" si="46"/>
        <v>3.6000000000000004E-2</v>
      </c>
      <c r="AT66" s="95">
        <f t="shared" si="47"/>
        <v>2.9699999999999997E-5</v>
      </c>
      <c r="AU66" s="94">
        <f t="shared" si="26"/>
        <v>21.361337876241933</v>
      </c>
      <c r="AV66" s="92">
        <f t="shared" si="27"/>
        <v>194.70000000000002</v>
      </c>
      <c r="AW66" s="95">
        <f t="shared" si="28"/>
        <v>90.113299266675128</v>
      </c>
    </row>
    <row r="67" spans="17:49" x14ac:dyDescent="0.25">
      <c r="Q67" s="32">
        <v>60</v>
      </c>
      <c r="R67" s="94">
        <f t="shared" si="0"/>
        <v>45</v>
      </c>
      <c r="S67" s="92">
        <f t="shared" si="32"/>
        <v>4.4000000000000004</v>
      </c>
      <c r="T67" s="92">
        <f t="shared" si="2"/>
        <v>9</v>
      </c>
      <c r="U67" s="95">
        <f t="shared" si="33"/>
        <v>22.000000000000004</v>
      </c>
      <c r="V67" s="94">
        <f>IF(Variable_Management!$B$22=3,2,IF((S67*R67/T67)&lt;((T67*(1-(T67/R67)))/(2*Lm*Fsw)),1,2))</f>
        <v>2</v>
      </c>
      <c r="W67" s="92">
        <f t="shared" si="34"/>
        <v>0.8</v>
      </c>
      <c r="X67" s="95">
        <f t="shared" si="35"/>
        <v>0.19999999999999996</v>
      </c>
      <c r="Y67" s="94">
        <f t="shared" si="36"/>
        <v>5.454545454545455</v>
      </c>
      <c r="Z67" s="92">
        <f t="shared" si="30"/>
        <v>24.72727272727273</v>
      </c>
      <c r="AA67" s="92">
        <f t="shared" si="31"/>
        <v>22.05627663144837</v>
      </c>
      <c r="AB67" s="92">
        <v>0</v>
      </c>
      <c r="AC67" s="92">
        <f t="shared" si="37"/>
        <v>2.9188760330578525</v>
      </c>
      <c r="AD67" s="95">
        <f t="shared" si="16"/>
        <v>2.9188760330578525</v>
      </c>
      <c r="AE67" s="94">
        <f t="shared" si="29"/>
        <v>17.600000000000005</v>
      </c>
      <c r="AF67" s="92">
        <f t="shared" si="17"/>
        <v>19.727733551383452</v>
      </c>
      <c r="AG67" s="92">
        <f t="shared" si="38"/>
        <v>2.7242842975206627</v>
      </c>
      <c r="AH67" s="92">
        <f t="shared" si="39"/>
        <v>10.245535714285715</v>
      </c>
      <c r="AI67" s="95">
        <f t="shared" si="19"/>
        <v>12.969820011806378</v>
      </c>
      <c r="AJ67" s="94">
        <f t="shared" si="20"/>
        <v>4.3999999999999995</v>
      </c>
      <c r="AK67" s="92">
        <f t="shared" si="40"/>
        <v>9.863866775691724</v>
      </c>
      <c r="AL67" s="92">
        <f t="shared" si="41"/>
        <v>0.68107107438016534</v>
      </c>
      <c r="AM67" s="92">
        <f t="shared" si="48"/>
        <v>0.34846000000000005</v>
      </c>
      <c r="AN67" s="211">
        <f t="shared" si="42"/>
        <v>0.16814545454545454</v>
      </c>
      <c r="AO67" s="95">
        <f t="shared" si="24"/>
        <v>1.1976765289256199</v>
      </c>
      <c r="AP67" s="94">
        <f t="shared" si="43"/>
        <v>0.72971900826446312</v>
      </c>
      <c r="AQ67" s="230">
        <f t="shared" si="44"/>
        <v>2.9188760330578525</v>
      </c>
      <c r="AR67" s="230">
        <f t="shared" si="45"/>
        <v>1.0915700452567536</v>
      </c>
      <c r="AS67" s="92">
        <f t="shared" si="46"/>
        <v>3.6000000000000004E-2</v>
      </c>
      <c r="AT67" s="95">
        <f t="shared" si="47"/>
        <v>2.9699999999999997E-5</v>
      </c>
      <c r="AU67" s="94">
        <f t="shared" si="26"/>
        <v>21.862567360368917</v>
      </c>
      <c r="AV67" s="92">
        <f t="shared" si="27"/>
        <v>198.00000000000003</v>
      </c>
      <c r="AW67" s="95">
        <f t="shared" si="28"/>
        <v>90.056257587252333</v>
      </c>
    </row>
    <row r="68" spans="17:49" x14ac:dyDescent="0.25">
      <c r="Q68" s="32">
        <v>61</v>
      </c>
      <c r="R68" s="94">
        <f t="shared" si="0"/>
        <v>45</v>
      </c>
      <c r="S68" s="92">
        <f t="shared" si="32"/>
        <v>4.4733333333333336</v>
      </c>
      <c r="T68" s="92">
        <f t="shared" si="2"/>
        <v>9</v>
      </c>
      <c r="U68" s="95">
        <f t="shared" si="33"/>
        <v>22.366666666666667</v>
      </c>
      <c r="V68" s="94">
        <f>IF(Variable_Management!$B$22=3,2,IF((S68*R68/T68)&lt;((T68*(1-(T68/R68)))/(2*Lm*Fsw)),1,2))</f>
        <v>2</v>
      </c>
      <c r="W68" s="92">
        <f t="shared" si="34"/>
        <v>0.8</v>
      </c>
      <c r="X68" s="95">
        <f t="shared" si="35"/>
        <v>0.19999999999999996</v>
      </c>
      <c r="Y68" s="94">
        <f t="shared" si="36"/>
        <v>5.454545454545455</v>
      </c>
      <c r="Z68" s="92">
        <f t="shared" si="30"/>
        <v>25.093939393939394</v>
      </c>
      <c r="AA68" s="92">
        <f t="shared" si="31"/>
        <v>22.422023026942796</v>
      </c>
      <c r="AB68" s="92">
        <v>0</v>
      </c>
      <c r="AC68" s="92">
        <f t="shared" si="37"/>
        <v>3.0164826997245182</v>
      </c>
      <c r="AD68" s="95">
        <f t="shared" si="16"/>
        <v>3.0164826997245182</v>
      </c>
      <c r="AE68" s="94">
        <f t="shared" si="29"/>
        <v>17.893333333333334</v>
      </c>
      <c r="AF68" s="92">
        <f t="shared" si="17"/>
        <v>20.054867072523876</v>
      </c>
      <c r="AG68" s="92">
        <f t="shared" si="38"/>
        <v>2.8153838530762165</v>
      </c>
      <c r="AH68" s="92">
        <f t="shared" si="39"/>
        <v>10.416294642857142</v>
      </c>
      <c r="AI68" s="95">
        <f t="shared" si="19"/>
        <v>13.231678495933359</v>
      </c>
      <c r="AJ68" s="94">
        <f t="shared" si="20"/>
        <v>4.4733333333333327</v>
      </c>
      <c r="AK68" s="92">
        <f t="shared" si="40"/>
        <v>10.027433536261936</v>
      </c>
      <c r="AL68" s="92">
        <f t="shared" si="41"/>
        <v>0.70384596326905402</v>
      </c>
      <c r="AM68" s="92">
        <f t="shared" si="48"/>
        <v>0.34846000000000005</v>
      </c>
      <c r="AN68" s="211">
        <f t="shared" si="42"/>
        <v>0.17063878787878786</v>
      </c>
      <c r="AO68" s="95">
        <f t="shared" si="24"/>
        <v>1.222944751147842</v>
      </c>
      <c r="AP68" s="94">
        <f t="shared" si="43"/>
        <v>0.75412067493112955</v>
      </c>
      <c r="AQ68" s="230">
        <f t="shared" si="44"/>
        <v>3.0164826997245182</v>
      </c>
      <c r="AR68" s="230">
        <f t="shared" si="45"/>
        <v>1.0915700452567536</v>
      </c>
      <c r="AS68" s="92">
        <f t="shared" si="46"/>
        <v>3.6000000000000004E-2</v>
      </c>
      <c r="AT68" s="95">
        <f t="shared" si="47"/>
        <v>2.9699999999999997E-5</v>
      </c>
      <c r="AU68" s="94">
        <f t="shared" si="26"/>
        <v>22.369309066718117</v>
      </c>
      <c r="AV68" s="92">
        <f t="shared" si="27"/>
        <v>201.3</v>
      </c>
      <c r="AW68" s="95">
        <f t="shared" si="28"/>
        <v>89.998936751735741</v>
      </c>
    </row>
    <row r="69" spans="17:49" x14ac:dyDescent="0.25">
      <c r="Q69" s="32">
        <v>62</v>
      </c>
      <c r="R69" s="94">
        <f t="shared" si="0"/>
        <v>45</v>
      </c>
      <c r="S69" s="92">
        <f t="shared" si="32"/>
        <v>4.5466666666666669</v>
      </c>
      <c r="T69" s="92">
        <f t="shared" si="2"/>
        <v>9</v>
      </c>
      <c r="U69" s="95">
        <f t="shared" si="33"/>
        <v>22.733333333333334</v>
      </c>
      <c r="V69" s="94">
        <f>IF(Variable_Management!$B$22=3,2,IF((S69*R69/T69)&lt;((T69*(1-(T69/R69)))/(2*Lm*Fsw)),1,2))</f>
        <v>2</v>
      </c>
      <c r="W69" s="92">
        <f t="shared" si="34"/>
        <v>0.8</v>
      </c>
      <c r="X69" s="95">
        <f t="shared" si="35"/>
        <v>0.19999999999999996</v>
      </c>
      <c r="Y69" s="94">
        <f t="shared" si="36"/>
        <v>5.454545454545455</v>
      </c>
      <c r="Z69" s="92">
        <f t="shared" si="30"/>
        <v>25.460606060606061</v>
      </c>
      <c r="AA69" s="92">
        <f t="shared" si="31"/>
        <v>22.787799000505064</v>
      </c>
      <c r="AB69" s="92">
        <v>0</v>
      </c>
      <c r="AC69" s="92">
        <f t="shared" si="37"/>
        <v>3.1157026997245176</v>
      </c>
      <c r="AD69" s="95">
        <f t="shared" si="16"/>
        <v>3.1157026997245176</v>
      </c>
      <c r="AE69" s="94">
        <f t="shared" si="29"/>
        <v>18.186666666666667</v>
      </c>
      <c r="AF69" s="92">
        <f t="shared" si="17"/>
        <v>20.382027049092436</v>
      </c>
      <c r="AG69" s="92">
        <f t="shared" si="38"/>
        <v>2.9079891864095502</v>
      </c>
      <c r="AH69" s="92">
        <f t="shared" si="39"/>
        <v>10.587053571428571</v>
      </c>
      <c r="AI69" s="95">
        <f t="shared" si="19"/>
        <v>13.495042757838121</v>
      </c>
      <c r="AJ69" s="94">
        <f t="shared" si="20"/>
        <v>4.546666666666666</v>
      </c>
      <c r="AK69" s="92">
        <f t="shared" si="40"/>
        <v>10.191013524546216</v>
      </c>
      <c r="AL69" s="92">
        <f t="shared" si="41"/>
        <v>0.72699729660238721</v>
      </c>
      <c r="AM69" s="92">
        <f t="shared" si="48"/>
        <v>0.34846000000000005</v>
      </c>
      <c r="AN69" s="211">
        <f t="shared" si="42"/>
        <v>0.17313212121212121</v>
      </c>
      <c r="AO69" s="95">
        <f t="shared" si="24"/>
        <v>1.2485894178145085</v>
      </c>
      <c r="AP69" s="94">
        <f t="shared" si="43"/>
        <v>0.77892567493112941</v>
      </c>
      <c r="AQ69" s="230">
        <f t="shared" si="44"/>
        <v>3.1157026997245176</v>
      </c>
      <c r="AR69" s="230">
        <f t="shared" si="45"/>
        <v>1.0915700452567536</v>
      </c>
      <c r="AS69" s="92">
        <f t="shared" si="46"/>
        <v>3.6000000000000004E-2</v>
      </c>
      <c r="AT69" s="95">
        <f t="shared" si="47"/>
        <v>2.9699999999999997E-5</v>
      </c>
      <c r="AU69" s="94">
        <f t="shared" si="26"/>
        <v>22.881562995289549</v>
      </c>
      <c r="AV69" s="92">
        <f t="shared" si="27"/>
        <v>204.60000000000002</v>
      </c>
      <c r="AW69" s="95">
        <f t="shared" si="28"/>
        <v>89.941354941471303</v>
      </c>
    </row>
    <row r="70" spans="17:49" x14ac:dyDescent="0.25">
      <c r="Q70" s="32">
        <v>63</v>
      </c>
      <c r="R70" s="94">
        <f t="shared" si="0"/>
        <v>45</v>
      </c>
      <c r="S70" s="92">
        <f t="shared" si="32"/>
        <v>4.62</v>
      </c>
      <c r="T70" s="92">
        <f t="shared" si="2"/>
        <v>9</v>
      </c>
      <c r="U70" s="95">
        <f t="shared" si="33"/>
        <v>23.1</v>
      </c>
      <c r="V70" s="94">
        <f>IF(Variable_Management!$B$22=3,2,IF((S70*R70/T70)&lt;((T70*(1-(T70/R70)))/(2*Lm*Fsw)),1,2))</f>
        <v>2</v>
      </c>
      <c r="W70" s="92">
        <f t="shared" si="34"/>
        <v>0.8</v>
      </c>
      <c r="X70" s="95">
        <f t="shared" si="35"/>
        <v>0.19999999999999996</v>
      </c>
      <c r="Y70" s="94">
        <f t="shared" si="36"/>
        <v>5.454545454545455</v>
      </c>
      <c r="Z70" s="92">
        <f t="shared" si="30"/>
        <v>25.827272727272728</v>
      </c>
      <c r="AA70" s="92">
        <f t="shared" si="31"/>
        <v>23.153603150330085</v>
      </c>
      <c r="AB70" s="92">
        <v>0</v>
      </c>
      <c r="AC70" s="92">
        <f t="shared" si="37"/>
        <v>3.2165360330578516</v>
      </c>
      <c r="AD70" s="95">
        <f t="shared" si="16"/>
        <v>3.2165360330578516</v>
      </c>
      <c r="AE70" s="94">
        <f t="shared" si="29"/>
        <v>18.48</v>
      </c>
      <c r="AF70" s="92">
        <f t="shared" si="17"/>
        <v>20.709212227276542</v>
      </c>
      <c r="AG70" s="92">
        <f t="shared" si="38"/>
        <v>3.0021002975206614</v>
      </c>
      <c r="AH70" s="92">
        <f t="shared" si="39"/>
        <v>10.7578125</v>
      </c>
      <c r="AI70" s="95">
        <f t="shared" si="19"/>
        <v>13.759912797520661</v>
      </c>
      <c r="AJ70" s="94">
        <f t="shared" si="20"/>
        <v>4.6199999999999992</v>
      </c>
      <c r="AK70" s="92">
        <f t="shared" si="40"/>
        <v>10.354606113638269</v>
      </c>
      <c r="AL70" s="92">
        <f t="shared" si="41"/>
        <v>0.75052507438016514</v>
      </c>
      <c r="AM70" s="92">
        <f t="shared" si="48"/>
        <v>0.34846000000000005</v>
      </c>
      <c r="AN70" s="211">
        <f t="shared" si="42"/>
        <v>0.17562545454545453</v>
      </c>
      <c r="AO70" s="95">
        <f t="shared" si="24"/>
        <v>1.2746105289256198</v>
      </c>
      <c r="AP70" s="94">
        <f t="shared" si="43"/>
        <v>0.80413400826446291</v>
      </c>
      <c r="AQ70" s="230">
        <f t="shared" si="44"/>
        <v>3.2165360330578516</v>
      </c>
      <c r="AR70" s="230">
        <f t="shared" si="45"/>
        <v>1.0915700452567536</v>
      </c>
      <c r="AS70" s="92">
        <f t="shared" si="46"/>
        <v>3.6000000000000004E-2</v>
      </c>
      <c r="AT70" s="95">
        <f t="shared" si="47"/>
        <v>2.9699999999999997E-5</v>
      </c>
      <c r="AU70" s="94">
        <f t="shared" si="26"/>
        <v>23.3993291460832</v>
      </c>
      <c r="AV70" s="92">
        <f t="shared" si="27"/>
        <v>207.9</v>
      </c>
      <c r="AW70" s="95">
        <f t="shared" si="28"/>
        <v>89.883529177335078</v>
      </c>
    </row>
    <row r="71" spans="17:49" x14ac:dyDescent="0.25">
      <c r="Q71" s="32">
        <v>64</v>
      </c>
      <c r="R71" s="94">
        <f t="shared" ref="R71:R134" si="49">VOUT</f>
        <v>45</v>
      </c>
      <c r="S71" s="92">
        <f t="shared" ref="S71:S102" si="50">Q71*$O$12</f>
        <v>4.6933333333333334</v>
      </c>
      <c r="T71" s="92">
        <f t="shared" ref="T71:T134" si="51">VIN_var</f>
        <v>9</v>
      </c>
      <c r="U71" s="95">
        <f t="shared" ref="U71:U102" si="52">(R71*S71)/(T71*EFF_est)</f>
        <v>23.466666666666665</v>
      </c>
      <c r="V71" s="94">
        <f>IF(Variable_Management!$B$22=3,2,IF((S71*R71/T71)&lt;((T71*(1-(T71/R71)))/(2*Lm*Fsw)),1,2))</f>
        <v>2</v>
      </c>
      <c r="W71" s="92">
        <f t="shared" ref="W71:W102" si="53">CHOOSE(V71,SQRT((2*S71*Lm*Fsw*(R71-T71))/((T71)^2)),1-(T71/R71))</f>
        <v>0.8</v>
      </c>
      <c r="X71" s="95">
        <f t="shared" ref="X71:X102" si="54">CHOOSE(V71,(Lm*Z71*Fsw)/(R71-T71),1-W71)</f>
        <v>0.19999999999999996</v>
      </c>
      <c r="Y71" s="94">
        <f t="shared" ref="Y71:Y102" si="55">(T71*W71)/(Lm*Fsw)</f>
        <v>5.454545454545455</v>
      </c>
      <c r="Z71" s="92">
        <f t="shared" si="30"/>
        <v>26.193939393939392</v>
      </c>
      <c r="AA71" s="92">
        <f t="shared" si="31"/>
        <v>23.519434161718678</v>
      </c>
      <c r="AB71" s="92">
        <v>0</v>
      </c>
      <c r="AC71" s="92">
        <f t="shared" ref="AC71:AC102" si="56">(AA71^2)*Rdcr</f>
        <v>3.318982699724518</v>
      </c>
      <c r="AD71" s="95">
        <f t="shared" si="16"/>
        <v>3.318982699724518</v>
      </c>
      <c r="AE71" s="94">
        <f t="shared" si="29"/>
        <v>18.773333333333333</v>
      </c>
      <c r="AF71" s="92">
        <f t="shared" si="17"/>
        <v>21.036421431173498</v>
      </c>
      <c r="AG71" s="92">
        <f t="shared" ref="AG71:AG102" si="57">(AF71^2)*RDS_on</f>
        <v>3.0977171864095494</v>
      </c>
      <c r="AH71" s="92">
        <f t="shared" ref="AH71:AH102" si="58">((R71*U71)/2)*Fsw*(tr_sw+tf_sw)</f>
        <v>10.928571428571429</v>
      </c>
      <c r="AI71" s="95">
        <f t="shared" si="19"/>
        <v>14.026288614980977</v>
      </c>
      <c r="AJ71" s="94">
        <f t="shared" si="20"/>
        <v>4.6933333333333316</v>
      </c>
      <c r="AK71" s="92">
        <f t="shared" ref="AK71:AK102" si="59">CHOOSE(V71,Z71*SQRT(X71/3),SQRT(X71*((Z71^2)+((Y71^2)/3)-(Y71*Z71))))</f>
        <v>10.518210715586747</v>
      </c>
      <c r="AL71" s="92">
        <f t="shared" ref="AL71:AL102" si="60">(AK71^2)*RDS_on_HS</f>
        <v>0.77442929660238713</v>
      </c>
      <c r="AM71" s="92">
        <f t="shared" si="48"/>
        <v>0.34846000000000005</v>
      </c>
      <c r="AN71" s="211">
        <f t="shared" ref="AN71:AN102" si="61">Vd_rect*t_dead*Fsw*Z71</f>
        <v>0.17811878787878785</v>
      </c>
      <c r="AO71" s="95">
        <f t="shared" si="24"/>
        <v>1.3010080844811749</v>
      </c>
      <c r="AP71" s="94">
        <f t="shared" ref="AP71:AP102" si="62">(AA71^2)*R_cs</f>
        <v>0.8297456749311295</v>
      </c>
      <c r="AQ71" s="230">
        <f t="shared" ref="AQ71:AQ102" si="63">Rdcr*AA71^2</f>
        <v>3.318982699724518</v>
      </c>
      <c r="AR71" s="230">
        <f t="shared" ref="AR71:AR102" si="64">ABS(7.759*10^-3*Fsw^0.9458*(0.00787*Y71)^2.304)</f>
        <v>1.0915700452567536</v>
      </c>
      <c r="AS71" s="92">
        <f t="shared" ref="AS71:AS102" si="65">(Qg_tot+Qg_tot_HS)*Vcc*Fsw</f>
        <v>3.6000000000000004E-2</v>
      </c>
      <c r="AT71" s="95">
        <f t="shared" ref="AT71:AT102" si="66">IQ*T71</f>
        <v>2.9699999999999997E-5</v>
      </c>
      <c r="AU71" s="94">
        <f t="shared" si="26"/>
        <v>23.922607519099071</v>
      </c>
      <c r="AV71" s="92">
        <f t="shared" si="27"/>
        <v>211.2</v>
      </c>
      <c r="AW71" s="95">
        <f t="shared" si="28"/>
        <v>89.825475409821735</v>
      </c>
    </row>
    <row r="72" spans="17:49" x14ac:dyDescent="0.25">
      <c r="Q72" s="32">
        <v>65</v>
      </c>
      <c r="R72" s="94">
        <f t="shared" si="49"/>
        <v>45</v>
      </c>
      <c r="S72" s="92">
        <f t="shared" si="50"/>
        <v>4.7666666666666666</v>
      </c>
      <c r="T72" s="92">
        <f t="shared" si="51"/>
        <v>9</v>
      </c>
      <c r="U72" s="95">
        <f t="shared" si="52"/>
        <v>23.833333333333332</v>
      </c>
      <c r="V72" s="94">
        <f>IF(Variable_Management!$B$22=3,2,IF((S72*R72/T72)&lt;((T72*(1-(T72/R72)))/(2*Lm*Fsw)),1,2))</f>
        <v>2</v>
      </c>
      <c r="W72" s="92">
        <f t="shared" si="53"/>
        <v>0.8</v>
      </c>
      <c r="X72" s="95">
        <f t="shared" si="54"/>
        <v>0.19999999999999996</v>
      </c>
      <c r="Y72" s="94">
        <f t="shared" si="55"/>
        <v>5.454545454545455</v>
      </c>
      <c r="Z72" s="92">
        <f t="shared" si="30"/>
        <v>26.560606060606059</v>
      </c>
      <c r="AA72" s="92">
        <f t="shared" si="31"/>
        <v>23.885290800422609</v>
      </c>
      <c r="AB72" s="92">
        <v>0</v>
      </c>
      <c r="AC72" s="92">
        <f t="shared" si="56"/>
        <v>3.423042699724518</v>
      </c>
      <c r="AD72" s="95">
        <f t="shared" ref="AD72:AD135" si="67">AB72+AC72</f>
        <v>3.423042699724518</v>
      </c>
      <c r="AE72" s="94">
        <f t="shared" si="29"/>
        <v>19.066666666666666</v>
      </c>
      <c r="AF72" s="92">
        <f t="shared" ref="AF72:AF135" si="68">CHOOSE(V72,Z72*SQRT(W72/3),SQRT(W72*((Z72^2)+((Y72^2)/3)-(Z72*Y72))))</f>
        <v>21.363653556838127</v>
      </c>
      <c r="AG72" s="92">
        <f t="shared" si="57"/>
        <v>3.1948398530762163</v>
      </c>
      <c r="AH72" s="92">
        <f t="shared" si="58"/>
        <v>11.099330357142858</v>
      </c>
      <c r="AI72" s="95">
        <f t="shared" ref="AI72:AI135" si="69">AG72+AH72</f>
        <v>14.294170210219074</v>
      </c>
      <c r="AJ72" s="94">
        <f t="shared" ref="AJ72:AJ135" si="70">X72*U72</f>
        <v>4.7666666666666657</v>
      </c>
      <c r="AK72" s="92">
        <f t="shared" si="59"/>
        <v>10.681826778419062</v>
      </c>
      <c r="AL72" s="92">
        <f t="shared" si="60"/>
        <v>0.79870996326905386</v>
      </c>
      <c r="AM72" s="92">
        <f t="shared" ref="AM72:AM103" si="71">CHOOSE(V72,(R72+Vd_rect)*Qrr*Fsw,(R72+Vd_rect)*Qrr*Fsw)</f>
        <v>0.34846000000000005</v>
      </c>
      <c r="AN72" s="211">
        <f t="shared" si="61"/>
        <v>0.1806121212121212</v>
      </c>
      <c r="AO72" s="95">
        <f t="shared" ref="AO72:AO135" si="72">AL72+AM72+AN72</f>
        <v>1.3277820844811752</v>
      </c>
      <c r="AP72" s="94">
        <f t="shared" si="62"/>
        <v>0.85576067493112951</v>
      </c>
      <c r="AQ72" s="230">
        <f t="shared" si="63"/>
        <v>3.423042699724518</v>
      </c>
      <c r="AR72" s="230">
        <f t="shared" si="64"/>
        <v>1.0915700452567536</v>
      </c>
      <c r="AS72" s="92">
        <f t="shared" si="65"/>
        <v>3.6000000000000004E-2</v>
      </c>
      <c r="AT72" s="95">
        <f t="shared" si="66"/>
        <v>2.9699999999999997E-5</v>
      </c>
      <c r="AU72" s="94">
        <f t="shared" ref="AU72:AU135" si="73">AP72+AO72+AI72+AD72+AS72+AT72+AQ72+AR72</f>
        <v>24.451398114337167</v>
      </c>
      <c r="AV72" s="92">
        <f t="shared" ref="AV72:AV135" si="74">R72*S72</f>
        <v>214.5</v>
      </c>
      <c r="AW72" s="95">
        <f t="shared" ref="AW72:AW135" si="75">(AV72/(AV72+AU72))*100</f>
        <v>89.76720860087319</v>
      </c>
    </row>
    <row r="73" spans="17:49" x14ac:dyDescent="0.25">
      <c r="Q73" s="32">
        <v>66</v>
      </c>
      <c r="R73" s="94">
        <f t="shared" si="49"/>
        <v>45</v>
      </c>
      <c r="S73" s="92">
        <f t="shared" si="50"/>
        <v>4.84</v>
      </c>
      <c r="T73" s="92">
        <f t="shared" si="51"/>
        <v>9</v>
      </c>
      <c r="U73" s="95">
        <f t="shared" si="52"/>
        <v>24.2</v>
      </c>
      <c r="V73" s="94">
        <f>IF(Variable_Management!$B$22=3,2,IF((S73*R73/T73)&lt;((T73*(1-(T73/R73)))/(2*Lm*Fsw)),1,2))</f>
        <v>2</v>
      </c>
      <c r="W73" s="92">
        <f t="shared" si="53"/>
        <v>0.8</v>
      </c>
      <c r="X73" s="95">
        <f t="shared" si="54"/>
        <v>0.19999999999999996</v>
      </c>
      <c r="Y73" s="94">
        <f t="shared" si="55"/>
        <v>5.454545454545455</v>
      </c>
      <c r="Z73" s="92">
        <f t="shared" si="30"/>
        <v>26.927272727272726</v>
      </c>
      <c r="AA73" s="92">
        <f t="shared" si="31"/>
        <v>24.251171906589899</v>
      </c>
      <c r="AB73" s="92">
        <v>0</v>
      </c>
      <c r="AC73" s="92">
        <f t="shared" si="56"/>
        <v>3.5287160330578509</v>
      </c>
      <c r="AD73" s="95">
        <f t="shared" si="67"/>
        <v>3.5287160330578509</v>
      </c>
      <c r="AE73" s="94">
        <f t="shared" ref="AE73:AE136" si="76">U73*W73</f>
        <v>19.36</v>
      </c>
      <c r="AF73" s="92">
        <f t="shared" si="68"/>
        <v>21.690907566867278</v>
      </c>
      <c r="AG73" s="92">
        <f t="shared" si="57"/>
        <v>3.2934682975206608</v>
      </c>
      <c r="AH73" s="92">
        <f t="shared" si="58"/>
        <v>11.270089285714286</v>
      </c>
      <c r="AI73" s="95">
        <f t="shared" si="69"/>
        <v>14.563557583234948</v>
      </c>
      <c r="AJ73" s="94">
        <f t="shared" si="70"/>
        <v>4.839999999999999</v>
      </c>
      <c r="AK73" s="92">
        <f t="shared" si="59"/>
        <v>10.845453783433637</v>
      </c>
      <c r="AL73" s="92">
        <f t="shared" si="60"/>
        <v>0.82336707438016499</v>
      </c>
      <c r="AM73" s="92">
        <f t="shared" si="71"/>
        <v>0.34846000000000005</v>
      </c>
      <c r="AN73" s="211">
        <f t="shared" si="61"/>
        <v>0.18310545454545452</v>
      </c>
      <c r="AO73" s="95">
        <f t="shared" si="72"/>
        <v>1.3549325289256196</v>
      </c>
      <c r="AP73" s="94">
        <f t="shared" si="62"/>
        <v>0.88217900826446272</v>
      </c>
      <c r="AQ73" s="230">
        <f t="shared" si="63"/>
        <v>3.5287160330578509</v>
      </c>
      <c r="AR73" s="230">
        <f t="shared" si="64"/>
        <v>1.0915700452567536</v>
      </c>
      <c r="AS73" s="92">
        <f t="shared" si="65"/>
        <v>3.6000000000000004E-2</v>
      </c>
      <c r="AT73" s="95">
        <f t="shared" si="66"/>
        <v>2.9699999999999997E-5</v>
      </c>
      <c r="AU73" s="94">
        <f t="shared" si="73"/>
        <v>24.985700931797485</v>
      </c>
      <c r="AV73" s="92">
        <f t="shared" si="74"/>
        <v>217.79999999999998</v>
      </c>
      <c r="AW73" s="95">
        <f t="shared" si="75"/>
        <v>89.708742798318099</v>
      </c>
    </row>
    <row r="74" spans="17:49" x14ac:dyDescent="0.25">
      <c r="Q74" s="32">
        <v>67</v>
      </c>
      <c r="R74" s="94">
        <f t="shared" si="49"/>
        <v>45</v>
      </c>
      <c r="S74" s="92">
        <f t="shared" si="50"/>
        <v>4.9133333333333331</v>
      </c>
      <c r="T74" s="92">
        <f t="shared" si="51"/>
        <v>9</v>
      </c>
      <c r="U74" s="95">
        <f t="shared" si="52"/>
        <v>24.566666666666666</v>
      </c>
      <c r="V74" s="94">
        <f>IF(Variable_Management!$B$22=3,2,IF((S74*R74/T74)&lt;((T74*(1-(T74/R74)))/(2*Lm*Fsw)),1,2))</f>
        <v>2</v>
      </c>
      <c r="W74" s="92">
        <f t="shared" si="53"/>
        <v>0.8</v>
      </c>
      <c r="X74" s="95">
        <f t="shared" si="54"/>
        <v>0.19999999999999996</v>
      </c>
      <c r="Y74" s="94">
        <f t="shared" si="55"/>
        <v>5.454545454545455</v>
      </c>
      <c r="Z74" s="92">
        <f t="shared" si="30"/>
        <v>27.293939393939393</v>
      </c>
      <c r="AA74" s="92">
        <f t="shared" si="31"/>
        <v>24.6170763892483</v>
      </c>
      <c r="AB74" s="92">
        <v>0</v>
      </c>
      <c r="AC74" s="92">
        <f t="shared" si="56"/>
        <v>3.6360026997245165</v>
      </c>
      <c r="AD74" s="95">
        <f t="shared" si="67"/>
        <v>3.6360026997245165</v>
      </c>
      <c r="AE74" s="94">
        <f t="shared" si="76"/>
        <v>19.653333333333336</v>
      </c>
      <c r="AF74" s="92">
        <f t="shared" si="68"/>
        <v>22.018182485465712</v>
      </c>
      <c r="AG74" s="92">
        <f t="shared" si="57"/>
        <v>3.3936025197428834</v>
      </c>
      <c r="AH74" s="92">
        <f t="shared" si="58"/>
        <v>11.440848214285714</v>
      </c>
      <c r="AI74" s="95">
        <f t="shared" si="69"/>
        <v>14.834450734028596</v>
      </c>
      <c r="AJ74" s="94">
        <f t="shared" si="70"/>
        <v>4.9133333333333322</v>
      </c>
      <c r="AK74" s="92">
        <f t="shared" si="59"/>
        <v>11.009091242732854</v>
      </c>
      <c r="AL74" s="92">
        <f t="shared" si="60"/>
        <v>0.84840062993572052</v>
      </c>
      <c r="AM74" s="92">
        <f t="shared" si="71"/>
        <v>0.34846000000000005</v>
      </c>
      <c r="AN74" s="211">
        <f t="shared" si="61"/>
        <v>0.18559878787878786</v>
      </c>
      <c r="AO74" s="95">
        <f t="shared" si="72"/>
        <v>1.3824594178145084</v>
      </c>
      <c r="AP74" s="94">
        <f t="shared" si="62"/>
        <v>0.90900067493112913</v>
      </c>
      <c r="AQ74" s="230">
        <f t="shared" si="63"/>
        <v>3.6360026997245165</v>
      </c>
      <c r="AR74" s="230">
        <f t="shared" si="64"/>
        <v>1.0915700452567536</v>
      </c>
      <c r="AS74" s="92">
        <f t="shared" si="65"/>
        <v>3.6000000000000004E-2</v>
      </c>
      <c r="AT74" s="95">
        <f t="shared" si="66"/>
        <v>2.9699999999999997E-5</v>
      </c>
      <c r="AU74" s="94">
        <f t="shared" si="73"/>
        <v>25.525515971480022</v>
      </c>
      <c r="AV74" s="92">
        <f t="shared" si="74"/>
        <v>221.1</v>
      </c>
      <c r="AW74" s="95">
        <f t="shared" si="75"/>
        <v>89.650091203688831</v>
      </c>
    </row>
    <row r="75" spans="17:49" x14ac:dyDescent="0.25">
      <c r="Q75" s="32">
        <v>68</v>
      </c>
      <c r="R75" s="94">
        <f t="shared" si="49"/>
        <v>45</v>
      </c>
      <c r="S75" s="92">
        <f t="shared" si="50"/>
        <v>4.9866666666666664</v>
      </c>
      <c r="T75" s="92">
        <f t="shared" si="51"/>
        <v>9</v>
      </c>
      <c r="U75" s="95">
        <f t="shared" si="52"/>
        <v>24.93333333333333</v>
      </c>
      <c r="V75" s="94">
        <f>IF(Variable_Management!$B$22=3,2,IF((S75*R75/T75)&lt;((T75*(1-(T75/R75)))/(2*Lm*Fsw)),1,2))</f>
        <v>2</v>
      </c>
      <c r="W75" s="92">
        <f t="shared" si="53"/>
        <v>0.8</v>
      </c>
      <c r="X75" s="95">
        <f t="shared" si="54"/>
        <v>0.19999999999999996</v>
      </c>
      <c r="Y75" s="94">
        <f t="shared" si="55"/>
        <v>5.454545454545455</v>
      </c>
      <c r="Z75" s="92">
        <f t="shared" si="30"/>
        <v>27.660606060606057</v>
      </c>
      <c r="AA75" s="92">
        <f t="shared" si="31"/>
        <v>24.983003221271979</v>
      </c>
      <c r="AB75" s="92">
        <v>0</v>
      </c>
      <c r="AC75" s="92">
        <f t="shared" si="56"/>
        <v>3.7449026997245163</v>
      </c>
      <c r="AD75" s="95">
        <f t="shared" si="67"/>
        <v>3.7449026997245163</v>
      </c>
      <c r="AE75" s="94">
        <f t="shared" si="76"/>
        <v>19.946666666666665</v>
      </c>
      <c r="AF75" s="92">
        <f t="shared" si="68"/>
        <v>22.345477393944147</v>
      </c>
      <c r="AG75" s="92">
        <f t="shared" si="57"/>
        <v>3.4952425197428822</v>
      </c>
      <c r="AH75" s="92">
        <f t="shared" si="58"/>
        <v>11.611607142857141</v>
      </c>
      <c r="AI75" s="95">
        <f t="shared" si="69"/>
        <v>15.106849662600023</v>
      </c>
      <c r="AJ75" s="94">
        <f t="shared" si="70"/>
        <v>4.9866666666666646</v>
      </c>
      <c r="AK75" s="92">
        <f t="shared" si="59"/>
        <v>11.172738696972072</v>
      </c>
      <c r="AL75" s="92">
        <f t="shared" si="60"/>
        <v>0.87381062993572034</v>
      </c>
      <c r="AM75" s="92">
        <f t="shared" si="71"/>
        <v>0.34846000000000005</v>
      </c>
      <c r="AN75" s="211">
        <f t="shared" si="61"/>
        <v>0.18809212121212118</v>
      </c>
      <c r="AO75" s="95">
        <f t="shared" si="72"/>
        <v>1.4103627511478416</v>
      </c>
      <c r="AP75" s="94">
        <f t="shared" si="62"/>
        <v>0.93622567493112907</v>
      </c>
      <c r="AQ75" s="230">
        <f t="shared" si="63"/>
        <v>3.7449026997245163</v>
      </c>
      <c r="AR75" s="230">
        <f t="shared" si="64"/>
        <v>1.0915700452567536</v>
      </c>
      <c r="AS75" s="92">
        <f t="shared" si="65"/>
        <v>3.6000000000000004E-2</v>
      </c>
      <c r="AT75" s="95">
        <f t="shared" si="66"/>
        <v>2.9699999999999997E-5</v>
      </c>
      <c r="AU75" s="94">
        <f t="shared" si="73"/>
        <v>26.070843233384778</v>
      </c>
      <c r="AV75" s="92">
        <f t="shared" si="74"/>
        <v>224.39999999999998</v>
      </c>
      <c r="AW75" s="95">
        <f t="shared" si="75"/>
        <v>89.591266234093212</v>
      </c>
    </row>
    <row r="76" spans="17:49" x14ac:dyDescent="0.25">
      <c r="Q76" s="32">
        <v>69</v>
      </c>
      <c r="R76" s="94">
        <f t="shared" si="49"/>
        <v>45</v>
      </c>
      <c r="S76" s="92">
        <f t="shared" si="50"/>
        <v>5.0599999999999996</v>
      </c>
      <c r="T76" s="92">
        <f t="shared" si="51"/>
        <v>9</v>
      </c>
      <c r="U76" s="95">
        <f t="shared" si="52"/>
        <v>25.299999999999997</v>
      </c>
      <c r="V76" s="94">
        <f>IF(Variable_Management!$B$22=3,2,IF((S76*R76/T76)&lt;((T76*(1-(T76/R76)))/(2*Lm*Fsw)),1,2))</f>
        <v>2</v>
      </c>
      <c r="W76" s="92">
        <f t="shared" si="53"/>
        <v>0.8</v>
      </c>
      <c r="X76" s="95">
        <f t="shared" si="54"/>
        <v>0.19999999999999996</v>
      </c>
      <c r="Y76" s="94">
        <f t="shared" si="55"/>
        <v>5.454545454545455</v>
      </c>
      <c r="Z76" s="92">
        <f t="shared" si="30"/>
        <v>28.027272727272724</v>
      </c>
      <c r="AA76" s="92">
        <f t="shared" si="31"/>
        <v>25.348951434782759</v>
      </c>
      <c r="AB76" s="92">
        <v>0</v>
      </c>
      <c r="AC76" s="92">
        <f t="shared" si="56"/>
        <v>3.8554160330578493</v>
      </c>
      <c r="AD76" s="95">
        <f t="shared" si="67"/>
        <v>3.8554160330578493</v>
      </c>
      <c r="AE76" s="94">
        <f t="shared" si="76"/>
        <v>20.239999999999998</v>
      </c>
      <c r="AF76" s="92">
        <f t="shared" si="68"/>
        <v>22.672791426606032</v>
      </c>
      <c r="AG76" s="92">
        <f t="shared" si="57"/>
        <v>3.59838829752066</v>
      </c>
      <c r="AH76" s="92">
        <f t="shared" si="58"/>
        <v>11.782366071428568</v>
      </c>
      <c r="AI76" s="95">
        <f t="shared" si="69"/>
        <v>15.380754368949228</v>
      </c>
      <c r="AJ76" s="94">
        <f t="shared" si="70"/>
        <v>5.0599999999999987</v>
      </c>
      <c r="AK76" s="92">
        <f t="shared" si="59"/>
        <v>11.336395713303014</v>
      </c>
      <c r="AL76" s="92">
        <f t="shared" si="60"/>
        <v>0.89959707438016479</v>
      </c>
      <c r="AM76" s="92">
        <f t="shared" si="71"/>
        <v>0.34846000000000005</v>
      </c>
      <c r="AN76" s="211">
        <f t="shared" si="61"/>
        <v>0.1905854545454545</v>
      </c>
      <c r="AO76" s="95">
        <f t="shared" si="72"/>
        <v>1.4386425289256195</v>
      </c>
      <c r="AP76" s="94">
        <f t="shared" si="62"/>
        <v>0.96385400826446233</v>
      </c>
      <c r="AQ76" s="230">
        <f t="shared" si="63"/>
        <v>3.8554160330578493</v>
      </c>
      <c r="AR76" s="230">
        <f t="shared" si="64"/>
        <v>1.0915700452567536</v>
      </c>
      <c r="AS76" s="92">
        <f t="shared" si="65"/>
        <v>3.6000000000000004E-2</v>
      </c>
      <c r="AT76" s="95">
        <f t="shared" si="66"/>
        <v>2.9699999999999997E-5</v>
      </c>
      <c r="AU76" s="94">
        <f t="shared" si="73"/>
        <v>26.62168271751176</v>
      </c>
      <c r="AV76" s="92">
        <f t="shared" si="74"/>
        <v>227.7</v>
      </c>
      <c r="AW76" s="95">
        <f t="shared" si="75"/>
        <v>89.5322795787405</v>
      </c>
    </row>
    <row r="77" spans="17:49" x14ac:dyDescent="0.25">
      <c r="Q77" s="32">
        <v>70</v>
      </c>
      <c r="R77" s="94">
        <f t="shared" si="49"/>
        <v>45</v>
      </c>
      <c r="S77" s="92">
        <f t="shared" si="50"/>
        <v>5.1333333333333337</v>
      </c>
      <c r="T77" s="92">
        <f t="shared" si="51"/>
        <v>9</v>
      </c>
      <c r="U77" s="95">
        <f t="shared" si="52"/>
        <v>25.666666666666671</v>
      </c>
      <c r="V77" s="94">
        <f>IF(Variable_Management!$B$22=3,2,IF((S77*R77/T77)&lt;((T77*(1-(T77/R77)))/(2*Lm*Fsw)),1,2))</f>
        <v>2</v>
      </c>
      <c r="W77" s="92">
        <f t="shared" si="53"/>
        <v>0.8</v>
      </c>
      <c r="X77" s="95">
        <f t="shared" si="54"/>
        <v>0.19999999999999996</v>
      </c>
      <c r="Y77" s="94">
        <f t="shared" si="55"/>
        <v>5.454545454545455</v>
      </c>
      <c r="Z77" s="92">
        <f t="shared" si="30"/>
        <v>28.393939393939398</v>
      </c>
      <c r="AA77" s="92">
        <f t="shared" si="31"/>
        <v>25.714920116942871</v>
      </c>
      <c r="AB77" s="92">
        <v>0</v>
      </c>
      <c r="AC77" s="92">
        <f t="shared" si="56"/>
        <v>3.9675426997245187</v>
      </c>
      <c r="AD77" s="95">
        <f t="shared" si="67"/>
        <v>3.9675426997245187</v>
      </c>
      <c r="AE77" s="94">
        <f t="shared" si="76"/>
        <v>20.533333333333339</v>
      </c>
      <c r="AF77" s="92">
        <f t="shared" si="68"/>
        <v>23.000123766984441</v>
      </c>
      <c r="AG77" s="92">
        <f t="shared" si="57"/>
        <v>3.7030398530762181</v>
      </c>
      <c r="AH77" s="92">
        <f t="shared" si="58"/>
        <v>11.953125000000004</v>
      </c>
      <c r="AI77" s="95">
        <f t="shared" si="69"/>
        <v>15.656164853076222</v>
      </c>
      <c r="AJ77" s="94">
        <f t="shared" si="70"/>
        <v>5.1333333333333329</v>
      </c>
      <c r="AK77" s="92">
        <f t="shared" si="59"/>
        <v>11.500061883492219</v>
      </c>
      <c r="AL77" s="92">
        <f t="shared" si="60"/>
        <v>0.9257599632690543</v>
      </c>
      <c r="AM77" s="92">
        <f t="shared" si="71"/>
        <v>0.34846000000000005</v>
      </c>
      <c r="AN77" s="211">
        <f t="shared" si="61"/>
        <v>0.19307878787878791</v>
      </c>
      <c r="AO77" s="95">
        <f t="shared" si="72"/>
        <v>1.4672987511478421</v>
      </c>
      <c r="AP77" s="94">
        <f t="shared" si="62"/>
        <v>0.99188567493112967</v>
      </c>
      <c r="AQ77" s="230">
        <f t="shared" si="63"/>
        <v>3.9675426997245187</v>
      </c>
      <c r="AR77" s="230">
        <f t="shared" si="64"/>
        <v>1.0915700452567536</v>
      </c>
      <c r="AS77" s="92">
        <f t="shared" si="65"/>
        <v>3.6000000000000004E-2</v>
      </c>
      <c r="AT77" s="95">
        <f t="shared" si="66"/>
        <v>2.9699999999999997E-5</v>
      </c>
      <c r="AU77" s="94">
        <f t="shared" si="73"/>
        <v>27.178034423860982</v>
      </c>
      <c r="AV77" s="92">
        <f t="shared" si="74"/>
        <v>231.00000000000003</v>
      </c>
      <c r="AW77" s="95">
        <f t="shared" si="75"/>
        <v>89.473142250652614</v>
      </c>
    </row>
    <row r="78" spans="17:49" x14ac:dyDescent="0.25">
      <c r="Q78" s="32">
        <v>71</v>
      </c>
      <c r="R78" s="94">
        <f t="shared" si="49"/>
        <v>45</v>
      </c>
      <c r="S78" s="92">
        <f t="shared" si="50"/>
        <v>5.206666666666667</v>
      </c>
      <c r="T78" s="92">
        <f t="shared" si="51"/>
        <v>9</v>
      </c>
      <c r="U78" s="95">
        <f t="shared" si="52"/>
        <v>26.033333333333335</v>
      </c>
      <c r="V78" s="94">
        <f>IF(Variable_Management!$B$22=3,2,IF((S78*R78/T78)&lt;((T78*(1-(T78/R78)))/(2*Lm*Fsw)),1,2))</f>
        <v>2</v>
      </c>
      <c r="W78" s="92">
        <f t="shared" si="53"/>
        <v>0.8</v>
      </c>
      <c r="X78" s="95">
        <f t="shared" si="54"/>
        <v>0.19999999999999996</v>
      </c>
      <c r="Y78" s="94">
        <f t="shared" si="55"/>
        <v>5.454545454545455</v>
      </c>
      <c r="Z78" s="92">
        <f t="shared" si="30"/>
        <v>28.760606060606062</v>
      </c>
      <c r="AA78" s="92">
        <f t="shared" si="31"/>
        <v>26.080908406100807</v>
      </c>
      <c r="AB78" s="92">
        <v>0</v>
      </c>
      <c r="AC78" s="92">
        <f t="shared" si="56"/>
        <v>4.0812826997245191</v>
      </c>
      <c r="AD78" s="95">
        <f t="shared" si="67"/>
        <v>4.0812826997245191</v>
      </c>
      <c r="AE78" s="94">
        <f t="shared" si="76"/>
        <v>20.826666666666668</v>
      </c>
      <c r="AF78" s="92">
        <f t="shared" si="68"/>
        <v>23.327473644394839</v>
      </c>
      <c r="AG78" s="92">
        <f t="shared" si="57"/>
        <v>3.8091971864095506</v>
      </c>
      <c r="AH78" s="92">
        <f t="shared" si="58"/>
        <v>12.123883928571429</v>
      </c>
      <c r="AI78" s="95">
        <f t="shared" si="69"/>
        <v>15.933081114980979</v>
      </c>
      <c r="AJ78" s="94">
        <f t="shared" si="70"/>
        <v>5.2066666666666661</v>
      </c>
      <c r="AK78" s="92">
        <f t="shared" si="59"/>
        <v>11.663736822197418</v>
      </c>
      <c r="AL78" s="92">
        <f t="shared" si="60"/>
        <v>0.95229929660238744</v>
      </c>
      <c r="AM78" s="92">
        <f t="shared" si="71"/>
        <v>0.34846000000000005</v>
      </c>
      <c r="AN78" s="211">
        <f t="shared" si="61"/>
        <v>0.1955721212121212</v>
      </c>
      <c r="AO78" s="95">
        <f t="shared" si="72"/>
        <v>1.4963314178145088</v>
      </c>
      <c r="AP78" s="94">
        <f t="shared" si="62"/>
        <v>1.0203206749311298</v>
      </c>
      <c r="AQ78" s="230">
        <f t="shared" si="63"/>
        <v>4.0812826997245191</v>
      </c>
      <c r="AR78" s="230">
        <f t="shared" si="64"/>
        <v>1.0915700452567536</v>
      </c>
      <c r="AS78" s="92">
        <f t="shared" si="65"/>
        <v>3.6000000000000004E-2</v>
      </c>
      <c r="AT78" s="95">
        <f t="shared" si="66"/>
        <v>2.9699999999999997E-5</v>
      </c>
      <c r="AU78" s="94">
        <f t="shared" si="73"/>
        <v>27.739898352432405</v>
      </c>
      <c r="AV78" s="92">
        <f t="shared" si="74"/>
        <v>234.3</v>
      </c>
      <c r="AW78" s="95">
        <f t="shared" si="75"/>
        <v>89.413864634032393</v>
      </c>
    </row>
    <row r="79" spans="17:49" x14ac:dyDescent="0.25">
      <c r="Q79" s="32">
        <v>72</v>
      </c>
      <c r="R79" s="94">
        <f t="shared" si="49"/>
        <v>45</v>
      </c>
      <c r="S79" s="92">
        <f t="shared" si="50"/>
        <v>5.28</v>
      </c>
      <c r="T79" s="92">
        <f t="shared" si="51"/>
        <v>9</v>
      </c>
      <c r="U79" s="95">
        <f t="shared" si="52"/>
        <v>26.400000000000002</v>
      </c>
      <c r="V79" s="94">
        <f>IF(Variable_Management!$B$22=3,2,IF((S79*R79/T79)&lt;((T79*(1-(T79/R79)))/(2*Lm*Fsw)),1,2))</f>
        <v>2</v>
      </c>
      <c r="W79" s="92">
        <f t="shared" si="53"/>
        <v>0.8</v>
      </c>
      <c r="X79" s="95">
        <f t="shared" si="54"/>
        <v>0.19999999999999996</v>
      </c>
      <c r="Y79" s="94">
        <f t="shared" si="55"/>
        <v>5.454545454545455</v>
      </c>
      <c r="Z79" s="92">
        <f t="shared" si="30"/>
        <v>29.127272727272729</v>
      </c>
      <c r="AA79" s="92">
        <f t="shared" si="31"/>
        <v>26.446915488256383</v>
      </c>
      <c r="AB79" s="92">
        <v>0</v>
      </c>
      <c r="AC79" s="92">
        <f t="shared" si="56"/>
        <v>4.1966360330578523</v>
      </c>
      <c r="AD79" s="95">
        <f t="shared" si="67"/>
        <v>4.1966360330578523</v>
      </c>
      <c r="AE79" s="94">
        <f t="shared" si="76"/>
        <v>21.120000000000005</v>
      </c>
      <c r="AF79" s="92">
        <f t="shared" si="68"/>
        <v>23.654840330773325</v>
      </c>
      <c r="AG79" s="92">
        <f t="shared" si="57"/>
        <v>3.9168602975206621</v>
      </c>
      <c r="AH79" s="92">
        <f t="shared" si="58"/>
        <v>12.294642857142858</v>
      </c>
      <c r="AI79" s="95">
        <f t="shared" si="69"/>
        <v>16.211503154663518</v>
      </c>
      <c r="AJ79" s="94">
        <f t="shared" si="70"/>
        <v>5.2799999999999994</v>
      </c>
      <c r="AK79" s="92">
        <f t="shared" si="59"/>
        <v>11.827420165386661</v>
      </c>
      <c r="AL79" s="92">
        <f t="shared" si="60"/>
        <v>0.97921507438016508</v>
      </c>
      <c r="AM79" s="92">
        <f t="shared" si="71"/>
        <v>0.34846000000000005</v>
      </c>
      <c r="AN79" s="211">
        <f t="shared" si="61"/>
        <v>0.19806545454545454</v>
      </c>
      <c r="AO79" s="95">
        <f t="shared" si="72"/>
        <v>1.5257405289256196</v>
      </c>
      <c r="AP79" s="94">
        <f t="shared" si="62"/>
        <v>1.0491590082644631</v>
      </c>
      <c r="AQ79" s="230">
        <f t="shared" si="63"/>
        <v>4.1966360330578523</v>
      </c>
      <c r="AR79" s="230">
        <f t="shared" si="64"/>
        <v>1.0915700452567536</v>
      </c>
      <c r="AS79" s="92">
        <f t="shared" si="65"/>
        <v>3.6000000000000004E-2</v>
      </c>
      <c r="AT79" s="95">
        <f t="shared" si="66"/>
        <v>2.9699999999999997E-5</v>
      </c>
      <c r="AU79" s="94">
        <f t="shared" si="73"/>
        <v>28.307274503226061</v>
      </c>
      <c r="AV79" s="92">
        <f t="shared" si="74"/>
        <v>237.60000000000002</v>
      </c>
      <c r="AW79" s="95">
        <f t="shared" si="75"/>
        <v>89.354456527708649</v>
      </c>
    </row>
    <row r="80" spans="17:49" x14ac:dyDescent="0.25">
      <c r="Q80" s="32">
        <v>73</v>
      </c>
      <c r="R80" s="94">
        <f t="shared" si="49"/>
        <v>45</v>
      </c>
      <c r="S80" s="92">
        <f t="shared" si="50"/>
        <v>5.3533333333333335</v>
      </c>
      <c r="T80" s="92">
        <f t="shared" si="51"/>
        <v>9</v>
      </c>
      <c r="U80" s="95">
        <f t="shared" si="52"/>
        <v>26.766666666666666</v>
      </c>
      <c r="V80" s="94">
        <f>IF(Variable_Management!$B$22=3,2,IF((S80*R80/T80)&lt;((T80*(1-(T80/R80)))/(2*Lm*Fsw)),1,2))</f>
        <v>2</v>
      </c>
      <c r="W80" s="92">
        <f t="shared" si="53"/>
        <v>0.8</v>
      </c>
      <c r="X80" s="95">
        <f t="shared" si="54"/>
        <v>0.19999999999999996</v>
      </c>
      <c r="Y80" s="94">
        <f t="shared" si="55"/>
        <v>5.454545454545455</v>
      </c>
      <c r="Z80" s="92">
        <f t="shared" ref="Z80:Z143" si="77">CHOOSE(V80,Y80,U80+(0.5*Y80))</f>
        <v>29.493939393939392</v>
      </c>
      <c r="AA80" s="92">
        <f t="shared" ref="AA80:AA143" si="78">CHOOSE(V80,Z80*SQRT((W80+X80)/3),SQRT((U80^2)+((Y80^2)/12)))</f>
        <v>26.812940593814389</v>
      </c>
      <c r="AB80" s="92">
        <v>0</v>
      </c>
      <c r="AC80" s="92">
        <f t="shared" si="56"/>
        <v>4.3136026997245169</v>
      </c>
      <c r="AD80" s="95">
        <f t="shared" si="67"/>
        <v>4.3136026997245169</v>
      </c>
      <c r="AE80" s="94">
        <f t="shared" si="76"/>
        <v>21.413333333333334</v>
      </c>
      <c r="AF80" s="92">
        <f t="shared" si="68"/>
        <v>23.982223137773023</v>
      </c>
      <c r="AG80" s="92">
        <f t="shared" si="57"/>
        <v>4.0260291864095494</v>
      </c>
      <c r="AH80" s="92">
        <f t="shared" si="58"/>
        <v>12.465401785714286</v>
      </c>
      <c r="AI80" s="95">
        <f t="shared" si="69"/>
        <v>16.491430972123837</v>
      </c>
      <c r="AJ80" s="94">
        <f t="shared" si="70"/>
        <v>5.3533333333333317</v>
      </c>
      <c r="AK80" s="92">
        <f t="shared" si="59"/>
        <v>11.99111156888651</v>
      </c>
      <c r="AL80" s="92">
        <f t="shared" si="60"/>
        <v>1.0065072966023874</v>
      </c>
      <c r="AM80" s="92">
        <f t="shared" si="71"/>
        <v>0.34846000000000005</v>
      </c>
      <c r="AN80" s="211">
        <f t="shared" si="61"/>
        <v>0.20055878787878786</v>
      </c>
      <c r="AO80" s="95">
        <f t="shared" si="72"/>
        <v>1.5555260844811751</v>
      </c>
      <c r="AP80" s="94">
        <f t="shared" si="62"/>
        <v>1.0784006749311292</v>
      </c>
      <c r="AQ80" s="230">
        <f t="shared" si="63"/>
        <v>4.3136026997245169</v>
      </c>
      <c r="AR80" s="230">
        <f t="shared" si="64"/>
        <v>1.0915700452567536</v>
      </c>
      <c r="AS80" s="92">
        <f t="shared" si="65"/>
        <v>3.6000000000000004E-2</v>
      </c>
      <c r="AT80" s="95">
        <f t="shared" si="66"/>
        <v>2.9699999999999997E-5</v>
      </c>
      <c r="AU80" s="94">
        <f t="shared" si="73"/>
        <v>28.880162876241926</v>
      </c>
      <c r="AV80" s="92">
        <f t="shared" si="74"/>
        <v>240.9</v>
      </c>
      <c r="AW80" s="95">
        <f t="shared" si="75"/>
        <v>89.294927185031639</v>
      </c>
    </row>
    <row r="81" spans="17:49" x14ac:dyDescent="0.25">
      <c r="Q81" s="32">
        <v>74</v>
      </c>
      <c r="R81" s="94">
        <f t="shared" si="49"/>
        <v>45</v>
      </c>
      <c r="S81" s="92">
        <f t="shared" si="50"/>
        <v>5.4266666666666667</v>
      </c>
      <c r="T81" s="92">
        <f t="shared" si="51"/>
        <v>9</v>
      </c>
      <c r="U81" s="95">
        <f t="shared" si="52"/>
        <v>27.133333333333336</v>
      </c>
      <c r="V81" s="94">
        <f>IF(Variable_Management!$B$22=3,2,IF((S81*R81/T81)&lt;((T81*(1-(T81/R81)))/(2*Lm*Fsw)),1,2))</f>
        <v>2</v>
      </c>
      <c r="W81" s="92">
        <f t="shared" si="53"/>
        <v>0.8</v>
      </c>
      <c r="X81" s="95">
        <f t="shared" si="54"/>
        <v>0.19999999999999996</v>
      </c>
      <c r="Y81" s="94">
        <f t="shared" si="55"/>
        <v>5.454545454545455</v>
      </c>
      <c r="Z81" s="92">
        <f t="shared" si="77"/>
        <v>29.860606060606063</v>
      </c>
      <c r="AA81" s="92">
        <f t="shared" si="78"/>
        <v>27.178982994599949</v>
      </c>
      <c r="AB81" s="92">
        <v>0</v>
      </c>
      <c r="AC81" s="92">
        <f t="shared" si="56"/>
        <v>4.4321826997245193</v>
      </c>
      <c r="AD81" s="95">
        <f t="shared" si="67"/>
        <v>4.4321826997245193</v>
      </c>
      <c r="AE81" s="94">
        <f t="shared" si="76"/>
        <v>21.706666666666671</v>
      </c>
      <c r="AF81" s="92">
        <f t="shared" si="68"/>
        <v>24.309621414094515</v>
      </c>
      <c r="AG81" s="92">
        <f t="shared" si="57"/>
        <v>4.1367038530762184</v>
      </c>
      <c r="AH81" s="92">
        <f t="shared" si="58"/>
        <v>12.636160714285717</v>
      </c>
      <c r="AI81" s="95">
        <f t="shared" si="69"/>
        <v>16.772864567361935</v>
      </c>
      <c r="AJ81" s="94">
        <f t="shared" si="70"/>
        <v>5.4266666666666659</v>
      </c>
      <c r="AK81" s="92">
        <f t="shared" si="59"/>
        <v>12.154810707047256</v>
      </c>
      <c r="AL81" s="92">
        <f t="shared" si="60"/>
        <v>1.0341759632690544</v>
      </c>
      <c r="AM81" s="92">
        <f t="shared" si="71"/>
        <v>0.34846000000000005</v>
      </c>
      <c r="AN81" s="211">
        <f t="shared" si="61"/>
        <v>0.20305212121212121</v>
      </c>
      <c r="AO81" s="95">
        <f t="shared" si="72"/>
        <v>1.5856880844811756</v>
      </c>
      <c r="AP81" s="94">
        <f t="shared" si="62"/>
        <v>1.1080456749311298</v>
      </c>
      <c r="AQ81" s="230">
        <f t="shared" si="63"/>
        <v>4.4321826997245193</v>
      </c>
      <c r="AR81" s="230">
        <f t="shared" si="64"/>
        <v>1.0915700452567536</v>
      </c>
      <c r="AS81" s="92">
        <f t="shared" si="65"/>
        <v>3.6000000000000004E-2</v>
      </c>
      <c r="AT81" s="95">
        <f t="shared" si="66"/>
        <v>2.9699999999999997E-5</v>
      </c>
      <c r="AU81" s="94">
        <f t="shared" si="73"/>
        <v>29.458563471480034</v>
      </c>
      <c r="AV81" s="92">
        <f t="shared" si="74"/>
        <v>244.20000000000002</v>
      </c>
      <c r="AW81" s="95">
        <f t="shared" si="75"/>
        <v>89.235285350553212</v>
      </c>
    </row>
    <row r="82" spans="17:49" x14ac:dyDescent="0.25">
      <c r="Q82" s="32">
        <v>75</v>
      </c>
      <c r="R82" s="94">
        <f t="shared" si="49"/>
        <v>45</v>
      </c>
      <c r="S82" s="92">
        <f t="shared" si="50"/>
        <v>5.5</v>
      </c>
      <c r="T82" s="92">
        <f t="shared" si="51"/>
        <v>9</v>
      </c>
      <c r="U82" s="95">
        <f t="shared" si="52"/>
        <v>27.5</v>
      </c>
      <c r="V82" s="94">
        <f>IF(Variable_Management!$B$22=3,2,IF((S82*R82/T82)&lt;((T82*(1-(T82/R82)))/(2*Lm*Fsw)),1,2))</f>
        <v>2</v>
      </c>
      <c r="W82" s="92">
        <f t="shared" si="53"/>
        <v>0.8</v>
      </c>
      <c r="X82" s="95">
        <f t="shared" si="54"/>
        <v>0.19999999999999996</v>
      </c>
      <c r="Y82" s="94">
        <f t="shared" si="55"/>
        <v>5.454545454545455</v>
      </c>
      <c r="Z82" s="92">
        <f t="shared" si="77"/>
        <v>30.227272727272727</v>
      </c>
      <c r="AA82" s="92">
        <f t="shared" si="78"/>
        <v>27.54504200111111</v>
      </c>
      <c r="AB82" s="92">
        <v>0</v>
      </c>
      <c r="AC82" s="92">
        <f t="shared" si="56"/>
        <v>4.5523760330578513</v>
      </c>
      <c r="AD82" s="95">
        <f t="shared" si="67"/>
        <v>4.5523760330578513</v>
      </c>
      <c r="AE82" s="94">
        <f t="shared" si="76"/>
        <v>22</v>
      </c>
      <c r="AF82" s="92">
        <f t="shared" si="68"/>
        <v>24.637034543028513</v>
      </c>
      <c r="AG82" s="92">
        <f t="shared" si="57"/>
        <v>4.2488842975206618</v>
      </c>
      <c r="AH82" s="92">
        <f t="shared" si="58"/>
        <v>12.806919642857142</v>
      </c>
      <c r="AI82" s="95">
        <f t="shared" si="69"/>
        <v>17.055803940377803</v>
      </c>
      <c r="AJ82" s="94">
        <f t="shared" si="70"/>
        <v>5.4999999999999991</v>
      </c>
      <c r="AK82" s="92">
        <f t="shared" si="59"/>
        <v>12.318517271514255</v>
      </c>
      <c r="AL82" s="92">
        <f t="shared" si="60"/>
        <v>1.062221074380165</v>
      </c>
      <c r="AM82" s="92">
        <f t="shared" si="71"/>
        <v>0.34846000000000005</v>
      </c>
      <c r="AN82" s="211">
        <f t="shared" si="61"/>
        <v>0.20554545454545453</v>
      </c>
      <c r="AO82" s="95">
        <f t="shared" si="72"/>
        <v>1.6162265289256195</v>
      </c>
      <c r="AP82" s="94">
        <f t="shared" si="62"/>
        <v>1.1380940082644628</v>
      </c>
      <c r="AQ82" s="230">
        <f t="shared" si="63"/>
        <v>4.5523760330578513</v>
      </c>
      <c r="AR82" s="230">
        <f t="shared" si="64"/>
        <v>1.0915700452567536</v>
      </c>
      <c r="AS82" s="92">
        <f t="shared" si="65"/>
        <v>3.6000000000000004E-2</v>
      </c>
      <c r="AT82" s="95">
        <f t="shared" si="66"/>
        <v>2.9699999999999997E-5</v>
      </c>
      <c r="AU82" s="94">
        <f t="shared" si="73"/>
        <v>30.042476288940339</v>
      </c>
      <c r="AV82" s="92">
        <f t="shared" si="74"/>
        <v>247.5</v>
      </c>
      <c r="AW82" s="95">
        <f t="shared" si="75"/>
        <v>89.175539293789356</v>
      </c>
    </row>
    <row r="83" spans="17:49" x14ac:dyDescent="0.25">
      <c r="Q83" s="32">
        <v>76</v>
      </c>
      <c r="R83" s="94">
        <f t="shared" si="49"/>
        <v>45</v>
      </c>
      <c r="S83" s="92">
        <f t="shared" si="50"/>
        <v>5.5733333333333333</v>
      </c>
      <c r="T83" s="92">
        <f t="shared" si="51"/>
        <v>9</v>
      </c>
      <c r="U83" s="95">
        <f t="shared" si="52"/>
        <v>27.866666666666664</v>
      </c>
      <c r="V83" s="94">
        <f>IF(Variable_Management!$B$22=3,2,IF((S83*R83/T83)&lt;((T83*(1-(T83/R83)))/(2*Lm*Fsw)),1,2))</f>
        <v>2</v>
      </c>
      <c r="W83" s="92">
        <f t="shared" si="53"/>
        <v>0.8</v>
      </c>
      <c r="X83" s="95">
        <f t="shared" si="54"/>
        <v>0.19999999999999996</v>
      </c>
      <c r="Y83" s="94">
        <f t="shared" si="55"/>
        <v>5.454545454545455</v>
      </c>
      <c r="Z83" s="92">
        <f t="shared" si="77"/>
        <v>30.59393939393939</v>
      </c>
      <c r="AA83" s="92">
        <f t="shared" si="78"/>
        <v>27.911116959987218</v>
      </c>
      <c r="AB83" s="92">
        <v>0</v>
      </c>
      <c r="AC83" s="92">
        <f t="shared" si="56"/>
        <v>4.6741826997245175</v>
      </c>
      <c r="AD83" s="95">
        <f t="shared" si="67"/>
        <v>4.6741826997245175</v>
      </c>
      <c r="AE83" s="94">
        <f t="shared" si="76"/>
        <v>22.293333333333333</v>
      </c>
      <c r="AF83" s="92">
        <f t="shared" si="68"/>
        <v>24.964461940191477</v>
      </c>
      <c r="AG83" s="92">
        <f t="shared" si="57"/>
        <v>4.3625705197428815</v>
      </c>
      <c r="AH83" s="92">
        <f t="shared" si="58"/>
        <v>12.977678571428568</v>
      </c>
      <c r="AI83" s="95">
        <f t="shared" si="69"/>
        <v>17.340249091171451</v>
      </c>
      <c r="AJ83" s="94">
        <f t="shared" si="70"/>
        <v>5.5733333333333315</v>
      </c>
      <c r="AK83" s="92">
        <f t="shared" si="59"/>
        <v>12.482230970095738</v>
      </c>
      <c r="AL83" s="92">
        <f t="shared" si="60"/>
        <v>1.0906426299357204</v>
      </c>
      <c r="AM83" s="92">
        <f t="shared" si="71"/>
        <v>0.34846000000000005</v>
      </c>
      <c r="AN83" s="211">
        <f t="shared" si="61"/>
        <v>0.20803878787878785</v>
      </c>
      <c r="AO83" s="95">
        <f t="shared" si="72"/>
        <v>1.6471414178145083</v>
      </c>
      <c r="AP83" s="94">
        <f t="shared" si="62"/>
        <v>1.1685456749311294</v>
      </c>
      <c r="AQ83" s="230">
        <f t="shared" si="63"/>
        <v>4.6741826997245175</v>
      </c>
      <c r="AR83" s="230">
        <f t="shared" si="64"/>
        <v>1.0915700452567536</v>
      </c>
      <c r="AS83" s="92">
        <f t="shared" si="65"/>
        <v>3.6000000000000004E-2</v>
      </c>
      <c r="AT83" s="95">
        <f t="shared" si="66"/>
        <v>2.9699999999999997E-5</v>
      </c>
      <c r="AU83" s="94">
        <f t="shared" si="73"/>
        <v>30.631901328622877</v>
      </c>
      <c r="AV83" s="92">
        <f t="shared" si="74"/>
        <v>250.79999999999998</v>
      </c>
      <c r="AW83" s="95">
        <f t="shared" si="75"/>
        <v>89.11569684033276</v>
      </c>
    </row>
    <row r="84" spans="17:49" x14ac:dyDescent="0.25">
      <c r="Q84" s="32">
        <v>77</v>
      </c>
      <c r="R84" s="94">
        <f t="shared" si="49"/>
        <v>45</v>
      </c>
      <c r="S84" s="92">
        <f t="shared" si="50"/>
        <v>5.6466666666666665</v>
      </c>
      <c r="T84" s="92">
        <f t="shared" si="51"/>
        <v>9</v>
      </c>
      <c r="U84" s="95">
        <f t="shared" si="52"/>
        <v>28.233333333333334</v>
      </c>
      <c r="V84" s="94">
        <f>IF(Variable_Management!$B$22=3,2,IF((S84*R84/T84)&lt;((T84*(1-(T84/R84)))/(2*Lm*Fsw)),1,2))</f>
        <v>2</v>
      </c>
      <c r="W84" s="92">
        <f t="shared" si="53"/>
        <v>0.8</v>
      </c>
      <c r="X84" s="95">
        <f t="shared" si="54"/>
        <v>0.19999999999999996</v>
      </c>
      <c r="Y84" s="94">
        <f t="shared" si="55"/>
        <v>5.454545454545455</v>
      </c>
      <c r="Z84" s="92">
        <f t="shared" si="77"/>
        <v>30.960606060606061</v>
      </c>
      <c r="AA84" s="92">
        <f t="shared" si="78"/>
        <v>28.277207251673321</v>
      </c>
      <c r="AB84" s="92">
        <v>0</v>
      </c>
      <c r="AC84" s="92">
        <f t="shared" si="56"/>
        <v>4.7976026997245178</v>
      </c>
      <c r="AD84" s="95">
        <f t="shared" si="67"/>
        <v>4.7976026997245178</v>
      </c>
      <c r="AE84" s="94">
        <f t="shared" si="76"/>
        <v>22.58666666666667</v>
      </c>
      <c r="AF84" s="92">
        <f t="shared" si="68"/>
        <v>25.291903051436623</v>
      </c>
      <c r="AG84" s="92">
        <f t="shared" si="57"/>
        <v>4.4777625197428845</v>
      </c>
      <c r="AH84" s="92">
        <f t="shared" si="58"/>
        <v>13.1484375</v>
      </c>
      <c r="AI84" s="95">
        <f t="shared" si="69"/>
        <v>17.626200019742885</v>
      </c>
      <c r="AJ84" s="94">
        <f t="shared" si="70"/>
        <v>5.6466666666666656</v>
      </c>
      <c r="AK84" s="92">
        <f t="shared" si="59"/>
        <v>12.64595152571831</v>
      </c>
      <c r="AL84" s="92">
        <f t="shared" si="60"/>
        <v>1.1194406299357207</v>
      </c>
      <c r="AM84" s="92">
        <f t="shared" si="71"/>
        <v>0.34846000000000005</v>
      </c>
      <c r="AN84" s="211">
        <f t="shared" si="61"/>
        <v>0.2105321212121212</v>
      </c>
      <c r="AO84" s="95">
        <f t="shared" si="72"/>
        <v>1.6784327511478419</v>
      </c>
      <c r="AP84" s="94">
        <f t="shared" si="62"/>
        <v>1.1994006749311295</v>
      </c>
      <c r="AQ84" s="230">
        <f t="shared" si="63"/>
        <v>4.7976026997245178</v>
      </c>
      <c r="AR84" s="230">
        <f t="shared" si="64"/>
        <v>1.0915700452567536</v>
      </c>
      <c r="AS84" s="92">
        <f t="shared" si="65"/>
        <v>3.6000000000000004E-2</v>
      </c>
      <c r="AT84" s="95">
        <f t="shared" si="66"/>
        <v>2.9699999999999997E-5</v>
      </c>
      <c r="AU84" s="94">
        <f t="shared" si="73"/>
        <v>31.226838590527645</v>
      </c>
      <c r="AV84" s="92">
        <f t="shared" si="74"/>
        <v>254.1</v>
      </c>
      <c r="AW84" s="95">
        <f t="shared" si="75"/>
        <v>89.055765400554805</v>
      </c>
    </row>
    <row r="85" spans="17:49" x14ac:dyDescent="0.25">
      <c r="Q85" s="32">
        <v>78</v>
      </c>
      <c r="R85" s="94">
        <f t="shared" si="49"/>
        <v>45</v>
      </c>
      <c r="S85" s="92">
        <f t="shared" si="50"/>
        <v>5.72</v>
      </c>
      <c r="T85" s="92">
        <f t="shared" si="51"/>
        <v>9</v>
      </c>
      <c r="U85" s="95">
        <f t="shared" si="52"/>
        <v>28.599999999999998</v>
      </c>
      <c r="V85" s="94">
        <f>IF(Variable_Management!$B$22=3,2,IF((S85*R85/T85)&lt;((T85*(1-(T85/R85)))/(2*Lm*Fsw)),1,2))</f>
        <v>2</v>
      </c>
      <c r="W85" s="92">
        <f t="shared" si="53"/>
        <v>0.8</v>
      </c>
      <c r="X85" s="95">
        <f t="shared" si="54"/>
        <v>0.19999999999999996</v>
      </c>
      <c r="Y85" s="94">
        <f t="shared" si="55"/>
        <v>5.454545454545455</v>
      </c>
      <c r="Z85" s="92">
        <f t="shared" si="77"/>
        <v>31.327272727272724</v>
      </c>
      <c r="AA85" s="92">
        <f t="shared" si="78"/>
        <v>28.643312288263296</v>
      </c>
      <c r="AB85" s="92">
        <v>0</v>
      </c>
      <c r="AC85" s="92">
        <f t="shared" si="56"/>
        <v>4.9226360330578505</v>
      </c>
      <c r="AD85" s="95">
        <f t="shared" si="67"/>
        <v>4.9226360330578505</v>
      </c>
      <c r="AE85" s="94">
        <f t="shared" si="76"/>
        <v>22.88</v>
      </c>
      <c r="AF85" s="92">
        <f t="shared" si="68"/>
        <v>25.619357350924712</v>
      </c>
      <c r="AG85" s="92">
        <f t="shared" si="57"/>
        <v>4.5944602975206612</v>
      </c>
      <c r="AH85" s="92">
        <f t="shared" si="58"/>
        <v>13.319196428571429</v>
      </c>
      <c r="AI85" s="95">
        <f t="shared" si="69"/>
        <v>17.913656726092089</v>
      </c>
      <c r="AJ85" s="94">
        <f t="shared" si="70"/>
        <v>5.719999999999998</v>
      </c>
      <c r="AK85" s="92">
        <f t="shared" si="59"/>
        <v>12.809678675462354</v>
      </c>
      <c r="AL85" s="92">
        <f t="shared" si="60"/>
        <v>1.1486150743801649</v>
      </c>
      <c r="AM85" s="92">
        <f t="shared" si="71"/>
        <v>0.34846000000000005</v>
      </c>
      <c r="AN85" s="211">
        <f t="shared" si="61"/>
        <v>0.21302545454545452</v>
      </c>
      <c r="AO85" s="95">
        <f t="shared" si="72"/>
        <v>1.7101005289256195</v>
      </c>
      <c r="AP85" s="94">
        <f t="shared" si="62"/>
        <v>1.2306590082644626</v>
      </c>
      <c r="AQ85" s="230">
        <f t="shared" si="63"/>
        <v>4.9226360330578505</v>
      </c>
      <c r="AR85" s="230">
        <f t="shared" si="64"/>
        <v>1.0915700452567536</v>
      </c>
      <c r="AS85" s="92">
        <f t="shared" si="65"/>
        <v>3.6000000000000004E-2</v>
      </c>
      <c r="AT85" s="95">
        <f t="shared" si="66"/>
        <v>2.9699999999999997E-5</v>
      </c>
      <c r="AU85" s="94">
        <f t="shared" si="73"/>
        <v>31.827288074654625</v>
      </c>
      <c r="AV85" s="92">
        <f t="shared" si="74"/>
        <v>257.39999999999998</v>
      </c>
      <c r="AW85" s="95">
        <f t="shared" si="75"/>
        <v>88.995751996111977</v>
      </c>
    </row>
    <row r="86" spans="17:49" x14ac:dyDescent="0.25">
      <c r="Q86" s="32">
        <v>79</v>
      </c>
      <c r="R86" s="94">
        <f t="shared" si="49"/>
        <v>45</v>
      </c>
      <c r="S86" s="92">
        <f t="shared" si="50"/>
        <v>5.793333333333333</v>
      </c>
      <c r="T86" s="92">
        <f t="shared" si="51"/>
        <v>9</v>
      </c>
      <c r="U86" s="95">
        <f t="shared" si="52"/>
        <v>28.966666666666665</v>
      </c>
      <c r="V86" s="94">
        <f>IF(Variable_Management!$B$22=3,2,IF((S86*R86/T86)&lt;((T86*(1-(T86/R86)))/(2*Lm*Fsw)),1,2))</f>
        <v>2</v>
      </c>
      <c r="W86" s="92">
        <f t="shared" si="53"/>
        <v>0.8</v>
      </c>
      <c r="X86" s="95">
        <f t="shared" si="54"/>
        <v>0.19999999999999996</v>
      </c>
      <c r="Y86" s="94">
        <f t="shared" si="55"/>
        <v>5.454545454545455</v>
      </c>
      <c r="Z86" s="92">
        <f t="shared" si="77"/>
        <v>31.693939393939392</v>
      </c>
      <c r="AA86" s="92">
        <f t="shared" si="78"/>
        <v>29.009431511505923</v>
      </c>
      <c r="AB86" s="92">
        <v>0</v>
      </c>
      <c r="AC86" s="92">
        <f t="shared" si="56"/>
        <v>5.0492826997245173</v>
      </c>
      <c r="AD86" s="95">
        <f t="shared" si="67"/>
        <v>5.0492826997245173</v>
      </c>
      <c r="AE86" s="94">
        <f t="shared" si="76"/>
        <v>23.173333333333332</v>
      </c>
      <c r="AF86" s="92">
        <f t="shared" si="68"/>
        <v>25.946824339340687</v>
      </c>
      <c r="AG86" s="92">
        <f t="shared" si="57"/>
        <v>4.7126638530762159</v>
      </c>
      <c r="AH86" s="92">
        <f t="shared" si="58"/>
        <v>13.489955357142858</v>
      </c>
      <c r="AI86" s="95">
        <f t="shared" si="69"/>
        <v>18.202619210219073</v>
      </c>
      <c r="AJ86" s="94">
        <f t="shared" si="70"/>
        <v>5.7933333333333321</v>
      </c>
      <c r="AK86" s="92">
        <f t="shared" si="59"/>
        <v>12.973412169670341</v>
      </c>
      <c r="AL86" s="92">
        <f t="shared" si="60"/>
        <v>1.1781659632690535</v>
      </c>
      <c r="AM86" s="92">
        <f t="shared" si="71"/>
        <v>0.34846000000000005</v>
      </c>
      <c r="AN86" s="211">
        <f t="shared" si="61"/>
        <v>0.21551878787878784</v>
      </c>
      <c r="AO86" s="95">
        <f t="shared" si="72"/>
        <v>1.7421447511478414</v>
      </c>
      <c r="AP86" s="94">
        <f t="shared" si="62"/>
        <v>1.2623206749311293</v>
      </c>
      <c r="AQ86" s="230">
        <f t="shared" si="63"/>
        <v>5.0492826997245173</v>
      </c>
      <c r="AR86" s="230">
        <f t="shared" si="64"/>
        <v>1.0915700452567536</v>
      </c>
      <c r="AS86" s="92">
        <f t="shared" si="65"/>
        <v>3.6000000000000004E-2</v>
      </c>
      <c r="AT86" s="95">
        <f t="shared" si="66"/>
        <v>2.9699999999999997E-5</v>
      </c>
      <c r="AU86" s="94">
        <f t="shared" si="73"/>
        <v>32.43324978100383</v>
      </c>
      <c r="AV86" s="92">
        <f t="shared" si="74"/>
        <v>260.7</v>
      </c>
      <c r="AW86" s="95">
        <f t="shared" si="75"/>
        <v>88.935663284450229</v>
      </c>
    </row>
    <row r="87" spans="17:49" x14ac:dyDescent="0.25">
      <c r="Q87" s="32">
        <v>80</v>
      </c>
      <c r="R87" s="94">
        <f t="shared" si="49"/>
        <v>45</v>
      </c>
      <c r="S87" s="92">
        <f t="shared" si="50"/>
        <v>5.8666666666666671</v>
      </c>
      <c r="T87" s="92">
        <f t="shared" si="51"/>
        <v>9</v>
      </c>
      <c r="U87" s="95">
        <f t="shared" si="52"/>
        <v>29.333333333333332</v>
      </c>
      <c r="V87" s="94">
        <f>IF(Variable_Management!$B$22=3,2,IF((S87*R87/T87)&lt;((T87*(1-(T87/R87)))/(2*Lm*Fsw)),1,2))</f>
        <v>2</v>
      </c>
      <c r="W87" s="92">
        <f t="shared" si="53"/>
        <v>0.8</v>
      </c>
      <c r="X87" s="95">
        <f t="shared" si="54"/>
        <v>0.19999999999999996</v>
      </c>
      <c r="Y87" s="94">
        <f t="shared" si="55"/>
        <v>5.454545454545455</v>
      </c>
      <c r="Z87" s="92">
        <f t="shared" si="77"/>
        <v>32.060606060606062</v>
      </c>
      <c r="AA87" s="92">
        <f t="shared" si="78"/>
        <v>29.375564390959699</v>
      </c>
      <c r="AB87" s="92">
        <v>0</v>
      </c>
      <c r="AC87" s="92">
        <f t="shared" si="56"/>
        <v>5.1775426997245173</v>
      </c>
      <c r="AD87" s="95">
        <f t="shared" si="67"/>
        <v>5.1775426997245173</v>
      </c>
      <c r="AE87" s="94">
        <f t="shared" si="76"/>
        <v>23.466666666666669</v>
      </c>
      <c r="AF87" s="92">
        <f t="shared" si="68"/>
        <v>26.274303542243242</v>
      </c>
      <c r="AG87" s="92">
        <f t="shared" si="57"/>
        <v>4.8323731864095505</v>
      </c>
      <c r="AH87" s="92">
        <f t="shared" si="58"/>
        <v>13.660714285714286</v>
      </c>
      <c r="AI87" s="95">
        <f t="shared" si="69"/>
        <v>18.493087472123836</v>
      </c>
      <c r="AJ87" s="94">
        <f t="shared" si="70"/>
        <v>5.8666666666666654</v>
      </c>
      <c r="AK87" s="92">
        <f t="shared" si="59"/>
        <v>13.137151771121619</v>
      </c>
      <c r="AL87" s="92">
        <f t="shared" si="60"/>
        <v>1.2080932966023872</v>
      </c>
      <c r="AM87" s="92">
        <f t="shared" si="71"/>
        <v>0.34846000000000005</v>
      </c>
      <c r="AN87" s="211">
        <f t="shared" si="61"/>
        <v>0.21801212121212121</v>
      </c>
      <c r="AO87" s="95">
        <f t="shared" si="72"/>
        <v>1.7745654178145083</v>
      </c>
      <c r="AP87" s="94">
        <f t="shared" si="62"/>
        <v>1.2943856749311293</v>
      </c>
      <c r="AQ87" s="230">
        <f t="shared" si="63"/>
        <v>5.1775426997245173</v>
      </c>
      <c r="AR87" s="230">
        <f t="shared" si="64"/>
        <v>1.0915700452567536</v>
      </c>
      <c r="AS87" s="92">
        <f t="shared" si="65"/>
        <v>3.6000000000000004E-2</v>
      </c>
      <c r="AT87" s="95">
        <f t="shared" si="66"/>
        <v>2.9699999999999997E-5</v>
      </c>
      <c r="AU87" s="94">
        <f t="shared" si="73"/>
        <v>33.044723709575266</v>
      </c>
      <c r="AV87" s="92">
        <f t="shared" si="74"/>
        <v>264</v>
      </c>
      <c r="AW87" s="95">
        <f t="shared" si="75"/>
        <v>88.875505581481548</v>
      </c>
    </row>
    <row r="88" spans="17:49" x14ac:dyDescent="0.25">
      <c r="Q88" s="32">
        <v>81</v>
      </c>
      <c r="R88" s="94">
        <f t="shared" si="49"/>
        <v>45</v>
      </c>
      <c r="S88" s="92">
        <f t="shared" si="50"/>
        <v>5.94</v>
      </c>
      <c r="T88" s="92">
        <f t="shared" si="51"/>
        <v>9</v>
      </c>
      <c r="U88" s="95">
        <f t="shared" si="52"/>
        <v>29.700000000000003</v>
      </c>
      <c r="V88" s="94">
        <f>IF(Variable_Management!$B$22=3,2,IF((S88*R88/T88)&lt;((T88*(1-(T88/R88)))/(2*Lm*Fsw)),1,2))</f>
        <v>2</v>
      </c>
      <c r="W88" s="92">
        <f t="shared" si="53"/>
        <v>0.8</v>
      </c>
      <c r="X88" s="95">
        <f t="shared" si="54"/>
        <v>0.19999999999999996</v>
      </c>
      <c r="Y88" s="94">
        <f t="shared" si="55"/>
        <v>5.454545454545455</v>
      </c>
      <c r="Z88" s="92">
        <f t="shared" si="77"/>
        <v>32.427272727272729</v>
      </c>
      <c r="AA88" s="92">
        <f t="shared" si="78"/>
        <v>29.741710422283639</v>
      </c>
      <c r="AB88" s="92">
        <v>0</v>
      </c>
      <c r="AC88" s="92">
        <f t="shared" si="56"/>
        <v>5.3074160330578515</v>
      </c>
      <c r="AD88" s="95">
        <f t="shared" si="67"/>
        <v>5.3074160330578515</v>
      </c>
      <c r="AE88" s="94">
        <f t="shared" si="76"/>
        <v>23.760000000000005</v>
      </c>
      <c r="AF88" s="92">
        <f t="shared" si="68"/>
        <v>26.601794508536081</v>
      </c>
      <c r="AG88" s="92">
        <f t="shared" si="57"/>
        <v>4.9535882975206622</v>
      </c>
      <c r="AH88" s="92">
        <f t="shared" si="58"/>
        <v>13.831473214285717</v>
      </c>
      <c r="AI88" s="95">
        <f t="shared" si="69"/>
        <v>18.785061511806379</v>
      </c>
      <c r="AJ88" s="94">
        <f t="shared" si="70"/>
        <v>5.9399999999999995</v>
      </c>
      <c r="AK88" s="92">
        <f t="shared" si="59"/>
        <v>13.300897254268039</v>
      </c>
      <c r="AL88" s="92">
        <f t="shared" si="60"/>
        <v>1.2383970743801653</v>
      </c>
      <c r="AM88" s="92">
        <f t="shared" si="71"/>
        <v>0.34846000000000005</v>
      </c>
      <c r="AN88" s="211">
        <f t="shared" si="61"/>
        <v>0.22050545454545456</v>
      </c>
      <c r="AO88" s="95">
        <f t="shared" si="72"/>
        <v>1.8073625289256199</v>
      </c>
      <c r="AP88" s="94">
        <f t="shared" si="62"/>
        <v>1.3268540082644629</v>
      </c>
      <c r="AQ88" s="230">
        <f t="shared" si="63"/>
        <v>5.3074160330578515</v>
      </c>
      <c r="AR88" s="230">
        <f t="shared" si="64"/>
        <v>1.0915700452567536</v>
      </c>
      <c r="AS88" s="92">
        <f t="shared" si="65"/>
        <v>3.6000000000000004E-2</v>
      </c>
      <c r="AT88" s="95">
        <f t="shared" si="66"/>
        <v>2.9699999999999997E-5</v>
      </c>
      <c r="AU88" s="94">
        <f t="shared" si="73"/>
        <v>33.661709860368916</v>
      </c>
      <c r="AV88" s="92">
        <f t="shared" si="74"/>
        <v>267.3</v>
      </c>
      <c r="AW88" s="95">
        <f t="shared" si="75"/>
        <v>88.815284882589779</v>
      </c>
    </row>
    <row r="89" spans="17:49" x14ac:dyDescent="0.25">
      <c r="Q89" s="32">
        <v>82</v>
      </c>
      <c r="R89" s="94">
        <f t="shared" si="49"/>
        <v>45</v>
      </c>
      <c r="S89" s="92">
        <f t="shared" si="50"/>
        <v>6.0133333333333336</v>
      </c>
      <c r="T89" s="92">
        <f t="shared" si="51"/>
        <v>9</v>
      </c>
      <c r="U89" s="95">
        <f t="shared" si="52"/>
        <v>30.06666666666667</v>
      </c>
      <c r="V89" s="94">
        <f>IF(Variable_Management!$B$22=3,2,IF((S89*R89/T89)&lt;((T89*(1-(T89/R89)))/(2*Lm*Fsw)),1,2))</f>
        <v>2</v>
      </c>
      <c r="W89" s="92">
        <f t="shared" si="53"/>
        <v>0.8</v>
      </c>
      <c r="X89" s="95">
        <f t="shared" si="54"/>
        <v>0.19999999999999996</v>
      </c>
      <c r="Y89" s="94">
        <f t="shared" si="55"/>
        <v>5.454545454545455</v>
      </c>
      <c r="Z89" s="92">
        <f t="shared" si="77"/>
        <v>32.793939393939397</v>
      </c>
      <c r="AA89" s="92">
        <f t="shared" si="78"/>
        <v>30.107869125652513</v>
      </c>
      <c r="AB89" s="92">
        <v>0</v>
      </c>
      <c r="AC89" s="92">
        <f t="shared" si="56"/>
        <v>5.4389026997245189</v>
      </c>
      <c r="AD89" s="95">
        <f t="shared" si="67"/>
        <v>5.4389026997245189</v>
      </c>
      <c r="AE89" s="94">
        <f t="shared" si="76"/>
        <v>24.053333333333338</v>
      </c>
      <c r="AF89" s="92">
        <f t="shared" si="68"/>
        <v>26.929296809050474</v>
      </c>
      <c r="AG89" s="92">
        <f t="shared" si="57"/>
        <v>5.076309186409552</v>
      </c>
      <c r="AH89" s="92">
        <f t="shared" si="58"/>
        <v>14.002232142857146</v>
      </c>
      <c r="AI89" s="95">
        <f t="shared" si="69"/>
        <v>19.078541329266699</v>
      </c>
      <c r="AJ89" s="94">
        <f t="shared" si="70"/>
        <v>6.0133333333333328</v>
      </c>
      <c r="AK89" s="92">
        <f t="shared" si="59"/>
        <v>13.464648404525235</v>
      </c>
      <c r="AL89" s="92">
        <f t="shared" si="60"/>
        <v>1.2690772966023878</v>
      </c>
      <c r="AM89" s="92">
        <f t="shared" si="71"/>
        <v>0.34846000000000005</v>
      </c>
      <c r="AN89" s="211">
        <f t="shared" si="61"/>
        <v>0.22299878787878788</v>
      </c>
      <c r="AO89" s="95">
        <f t="shared" si="72"/>
        <v>1.8405360844811756</v>
      </c>
      <c r="AP89" s="94">
        <f t="shared" si="62"/>
        <v>1.3597256749311297</v>
      </c>
      <c r="AQ89" s="230">
        <f t="shared" si="63"/>
        <v>5.4389026997245189</v>
      </c>
      <c r="AR89" s="230">
        <f t="shared" si="64"/>
        <v>1.0915700452567536</v>
      </c>
      <c r="AS89" s="92">
        <f t="shared" si="65"/>
        <v>3.6000000000000004E-2</v>
      </c>
      <c r="AT89" s="95">
        <f t="shared" si="66"/>
        <v>2.9699999999999997E-5</v>
      </c>
      <c r="AU89" s="94">
        <f t="shared" si="73"/>
        <v>34.284208233384796</v>
      </c>
      <c r="AV89" s="92">
        <f t="shared" si="74"/>
        <v>270.60000000000002</v>
      </c>
      <c r="AW89" s="95">
        <f t="shared" si="75"/>
        <v>88.755006882107622</v>
      </c>
    </row>
    <row r="90" spans="17:49" x14ac:dyDescent="0.25">
      <c r="Q90" s="32">
        <v>83</v>
      </c>
      <c r="R90" s="94">
        <f t="shared" si="49"/>
        <v>45</v>
      </c>
      <c r="S90" s="92">
        <f t="shared" si="50"/>
        <v>6.0866666666666669</v>
      </c>
      <c r="T90" s="92">
        <f t="shared" si="51"/>
        <v>9</v>
      </c>
      <c r="U90" s="95">
        <f t="shared" si="52"/>
        <v>30.433333333333337</v>
      </c>
      <c r="V90" s="94">
        <f>IF(Variable_Management!$B$22=3,2,IF((S90*R90/T90)&lt;((T90*(1-(T90/R90)))/(2*Lm*Fsw)),1,2))</f>
        <v>2</v>
      </c>
      <c r="W90" s="92">
        <f t="shared" si="53"/>
        <v>0.8</v>
      </c>
      <c r="X90" s="95">
        <f t="shared" si="54"/>
        <v>0.19999999999999996</v>
      </c>
      <c r="Y90" s="94">
        <f t="shared" si="55"/>
        <v>5.454545454545455</v>
      </c>
      <c r="Z90" s="92">
        <f t="shared" si="77"/>
        <v>33.160606060606064</v>
      </c>
      <c r="AA90" s="92">
        <f t="shared" si="78"/>
        <v>30.474040044286106</v>
      </c>
      <c r="AB90" s="92">
        <v>0</v>
      </c>
      <c r="AC90" s="92">
        <f t="shared" si="56"/>
        <v>5.5720026997245196</v>
      </c>
      <c r="AD90" s="95">
        <f t="shared" si="67"/>
        <v>5.5720026997245196</v>
      </c>
      <c r="AE90" s="94">
        <f t="shared" si="76"/>
        <v>24.346666666666671</v>
      </c>
      <c r="AF90" s="92">
        <f t="shared" si="68"/>
        <v>27.256810035229776</v>
      </c>
      <c r="AG90" s="92">
        <f t="shared" si="57"/>
        <v>5.2005358530762189</v>
      </c>
      <c r="AH90" s="92">
        <f t="shared" si="58"/>
        <v>14.172991071428575</v>
      </c>
      <c r="AI90" s="95">
        <f t="shared" si="69"/>
        <v>19.373526924504795</v>
      </c>
      <c r="AJ90" s="94">
        <f t="shared" si="70"/>
        <v>6.086666666666666</v>
      </c>
      <c r="AK90" s="92">
        <f t="shared" si="59"/>
        <v>13.628405017614886</v>
      </c>
      <c r="AL90" s="92">
        <f t="shared" si="60"/>
        <v>1.3001339632690543</v>
      </c>
      <c r="AM90" s="92">
        <f t="shared" si="71"/>
        <v>0.34846000000000005</v>
      </c>
      <c r="AN90" s="211">
        <f t="shared" si="61"/>
        <v>0.22549212121212123</v>
      </c>
      <c r="AO90" s="95">
        <f t="shared" si="72"/>
        <v>1.8740860844811755</v>
      </c>
      <c r="AP90" s="94">
        <f t="shared" si="62"/>
        <v>1.3930006749311299</v>
      </c>
      <c r="AQ90" s="230">
        <f t="shared" si="63"/>
        <v>5.5720026997245196</v>
      </c>
      <c r="AR90" s="230">
        <f t="shared" si="64"/>
        <v>1.0915700452567536</v>
      </c>
      <c r="AS90" s="92">
        <f t="shared" si="65"/>
        <v>3.6000000000000004E-2</v>
      </c>
      <c r="AT90" s="95">
        <f t="shared" si="66"/>
        <v>2.9699999999999997E-5</v>
      </c>
      <c r="AU90" s="94">
        <f t="shared" si="73"/>
        <v>34.91221882862289</v>
      </c>
      <c r="AV90" s="92">
        <f t="shared" si="74"/>
        <v>273.90000000000003</v>
      </c>
      <c r="AW90" s="95">
        <f t="shared" si="75"/>
        <v>88.694676991392754</v>
      </c>
    </row>
    <row r="91" spans="17:49" x14ac:dyDescent="0.25">
      <c r="Q91" s="32">
        <v>84</v>
      </c>
      <c r="R91" s="94">
        <f t="shared" si="49"/>
        <v>45</v>
      </c>
      <c r="S91" s="92">
        <f t="shared" si="50"/>
        <v>6.16</v>
      </c>
      <c r="T91" s="92">
        <f t="shared" si="51"/>
        <v>9</v>
      </c>
      <c r="U91" s="95">
        <f t="shared" si="52"/>
        <v>30.799999999999997</v>
      </c>
      <c r="V91" s="94">
        <f>IF(Variable_Management!$B$22=3,2,IF((S91*R91/T91)&lt;((T91*(1-(T91/R91)))/(2*Lm*Fsw)),1,2))</f>
        <v>2</v>
      </c>
      <c r="W91" s="92">
        <f t="shared" si="53"/>
        <v>0.8</v>
      </c>
      <c r="X91" s="95">
        <f t="shared" si="54"/>
        <v>0.19999999999999996</v>
      </c>
      <c r="Y91" s="94">
        <f t="shared" si="55"/>
        <v>5.454545454545455</v>
      </c>
      <c r="Z91" s="92">
        <f t="shared" si="77"/>
        <v>33.527272727272724</v>
      </c>
      <c r="AA91" s="92">
        <f t="shared" si="78"/>
        <v>30.840222743083018</v>
      </c>
      <c r="AB91" s="92">
        <v>0</v>
      </c>
      <c r="AC91" s="92">
        <f t="shared" si="56"/>
        <v>5.7067160330578499</v>
      </c>
      <c r="AD91" s="95">
        <f t="shared" si="67"/>
        <v>5.7067160330578499</v>
      </c>
      <c r="AE91" s="94">
        <f t="shared" si="76"/>
        <v>24.64</v>
      </c>
      <c r="AF91" s="92">
        <f t="shared" si="68"/>
        <v>27.584333797907465</v>
      </c>
      <c r="AG91" s="92">
        <f t="shared" si="57"/>
        <v>5.3262682975206612</v>
      </c>
      <c r="AH91" s="92">
        <f t="shared" si="58"/>
        <v>14.343749999999996</v>
      </c>
      <c r="AI91" s="95">
        <f t="shared" si="69"/>
        <v>19.670018297520656</v>
      </c>
      <c r="AJ91" s="94">
        <f t="shared" si="70"/>
        <v>6.1599999999999984</v>
      </c>
      <c r="AK91" s="92">
        <f t="shared" si="59"/>
        <v>13.792166898953731</v>
      </c>
      <c r="AL91" s="92">
        <f t="shared" si="60"/>
        <v>1.3315670743801649</v>
      </c>
      <c r="AM91" s="92">
        <f t="shared" si="71"/>
        <v>0.34846000000000005</v>
      </c>
      <c r="AN91" s="211">
        <f t="shared" si="61"/>
        <v>0.22798545454545452</v>
      </c>
      <c r="AO91" s="95">
        <f t="shared" si="72"/>
        <v>1.9080125289256193</v>
      </c>
      <c r="AP91" s="94">
        <f t="shared" si="62"/>
        <v>1.4266790082644625</v>
      </c>
      <c r="AQ91" s="230">
        <f t="shared" si="63"/>
        <v>5.7067160330578499</v>
      </c>
      <c r="AR91" s="230">
        <f t="shared" si="64"/>
        <v>1.0915700452567536</v>
      </c>
      <c r="AS91" s="92">
        <f t="shared" si="65"/>
        <v>3.6000000000000004E-2</v>
      </c>
      <c r="AT91" s="95">
        <f t="shared" si="66"/>
        <v>2.9699999999999997E-5</v>
      </c>
      <c r="AU91" s="94">
        <f t="shared" si="73"/>
        <v>35.545741646083194</v>
      </c>
      <c r="AV91" s="92">
        <f t="shared" si="74"/>
        <v>277.2</v>
      </c>
      <c r="AW91" s="95">
        <f t="shared" si="75"/>
        <v>88.634300355619771</v>
      </c>
    </row>
    <row r="92" spans="17:49" x14ac:dyDescent="0.25">
      <c r="Q92" s="32">
        <v>85</v>
      </c>
      <c r="R92" s="94">
        <f t="shared" si="49"/>
        <v>45</v>
      </c>
      <c r="S92" s="92">
        <f t="shared" si="50"/>
        <v>6.2333333333333334</v>
      </c>
      <c r="T92" s="92">
        <f t="shared" si="51"/>
        <v>9</v>
      </c>
      <c r="U92" s="95">
        <f t="shared" si="52"/>
        <v>31.166666666666668</v>
      </c>
      <c r="V92" s="94">
        <f>IF(Variable_Management!$B$22=3,2,IF((S92*R92/T92)&lt;((T92*(1-(T92/R92)))/(2*Lm*Fsw)),1,2))</f>
        <v>2</v>
      </c>
      <c r="W92" s="92">
        <f t="shared" si="53"/>
        <v>0.8</v>
      </c>
      <c r="X92" s="95">
        <f t="shared" si="54"/>
        <v>0.19999999999999996</v>
      </c>
      <c r="Y92" s="94">
        <f t="shared" si="55"/>
        <v>5.454545454545455</v>
      </c>
      <c r="Z92" s="92">
        <f t="shared" si="77"/>
        <v>33.893939393939398</v>
      </c>
      <c r="AA92" s="92">
        <f t="shared" si="78"/>
        <v>31.206416807350479</v>
      </c>
      <c r="AB92" s="92">
        <v>0</v>
      </c>
      <c r="AC92" s="92">
        <f t="shared" si="56"/>
        <v>5.8430426997245188</v>
      </c>
      <c r="AD92" s="95">
        <f t="shared" si="67"/>
        <v>5.8430426997245188</v>
      </c>
      <c r="AE92" s="94">
        <f t="shared" si="76"/>
        <v>24.933333333333337</v>
      </c>
      <c r="AF92" s="92">
        <f t="shared" si="68"/>
        <v>27.911867726171057</v>
      </c>
      <c r="AG92" s="92">
        <f t="shared" si="57"/>
        <v>5.453506519742886</v>
      </c>
      <c r="AH92" s="92">
        <f t="shared" si="58"/>
        <v>14.514508928571429</v>
      </c>
      <c r="AI92" s="95">
        <f t="shared" si="69"/>
        <v>19.968015448314315</v>
      </c>
      <c r="AJ92" s="94">
        <f t="shared" si="70"/>
        <v>6.2333333333333325</v>
      </c>
      <c r="AK92" s="92">
        <f t="shared" si="59"/>
        <v>13.955933863085527</v>
      </c>
      <c r="AL92" s="92">
        <f t="shared" si="60"/>
        <v>1.3633766299357213</v>
      </c>
      <c r="AM92" s="92">
        <f t="shared" si="71"/>
        <v>0.34846000000000005</v>
      </c>
      <c r="AN92" s="211">
        <f t="shared" si="61"/>
        <v>0.23047878787878789</v>
      </c>
      <c r="AO92" s="95">
        <f t="shared" si="72"/>
        <v>1.9423154178145092</v>
      </c>
      <c r="AP92" s="94">
        <f t="shared" si="62"/>
        <v>1.4607606749311297</v>
      </c>
      <c r="AQ92" s="230">
        <f t="shared" si="63"/>
        <v>5.8430426997245188</v>
      </c>
      <c r="AR92" s="230">
        <f t="shared" si="64"/>
        <v>1.0915700452567536</v>
      </c>
      <c r="AS92" s="92">
        <f t="shared" si="65"/>
        <v>3.6000000000000004E-2</v>
      </c>
      <c r="AT92" s="95">
        <f t="shared" si="66"/>
        <v>2.9699999999999997E-5</v>
      </c>
      <c r="AU92" s="94">
        <f t="shared" si="73"/>
        <v>36.184776685765748</v>
      </c>
      <c r="AV92" s="92">
        <f t="shared" si="74"/>
        <v>280.5</v>
      </c>
      <c r="AW92" s="95">
        <f t="shared" si="75"/>
        <v>88.573881869392622</v>
      </c>
    </row>
    <row r="93" spans="17:49" x14ac:dyDescent="0.25">
      <c r="Q93" s="32">
        <v>86</v>
      </c>
      <c r="R93" s="94">
        <f t="shared" si="49"/>
        <v>45</v>
      </c>
      <c r="S93" s="92">
        <f t="shared" si="50"/>
        <v>6.3066666666666666</v>
      </c>
      <c r="T93" s="92">
        <f t="shared" si="51"/>
        <v>9</v>
      </c>
      <c r="U93" s="95">
        <f t="shared" si="52"/>
        <v>31.533333333333335</v>
      </c>
      <c r="V93" s="94">
        <f>IF(Variable_Management!$B$22=3,2,IF((S93*R93/T93)&lt;((T93*(1-(T93/R93)))/(2*Lm*Fsw)),1,2))</f>
        <v>2</v>
      </c>
      <c r="W93" s="92">
        <f t="shared" si="53"/>
        <v>0.8</v>
      </c>
      <c r="X93" s="95">
        <f t="shared" si="54"/>
        <v>0.19999999999999996</v>
      </c>
      <c r="Y93" s="94">
        <f t="shared" si="55"/>
        <v>5.454545454545455</v>
      </c>
      <c r="Z93" s="92">
        <f t="shared" si="77"/>
        <v>34.260606060606065</v>
      </c>
      <c r="AA93" s="92">
        <f t="shared" si="78"/>
        <v>31.572621841622315</v>
      </c>
      <c r="AB93" s="92">
        <v>0</v>
      </c>
      <c r="AC93" s="92">
        <f t="shared" si="56"/>
        <v>5.9809826997245192</v>
      </c>
      <c r="AD93" s="95">
        <f t="shared" si="67"/>
        <v>5.9809826997245192</v>
      </c>
      <c r="AE93" s="94">
        <f t="shared" si="76"/>
        <v>25.22666666666667</v>
      </c>
      <c r="AF93" s="92">
        <f t="shared" si="68"/>
        <v>28.239411466304844</v>
      </c>
      <c r="AG93" s="92">
        <f t="shared" si="57"/>
        <v>5.5822505197428871</v>
      </c>
      <c r="AH93" s="92">
        <f t="shared" si="58"/>
        <v>14.685267857142858</v>
      </c>
      <c r="AI93" s="95">
        <f t="shared" si="69"/>
        <v>20.267518376885747</v>
      </c>
      <c r="AJ93" s="94">
        <f t="shared" si="70"/>
        <v>6.3066666666666658</v>
      </c>
      <c r="AK93" s="92">
        <f t="shared" si="59"/>
        <v>14.119705733152419</v>
      </c>
      <c r="AL93" s="92">
        <f t="shared" si="60"/>
        <v>1.3955626299357209</v>
      </c>
      <c r="AM93" s="92">
        <f t="shared" si="71"/>
        <v>0.34846000000000005</v>
      </c>
      <c r="AN93" s="211">
        <f t="shared" si="61"/>
        <v>0.23297212121212124</v>
      </c>
      <c r="AO93" s="95">
        <f t="shared" si="72"/>
        <v>1.9769947511478421</v>
      </c>
      <c r="AP93" s="94">
        <f t="shared" si="62"/>
        <v>1.4952456749311298</v>
      </c>
      <c r="AQ93" s="230">
        <f t="shared" si="63"/>
        <v>5.9809826997245192</v>
      </c>
      <c r="AR93" s="230">
        <f t="shared" si="64"/>
        <v>1.0915700452567536</v>
      </c>
      <c r="AS93" s="92">
        <f t="shared" si="65"/>
        <v>3.6000000000000004E-2</v>
      </c>
      <c r="AT93" s="95">
        <f t="shared" si="66"/>
        <v>2.9699999999999997E-5</v>
      </c>
      <c r="AU93" s="94">
        <f t="shared" si="73"/>
        <v>36.82932394767051</v>
      </c>
      <c r="AV93" s="92">
        <f t="shared" si="74"/>
        <v>283.8</v>
      </c>
      <c r="AW93" s="95">
        <f t="shared" si="75"/>
        <v>88.513426191273339</v>
      </c>
    </row>
    <row r="94" spans="17:49" x14ac:dyDescent="0.25">
      <c r="Q94" s="32">
        <v>87</v>
      </c>
      <c r="R94" s="94">
        <f t="shared" si="49"/>
        <v>45</v>
      </c>
      <c r="S94" s="92">
        <f t="shared" si="50"/>
        <v>6.38</v>
      </c>
      <c r="T94" s="92">
        <f t="shared" si="51"/>
        <v>9</v>
      </c>
      <c r="U94" s="95">
        <f t="shared" si="52"/>
        <v>31.900000000000002</v>
      </c>
      <c r="V94" s="94">
        <f>IF(Variable_Management!$B$22=3,2,IF((S94*R94/T94)&lt;((T94*(1-(T94/R94)))/(2*Lm*Fsw)),1,2))</f>
        <v>2</v>
      </c>
      <c r="W94" s="92">
        <f t="shared" si="53"/>
        <v>0.8</v>
      </c>
      <c r="X94" s="95">
        <f t="shared" si="54"/>
        <v>0.19999999999999996</v>
      </c>
      <c r="Y94" s="94">
        <f t="shared" si="55"/>
        <v>5.454545454545455</v>
      </c>
      <c r="Z94" s="92">
        <f t="shared" si="77"/>
        <v>34.627272727272732</v>
      </c>
      <c r="AA94" s="92">
        <f t="shared" si="78"/>
        <v>31.93883746855817</v>
      </c>
      <c r="AB94" s="92">
        <v>0</v>
      </c>
      <c r="AC94" s="92">
        <f t="shared" si="56"/>
        <v>6.1205360330578511</v>
      </c>
      <c r="AD94" s="95">
        <f t="shared" si="67"/>
        <v>6.1205360330578511</v>
      </c>
      <c r="AE94" s="94">
        <f t="shared" si="76"/>
        <v>25.520000000000003</v>
      </c>
      <c r="AF94" s="92">
        <f t="shared" si="68"/>
        <v>28.566964680805352</v>
      </c>
      <c r="AG94" s="92">
        <f t="shared" si="57"/>
        <v>5.7125002975206627</v>
      </c>
      <c r="AH94" s="92">
        <f t="shared" si="58"/>
        <v>14.856026785714286</v>
      </c>
      <c r="AI94" s="95">
        <f t="shared" si="69"/>
        <v>20.568527083234947</v>
      </c>
      <c r="AJ94" s="94">
        <f t="shared" si="70"/>
        <v>6.379999999999999</v>
      </c>
      <c r="AK94" s="92">
        <f t="shared" si="59"/>
        <v>14.283482340402674</v>
      </c>
      <c r="AL94" s="92">
        <f t="shared" si="60"/>
        <v>1.4281250743801654</v>
      </c>
      <c r="AM94" s="92">
        <f t="shared" si="71"/>
        <v>0.34846000000000005</v>
      </c>
      <c r="AN94" s="211">
        <f t="shared" si="61"/>
        <v>0.23546545454545456</v>
      </c>
      <c r="AO94" s="95">
        <f t="shared" si="72"/>
        <v>2.0120505289256201</v>
      </c>
      <c r="AP94" s="94">
        <f t="shared" si="62"/>
        <v>1.5301340082644628</v>
      </c>
      <c r="AQ94" s="230">
        <f t="shared" si="63"/>
        <v>6.1205360330578511</v>
      </c>
      <c r="AR94" s="230">
        <f t="shared" si="64"/>
        <v>1.0915700452567536</v>
      </c>
      <c r="AS94" s="92">
        <f t="shared" si="65"/>
        <v>3.6000000000000004E-2</v>
      </c>
      <c r="AT94" s="95">
        <f t="shared" si="66"/>
        <v>2.9699999999999997E-5</v>
      </c>
      <c r="AU94" s="94">
        <f t="shared" si="73"/>
        <v>37.479383431797487</v>
      </c>
      <c r="AV94" s="92">
        <f t="shared" si="74"/>
        <v>287.10000000000002</v>
      </c>
      <c r="AW94" s="95">
        <f t="shared" si="75"/>
        <v>88.452937757313578</v>
      </c>
    </row>
    <row r="95" spans="17:49" x14ac:dyDescent="0.25">
      <c r="Q95" s="32">
        <v>88</v>
      </c>
      <c r="R95" s="94">
        <f t="shared" si="49"/>
        <v>45</v>
      </c>
      <c r="S95" s="92">
        <f t="shared" si="50"/>
        <v>6.4533333333333331</v>
      </c>
      <c r="T95" s="92">
        <f t="shared" si="51"/>
        <v>9</v>
      </c>
      <c r="U95" s="95">
        <f t="shared" si="52"/>
        <v>32.266666666666666</v>
      </c>
      <c r="V95" s="94">
        <f>IF(Variable_Management!$B$22=3,2,IF((S95*R95/T95)&lt;((T95*(1-(T95/R95)))/(2*Lm*Fsw)),1,2))</f>
        <v>2</v>
      </c>
      <c r="W95" s="92">
        <f t="shared" si="53"/>
        <v>0.8</v>
      </c>
      <c r="X95" s="95">
        <f t="shared" si="54"/>
        <v>0.19999999999999996</v>
      </c>
      <c r="Y95" s="94">
        <f t="shared" si="55"/>
        <v>5.454545454545455</v>
      </c>
      <c r="Z95" s="92">
        <f t="shared" si="77"/>
        <v>34.993939393939392</v>
      </c>
      <c r="AA95" s="92">
        <f t="shared" si="78"/>
        <v>32.305063327917388</v>
      </c>
      <c r="AB95" s="92">
        <v>0</v>
      </c>
      <c r="AC95" s="92">
        <f t="shared" si="56"/>
        <v>6.2617026997245171</v>
      </c>
      <c r="AD95" s="95">
        <f t="shared" si="67"/>
        <v>6.2617026997245171</v>
      </c>
      <c r="AE95" s="94">
        <f t="shared" si="76"/>
        <v>25.813333333333333</v>
      </c>
      <c r="AF95" s="92">
        <f t="shared" si="68"/>
        <v>28.894527047463544</v>
      </c>
      <c r="AG95" s="92">
        <f t="shared" si="57"/>
        <v>5.8442558530762163</v>
      </c>
      <c r="AH95" s="92">
        <f t="shared" si="58"/>
        <v>15.026785714285715</v>
      </c>
      <c r="AI95" s="95">
        <f t="shared" si="69"/>
        <v>20.871041567361932</v>
      </c>
      <c r="AJ95" s="94">
        <f t="shared" si="70"/>
        <v>6.4533333333333314</v>
      </c>
      <c r="AK95" s="92">
        <f t="shared" si="59"/>
        <v>14.447263523731769</v>
      </c>
      <c r="AL95" s="92">
        <f t="shared" si="60"/>
        <v>1.4610639632690534</v>
      </c>
      <c r="AM95" s="92">
        <f t="shared" si="71"/>
        <v>0.34846000000000005</v>
      </c>
      <c r="AN95" s="211">
        <f t="shared" si="61"/>
        <v>0.23795878787878785</v>
      </c>
      <c r="AO95" s="95">
        <f t="shared" si="72"/>
        <v>2.0474827511478413</v>
      </c>
      <c r="AP95" s="94">
        <f t="shared" si="62"/>
        <v>1.5654256749311293</v>
      </c>
      <c r="AQ95" s="230">
        <f t="shared" si="63"/>
        <v>6.2617026997245171</v>
      </c>
      <c r="AR95" s="230">
        <f t="shared" si="64"/>
        <v>1.0915700452567536</v>
      </c>
      <c r="AS95" s="92">
        <f t="shared" si="65"/>
        <v>3.6000000000000004E-2</v>
      </c>
      <c r="AT95" s="95">
        <f t="shared" si="66"/>
        <v>2.9699999999999997E-5</v>
      </c>
      <c r="AU95" s="94">
        <f t="shared" si="73"/>
        <v>38.134955138146687</v>
      </c>
      <c r="AV95" s="92">
        <f t="shared" si="74"/>
        <v>290.39999999999998</v>
      </c>
      <c r="AW95" s="95">
        <f t="shared" si="75"/>
        <v>88.392420793668308</v>
      </c>
    </row>
    <row r="96" spans="17:49" x14ac:dyDescent="0.25">
      <c r="Q96" s="32">
        <v>89</v>
      </c>
      <c r="R96" s="94">
        <f t="shared" si="49"/>
        <v>45</v>
      </c>
      <c r="S96" s="92">
        <f t="shared" si="50"/>
        <v>6.5266666666666664</v>
      </c>
      <c r="T96" s="92">
        <f t="shared" si="51"/>
        <v>9</v>
      </c>
      <c r="U96" s="95">
        <f t="shared" si="52"/>
        <v>32.633333333333333</v>
      </c>
      <c r="V96" s="94">
        <f>IF(Variable_Management!$B$22=3,2,IF((S96*R96/T96)&lt;((T96*(1-(T96/R96)))/(2*Lm*Fsw)),1,2))</f>
        <v>2</v>
      </c>
      <c r="W96" s="92">
        <f t="shared" si="53"/>
        <v>0.8</v>
      </c>
      <c r="X96" s="95">
        <f t="shared" si="54"/>
        <v>0.19999999999999996</v>
      </c>
      <c r="Y96" s="94">
        <f t="shared" si="55"/>
        <v>5.454545454545455</v>
      </c>
      <c r="Z96" s="92">
        <f t="shared" si="77"/>
        <v>35.360606060606059</v>
      </c>
      <c r="AA96" s="92">
        <f t="shared" si="78"/>
        <v>32.671299075601809</v>
      </c>
      <c r="AB96" s="92">
        <v>0</v>
      </c>
      <c r="AC96" s="92">
        <f t="shared" si="56"/>
        <v>6.4044826997245181</v>
      </c>
      <c r="AD96" s="95">
        <f t="shared" si="67"/>
        <v>6.4044826997245181</v>
      </c>
      <c r="AE96" s="94">
        <f t="shared" si="76"/>
        <v>26.106666666666669</v>
      </c>
      <c r="AF96" s="92">
        <f t="shared" si="68"/>
        <v>29.222098258508673</v>
      </c>
      <c r="AG96" s="92">
        <f t="shared" si="57"/>
        <v>5.9775171864095498</v>
      </c>
      <c r="AH96" s="92">
        <f t="shared" si="58"/>
        <v>15.197544642857142</v>
      </c>
      <c r="AI96" s="95">
        <f t="shared" si="69"/>
        <v>21.175061829266692</v>
      </c>
      <c r="AJ96" s="94">
        <f t="shared" si="70"/>
        <v>6.5266666666666655</v>
      </c>
      <c r="AK96" s="92">
        <f t="shared" si="59"/>
        <v>14.611049129254335</v>
      </c>
      <c r="AL96" s="92">
        <f t="shared" si="60"/>
        <v>1.494379296602387</v>
      </c>
      <c r="AM96" s="92">
        <f t="shared" si="71"/>
        <v>0.34846000000000005</v>
      </c>
      <c r="AN96" s="211">
        <f t="shared" si="61"/>
        <v>0.2404521212121212</v>
      </c>
      <c r="AO96" s="95">
        <f t="shared" si="72"/>
        <v>2.0832914178145083</v>
      </c>
      <c r="AP96" s="94">
        <f t="shared" si="62"/>
        <v>1.6011206749311295</v>
      </c>
      <c r="AQ96" s="230">
        <f t="shared" si="63"/>
        <v>6.4044826997245181</v>
      </c>
      <c r="AR96" s="230">
        <f t="shared" si="64"/>
        <v>1.0915700452567536</v>
      </c>
      <c r="AS96" s="92">
        <f t="shared" si="65"/>
        <v>3.6000000000000004E-2</v>
      </c>
      <c r="AT96" s="95">
        <f t="shared" si="66"/>
        <v>2.9699999999999997E-5</v>
      </c>
      <c r="AU96" s="94">
        <f t="shared" si="73"/>
        <v>38.796039066718116</v>
      </c>
      <c r="AV96" s="92">
        <f t="shared" si="74"/>
        <v>293.7</v>
      </c>
      <c r="AW96" s="95">
        <f t="shared" si="75"/>
        <v>88.331879328362959</v>
      </c>
    </row>
    <row r="97" spans="17:49" x14ac:dyDescent="0.25">
      <c r="Q97" s="32">
        <v>90</v>
      </c>
      <c r="R97" s="94">
        <f t="shared" si="49"/>
        <v>45</v>
      </c>
      <c r="S97" s="92">
        <f t="shared" si="50"/>
        <v>6.6</v>
      </c>
      <c r="T97" s="92">
        <f t="shared" si="51"/>
        <v>9</v>
      </c>
      <c r="U97" s="95">
        <f t="shared" si="52"/>
        <v>33</v>
      </c>
      <c r="V97" s="94">
        <f>IF(Variable_Management!$B$22=3,2,IF((S97*R97/T97)&lt;((T97*(1-(T97/R97)))/(2*Lm*Fsw)),1,2))</f>
        <v>2</v>
      </c>
      <c r="W97" s="92">
        <f t="shared" si="53"/>
        <v>0.8</v>
      </c>
      <c r="X97" s="95">
        <f t="shared" si="54"/>
        <v>0.19999999999999996</v>
      </c>
      <c r="Y97" s="94">
        <f t="shared" si="55"/>
        <v>5.454545454545455</v>
      </c>
      <c r="Z97" s="92">
        <f t="shared" si="77"/>
        <v>35.727272727272727</v>
      </c>
      <c r="AA97" s="92">
        <f t="shared" si="78"/>
        <v>33.037544382762093</v>
      </c>
      <c r="AB97" s="92">
        <v>0</v>
      </c>
      <c r="AC97" s="92">
        <f t="shared" si="56"/>
        <v>6.5488760330578506</v>
      </c>
      <c r="AD97" s="95">
        <f t="shared" si="67"/>
        <v>6.5488760330578506</v>
      </c>
      <c r="AE97" s="94">
        <f t="shared" si="76"/>
        <v>26.400000000000002</v>
      </c>
      <c r="AF97" s="92">
        <f t="shared" si="68"/>
        <v>29.549678019808951</v>
      </c>
      <c r="AG97" s="92">
        <f t="shared" si="57"/>
        <v>6.1122842975206622</v>
      </c>
      <c r="AH97" s="92">
        <f t="shared" si="58"/>
        <v>15.368303571428571</v>
      </c>
      <c r="AI97" s="95">
        <f t="shared" si="69"/>
        <v>21.480587868949232</v>
      </c>
      <c r="AJ97" s="94">
        <f t="shared" si="70"/>
        <v>6.5999999999999988</v>
      </c>
      <c r="AK97" s="92">
        <f t="shared" si="59"/>
        <v>14.774839009904474</v>
      </c>
      <c r="AL97" s="92">
        <f t="shared" si="60"/>
        <v>1.5280710743801651</v>
      </c>
      <c r="AM97" s="92">
        <f t="shared" si="71"/>
        <v>0.34846000000000005</v>
      </c>
      <c r="AN97" s="211">
        <f t="shared" si="61"/>
        <v>0.24294545454545452</v>
      </c>
      <c r="AO97" s="95">
        <f t="shared" si="72"/>
        <v>2.1194765289256194</v>
      </c>
      <c r="AP97" s="94">
        <f t="shared" si="62"/>
        <v>1.6372190082644626</v>
      </c>
      <c r="AQ97" s="230">
        <f t="shared" si="63"/>
        <v>6.5488760330578506</v>
      </c>
      <c r="AR97" s="230">
        <f t="shared" si="64"/>
        <v>1.0915700452567536</v>
      </c>
      <c r="AS97" s="92">
        <f t="shared" si="65"/>
        <v>3.6000000000000004E-2</v>
      </c>
      <c r="AT97" s="95">
        <f t="shared" si="66"/>
        <v>2.9699999999999997E-5</v>
      </c>
      <c r="AU97" s="94">
        <f t="shared" si="73"/>
        <v>39.462635217511767</v>
      </c>
      <c r="AV97" s="92">
        <f t="shared" si="74"/>
        <v>297</v>
      </c>
      <c r="AW97" s="95">
        <f t="shared" si="75"/>
        <v>88.271317202279974</v>
      </c>
    </row>
    <row r="98" spans="17:49" x14ac:dyDescent="0.25">
      <c r="Q98" s="32">
        <v>91</v>
      </c>
      <c r="R98" s="94">
        <f t="shared" si="49"/>
        <v>45</v>
      </c>
      <c r="S98" s="92">
        <f t="shared" si="50"/>
        <v>6.6733333333333338</v>
      </c>
      <c r="T98" s="92">
        <f t="shared" si="51"/>
        <v>9</v>
      </c>
      <c r="U98" s="95">
        <f t="shared" si="52"/>
        <v>33.366666666666667</v>
      </c>
      <c r="V98" s="94">
        <f>IF(Variable_Management!$B$22=3,2,IF((S98*R98/T98)&lt;((T98*(1-(T98/R98)))/(2*Lm*Fsw)),1,2))</f>
        <v>2</v>
      </c>
      <c r="W98" s="92">
        <f t="shared" si="53"/>
        <v>0.8</v>
      </c>
      <c r="X98" s="95">
        <f t="shared" si="54"/>
        <v>0.19999999999999996</v>
      </c>
      <c r="Y98" s="94">
        <f t="shared" si="55"/>
        <v>5.454545454545455</v>
      </c>
      <c r="Z98" s="92">
        <f t="shared" si="77"/>
        <v>36.093939393939394</v>
      </c>
      <c r="AA98" s="92">
        <f t="shared" si="78"/>
        <v>33.403798934962765</v>
      </c>
      <c r="AB98" s="92">
        <v>0</v>
      </c>
      <c r="AC98" s="92">
        <f t="shared" si="56"/>
        <v>6.6948826997245172</v>
      </c>
      <c r="AD98" s="95">
        <f t="shared" si="67"/>
        <v>6.6948826997245172</v>
      </c>
      <c r="AE98" s="94">
        <f t="shared" si="76"/>
        <v>26.693333333333335</v>
      </c>
      <c r="AF98" s="92">
        <f t="shared" si="68"/>
        <v>29.877266050124728</v>
      </c>
      <c r="AG98" s="92">
        <f t="shared" si="57"/>
        <v>6.2485571864095499</v>
      </c>
      <c r="AH98" s="92">
        <f t="shared" si="58"/>
        <v>15.5390625</v>
      </c>
      <c r="AI98" s="95">
        <f t="shared" si="69"/>
        <v>21.787619686409549</v>
      </c>
      <c r="AJ98" s="94">
        <f t="shared" si="70"/>
        <v>6.673333333333332</v>
      </c>
      <c r="AK98" s="92">
        <f t="shared" si="59"/>
        <v>14.938633025062362</v>
      </c>
      <c r="AL98" s="92">
        <f t="shared" si="60"/>
        <v>1.562139296602387</v>
      </c>
      <c r="AM98" s="92">
        <f t="shared" si="71"/>
        <v>0.34846000000000005</v>
      </c>
      <c r="AN98" s="211">
        <f t="shared" si="61"/>
        <v>0.24543878787878787</v>
      </c>
      <c r="AO98" s="95">
        <f t="shared" si="72"/>
        <v>2.1560380844811751</v>
      </c>
      <c r="AP98" s="94">
        <f t="shared" si="62"/>
        <v>1.6737206749311293</v>
      </c>
      <c r="AQ98" s="230">
        <f t="shared" si="63"/>
        <v>6.6948826997245172</v>
      </c>
      <c r="AR98" s="230">
        <f t="shared" si="64"/>
        <v>1.0915700452567536</v>
      </c>
      <c r="AS98" s="92">
        <f t="shared" si="65"/>
        <v>3.6000000000000004E-2</v>
      </c>
      <c r="AT98" s="95">
        <f t="shared" si="66"/>
        <v>2.9699999999999997E-5</v>
      </c>
      <c r="AU98" s="94">
        <f t="shared" si="73"/>
        <v>40.134743590527641</v>
      </c>
      <c r="AV98" s="92">
        <f t="shared" si="74"/>
        <v>300.3</v>
      </c>
      <c r="AW98" s="95">
        <f t="shared" si="75"/>
        <v>88.210738079424289</v>
      </c>
    </row>
    <row r="99" spans="17:49" x14ac:dyDescent="0.25">
      <c r="Q99" s="32">
        <v>92</v>
      </c>
      <c r="R99" s="94">
        <f t="shared" si="49"/>
        <v>45</v>
      </c>
      <c r="S99" s="92">
        <f t="shared" si="50"/>
        <v>6.746666666666667</v>
      </c>
      <c r="T99" s="92">
        <f t="shared" si="51"/>
        <v>9</v>
      </c>
      <c r="U99" s="95">
        <f t="shared" si="52"/>
        <v>33.733333333333334</v>
      </c>
      <c r="V99" s="94">
        <f>IF(Variable_Management!$B$22=3,2,IF((S99*R99/T99)&lt;((T99*(1-(T99/R99)))/(2*Lm*Fsw)),1,2))</f>
        <v>2</v>
      </c>
      <c r="W99" s="92">
        <f t="shared" si="53"/>
        <v>0.8</v>
      </c>
      <c r="X99" s="95">
        <f t="shared" si="54"/>
        <v>0.19999999999999996</v>
      </c>
      <c r="Y99" s="94">
        <f t="shared" si="55"/>
        <v>5.454545454545455</v>
      </c>
      <c r="Z99" s="92">
        <f t="shared" si="77"/>
        <v>36.460606060606061</v>
      </c>
      <c r="AA99" s="92">
        <f t="shared" si="78"/>
        <v>33.77006243140147</v>
      </c>
      <c r="AB99" s="92">
        <v>0</v>
      </c>
      <c r="AC99" s="92">
        <f t="shared" si="56"/>
        <v>6.842502699724518</v>
      </c>
      <c r="AD99" s="95">
        <f t="shared" si="67"/>
        <v>6.842502699724518</v>
      </c>
      <c r="AE99" s="94">
        <f t="shared" si="76"/>
        <v>26.986666666666668</v>
      </c>
      <c r="AF99" s="92">
        <f t="shared" si="68"/>
        <v>30.204862080410205</v>
      </c>
      <c r="AG99" s="92">
        <f t="shared" si="57"/>
        <v>6.3863358530762158</v>
      </c>
      <c r="AH99" s="92">
        <f t="shared" si="58"/>
        <v>15.709821428571429</v>
      </c>
      <c r="AI99" s="95">
        <f t="shared" si="69"/>
        <v>22.096157281647645</v>
      </c>
      <c r="AJ99" s="94">
        <f t="shared" si="70"/>
        <v>6.7466666666666653</v>
      </c>
      <c r="AK99" s="92">
        <f t="shared" si="59"/>
        <v>15.102431040205101</v>
      </c>
      <c r="AL99" s="92">
        <f t="shared" si="60"/>
        <v>1.5965839632690537</v>
      </c>
      <c r="AM99" s="92">
        <f t="shared" si="71"/>
        <v>0.34846000000000005</v>
      </c>
      <c r="AN99" s="211">
        <f t="shared" si="61"/>
        <v>0.24793212121212119</v>
      </c>
      <c r="AO99" s="95">
        <f t="shared" si="72"/>
        <v>2.1929760844811748</v>
      </c>
      <c r="AP99" s="94">
        <f t="shared" si="62"/>
        <v>1.7106256749311295</v>
      </c>
      <c r="AQ99" s="230">
        <f t="shared" si="63"/>
        <v>6.842502699724518</v>
      </c>
      <c r="AR99" s="230">
        <f t="shared" si="64"/>
        <v>1.0915700452567536</v>
      </c>
      <c r="AS99" s="92">
        <f t="shared" si="65"/>
        <v>3.6000000000000004E-2</v>
      </c>
      <c r="AT99" s="95">
        <f t="shared" si="66"/>
        <v>2.9699999999999997E-5</v>
      </c>
      <c r="AU99" s="94">
        <f t="shared" si="73"/>
        <v>40.812364185765738</v>
      </c>
      <c r="AV99" s="92">
        <f t="shared" si="74"/>
        <v>303.60000000000002</v>
      </c>
      <c r="AW99" s="95">
        <f t="shared" si="75"/>
        <v>88.150145456522353</v>
      </c>
    </row>
    <row r="100" spans="17:49" x14ac:dyDescent="0.25">
      <c r="Q100" s="32">
        <v>93</v>
      </c>
      <c r="R100" s="94">
        <f t="shared" si="49"/>
        <v>45</v>
      </c>
      <c r="S100" s="92">
        <f t="shared" si="50"/>
        <v>6.82</v>
      </c>
      <c r="T100" s="92">
        <f t="shared" si="51"/>
        <v>9</v>
      </c>
      <c r="U100" s="95">
        <f t="shared" si="52"/>
        <v>34.1</v>
      </c>
      <c r="V100" s="94">
        <f>IF(Variable_Management!$B$22=3,2,IF((S100*R100/T100)&lt;((T100*(1-(T100/R100)))/(2*Lm*Fsw)),1,2))</f>
        <v>2</v>
      </c>
      <c r="W100" s="92">
        <f t="shared" si="53"/>
        <v>0.8</v>
      </c>
      <c r="X100" s="95">
        <f t="shared" si="54"/>
        <v>0.19999999999999996</v>
      </c>
      <c r="Y100" s="94">
        <f t="shared" si="55"/>
        <v>5.454545454545455</v>
      </c>
      <c r="Z100" s="92">
        <f t="shared" si="77"/>
        <v>36.827272727272728</v>
      </c>
      <c r="AA100" s="92">
        <f t="shared" si="78"/>
        <v>34.136334584178414</v>
      </c>
      <c r="AB100" s="92">
        <v>0</v>
      </c>
      <c r="AC100" s="92">
        <f t="shared" si="56"/>
        <v>6.9917360330578511</v>
      </c>
      <c r="AD100" s="95">
        <f t="shared" si="67"/>
        <v>6.9917360330578511</v>
      </c>
      <c r="AE100" s="94">
        <f t="shared" si="76"/>
        <v>27.28</v>
      </c>
      <c r="AF100" s="92">
        <f t="shared" si="68"/>
        <v>30.53246585315998</v>
      </c>
      <c r="AG100" s="92">
        <f t="shared" si="57"/>
        <v>6.5256202975206614</v>
      </c>
      <c r="AH100" s="92">
        <f t="shared" si="58"/>
        <v>15.880580357142858</v>
      </c>
      <c r="AI100" s="95">
        <f t="shared" si="69"/>
        <v>22.406200654663518</v>
      </c>
      <c r="AJ100" s="94">
        <f t="shared" si="70"/>
        <v>6.8199999999999985</v>
      </c>
      <c r="AK100" s="92">
        <f t="shared" si="59"/>
        <v>15.266232926579988</v>
      </c>
      <c r="AL100" s="92">
        <f t="shared" si="60"/>
        <v>1.6314050743801651</v>
      </c>
      <c r="AM100" s="92">
        <f t="shared" si="71"/>
        <v>0.34846000000000005</v>
      </c>
      <c r="AN100" s="211">
        <f t="shared" si="61"/>
        <v>0.25042545454545456</v>
      </c>
      <c r="AO100" s="95">
        <f t="shared" si="72"/>
        <v>2.2302905289256199</v>
      </c>
      <c r="AP100" s="94">
        <f t="shared" si="62"/>
        <v>1.7479340082644628</v>
      </c>
      <c r="AQ100" s="230">
        <f t="shared" si="63"/>
        <v>6.9917360330578511</v>
      </c>
      <c r="AR100" s="230">
        <f t="shared" si="64"/>
        <v>1.0915700452567536</v>
      </c>
      <c r="AS100" s="92">
        <f t="shared" si="65"/>
        <v>3.6000000000000004E-2</v>
      </c>
      <c r="AT100" s="95">
        <f t="shared" si="66"/>
        <v>2.9699999999999997E-5</v>
      </c>
      <c r="AU100" s="94">
        <f t="shared" si="73"/>
        <v>41.495497003226056</v>
      </c>
      <c r="AV100" s="92">
        <f t="shared" si="74"/>
        <v>306.90000000000003</v>
      </c>
      <c r="AW100" s="95">
        <f t="shared" si="75"/>
        <v>88.089542672004811</v>
      </c>
    </row>
    <row r="101" spans="17:49" x14ac:dyDescent="0.25">
      <c r="Q101" s="32">
        <v>94</v>
      </c>
      <c r="R101" s="94">
        <f t="shared" si="49"/>
        <v>45</v>
      </c>
      <c r="S101" s="92">
        <f t="shared" si="50"/>
        <v>6.8933333333333335</v>
      </c>
      <c r="T101" s="92">
        <f t="shared" si="51"/>
        <v>9</v>
      </c>
      <c r="U101" s="95">
        <f t="shared" si="52"/>
        <v>34.466666666666669</v>
      </c>
      <c r="V101" s="94">
        <f>IF(Variable_Management!$B$22=3,2,IF((S101*R101/T101)&lt;((T101*(1-(T101/R101)))/(2*Lm*Fsw)),1,2))</f>
        <v>2</v>
      </c>
      <c r="W101" s="92">
        <f t="shared" si="53"/>
        <v>0.8</v>
      </c>
      <c r="X101" s="95">
        <f t="shared" si="54"/>
        <v>0.19999999999999996</v>
      </c>
      <c r="Y101" s="94">
        <f t="shared" si="55"/>
        <v>5.454545454545455</v>
      </c>
      <c r="Z101" s="92">
        <f t="shared" si="77"/>
        <v>37.193939393939395</v>
      </c>
      <c r="AA101" s="92">
        <f t="shared" si="78"/>
        <v>34.502615117612265</v>
      </c>
      <c r="AB101" s="92">
        <v>0</v>
      </c>
      <c r="AC101" s="92">
        <f t="shared" si="56"/>
        <v>7.1425826997245192</v>
      </c>
      <c r="AD101" s="95">
        <f t="shared" si="67"/>
        <v>7.1425826997245192</v>
      </c>
      <c r="AE101" s="94">
        <f t="shared" si="76"/>
        <v>27.573333333333338</v>
      </c>
      <c r="AF101" s="92">
        <f t="shared" si="68"/>
        <v>30.860077121797168</v>
      </c>
      <c r="AG101" s="92">
        <f t="shared" si="57"/>
        <v>6.6664105197428833</v>
      </c>
      <c r="AH101" s="92">
        <f t="shared" si="58"/>
        <v>16.051339285714285</v>
      </c>
      <c r="AI101" s="95">
        <f t="shared" si="69"/>
        <v>22.717749805457167</v>
      </c>
      <c r="AJ101" s="94">
        <f t="shared" si="70"/>
        <v>6.8933333333333318</v>
      </c>
      <c r="AK101" s="92">
        <f t="shared" si="59"/>
        <v>15.430038560898582</v>
      </c>
      <c r="AL101" s="92">
        <f t="shared" si="60"/>
        <v>1.6666026299357204</v>
      </c>
      <c r="AM101" s="92">
        <f t="shared" si="71"/>
        <v>0.34846000000000005</v>
      </c>
      <c r="AN101" s="211">
        <f t="shared" si="61"/>
        <v>0.25291878787878785</v>
      </c>
      <c r="AO101" s="95">
        <f t="shared" si="72"/>
        <v>2.2679814178145081</v>
      </c>
      <c r="AP101" s="94">
        <f t="shared" si="62"/>
        <v>1.7856456749311298</v>
      </c>
      <c r="AQ101" s="230">
        <f t="shared" si="63"/>
        <v>7.1425826997245192</v>
      </c>
      <c r="AR101" s="230">
        <f t="shared" si="64"/>
        <v>1.0915700452567536</v>
      </c>
      <c r="AS101" s="92">
        <f t="shared" si="65"/>
        <v>3.6000000000000004E-2</v>
      </c>
      <c r="AT101" s="95">
        <f t="shared" si="66"/>
        <v>2.9699999999999997E-5</v>
      </c>
      <c r="AU101" s="94">
        <f t="shared" si="73"/>
        <v>42.184142042908597</v>
      </c>
      <c r="AV101" s="92">
        <f t="shared" si="74"/>
        <v>310.2</v>
      </c>
      <c r="AW101" s="95">
        <f t="shared" si="75"/>
        <v>88.028932914418164</v>
      </c>
    </row>
    <row r="102" spans="17:49" x14ac:dyDescent="0.25">
      <c r="Q102" s="32">
        <v>95</v>
      </c>
      <c r="R102" s="94">
        <f t="shared" si="49"/>
        <v>45</v>
      </c>
      <c r="S102" s="92">
        <f t="shared" si="50"/>
        <v>6.9666666666666668</v>
      </c>
      <c r="T102" s="92">
        <f t="shared" si="51"/>
        <v>9</v>
      </c>
      <c r="U102" s="95">
        <f t="shared" si="52"/>
        <v>34.833333333333336</v>
      </c>
      <c r="V102" s="94">
        <f>IF(Variable_Management!$B$22=3,2,IF((S102*R102/T102)&lt;((T102*(1-(T102/R102)))/(2*Lm*Fsw)),1,2))</f>
        <v>2</v>
      </c>
      <c r="W102" s="92">
        <f t="shared" si="53"/>
        <v>0.8</v>
      </c>
      <c r="X102" s="95">
        <f t="shared" si="54"/>
        <v>0.19999999999999996</v>
      </c>
      <c r="Y102" s="94">
        <f t="shared" si="55"/>
        <v>5.454545454545455</v>
      </c>
      <c r="Z102" s="92">
        <f t="shared" si="77"/>
        <v>37.560606060606062</v>
      </c>
      <c r="AA102" s="92">
        <f t="shared" si="78"/>
        <v>34.8689037675991</v>
      </c>
      <c r="AB102" s="92">
        <v>0</v>
      </c>
      <c r="AC102" s="92">
        <f t="shared" si="56"/>
        <v>7.2950426997245206</v>
      </c>
      <c r="AD102" s="95">
        <f t="shared" si="67"/>
        <v>7.2950426997245206</v>
      </c>
      <c r="AE102" s="94">
        <f t="shared" si="76"/>
        <v>27.866666666666671</v>
      </c>
      <c r="AF102" s="92">
        <f t="shared" si="68"/>
        <v>31.187695650100046</v>
      </c>
      <c r="AG102" s="92">
        <f t="shared" si="57"/>
        <v>6.808706519742886</v>
      </c>
      <c r="AH102" s="92">
        <f t="shared" si="58"/>
        <v>16.222098214285715</v>
      </c>
      <c r="AI102" s="95">
        <f t="shared" si="69"/>
        <v>23.0308047340286</v>
      </c>
      <c r="AJ102" s="94">
        <f t="shared" si="70"/>
        <v>6.9666666666666659</v>
      </c>
      <c r="AK102" s="92">
        <f t="shared" si="59"/>
        <v>15.593847825050021</v>
      </c>
      <c r="AL102" s="92">
        <f t="shared" si="60"/>
        <v>1.7021766299357211</v>
      </c>
      <c r="AM102" s="92">
        <f t="shared" si="71"/>
        <v>0.34846000000000005</v>
      </c>
      <c r="AN102" s="211">
        <f t="shared" si="61"/>
        <v>0.2554121212121212</v>
      </c>
      <c r="AO102" s="95">
        <f t="shared" si="72"/>
        <v>2.3060487511478422</v>
      </c>
      <c r="AP102" s="94">
        <f t="shared" si="62"/>
        <v>1.8237606749311301</v>
      </c>
      <c r="AQ102" s="230">
        <f t="shared" si="63"/>
        <v>7.2950426997245206</v>
      </c>
      <c r="AR102" s="230">
        <f t="shared" si="64"/>
        <v>1.0915700452567536</v>
      </c>
      <c r="AS102" s="92">
        <f t="shared" si="65"/>
        <v>3.6000000000000004E-2</v>
      </c>
      <c r="AT102" s="95">
        <f t="shared" si="66"/>
        <v>2.9699999999999997E-5</v>
      </c>
      <c r="AU102" s="94">
        <f t="shared" si="73"/>
        <v>42.87829930481336</v>
      </c>
      <c r="AV102" s="92">
        <f t="shared" si="74"/>
        <v>313.5</v>
      </c>
      <c r="AW102" s="95">
        <f t="shared" si="75"/>
        <v>87.968319230307785</v>
      </c>
    </row>
    <row r="103" spans="17:49" x14ac:dyDescent="0.25">
      <c r="Q103" s="32">
        <v>96</v>
      </c>
      <c r="R103" s="94">
        <f t="shared" si="49"/>
        <v>45</v>
      </c>
      <c r="S103" s="92">
        <f t="shared" ref="S103:S134" si="79">Q103*$O$12</f>
        <v>7.04</v>
      </c>
      <c r="T103" s="92">
        <f t="shared" si="51"/>
        <v>9</v>
      </c>
      <c r="U103" s="95">
        <f t="shared" ref="U103:U134" si="80">(R103*S103)/(T103*EFF_est)</f>
        <v>35.200000000000003</v>
      </c>
      <c r="V103" s="94">
        <f>IF(Variable_Management!$B$22=3,2,IF((S103*R103/T103)&lt;((T103*(1-(T103/R103)))/(2*Lm*Fsw)),1,2))</f>
        <v>2</v>
      </c>
      <c r="W103" s="92">
        <f t="shared" ref="W103:W134" si="81">CHOOSE(V103,SQRT((2*S103*Lm*Fsw*(R103-T103))/((T103)^2)),1-(T103/R103))</f>
        <v>0.8</v>
      </c>
      <c r="X103" s="95">
        <f t="shared" ref="X103:X134" si="82">CHOOSE(V103,(Lm*Z103*Fsw)/(R103-T103),1-W103)</f>
        <v>0.19999999999999996</v>
      </c>
      <c r="Y103" s="94">
        <f t="shared" ref="Y103:Y134" si="83">(T103*W103)/(Lm*Fsw)</f>
        <v>5.454545454545455</v>
      </c>
      <c r="Z103" s="92">
        <f t="shared" si="77"/>
        <v>37.927272727272729</v>
      </c>
      <c r="AA103" s="92">
        <f t="shared" si="78"/>
        <v>35.235200281011252</v>
      </c>
      <c r="AB103" s="92">
        <v>0</v>
      </c>
      <c r="AC103" s="92">
        <f t="shared" ref="AC103:AC134" si="84">(AA103^2)*Rdcr</f>
        <v>7.4491160330578525</v>
      </c>
      <c r="AD103" s="95">
        <f t="shared" si="67"/>
        <v>7.4491160330578525</v>
      </c>
      <c r="AE103" s="94">
        <f t="shared" si="76"/>
        <v>28.160000000000004</v>
      </c>
      <c r="AF103" s="92">
        <f t="shared" si="68"/>
        <v>31.51532121166434</v>
      </c>
      <c r="AG103" s="92">
        <f t="shared" ref="AG103:AG134" si="85">(AF103^2)*RDS_on</f>
        <v>6.9525082975206622</v>
      </c>
      <c r="AH103" s="92">
        <f t="shared" ref="AH103:AH134" si="86">((R103*U103)/2)*Fsw*(tr_sw+tf_sw)</f>
        <v>16.392857142857146</v>
      </c>
      <c r="AI103" s="95">
        <f t="shared" si="69"/>
        <v>23.345365440377808</v>
      </c>
      <c r="AJ103" s="94">
        <f t="shared" si="70"/>
        <v>7.0399999999999991</v>
      </c>
      <c r="AK103" s="92">
        <f t="shared" ref="AK103:AK134" si="87">CHOOSE(V103,Z103*SQRT(X103/3),SQRT(X103*((Z103^2)+((Y103^2)/3)-(Y103*Z103))))</f>
        <v>15.757660605832168</v>
      </c>
      <c r="AL103" s="92">
        <f t="shared" ref="AL103:AL134" si="88">(AK103^2)*RDS_on_HS</f>
        <v>1.7381270743801651</v>
      </c>
      <c r="AM103" s="92">
        <f t="shared" si="71"/>
        <v>0.34846000000000005</v>
      </c>
      <c r="AN103" s="211">
        <f t="shared" ref="AN103:AN134" si="89">Vd_rect*t_dead*Fsw*Z103</f>
        <v>0.25790545454545455</v>
      </c>
      <c r="AO103" s="95">
        <f t="shared" si="72"/>
        <v>2.34449252892562</v>
      </c>
      <c r="AP103" s="94">
        <f t="shared" ref="AP103:AP134" si="90">(AA103^2)*R_cs</f>
        <v>1.8622790082644631</v>
      </c>
      <c r="AQ103" s="230">
        <f t="shared" ref="AQ103:AQ134" si="91">Rdcr*AA103^2</f>
        <v>7.4491160330578525</v>
      </c>
      <c r="AR103" s="230">
        <f t="shared" ref="AR103:AR134" si="92">ABS(7.759*10^-3*Fsw^0.9458*(0.00787*Y103)^2.304)</f>
        <v>1.0915700452567536</v>
      </c>
      <c r="AS103" s="92">
        <f t="shared" ref="AS103:AS134" si="93">(Qg_tot+Qg_tot_HS)*Vcc*Fsw</f>
        <v>3.6000000000000004E-2</v>
      </c>
      <c r="AT103" s="95">
        <f t="shared" ref="AT103:AT134" si="94">IQ*T103</f>
        <v>2.9699999999999997E-5</v>
      </c>
      <c r="AU103" s="94">
        <f t="shared" si="73"/>
        <v>43.577968788940353</v>
      </c>
      <c r="AV103" s="92">
        <f t="shared" si="74"/>
        <v>316.8</v>
      </c>
      <c r="AW103" s="95">
        <f t="shared" si="75"/>
        <v>87.907704531610165</v>
      </c>
    </row>
    <row r="104" spans="17:49" x14ac:dyDescent="0.25">
      <c r="Q104" s="32">
        <v>97</v>
      </c>
      <c r="R104" s="94">
        <f t="shared" si="49"/>
        <v>45</v>
      </c>
      <c r="S104" s="92">
        <f t="shared" si="79"/>
        <v>7.1133333333333333</v>
      </c>
      <c r="T104" s="92">
        <f t="shared" si="51"/>
        <v>9</v>
      </c>
      <c r="U104" s="95">
        <f t="shared" si="80"/>
        <v>35.56666666666667</v>
      </c>
      <c r="V104" s="94">
        <f>IF(Variable_Management!$B$22=3,2,IF((S104*R104/T104)&lt;((T104*(1-(T104/R104)))/(2*Lm*Fsw)),1,2))</f>
        <v>2</v>
      </c>
      <c r="W104" s="92">
        <f t="shared" si="81"/>
        <v>0.8</v>
      </c>
      <c r="X104" s="95">
        <f t="shared" si="82"/>
        <v>0.19999999999999996</v>
      </c>
      <c r="Y104" s="94">
        <f t="shared" si="83"/>
        <v>5.454545454545455</v>
      </c>
      <c r="Z104" s="92">
        <f t="shared" si="77"/>
        <v>38.293939393939397</v>
      </c>
      <c r="AA104" s="92">
        <f t="shared" si="78"/>
        <v>35.601504415133263</v>
      </c>
      <c r="AB104" s="92">
        <v>0</v>
      </c>
      <c r="AC104" s="92">
        <f t="shared" si="84"/>
        <v>7.6048026997245186</v>
      </c>
      <c r="AD104" s="95">
        <f t="shared" si="67"/>
        <v>7.6048026997245186</v>
      </c>
      <c r="AE104" s="94">
        <f t="shared" si="76"/>
        <v>28.453333333333337</v>
      </c>
      <c r="AF104" s="92">
        <f t="shared" si="68"/>
        <v>31.842953589398746</v>
      </c>
      <c r="AG104" s="92">
        <f t="shared" si="85"/>
        <v>7.0978158530762174</v>
      </c>
      <c r="AH104" s="92">
        <f t="shared" si="86"/>
        <v>16.563616071428573</v>
      </c>
      <c r="AI104" s="95">
        <f t="shared" si="69"/>
        <v>23.661431924504789</v>
      </c>
      <c r="AJ104" s="94">
        <f t="shared" si="70"/>
        <v>7.1133333333333324</v>
      </c>
      <c r="AK104" s="92">
        <f t="shared" si="87"/>
        <v>15.921476794699371</v>
      </c>
      <c r="AL104" s="92">
        <f t="shared" si="88"/>
        <v>1.7744539632690539</v>
      </c>
      <c r="AM104" s="92">
        <f t="shared" ref="AM104:AM135" si="95">CHOOSE(V104,(R104+Vd_rect)*Qrr*Fsw,(R104+Vd_rect)*Qrr*Fsw)</f>
        <v>0.34846000000000005</v>
      </c>
      <c r="AN104" s="211">
        <f t="shared" si="89"/>
        <v>0.2603987878787879</v>
      </c>
      <c r="AO104" s="95">
        <f t="shared" si="72"/>
        <v>2.3833127511478418</v>
      </c>
      <c r="AP104" s="94">
        <f t="shared" si="90"/>
        <v>1.9012006749311297</v>
      </c>
      <c r="AQ104" s="230">
        <f t="shared" si="91"/>
        <v>7.6048026997245186</v>
      </c>
      <c r="AR104" s="230">
        <f t="shared" si="92"/>
        <v>1.0915700452567536</v>
      </c>
      <c r="AS104" s="92">
        <f t="shared" si="93"/>
        <v>3.6000000000000004E-2</v>
      </c>
      <c r="AT104" s="95">
        <f t="shared" si="94"/>
        <v>2.9699999999999997E-5</v>
      </c>
      <c r="AU104" s="94">
        <f t="shared" si="73"/>
        <v>44.283150495289547</v>
      </c>
      <c r="AV104" s="92">
        <f t="shared" si="74"/>
        <v>320.10000000000002</v>
      </c>
      <c r="AW104" s="95">
        <f t="shared" si="75"/>
        <v>87.847091602589899</v>
      </c>
    </row>
    <row r="105" spans="17:49" x14ac:dyDescent="0.25">
      <c r="Q105" s="32">
        <v>98</v>
      </c>
      <c r="R105" s="94">
        <f t="shared" si="49"/>
        <v>45</v>
      </c>
      <c r="S105" s="92">
        <f t="shared" si="79"/>
        <v>7.1866666666666665</v>
      </c>
      <c r="T105" s="92">
        <f t="shared" si="51"/>
        <v>9</v>
      </c>
      <c r="U105" s="95">
        <f t="shared" si="80"/>
        <v>35.93333333333333</v>
      </c>
      <c r="V105" s="94">
        <f>IF(Variable_Management!$B$22=3,2,IF((S105*R105/T105)&lt;((T105*(1-(T105/R105)))/(2*Lm*Fsw)),1,2))</f>
        <v>2</v>
      </c>
      <c r="W105" s="92">
        <f t="shared" si="81"/>
        <v>0.8</v>
      </c>
      <c r="X105" s="95">
        <f t="shared" si="82"/>
        <v>0.19999999999999996</v>
      </c>
      <c r="Y105" s="94">
        <f t="shared" si="83"/>
        <v>5.454545454545455</v>
      </c>
      <c r="Z105" s="92">
        <f t="shared" si="77"/>
        <v>38.660606060606057</v>
      </c>
      <c r="AA105" s="92">
        <f t="shared" si="78"/>
        <v>35.96781593713218</v>
      </c>
      <c r="AB105" s="92">
        <v>0</v>
      </c>
      <c r="AC105" s="92">
        <f t="shared" si="84"/>
        <v>7.7621026997245179</v>
      </c>
      <c r="AD105" s="95">
        <f t="shared" si="67"/>
        <v>7.7621026997245179</v>
      </c>
      <c r="AE105" s="94">
        <f t="shared" si="76"/>
        <v>28.746666666666666</v>
      </c>
      <c r="AF105" s="92">
        <f t="shared" si="68"/>
        <v>32.170592575051138</v>
      </c>
      <c r="AG105" s="92">
        <f t="shared" si="85"/>
        <v>7.244629186409548</v>
      </c>
      <c r="AH105" s="92">
        <f t="shared" si="86"/>
        <v>16.734374999999996</v>
      </c>
      <c r="AI105" s="95">
        <f t="shared" si="69"/>
        <v>23.979004186409544</v>
      </c>
      <c r="AJ105" s="94">
        <f t="shared" si="70"/>
        <v>7.1866666666666648</v>
      </c>
      <c r="AK105" s="92">
        <f t="shared" si="87"/>
        <v>16.085296287525566</v>
      </c>
      <c r="AL105" s="92">
        <f t="shared" si="88"/>
        <v>1.8111572966023861</v>
      </c>
      <c r="AM105" s="92">
        <f t="shared" si="95"/>
        <v>0.34846000000000005</v>
      </c>
      <c r="AN105" s="211">
        <f t="shared" si="89"/>
        <v>0.26289212121212119</v>
      </c>
      <c r="AO105" s="95">
        <f t="shared" si="72"/>
        <v>2.4225094178145072</v>
      </c>
      <c r="AP105" s="94">
        <f t="shared" si="90"/>
        <v>1.9405256749311295</v>
      </c>
      <c r="AQ105" s="230">
        <f t="shared" si="91"/>
        <v>7.7621026997245179</v>
      </c>
      <c r="AR105" s="230">
        <f t="shared" si="92"/>
        <v>1.0915700452567536</v>
      </c>
      <c r="AS105" s="92">
        <f t="shared" si="93"/>
        <v>3.6000000000000004E-2</v>
      </c>
      <c r="AT105" s="95">
        <f t="shared" si="94"/>
        <v>2.9699999999999997E-5</v>
      </c>
      <c r="AU105" s="94">
        <f t="shared" si="73"/>
        <v>44.993844423860963</v>
      </c>
      <c r="AV105" s="92">
        <f t="shared" si="74"/>
        <v>323.39999999999998</v>
      </c>
      <c r="AW105" s="95">
        <f t="shared" si="75"/>
        <v>87.786483106353799</v>
      </c>
    </row>
    <row r="106" spans="17:49" x14ac:dyDescent="0.25">
      <c r="Q106" s="32">
        <v>99</v>
      </c>
      <c r="R106" s="94">
        <f t="shared" si="49"/>
        <v>45</v>
      </c>
      <c r="S106" s="92">
        <f t="shared" si="79"/>
        <v>7.26</v>
      </c>
      <c r="T106" s="92">
        <f t="shared" si="51"/>
        <v>9</v>
      </c>
      <c r="U106" s="95">
        <f t="shared" si="80"/>
        <v>36.299999999999997</v>
      </c>
      <c r="V106" s="94">
        <f>IF(Variable_Management!$B$22=3,2,IF((S106*R106/T106)&lt;((T106*(1-(T106/R106)))/(2*Lm*Fsw)),1,2))</f>
        <v>2</v>
      </c>
      <c r="W106" s="92">
        <f t="shared" si="81"/>
        <v>0.8</v>
      </c>
      <c r="X106" s="95">
        <f t="shared" si="82"/>
        <v>0.19999999999999996</v>
      </c>
      <c r="Y106" s="94">
        <f t="shared" si="83"/>
        <v>5.454545454545455</v>
      </c>
      <c r="Z106" s="92">
        <f t="shared" si="77"/>
        <v>39.027272727272724</v>
      </c>
      <c r="AA106" s="92">
        <f t="shared" si="78"/>
        <v>36.334134623559912</v>
      </c>
      <c r="AB106" s="92">
        <v>0</v>
      </c>
      <c r="AC106" s="92">
        <f t="shared" si="84"/>
        <v>7.9210160330578505</v>
      </c>
      <c r="AD106" s="95">
        <f t="shared" si="67"/>
        <v>7.9210160330578505</v>
      </c>
      <c r="AE106" s="94">
        <f t="shared" si="76"/>
        <v>29.04</v>
      </c>
      <c r="AF106" s="92">
        <f t="shared" si="68"/>
        <v>32.498237968763476</v>
      </c>
      <c r="AG106" s="92">
        <f t="shared" si="85"/>
        <v>7.3929482975206611</v>
      </c>
      <c r="AH106" s="92">
        <f t="shared" si="86"/>
        <v>16.905133928571427</v>
      </c>
      <c r="AI106" s="95">
        <f t="shared" si="69"/>
        <v>24.298082226092088</v>
      </c>
      <c r="AJ106" s="94">
        <f t="shared" si="70"/>
        <v>7.259999999999998</v>
      </c>
      <c r="AK106" s="92">
        <f t="shared" si="87"/>
        <v>16.249118984381738</v>
      </c>
      <c r="AL106" s="92">
        <f t="shared" si="88"/>
        <v>1.8482370743801653</v>
      </c>
      <c r="AM106" s="92">
        <f t="shared" si="95"/>
        <v>0.34846000000000005</v>
      </c>
      <c r="AN106" s="211">
        <f t="shared" si="89"/>
        <v>0.26538545454545448</v>
      </c>
      <c r="AO106" s="95">
        <f t="shared" si="72"/>
        <v>2.4620825289256199</v>
      </c>
      <c r="AP106" s="94">
        <f t="shared" si="90"/>
        <v>1.9802540082644626</v>
      </c>
      <c r="AQ106" s="230">
        <f t="shared" si="91"/>
        <v>7.9210160330578505</v>
      </c>
      <c r="AR106" s="230">
        <f t="shared" si="92"/>
        <v>1.0915700452567536</v>
      </c>
      <c r="AS106" s="92">
        <f t="shared" si="93"/>
        <v>3.6000000000000004E-2</v>
      </c>
      <c r="AT106" s="95">
        <f t="shared" si="94"/>
        <v>2.9699999999999997E-5</v>
      </c>
      <c r="AU106" s="94">
        <f t="shared" si="73"/>
        <v>45.71005057465463</v>
      </c>
      <c r="AV106" s="92">
        <f t="shared" si="74"/>
        <v>326.7</v>
      </c>
      <c r="AW106" s="95">
        <f t="shared" si="75"/>
        <v>87.725881590971881</v>
      </c>
    </row>
    <row r="107" spans="17:49" x14ac:dyDescent="0.25">
      <c r="Q107" s="32">
        <v>100</v>
      </c>
      <c r="R107" s="94">
        <f t="shared" si="49"/>
        <v>45</v>
      </c>
      <c r="S107" s="92">
        <f t="shared" si="79"/>
        <v>7.333333333333333</v>
      </c>
      <c r="T107" s="92">
        <f t="shared" si="51"/>
        <v>9</v>
      </c>
      <c r="U107" s="95">
        <f t="shared" si="80"/>
        <v>36.666666666666664</v>
      </c>
      <c r="V107" s="94">
        <f>IF(Variable_Management!$B$22=3,2,IF((S107*R107/T107)&lt;((T107*(1-(T107/R107)))/(2*Lm*Fsw)),1,2))</f>
        <v>2</v>
      </c>
      <c r="W107" s="92">
        <f t="shared" si="81"/>
        <v>0.8</v>
      </c>
      <c r="X107" s="95">
        <f t="shared" si="82"/>
        <v>0.19999999999999996</v>
      </c>
      <c r="Y107" s="94">
        <f t="shared" si="83"/>
        <v>5.454545454545455</v>
      </c>
      <c r="Z107" s="92">
        <f t="shared" si="77"/>
        <v>39.393939393939391</v>
      </c>
      <c r="AA107" s="92">
        <f t="shared" si="78"/>
        <v>36.70046025988529</v>
      </c>
      <c r="AB107" s="92">
        <v>0</v>
      </c>
      <c r="AC107" s="92">
        <f t="shared" si="84"/>
        <v>8.0815426997245172</v>
      </c>
      <c r="AD107" s="95">
        <f t="shared" si="67"/>
        <v>8.0815426997245172</v>
      </c>
      <c r="AE107" s="94">
        <f t="shared" si="76"/>
        <v>29.333333333333332</v>
      </c>
      <c r="AF107" s="92">
        <f t="shared" si="68"/>
        <v>32.825889578653246</v>
      </c>
      <c r="AG107" s="92">
        <f t="shared" si="85"/>
        <v>7.5427731864095504</v>
      </c>
      <c r="AH107" s="92">
        <f t="shared" si="86"/>
        <v>17.075892857142858</v>
      </c>
      <c r="AI107" s="95">
        <f t="shared" si="69"/>
        <v>24.618666043552409</v>
      </c>
      <c r="AJ107" s="94">
        <f t="shared" si="70"/>
        <v>7.3333333333333313</v>
      </c>
      <c r="AK107" s="92">
        <f t="shared" si="87"/>
        <v>16.41294478932662</v>
      </c>
      <c r="AL107" s="92">
        <f t="shared" si="88"/>
        <v>1.8856932966023867</v>
      </c>
      <c r="AM107" s="92">
        <f t="shared" si="95"/>
        <v>0.34846000000000005</v>
      </c>
      <c r="AN107" s="211">
        <f t="shared" si="89"/>
        <v>0.26787878787878783</v>
      </c>
      <c r="AO107" s="95">
        <f t="shared" si="72"/>
        <v>2.5020320844811748</v>
      </c>
      <c r="AP107" s="94">
        <f t="shared" si="90"/>
        <v>2.0203856749311293</v>
      </c>
      <c r="AQ107" s="230">
        <f t="shared" si="91"/>
        <v>8.0815426997245172</v>
      </c>
      <c r="AR107" s="230">
        <f t="shared" si="92"/>
        <v>1.0915700452567536</v>
      </c>
      <c r="AS107" s="92">
        <f t="shared" si="93"/>
        <v>3.6000000000000004E-2</v>
      </c>
      <c r="AT107" s="95">
        <f t="shared" si="94"/>
        <v>2.9699999999999997E-5</v>
      </c>
      <c r="AU107" s="94">
        <f t="shared" si="73"/>
        <v>46.431768947670498</v>
      </c>
      <c r="AV107" s="92">
        <f t="shared" si="74"/>
        <v>330</v>
      </c>
      <c r="AW107" s="95">
        <f t="shared" si="75"/>
        <v>87.665289495232486</v>
      </c>
    </row>
    <row r="108" spans="17:49" x14ac:dyDescent="0.25">
      <c r="Q108" s="32">
        <v>101</v>
      </c>
      <c r="R108" s="94">
        <f t="shared" si="49"/>
        <v>45</v>
      </c>
      <c r="S108" s="92">
        <f t="shared" si="79"/>
        <v>7.4066666666666663</v>
      </c>
      <c r="T108" s="92">
        <f t="shared" si="51"/>
        <v>9</v>
      </c>
      <c r="U108" s="95">
        <f t="shared" si="80"/>
        <v>37.033333333333331</v>
      </c>
      <c r="V108" s="94">
        <f>IF(Variable_Management!$B$22=3,2,IF((S108*R108/T108)&lt;((T108*(1-(T108/R108)))/(2*Lm*Fsw)),1,2))</f>
        <v>2</v>
      </c>
      <c r="W108" s="92">
        <f t="shared" si="81"/>
        <v>0.8</v>
      </c>
      <c r="X108" s="95">
        <f t="shared" si="82"/>
        <v>0.19999999999999996</v>
      </c>
      <c r="Y108" s="94">
        <f t="shared" si="83"/>
        <v>5.454545454545455</v>
      </c>
      <c r="Z108" s="92">
        <f t="shared" si="77"/>
        <v>39.760606060606058</v>
      </c>
      <c r="AA108" s="92">
        <f t="shared" si="78"/>
        <v>37.066792640053883</v>
      </c>
      <c r="AB108" s="92">
        <v>0</v>
      </c>
      <c r="AC108" s="92">
        <f t="shared" si="84"/>
        <v>8.2436826997245163</v>
      </c>
      <c r="AD108" s="95">
        <f t="shared" si="67"/>
        <v>8.2436826997245163</v>
      </c>
      <c r="AE108" s="94">
        <f t="shared" si="76"/>
        <v>29.626666666666665</v>
      </c>
      <c r="AF108" s="92">
        <f t="shared" si="68"/>
        <v>33.153547220419753</v>
      </c>
      <c r="AG108" s="92">
        <f t="shared" si="85"/>
        <v>7.694103853076216</v>
      </c>
      <c r="AH108" s="92">
        <f t="shared" si="86"/>
        <v>17.246651785714285</v>
      </c>
      <c r="AI108" s="95">
        <f t="shared" si="69"/>
        <v>24.940755638790499</v>
      </c>
      <c r="AJ108" s="94">
        <f t="shared" si="70"/>
        <v>7.4066666666666645</v>
      </c>
      <c r="AK108" s="92">
        <f t="shared" si="87"/>
        <v>16.576773610209873</v>
      </c>
      <c r="AL108" s="92">
        <f t="shared" si="88"/>
        <v>1.9235259632690531</v>
      </c>
      <c r="AM108" s="92">
        <f t="shared" si="95"/>
        <v>0.34846000000000005</v>
      </c>
      <c r="AN108" s="211">
        <f t="shared" si="89"/>
        <v>0.27037212121212117</v>
      </c>
      <c r="AO108" s="95">
        <f t="shared" si="72"/>
        <v>2.5423580844811746</v>
      </c>
      <c r="AP108" s="94">
        <f t="shared" si="90"/>
        <v>2.0609206749311291</v>
      </c>
      <c r="AQ108" s="230">
        <f t="shared" si="91"/>
        <v>8.2436826997245163</v>
      </c>
      <c r="AR108" s="230">
        <f t="shared" si="92"/>
        <v>1.0915700452567536</v>
      </c>
      <c r="AS108" s="92">
        <f t="shared" si="93"/>
        <v>3.6000000000000004E-2</v>
      </c>
      <c r="AT108" s="95">
        <f t="shared" si="94"/>
        <v>2.9699999999999997E-5</v>
      </c>
      <c r="AU108" s="94">
        <f t="shared" si="73"/>
        <v>47.158999542908589</v>
      </c>
      <c r="AV108" s="92">
        <f t="shared" si="74"/>
        <v>333.29999999999995</v>
      </c>
      <c r="AW108" s="95">
        <f t="shared" si="75"/>
        <v>87.604709154056977</v>
      </c>
    </row>
    <row r="109" spans="17:49" x14ac:dyDescent="0.25">
      <c r="Q109" s="32">
        <v>102</v>
      </c>
      <c r="R109" s="94">
        <f t="shared" si="49"/>
        <v>45</v>
      </c>
      <c r="S109" s="92">
        <f t="shared" si="79"/>
        <v>7.48</v>
      </c>
      <c r="T109" s="92">
        <f t="shared" si="51"/>
        <v>9</v>
      </c>
      <c r="U109" s="95">
        <f t="shared" si="80"/>
        <v>37.400000000000006</v>
      </c>
      <c r="V109" s="94">
        <f>IF(Variable_Management!$B$22=3,2,IF((S109*R109/T109)&lt;((T109*(1-(T109/R109)))/(2*Lm*Fsw)),1,2))</f>
        <v>2</v>
      </c>
      <c r="W109" s="92">
        <f t="shared" si="81"/>
        <v>0.8</v>
      </c>
      <c r="X109" s="95">
        <f t="shared" si="82"/>
        <v>0.19999999999999996</v>
      </c>
      <c r="Y109" s="94">
        <f t="shared" si="83"/>
        <v>5.454545454545455</v>
      </c>
      <c r="Z109" s="92">
        <f t="shared" si="77"/>
        <v>40.127272727272732</v>
      </c>
      <c r="AA109" s="92">
        <f t="shared" si="78"/>
        <v>37.433131566073598</v>
      </c>
      <c r="AB109" s="92">
        <v>0</v>
      </c>
      <c r="AC109" s="92">
        <f t="shared" si="84"/>
        <v>8.4074360330578539</v>
      </c>
      <c r="AD109" s="95">
        <f t="shared" si="67"/>
        <v>8.4074360330578539</v>
      </c>
      <c r="AE109" s="94">
        <f t="shared" si="76"/>
        <v>29.920000000000005</v>
      </c>
      <c r="AF109" s="92">
        <f t="shared" si="68"/>
        <v>33.481210716973486</v>
      </c>
      <c r="AG109" s="92">
        <f t="shared" si="85"/>
        <v>7.8469402975206606</v>
      </c>
      <c r="AH109" s="92">
        <f t="shared" si="86"/>
        <v>17.417410714285719</v>
      </c>
      <c r="AI109" s="95">
        <f t="shared" si="69"/>
        <v>25.264351011806379</v>
      </c>
      <c r="AJ109" s="94">
        <f t="shared" si="70"/>
        <v>7.4799999999999995</v>
      </c>
      <c r="AK109" s="92">
        <f t="shared" si="87"/>
        <v>16.740605358486743</v>
      </c>
      <c r="AL109" s="92">
        <f t="shared" si="88"/>
        <v>1.9617350743801651</v>
      </c>
      <c r="AM109" s="92">
        <f t="shared" si="95"/>
        <v>0.34846000000000005</v>
      </c>
      <c r="AN109" s="211">
        <f t="shared" si="89"/>
        <v>0.27286545454545458</v>
      </c>
      <c r="AO109" s="95">
        <f t="shared" si="72"/>
        <v>2.5830605289256199</v>
      </c>
      <c r="AP109" s="94">
        <f t="shared" si="90"/>
        <v>2.1018590082644635</v>
      </c>
      <c r="AQ109" s="230">
        <f t="shared" si="91"/>
        <v>8.4074360330578539</v>
      </c>
      <c r="AR109" s="230">
        <f t="shared" si="92"/>
        <v>1.0915700452567536</v>
      </c>
      <c r="AS109" s="92">
        <f t="shared" si="93"/>
        <v>3.6000000000000004E-2</v>
      </c>
      <c r="AT109" s="95">
        <f t="shared" si="94"/>
        <v>2.9699999999999997E-5</v>
      </c>
      <c r="AU109" s="94">
        <f t="shared" si="73"/>
        <v>47.891742360368923</v>
      </c>
      <c r="AV109" s="92">
        <f t="shared" si="74"/>
        <v>336.6</v>
      </c>
      <c r="AW109" s="95">
        <f t="shared" si="75"/>
        <v>87.544142803597097</v>
      </c>
    </row>
    <row r="110" spans="17:49" x14ac:dyDescent="0.25">
      <c r="Q110" s="32">
        <v>103</v>
      </c>
      <c r="R110" s="94">
        <f t="shared" si="49"/>
        <v>45</v>
      </c>
      <c r="S110" s="92">
        <f t="shared" si="79"/>
        <v>7.5533333333333337</v>
      </c>
      <c r="T110" s="92">
        <f t="shared" si="51"/>
        <v>9</v>
      </c>
      <c r="U110" s="95">
        <f t="shared" si="80"/>
        <v>37.766666666666673</v>
      </c>
      <c r="V110" s="94">
        <f>IF(Variable_Management!$B$22=3,2,IF((S110*R110/T110)&lt;((T110*(1-(T110/R110)))/(2*Lm*Fsw)),1,2))</f>
        <v>2</v>
      </c>
      <c r="W110" s="92">
        <f t="shared" si="81"/>
        <v>0.8</v>
      </c>
      <c r="X110" s="95">
        <f t="shared" si="82"/>
        <v>0.19999999999999996</v>
      </c>
      <c r="Y110" s="94">
        <f t="shared" si="83"/>
        <v>5.454545454545455</v>
      </c>
      <c r="Z110" s="92">
        <f t="shared" si="77"/>
        <v>40.493939393939399</v>
      </c>
      <c r="AA110" s="92">
        <f t="shared" si="78"/>
        <v>37.799476847624319</v>
      </c>
      <c r="AB110" s="92">
        <v>0</v>
      </c>
      <c r="AC110" s="92">
        <f t="shared" si="84"/>
        <v>8.572802699724523</v>
      </c>
      <c r="AD110" s="95">
        <f t="shared" si="67"/>
        <v>8.572802699724523</v>
      </c>
      <c r="AE110" s="94">
        <f t="shared" si="76"/>
        <v>30.213333333333338</v>
      </c>
      <c r="AF110" s="92">
        <f t="shared" si="68"/>
        <v>33.808879898086971</v>
      </c>
      <c r="AG110" s="92">
        <f t="shared" si="85"/>
        <v>8.001282519742885</v>
      </c>
      <c r="AH110" s="92">
        <f t="shared" si="86"/>
        <v>17.588169642857146</v>
      </c>
      <c r="AI110" s="95">
        <f t="shared" si="69"/>
        <v>25.589452162600033</v>
      </c>
      <c r="AJ110" s="94">
        <f t="shared" si="70"/>
        <v>7.5533333333333328</v>
      </c>
      <c r="AK110" s="92">
        <f t="shared" si="87"/>
        <v>16.904439949043486</v>
      </c>
      <c r="AL110" s="92">
        <f t="shared" si="88"/>
        <v>2.0003206299357212</v>
      </c>
      <c r="AM110" s="92">
        <f t="shared" si="95"/>
        <v>0.34846000000000005</v>
      </c>
      <c r="AN110" s="211">
        <f t="shared" si="89"/>
        <v>0.27535878787878793</v>
      </c>
      <c r="AO110" s="95">
        <f t="shared" si="72"/>
        <v>2.6241394178145092</v>
      </c>
      <c r="AP110" s="94">
        <f t="shared" si="90"/>
        <v>2.1432006749311308</v>
      </c>
      <c r="AQ110" s="230">
        <f t="shared" si="91"/>
        <v>8.572802699724523</v>
      </c>
      <c r="AR110" s="230">
        <f t="shared" si="92"/>
        <v>1.0915700452567536</v>
      </c>
      <c r="AS110" s="92">
        <f t="shared" si="93"/>
        <v>3.6000000000000004E-2</v>
      </c>
      <c r="AT110" s="95">
        <f t="shared" si="94"/>
        <v>2.9699999999999997E-5</v>
      </c>
      <c r="AU110" s="94">
        <f t="shared" si="73"/>
        <v>48.629997400051472</v>
      </c>
      <c r="AV110" s="92">
        <f t="shared" si="74"/>
        <v>339.90000000000003</v>
      </c>
      <c r="AW110" s="95">
        <f t="shared" si="75"/>
        <v>87.483592586036693</v>
      </c>
    </row>
    <row r="111" spans="17:49" x14ac:dyDescent="0.25">
      <c r="Q111" s="32">
        <v>104</v>
      </c>
      <c r="R111" s="94">
        <f t="shared" si="49"/>
        <v>45</v>
      </c>
      <c r="S111" s="92">
        <f t="shared" si="79"/>
        <v>7.6266666666666669</v>
      </c>
      <c r="T111" s="92">
        <f t="shared" si="51"/>
        <v>9</v>
      </c>
      <c r="U111" s="95">
        <f t="shared" si="80"/>
        <v>38.133333333333333</v>
      </c>
      <c r="V111" s="94">
        <f>IF(Variable_Management!$B$22=3,2,IF((S111*R111/T111)&lt;((T111*(1-(T111/R111)))/(2*Lm*Fsw)),1,2))</f>
        <v>2</v>
      </c>
      <c r="W111" s="92">
        <f t="shared" si="81"/>
        <v>0.8</v>
      </c>
      <c r="X111" s="95">
        <f t="shared" si="82"/>
        <v>0.19999999999999996</v>
      </c>
      <c r="Y111" s="94">
        <f t="shared" si="83"/>
        <v>5.454545454545455</v>
      </c>
      <c r="Z111" s="92">
        <f t="shared" si="77"/>
        <v>40.860606060606059</v>
      </c>
      <c r="AA111" s="92">
        <f t="shared" si="78"/>
        <v>38.165828301690063</v>
      </c>
      <c r="AB111" s="92">
        <v>0</v>
      </c>
      <c r="AC111" s="92">
        <f t="shared" si="84"/>
        <v>8.7397826997245165</v>
      </c>
      <c r="AD111" s="95">
        <f t="shared" si="67"/>
        <v>8.7397826997245165</v>
      </c>
      <c r="AE111" s="94">
        <f t="shared" si="76"/>
        <v>30.506666666666668</v>
      </c>
      <c r="AF111" s="92">
        <f t="shared" si="68"/>
        <v>34.136554600065736</v>
      </c>
      <c r="AG111" s="92">
        <f t="shared" si="85"/>
        <v>8.1571305197428856</v>
      </c>
      <c r="AH111" s="92">
        <f t="shared" si="86"/>
        <v>17.758928571428573</v>
      </c>
      <c r="AI111" s="95">
        <f t="shared" si="69"/>
        <v>25.916059091171459</v>
      </c>
      <c r="AJ111" s="94">
        <f t="shared" si="70"/>
        <v>7.6266666666666652</v>
      </c>
      <c r="AK111" s="92">
        <f t="shared" si="87"/>
        <v>17.068277300032864</v>
      </c>
      <c r="AL111" s="92">
        <f t="shared" si="88"/>
        <v>2.0392826299357205</v>
      </c>
      <c r="AM111" s="92">
        <f t="shared" si="95"/>
        <v>0.34846000000000005</v>
      </c>
      <c r="AN111" s="211">
        <f t="shared" si="89"/>
        <v>0.27785212121212116</v>
      </c>
      <c r="AO111" s="95">
        <f t="shared" si="72"/>
        <v>2.6655947511478417</v>
      </c>
      <c r="AP111" s="94">
        <f t="shared" si="90"/>
        <v>2.1849456749311291</v>
      </c>
      <c r="AQ111" s="230">
        <f t="shared" si="91"/>
        <v>8.7397826997245165</v>
      </c>
      <c r="AR111" s="230">
        <f t="shared" si="92"/>
        <v>1.0915700452567536</v>
      </c>
      <c r="AS111" s="92">
        <f t="shared" si="93"/>
        <v>3.6000000000000004E-2</v>
      </c>
      <c r="AT111" s="95">
        <f t="shared" si="94"/>
        <v>2.9699999999999997E-5</v>
      </c>
      <c r="AU111" s="94">
        <f t="shared" si="73"/>
        <v>49.373764661956216</v>
      </c>
      <c r="AV111" s="92">
        <f t="shared" si="74"/>
        <v>343.2</v>
      </c>
      <c r="AW111" s="95">
        <f t="shared" si="75"/>
        <v>87.423060554117313</v>
      </c>
    </row>
    <row r="112" spans="17:49" x14ac:dyDescent="0.25">
      <c r="Q112" s="32">
        <v>105</v>
      </c>
      <c r="R112" s="94">
        <f t="shared" si="49"/>
        <v>45</v>
      </c>
      <c r="S112" s="92">
        <f t="shared" si="79"/>
        <v>7.7</v>
      </c>
      <c r="T112" s="92">
        <f t="shared" si="51"/>
        <v>9</v>
      </c>
      <c r="U112" s="95">
        <f t="shared" si="80"/>
        <v>38.5</v>
      </c>
      <c r="V112" s="94">
        <f>IF(Variable_Management!$B$22=3,2,IF((S112*R112/T112)&lt;((T112*(1-(T112/R112)))/(2*Lm*Fsw)),1,2))</f>
        <v>2</v>
      </c>
      <c r="W112" s="92">
        <f t="shared" si="81"/>
        <v>0.8</v>
      </c>
      <c r="X112" s="95">
        <f t="shared" si="82"/>
        <v>0.19999999999999996</v>
      </c>
      <c r="Y112" s="94">
        <f t="shared" si="83"/>
        <v>5.454545454545455</v>
      </c>
      <c r="Z112" s="92">
        <f t="shared" si="77"/>
        <v>41.227272727272727</v>
      </c>
      <c r="AA112" s="92">
        <f t="shared" si="78"/>
        <v>38.532185752212072</v>
      </c>
      <c r="AB112" s="92">
        <v>0</v>
      </c>
      <c r="AC112" s="92">
        <f t="shared" si="84"/>
        <v>8.9083760330578503</v>
      </c>
      <c r="AD112" s="95">
        <f t="shared" si="67"/>
        <v>8.9083760330578503</v>
      </c>
      <c r="AE112" s="94">
        <f t="shared" si="76"/>
        <v>30.8</v>
      </c>
      <c r="AF112" s="92">
        <f t="shared" si="68"/>
        <v>34.464234665438028</v>
      </c>
      <c r="AG112" s="92">
        <f t="shared" si="85"/>
        <v>8.3144842975206625</v>
      </c>
      <c r="AH112" s="92">
        <f t="shared" si="86"/>
        <v>17.9296875</v>
      </c>
      <c r="AI112" s="95">
        <f t="shared" si="69"/>
        <v>26.244171797520664</v>
      </c>
      <c r="AJ112" s="94">
        <f t="shared" si="70"/>
        <v>7.6999999999999984</v>
      </c>
      <c r="AK112" s="92">
        <f t="shared" si="87"/>
        <v>17.232117332719014</v>
      </c>
      <c r="AL112" s="92">
        <f t="shared" si="88"/>
        <v>2.0786210743801656</v>
      </c>
      <c r="AM112" s="92">
        <f t="shared" si="95"/>
        <v>0.34846000000000005</v>
      </c>
      <c r="AN112" s="211">
        <f t="shared" si="89"/>
        <v>0.28034545454545451</v>
      </c>
      <c r="AO112" s="95">
        <f t="shared" si="72"/>
        <v>2.7074265289256205</v>
      </c>
      <c r="AP112" s="94">
        <f t="shared" si="90"/>
        <v>2.2270940082644626</v>
      </c>
      <c r="AQ112" s="230">
        <f t="shared" si="91"/>
        <v>8.9083760330578503</v>
      </c>
      <c r="AR112" s="230">
        <f t="shared" si="92"/>
        <v>1.0915700452567536</v>
      </c>
      <c r="AS112" s="92">
        <f t="shared" si="93"/>
        <v>3.6000000000000004E-2</v>
      </c>
      <c r="AT112" s="95">
        <f t="shared" si="94"/>
        <v>2.9699999999999997E-5</v>
      </c>
      <c r="AU112" s="94">
        <f t="shared" si="73"/>
        <v>50.123044146083195</v>
      </c>
      <c r="AV112" s="92">
        <f t="shared" si="74"/>
        <v>346.5</v>
      </c>
      <c r="AW112" s="95">
        <f t="shared" si="75"/>
        <v>87.362548675406259</v>
      </c>
    </row>
    <row r="113" spans="17:49" x14ac:dyDescent="0.25">
      <c r="Q113" s="32">
        <v>106</v>
      </c>
      <c r="R113" s="94">
        <f t="shared" si="49"/>
        <v>45</v>
      </c>
      <c r="S113" s="92">
        <f t="shared" si="79"/>
        <v>7.7733333333333334</v>
      </c>
      <c r="T113" s="92">
        <f t="shared" si="51"/>
        <v>9</v>
      </c>
      <c r="U113" s="95">
        <f t="shared" si="80"/>
        <v>38.866666666666667</v>
      </c>
      <c r="V113" s="94">
        <f>IF(Variable_Management!$B$22=3,2,IF((S113*R113/T113)&lt;((T113*(1-(T113/R113)))/(2*Lm*Fsw)),1,2))</f>
        <v>2</v>
      </c>
      <c r="W113" s="92">
        <f t="shared" si="81"/>
        <v>0.8</v>
      </c>
      <c r="X113" s="95">
        <f t="shared" si="82"/>
        <v>0.19999999999999996</v>
      </c>
      <c r="Y113" s="94">
        <f t="shared" si="83"/>
        <v>5.454545454545455</v>
      </c>
      <c r="Z113" s="92">
        <f t="shared" si="77"/>
        <v>41.593939393939394</v>
      </c>
      <c r="AA113" s="92">
        <f t="shared" si="78"/>
        <v>38.898549029761419</v>
      </c>
      <c r="AB113" s="92">
        <v>0</v>
      </c>
      <c r="AC113" s="92">
        <f t="shared" si="84"/>
        <v>9.0785826997245191</v>
      </c>
      <c r="AD113" s="95">
        <f t="shared" si="67"/>
        <v>9.0785826997245191</v>
      </c>
      <c r="AE113" s="94">
        <f t="shared" si="76"/>
        <v>31.093333333333334</v>
      </c>
      <c r="AF113" s="92">
        <f t="shared" si="68"/>
        <v>34.791919942662005</v>
      </c>
      <c r="AG113" s="92">
        <f t="shared" si="85"/>
        <v>8.4733438530762157</v>
      </c>
      <c r="AH113" s="92">
        <f t="shared" si="86"/>
        <v>18.100446428571427</v>
      </c>
      <c r="AI113" s="95">
        <f t="shared" si="69"/>
        <v>26.573790281647643</v>
      </c>
      <c r="AJ113" s="94">
        <f t="shared" si="70"/>
        <v>7.7733333333333317</v>
      </c>
      <c r="AK113" s="92">
        <f t="shared" si="87"/>
        <v>17.395959971331003</v>
      </c>
      <c r="AL113" s="92">
        <f t="shared" si="88"/>
        <v>2.1183359632690539</v>
      </c>
      <c r="AM113" s="92">
        <f t="shared" si="95"/>
        <v>0.34846000000000005</v>
      </c>
      <c r="AN113" s="211">
        <f t="shared" si="89"/>
        <v>0.28283878787878786</v>
      </c>
      <c r="AO113" s="95">
        <f t="shared" si="72"/>
        <v>2.7496347511478421</v>
      </c>
      <c r="AP113" s="94">
        <f t="shared" si="90"/>
        <v>2.2696456749311298</v>
      </c>
      <c r="AQ113" s="230">
        <f t="shared" si="91"/>
        <v>9.0785826997245191</v>
      </c>
      <c r="AR113" s="230">
        <f t="shared" si="92"/>
        <v>1.0915700452567536</v>
      </c>
      <c r="AS113" s="92">
        <f t="shared" si="93"/>
        <v>3.6000000000000004E-2</v>
      </c>
      <c r="AT113" s="95">
        <f t="shared" si="94"/>
        <v>2.9699999999999997E-5</v>
      </c>
      <c r="AU113" s="94">
        <f t="shared" si="73"/>
        <v>50.877835852432405</v>
      </c>
      <c r="AV113" s="92">
        <f t="shared" si="74"/>
        <v>349.8</v>
      </c>
      <c r="AW113" s="95">
        <f t="shared" si="75"/>
        <v>87.302058836323951</v>
      </c>
    </row>
    <row r="114" spans="17:49" x14ac:dyDescent="0.25">
      <c r="Q114" s="32">
        <v>107</v>
      </c>
      <c r="R114" s="94">
        <f t="shared" si="49"/>
        <v>45</v>
      </c>
      <c r="S114" s="92">
        <f t="shared" si="79"/>
        <v>7.8466666666666667</v>
      </c>
      <c r="T114" s="92">
        <f t="shared" si="51"/>
        <v>9</v>
      </c>
      <c r="U114" s="95">
        <f t="shared" si="80"/>
        <v>39.233333333333334</v>
      </c>
      <c r="V114" s="94">
        <f>IF(Variable_Management!$B$22=3,2,IF((S114*R114/T114)&lt;((T114*(1-(T114/R114)))/(2*Lm*Fsw)),1,2))</f>
        <v>2</v>
      </c>
      <c r="W114" s="92">
        <f t="shared" si="81"/>
        <v>0.8</v>
      </c>
      <c r="X114" s="95">
        <f t="shared" si="82"/>
        <v>0.19999999999999996</v>
      </c>
      <c r="Y114" s="94">
        <f t="shared" si="83"/>
        <v>5.454545454545455</v>
      </c>
      <c r="Z114" s="92">
        <f t="shared" si="77"/>
        <v>41.960606060606061</v>
      </c>
      <c r="AA114" s="92">
        <f t="shared" si="78"/>
        <v>39.264917971229991</v>
      </c>
      <c r="AB114" s="92">
        <v>0</v>
      </c>
      <c r="AC114" s="92">
        <f t="shared" si="84"/>
        <v>9.2504026997245195</v>
      </c>
      <c r="AD114" s="95">
        <f t="shared" si="67"/>
        <v>9.2504026997245195</v>
      </c>
      <c r="AE114" s="94">
        <f t="shared" si="76"/>
        <v>31.38666666666667</v>
      </c>
      <c r="AF114" s="92">
        <f t="shared" si="68"/>
        <v>35.119610285849355</v>
      </c>
      <c r="AG114" s="92">
        <f t="shared" si="85"/>
        <v>8.6337091864095505</v>
      </c>
      <c r="AH114" s="92">
        <f t="shared" si="86"/>
        <v>18.271205357142858</v>
      </c>
      <c r="AI114" s="95">
        <f t="shared" si="69"/>
        <v>26.904914543552408</v>
      </c>
      <c r="AJ114" s="94">
        <f t="shared" si="70"/>
        <v>7.8466666666666649</v>
      </c>
      <c r="AK114" s="92">
        <f t="shared" si="87"/>
        <v>17.559805142924674</v>
      </c>
      <c r="AL114" s="92">
        <f t="shared" si="88"/>
        <v>2.1584272966023867</v>
      </c>
      <c r="AM114" s="92">
        <f t="shared" si="95"/>
        <v>0.34846000000000005</v>
      </c>
      <c r="AN114" s="211">
        <f t="shared" si="89"/>
        <v>0.2853321212121212</v>
      </c>
      <c r="AO114" s="95">
        <f t="shared" si="72"/>
        <v>2.7922194178145081</v>
      </c>
      <c r="AP114" s="94">
        <f t="shared" si="90"/>
        <v>2.3126006749311299</v>
      </c>
      <c r="AQ114" s="230">
        <f t="shared" si="91"/>
        <v>9.2504026997245195</v>
      </c>
      <c r="AR114" s="230">
        <f t="shared" si="92"/>
        <v>1.0915700452567536</v>
      </c>
      <c r="AS114" s="92">
        <f t="shared" si="93"/>
        <v>3.6000000000000004E-2</v>
      </c>
      <c r="AT114" s="95">
        <f t="shared" si="94"/>
        <v>2.9699999999999997E-5</v>
      </c>
      <c r="AU114" s="94">
        <f t="shared" si="73"/>
        <v>51.638139781003837</v>
      </c>
      <c r="AV114" s="92">
        <f t="shared" si="74"/>
        <v>353.1</v>
      </c>
      <c r="AW114" s="95">
        <f t="shared" si="75"/>
        <v>87.241592845946215</v>
      </c>
    </row>
    <row r="115" spans="17:49" x14ac:dyDescent="0.25">
      <c r="Q115" s="32">
        <v>108</v>
      </c>
      <c r="R115" s="94">
        <f t="shared" si="49"/>
        <v>45</v>
      </c>
      <c r="S115" s="92">
        <f t="shared" si="79"/>
        <v>7.92</v>
      </c>
      <c r="T115" s="92">
        <f t="shared" si="51"/>
        <v>9</v>
      </c>
      <c r="U115" s="95">
        <f t="shared" si="80"/>
        <v>39.599999999999994</v>
      </c>
      <c r="V115" s="94">
        <f>IF(Variable_Management!$B$22=3,2,IF((S115*R115/T115)&lt;((T115*(1-(T115/R115)))/(2*Lm*Fsw)),1,2))</f>
        <v>2</v>
      </c>
      <c r="W115" s="92">
        <f t="shared" si="81"/>
        <v>0.8</v>
      </c>
      <c r="X115" s="95">
        <f t="shared" si="82"/>
        <v>0.19999999999999996</v>
      </c>
      <c r="Y115" s="94">
        <f t="shared" si="83"/>
        <v>5.454545454545455</v>
      </c>
      <c r="Z115" s="92">
        <f t="shared" si="77"/>
        <v>42.327272727272721</v>
      </c>
      <c r="AA115" s="92">
        <f t="shared" si="78"/>
        <v>39.631292419538568</v>
      </c>
      <c r="AB115" s="92">
        <v>0</v>
      </c>
      <c r="AC115" s="92">
        <f t="shared" si="84"/>
        <v>9.4238360330578512</v>
      </c>
      <c r="AD115" s="95">
        <f t="shared" si="67"/>
        <v>9.4238360330578512</v>
      </c>
      <c r="AE115" s="94">
        <f t="shared" si="76"/>
        <v>31.679999999999996</v>
      </c>
      <c r="AF115" s="92">
        <f t="shared" si="68"/>
        <v>35.44730555450414</v>
      </c>
      <c r="AG115" s="92">
        <f t="shared" si="85"/>
        <v>8.7955802975206616</v>
      </c>
      <c r="AH115" s="92">
        <f t="shared" si="86"/>
        <v>18.441964285714281</v>
      </c>
      <c r="AI115" s="95">
        <f t="shared" si="69"/>
        <v>27.237544583234943</v>
      </c>
      <c r="AJ115" s="94">
        <f t="shared" si="70"/>
        <v>7.9199999999999973</v>
      </c>
      <c r="AK115" s="92">
        <f t="shared" si="87"/>
        <v>17.723652777252067</v>
      </c>
      <c r="AL115" s="92">
        <f t="shared" si="88"/>
        <v>2.1988950743801645</v>
      </c>
      <c r="AM115" s="92">
        <f t="shared" si="95"/>
        <v>0.34846000000000005</v>
      </c>
      <c r="AN115" s="211">
        <f t="shared" si="89"/>
        <v>0.2878254545454545</v>
      </c>
      <c r="AO115" s="95">
        <f t="shared" si="72"/>
        <v>2.8351805289256191</v>
      </c>
      <c r="AP115" s="94">
        <f t="shared" si="90"/>
        <v>2.3559590082644628</v>
      </c>
      <c r="AQ115" s="230">
        <f t="shared" si="91"/>
        <v>9.4238360330578512</v>
      </c>
      <c r="AR115" s="230">
        <f t="shared" si="92"/>
        <v>1.0915700452567536</v>
      </c>
      <c r="AS115" s="92">
        <f t="shared" si="93"/>
        <v>3.6000000000000004E-2</v>
      </c>
      <c r="AT115" s="95">
        <f t="shared" si="94"/>
        <v>2.9699999999999997E-5</v>
      </c>
      <c r="AU115" s="94">
        <f t="shared" si="73"/>
        <v>52.403955931797483</v>
      </c>
      <c r="AV115" s="92">
        <f t="shared" si="74"/>
        <v>356.4</v>
      </c>
      <c r="AW115" s="95">
        <f t="shared" si="75"/>
        <v>87.18115243959619</v>
      </c>
    </row>
    <row r="116" spans="17:49" x14ac:dyDescent="0.25">
      <c r="Q116" s="32">
        <v>109</v>
      </c>
      <c r="R116" s="94">
        <f t="shared" si="49"/>
        <v>45</v>
      </c>
      <c r="S116" s="92">
        <f t="shared" si="79"/>
        <v>7.9933333333333332</v>
      </c>
      <c r="T116" s="92">
        <f t="shared" si="51"/>
        <v>9</v>
      </c>
      <c r="U116" s="95">
        <f t="shared" si="80"/>
        <v>39.966666666666669</v>
      </c>
      <c r="V116" s="94">
        <f>IF(Variable_Management!$B$22=3,2,IF((S116*R116/T116)&lt;((T116*(1-(T116/R116)))/(2*Lm*Fsw)),1,2))</f>
        <v>2</v>
      </c>
      <c r="W116" s="92">
        <f t="shared" si="81"/>
        <v>0.8</v>
      </c>
      <c r="X116" s="95">
        <f t="shared" si="82"/>
        <v>0.19999999999999996</v>
      </c>
      <c r="Y116" s="94">
        <f t="shared" si="83"/>
        <v>5.454545454545455</v>
      </c>
      <c r="Z116" s="92">
        <f t="shared" si="77"/>
        <v>42.693939393939395</v>
      </c>
      <c r="AA116" s="92">
        <f t="shared" si="78"/>
        <v>39.997672223360951</v>
      </c>
      <c r="AB116" s="92">
        <v>0</v>
      </c>
      <c r="AC116" s="92">
        <f t="shared" si="84"/>
        <v>9.5988826997245216</v>
      </c>
      <c r="AD116" s="95">
        <f t="shared" si="67"/>
        <v>9.5988826997245216</v>
      </c>
      <c r="AE116" s="94">
        <f t="shared" si="76"/>
        <v>31.973333333333336</v>
      </c>
      <c r="AF116" s="92">
        <f t="shared" si="68"/>
        <v>35.775005613276093</v>
      </c>
      <c r="AG116" s="92">
        <f t="shared" si="85"/>
        <v>8.9589571864095525</v>
      </c>
      <c r="AH116" s="92">
        <f t="shared" si="86"/>
        <v>18.612723214285715</v>
      </c>
      <c r="AI116" s="95">
        <f t="shared" si="69"/>
        <v>27.571680400695268</v>
      </c>
      <c r="AJ116" s="94">
        <f t="shared" si="70"/>
        <v>7.9933333333333323</v>
      </c>
      <c r="AK116" s="92">
        <f t="shared" si="87"/>
        <v>17.887502806638043</v>
      </c>
      <c r="AL116" s="92">
        <f t="shared" si="88"/>
        <v>2.2397392966023868</v>
      </c>
      <c r="AM116" s="92">
        <f t="shared" si="95"/>
        <v>0.34846000000000005</v>
      </c>
      <c r="AN116" s="211">
        <f t="shared" si="89"/>
        <v>0.2903187878787879</v>
      </c>
      <c r="AO116" s="95">
        <f t="shared" si="72"/>
        <v>2.8785180844811751</v>
      </c>
      <c r="AP116" s="94">
        <f t="shared" si="90"/>
        <v>2.3997206749311304</v>
      </c>
      <c r="AQ116" s="230">
        <f t="shared" si="91"/>
        <v>9.5988826997245216</v>
      </c>
      <c r="AR116" s="230">
        <f t="shared" si="92"/>
        <v>1.0915700452567536</v>
      </c>
      <c r="AS116" s="92">
        <f t="shared" si="93"/>
        <v>3.6000000000000004E-2</v>
      </c>
      <c r="AT116" s="95">
        <f t="shared" si="94"/>
        <v>2.9699999999999997E-5</v>
      </c>
      <c r="AU116" s="94">
        <f t="shared" si="73"/>
        <v>53.175284304813367</v>
      </c>
      <c r="AV116" s="92">
        <f t="shared" si="74"/>
        <v>359.7</v>
      </c>
      <c r="AW116" s="95">
        <f t="shared" si="75"/>
        <v>87.120739282239128</v>
      </c>
    </row>
    <row r="117" spans="17:49" x14ac:dyDescent="0.25">
      <c r="Q117" s="32">
        <v>110</v>
      </c>
      <c r="R117" s="94">
        <f t="shared" si="49"/>
        <v>45</v>
      </c>
      <c r="S117" s="92">
        <f t="shared" si="79"/>
        <v>8.0666666666666664</v>
      </c>
      <c r="T117" s="92">
        <f t="shared" si="51"/>
        <v>9</v>
      </c>
      <c r="U117" s="95">
        <f t="shared" si="80"/>
        <v>40.333333333333336</v>
      </c>
      <c r="V117" s="94">
        <f>IF(Variable_Management!$B$22=3,2,IF((S117*R117/T117)&lt;((T117*(1-(T117/R117)))/(2*Lm*Fsw)),1,2))</f>
        <v>2</v>
      </c>
      <c r="W117" s="92">
        <f t="shared" si="81"/>
        <v>0.8</v>
      </c>
      <c r="X117" s="95">
        <f t="shared" si="82"/>
        <v>0.19999999999999996</v>
      </c>
      <c r="Y117" s="94">
        <f t="shared" si="83"/>
        <v>5.454545454545455</v>
      </c>
      <c r="Z117" s="92">
        <f t="shared" si="77"/>
        <v>43.060606060606062</v>
      </c>
      <c r="AA117" s="92">
        <f t="shared" si="78"/>
        <v>40.364057236863012</v>
      </c>
      <c r="AB117" s="92">
        <v>0</v>
      </c>
      <c r="AC117" s="92">
        <f t="shared" si="84"/>
        <v>9.7755426997245198</v>
      </c>
      <c r="AD117" s="95">
        <f t="shared" si="67"/>
        <v>9.7755426997245198</v>
      </c>
      <c r="AE117" s="94">
        <f t="shared" si="76"/>
        <v>32.266666666666673</v>
      </c>
      <c r="AF117" s="92">
        <f t="shared" si="68"/>
        <v>36.102710331727209</v>
      </c>
      <c r="AG117" s="92">
        <f t="shared" si="85"/>
        <v>9.1238398530762179</v>
      </c>
      <c r="AH117" s="92">
        <f t="shared" si="86"/>
        <v>18.783482142857142</v>
      </c>
      <c r="AI117" s="95">
        <f t="shared" si="69"/>
        <v>27.907321995933358</v>
      </c>
      <c r="AJ117" s="94">
        <f t="shared" si="70"/>
        <v>8.0666666666666647</v>
      </c>
      <c r="AK117" s="92">
        <f t="shared" si="87"/>
        <v>18.051355165863601</v>
      </c>
      <c r="AL117" s="92">
        <f t="shared" si="88"/>
        <v>2.2809599632690536</v>
      </c>
      <c r="AM117" s="92">
        <f t="shared" si="95"/>
        <v>0.34846000000000005</v>
      </c>
      <c r="AN117" s="211">
        <f t="shared" si="89"/>
        <v>0.29281212121212119</v>
      </c>
      <c r="AO117" s="95">
        <f t="shared" si="72"/>
        <v>2.9222320844811751</v>
      </c>
      <c r="AP117" s="94">
        <f t="shared" si="90"/>
        <v>2.44388567493113</v>
      </c>
      <c r="AQ117" s="230">
        <f t="shared" si="91"/>
        <v>9.7755426997245198</v>
      </c>
      <c r="AR117" s="230">
        <f t="shared" si="92"/>
        <v>1.0915700452567536</v>
      </c>
      <c r="AS117" s="92">
        <f t="shared" si="93"/>
        <v>3.6000000000000004E-2</v>
      </c>
      <c r="AT117" s="95">
        <f t="shared" si="94"/>
        <v>2.9699999999999997E-5</v>
      </c>
      <c r="AU117" s="94">
        <f t="shared" si="73"/>
        <v>53.952124900051452</v>
      </c>
      <c r="AV117" s="92">
        <f t="shared" si="74"/>
        <v>363</v>
      </c>
      <c r="AW117" s="95">
        <f t="shared" si="75"/>
        <v>87.060354971692632</v>
      </c>
    </row>
    <row r="118" spans="17:49" x14ac:dyDescent="0.25">
      <c r="Q118" s="32">
        <v>111</v>
      </c>
      <c r="R118" s="94">
        <f t="shared" si="49"/>
        <v>45</v>
      </c>
      <c r="S118" s="92">
        <f t="shared" si="79"/>
        <v>8.14</v>
      </c>
      <c r="T118" s="92">
        <f t="shared" si="51"/>
        <v>9</v>
      </c>
      <c r="U118" s="95">
        <f t="shared" si="80"/>
        <v>40.700000000000003</v>
      </c>
      <c r="V118" s="94">
        <f>IF(Variable_Management!$B$22=3,2,IF((S118*R118/T118)&lt;((T118*(1-(T118/R118)))/(2*Lm*Fsw)),1,2))</f>
        <v>2</v>
      </c>
      <c r="W118" s="92">
        <f t="shared" si="81"/>
        <v>0.8</v>
      </c>
      <c r="X118" s="95">
        <f t="shared" si="82"/>
        <v>0.19999999999999996</v>
      </c>
      <c r="Y118" s="94">
        <f t="shared" si="83"/>
        <v>5.454545454545455</v>
      </c>
      <c r="Z118" s="92">
        <f t="shared" si="77"/>
        <v>43.427272727272729</v>
      </c>
      <c r="AA118" s="92">
        <f t="shared" si="78"/>
        <v>40.730447319455941</v>
      </c>
      <c r="AB118" s="92">
        <v>0</v>
      </c>
      <c r="AC118" s="92">
        <f t="shared" si="84"/>
        <v>9.9538160330578549</v>
      </c>
      <c r="AD118" s="95">
        <f t="shared" si="67"/>
        <v>9.9538160330578549</v>
      </c>
      <c r="AE118" s="94">
        <f t="shared" si="76"/>
        <v>32.56</v>
      </c>
      <c r="AF118" s="92">
        <f t="shared" si="68"/>
        <v>36.430419584111029</v>
      </c>
      <c r="AG118" s="92">
        <f t="shared" si="85"/>
        <v>9.2902282975206631</v>
      </c>
      <c r="AH118" s="92">
        <f t="shared" si="86"/>
        <v>18.954241071428573</v>
      </c>
      <c r="AI118" s="95">
        <f t="shared" si="69"/>
        <v>28.244469368949236</v>
      </c>
      <c r="AJ118" s="94">
        <f t="shared" si="70"/>
        <v>8.1399999999999988</v>
      </c>
      <c r="AK118" s="92">
        <f t="shared" si="87"/>
        <v>18.215209792055511</v>
      </c>
      <c r="AL118" s="92">
        <f t="shared" si="88"/>
        <v>2.3225570743801649</v>
      </c>
      <c r="AM118" s="92">
        <f t="shared" si="95"/>
        <v>0.34846000000000005</v>
      </c>
      <c r="AN118" s="211">
        <f t="shared" si="89"/>
        <v>0.29530545454545454</v>
      </c>
      <c r="AO118" s="95">
        <f t="shared" si="72"/>
        <v>2.9663225289256197</v>
      </c>
      <c r="AP118" s="94">
        <f t="shared" si="90"/>
        <v>2.4884540082644637</v>
      </c>
      <c r="AQ118" s="230">
        <f t="shared" si="91"/>
        <v>9.9538160330578549</v>
      </c>
      <c r="AR118" s="230">
        <f t="shared" si="92"/>
        <v>1.0915700452567536</v>
      </c>
      <c r="AS118" s="92">
        <f t="shared" si="93"/>
        <v>3.6000000000000004E-2</v>
      </c>
      <c r="AT118" s="95">
        <f t="shared" si="94"/>
        <v>2.9699999999999997E-5</v>
      </c>
      <c r="AU118" s="94">
        <f t="shared" si="73"/>
        <v>54.73447771751178</v>
      </c>
      <c r="AV118" s="92">
        <f t="shared" si="74"/>
        <v>366.3</v>
      </c>
      <c r="AW118" s="95">
        <f t="shared" si="75"/>
        <v>87.000001041664049</v>
      </c>
    </row>
    <row r="119" spans="17:49" x14ac:dyDescent="0.25">
      <c r="Q119" s="32">
        <v>112</v>
      </c>
      <c r="R119" s="94">
        <f t="shared" si="49"/>
        <v>45</v>
      </c>
      <c r="S119" s="92">
        <f t="shared" si="79"/>
        <v>8.2133333333333329</v>
      </c>
      <c r="T119" s="92">
        <f t="shared" si="51"/>
        <v>9</v>
      </c>
      <c r="U119" s="95">
        <f t="shared" si="80"/>
        <v>41.066666666666663</v>
      </c>
      <c r="V119" s="94">
        <f>IF(Variable_Management!$B$22=3,2,IF((S119*R119/T119)&lt;((T119*(1-(T119/R119)))/(2*Lm*Fsw)),1,2))</f>
        <v>2</v>
      </c>
      <c r="W119" s="92">
        <f t="shared" si="81"/>
        <v>0.8</v>
      </c>
      <c r="X119" s="95">
        <f t="shared" si="82"/>
        <v>0.19999999999999996</v>
      </c>
      <c r="Y119" s="94">
        <f t="shared" si="83"/>
        <v>5.454545454545455</v>
      </c>
      <c r="Z119" s="92">
        <f t="shared" si="77"/>
        <v>43.79393939393939</v>
      </c>
      <c r="AA119" s="92">
        <f t="shared" si="78"/>
        <v>41.096842335562549</v>
      </c>
      <c r="AB119" s="92">
        <v>0</v>
      </c>
      <c r="AC119" s="92">
        <f t="shared" si="84"/>
        <v>10.133702699724518</v>
      </c>
      <c r="AD119" s="95">
        <f t="shared" si="67"/>
        <v>10.133702699724518</v>
      </c>
      <c r="AE119" s="94">
        <f t="shared" si="76"/>
        <v>32.853333333333332</v>
      </c>
      <c r="AF119" s="92">
        <f t="shared" si="68"/>
        <v>36.758133249163635</v>
      </c>
      <c r="AG119" s="92">
        <f t="shared" si="85"/>
        <v>9.4581225197428829</v>
      </c>
      <c r="AH119" s="92">
        <f t="shared" si="86"/>
        <v>19.124999999999996</v>
      </c>
      <c r="AI119" s="95">
        <f t="shared" si="69"/>
        <v>28.583122519742879</v>
      </c>
      <c r="AJ119" s="94">
        <f t="shared" si="70"/>
        <v>8.2133333333333312</v>
      </c>
      <c r="AK119" s="92">
        <f t="shared" si="87"/>
        <v>18.379066624581814</v>
      </c>
      <c r="AL119" s="92">
        <f t="shared" si="88"/>
        <v>2.3645306299357198</v>
      </c>
      <c r="AM119" s="92">
        <f t="shared" si="95"/>
        <v>0.34846000000000005</v>
      </c>
      <c r="AN119" s="211">
        <f t="shared" si="89"/>
        <v>0.29779878787878783</v>
      </c>
      <c r="AO119" s="95">
        <f t="shared" si="72"/>
        <v>3.0107894178145078</v>
      </c>
      <c r="AP119" s="94">
        <f t="shared" si="90"/>
        <v>2.5334256749311295</v>
      </c>
      <c r="AQ119" s="230">
        <f t="shared" si="91"/>
        <v>10.133702699724518</v>
      </c>
      <c r="AR119" s="230">
        <f t="shared" si="92"/>
        <v>1.0915700452567536</v>
      </c>
      <c r="AS119" s="92">
        <f t="shared" si="93"/>
        <v>3.6000000000000004E-2</v>
      </c>
      <c r="AT119" s="95">
        <f t="shared" si="94"/>
        <v>2.9699999999999997E-5</v>
      </c>
      <c r="AU119" s="94">
        <f t="shared" si="73"/>
        <v>55.522342757194302</v>
      </c>
      <c r="AV119" s="92">
        <f t="shared" si="74"/>
        <v>369.59999999999997</v>
      </c>
      <c r="AW119" s="95">
        <f t="shared" si="75"/>
        <v>86.9396789646256</v>
      </c>
    </row>
    <row r="120" spans="17:49" x14ac:dyDescent="0.25">
      <c r="Q120" s="32">
        <v>113</v>
      </c>
      <c r="R120" s="94">
        <f t="shared" si="49"/>
        <v>45</v>
      </c>
      <c r="S120" s="92">
        <f t="shared" si="79"/>
        <v>8.2866666666666671</v>
      </c>
      <c r="T120" s="92">
        <f t="shared" si="51"/>
        <v>9</v>
      </c>
      <c r="U120" s="95">
        <f t="shared" si="80"/>
        <v>41.433333333333337</v>
      </c>
      <c r="V120" s="94">
        <f>IF(Variable_Management!$B$22=3,2,IF((S120*R120/T120)&lt;((T120*(1-(T120/R120)))/(2*Lm*Fsw)),1,2))</f>
        <v>2</v>
      </c>
      <c r="W120" s="92">
        <f t="shared" si="81"/>
        <v>0.8</v>
      </c>
      <c r="X120" s="95">
        <f t="shared" si="82"/>
        <v>0.19999999999999996</v>
      </c>
      <c r="Y120" s="94">
        <f t="shared" si="83"/>
        <v>5.454545454545455</v>
      </c>
      <c r="Z120" s="92">
        <f t="shared" si="77"/>
        <v>44.160606060606064</v>
      </c>
      <c r="AA120" s="92">
        <f t="shared" si="78"/>
        <v>41.463242154396063</v>
      </c>
      <c r="AB120" s="92">
        <v>0</v>
      </c>
      <c r="AC120" s="92">
        <f t="shared" si="84"/>
        <v>10.315202699724521</v>
      </c>
      <c r="AD120" s="95">
        <f t="shared" si="67"/>
        <v>10.315202699724521</v>
      </c>
      <c r="AE120" s="94">
        <f t="shared" si="76"/>
        <v>33.146666666666668</v>
      </c>
      <c r="AF120" s="92">
        <f t="shared" si="68"/>
        <v>37.085851209905769</v>
      </c>
      <c r="AG120" s="92">
        <f t="shared" si="85"/>
        <v>9.627522519742886</v>
      </c>
      <c r="AH120" s="92">
        <f t="shared" si="86"/>
        <v>19.295758928571431</v>
      </c>
      <c r="AI120" s="95">
        <f t="shared" si="69"/>
        <v>28.923281448314317</v>
      </c>
      <c r="AJ120" s="94">
        <f t="shared" si="70"/>
        <v>8.2866666666666653</v>
      </c>
      <c r="AK120" s="92">
        <f t="shared" si="87"/>
        <v>18.542925604952881</v>
      </c>
      <c r="AL120" s="92">
        <f t="shared" si="88"/>
        <v>2.4068806299357202</v>
      </c>
      <c r="AM120" s="92">
        <f t="shared" si="95"/>
        <v>0.34846000000000005</v>
      </c>
      <c r="AN120" s="211">
        <f t="shared" si="89"/>
        <v>0.30029212121212123</v>
      </c>
      <c r="AO120" s="95">
        <f t="shared" si="72"/>
        <v>3.0556327511478418</v>
      </c>
      <c r="AP120" s="94">
        <f t="shared" si="90"/>
        <v>2.5788006749311303</v>
      </c>
      <c r="AQ120" s="230">
        <f t="shared" si="91"/>
        <v>10.315202699724521</v>
      </c>
      <c r="AR120" s="230">
        <f t="shared" si="92"/>
        <v>1.0915700452567536</v>
      </c>
      <c r="AS120" s="92">
        <f t="shared" si="93"/>
        <v>3.6000000000000004E-2</v>
      </c>
      <c r="AT120" s="95">
        <f t="shared" si="94"/>
        <v>2.9699999999999997E-5</v>
      </c>
      <c r="AU120" s="94">
        <f t="shared" si="73"/>
        <v>56.315720019099089</v>
      </c>
      <c r="AV120" s="92">
        <f t="shared" si="74"/>
        <v>372.90000000000003</v>
      </c>
      <c r="AW120" s="95">
        <f t="shared" si="75"/>
        <v>86.879390154537404</v>
      </c>
    </row>
    <row r="121" spans="17:49" x14ac:dyDescent="0.25">
      <c r="Q121" s="32">
        <v>114</v>
      </c>
      <c r="R121" s="94">
        <f t="shared" si="49"/>
        <v>45</v>
      </c>
      <c r="S121" s="92">
        <f t="shared" si="79"/>
        <v>8.36</v>
      </c>
      <c r="T121" s="92">
        <f t="shared" si="51"/>
        <v>9</v>
      </c>
      <c r="U121" s="95">
        <f t="shared" si="80"/>
        <v>41.8</v>
      </c>
      <c r="V121" s="94">
        <f>IF(Variable_Management!$B$22=3,2,IF((S121*R121/T121)&lt;((T121*(1-(T121/R121)))/(2*Lm*Fsw)),1,2))</f>
        <v>2</v>
      </c>
      <c r="W121" s="92">
        <f t="shared" si="81"/>
        <v>0.8</v>
      </c>
      <c r="X121" s="95">
        <f t="shared" si="82"/>
        <v>0.19999999999999996</v>
      </c>
      <c r="Y121" s="94">
        <f t="shared" si="83"/>
        <v>5.454545454545455</v>
      </c>
      <c r="Z121" s="92">
        <f t="shared" si="77"/>
        <v>44.527272727272724</v>
      </c>
      <c r="AA121" s="92">
        <f t="shared" si="78"/>
        <v>41.829646649750401</v>
      </c>
      <c r="AB121" s="92">
        <v>0</v>
      </c>
      <c r="AC121" s="92">
        <f t="shared" si="84"/>
        <v>10.498316033057851</v>
      </c>
      <c r="AD121" s="95">
        <f t="shared" si="67"/>
        <v>10.498316033057851</v>
      </c>
      <c r="AE121" s="94">
        <f t="shared" si="76"/>
        <v>33.44</v>
      </c>
      <c r="AF121" s="92">
        <f t="shared" si="68"/>
        <v>37.413573353455298</v>
      </c>
      <c r="AG121" s="92">
        <f t="shared" si="85"/>
        <v>9.7984282975206636</v>
      </c>
      <c r="AH121" s="92">
        <f t="shared" si="86"/>
        <v>19.466517857142854</v>
      </c>
      <c r="AI121" s="95">
        <f t="shared" si="69"/>
        <v>29.264946154663519</v>
      </c>
      <c r="AJ121" s="94">
        <f t="shared" si="70"/>
        <v>8.3599999999999977</v>
      </c>
      <c r="AK121" s="92">
        <f t="shared" si="87"/>
        <v>18.706786676727646</v>
      </c>
      <c r="AL121" s="92">
        <f t="shared" si="88"/>
        <v>2.4496070743801646</v>
      </c>
      <c r="AM121" s="92">
        <f t="shared" si="95"/>
        <v>0.34846000000000005</v>
      </c>
      <c r="AN121" s="211">
        <f t="shared" si="89"/>
        <v>0.30278545454545452</v>
      </c>
      <c r="AO121" s="95">
        <f t="shared" si="72"/>
        <v>3.1008525289256195</v>
      </c>
      <c r="AP121" s="94">
        <f t="shared" si="90"/>
        <v>2.6245790082644627</v>
      </c>
      <c r="AQ121" s="230">
        <f t="shared" si="91"/>
        <v>10.498316033057851</v>
      </c>
      <c r="AR121" s="230">
        <f t="shared" si="92"/>
        <v>1.0915700452567536</v>
      </c>
      <c r="AS121" s="92">
        <f t="shared" si="93"/>
        <v>3.6000000000000004E-2</v>
      </c>
      <c r="AT121" s="95">
        <f t="shared" si="94"/>
        <v>2.9699999999999997E-5</v>
      </c>
      <c r="AU121" s="94">
        <f t="shared" si="73"/>
        <v>57.114609503226056</v>
      </c>
      <c r="AV121" s="92">
        <f t="shared" si="74"/>
        <v>376.2</v>
      </c>
      <c r="AW121" s="95">
        <f t="shared" si="75"/>
        <v>86.819135969427592</v>
      </c>
    </row>
    <row r="122" spans="17:49" x14ac:dyDescent="0.25">
      <c r="Q122" s="32">
        <v>115</v>
      </c>
      <c r="R122" s="94">
        <f t="shared" si="49"/>
        <v>45</v>
      </c>
      <c r="S122" s="92">
        <f t="shared" si="79"/>
        <v>8.4333333333333336</v>
      </c>
      <c r="T122" s="92">
        <f t="shared" si="51"/>
        <v>9</v>
      </c>
      <c r="U122" s="95">
        <f t="shared" si="80"/>
        <v>42.166666666666664</v>
      </c>
      <c r="V122" s="94">
        <f>IF(Variable_Management!$B$22=3,2,IF((S122*R122/T122)&lt;((T122*(1-(T122/R122)))/(2*Lm*Fsw)),1,2))</f>
        <v>2</v>
      </c>
      <c r="W122" s="92">
        <f t="shared" si="81"/>
        <v>0.8</v>
      </c>
      <c r="X122" s="95">
        <f t="shared" si="82"/>
        <v>0.19999999999999996</v>
      </c>
      <c r="Y122" s="94">
        <f t="shared" si="83"/>
        <v>5.454545454545455</v>
      </c>
      <c r="Z122" s="92">
        <f t="shared" si="77"/>
        <v>44.893939393939391</v>
      </c>
      <c r="AA122" s="92">
        <f t="shared" si="78"/>
        <v>42.196055699801526</v>
      </c>
      <c r="AB122" s="92">
        <v>0</v>
      </c>
      <c r="AC122" s="92">
        <f t="shared" si="84"/>
        <v>10.683042699724517</v>
      </c>
      <c r="AD122" s="95">
        <f t="shared" si="67"/>
        <v>10.683042699724517</v>
      </c>
      <c r="AE122" s="94">
        <f t="shared" si="76"/>
        <v>33.733333333333334</v>
      </c>
      <c r="AF122" s="92">
        <f t="shared" si="68"/>
        <v>37.741299570849471</v>
      </c>
      <c r="AG122" s="92">
        <f t="shared" si="85"/>
        <v>9.9708398530762175</v>
      </c>
      <c r="AH122" s="92">
        <f t="shared" si="86"/>
        <v>19.637276785714285</v>
      </c>
      <c r="AI122" s="95">
        <f t="shared" si="69"/>
        <v>29.608116638790502</v>
      </c>
      <c r="AJ122" s="94">
        <f t="shared" si="70"/>
        <v>8.4333333333333318</v>
      </c>
      <c r="AK122" s="92">
        <f t="shared" si="87"/>
        <v>18.870649785424732</v>
      </c>
      <c r="AL122" s="92">
        <f t="shared" si="88"/>
        <v>2.4927099632690535</v>
      </c>
      <c r="AM122" s="92">
        <f t="shared" si="95"/>
        <v>0.34846000000000005</v>
      </c>
      <c r="AN122" s="211">
        <f t="shared" si="89"/>
        <v>0.30527878787878782</v>
      </c>
      <c r="AO122" s="95">
        <f t="shared" si="72"/>
        <v>3.1464487511478416</v>
      </c>
      <c r="AP122" s="94">
        <f t="shared" si="90"/>
        <v>2.6707606749311292</v>
      </c>
      <c r="AQ122" s="230">
        <f t="shared" si="91"/>
        <v>10.683042699724517</v>
      </c>
      <c r="AR122" s="230">
        <f t="shared" si="92"/>
        <v>1.0915700452567536</v>
      </c>
      <c r="AS122" s="92">
        <f t="shared" si="93"/>
        <v>3.6000000000000004E-2</v>
      </c>
      <c r="AT122" s="95">
        <f t="shared" si="94"/>
        <v>2.9699999999999997E-5</v>
      </c>
      <c r="AU122" s="94">
        <f t="shared" si="73"/>
        <v>57.91901120957526</v>
      </c>
      <c r="AV122" s="92">
        <f t="shared" si="74"/>
        <v>379.5</v>
      </c>
      <c r="AW122" s="95">
        <f t="shared" si="75"/>
        <v>86.758917713838173</v>
      </c>
    </row>
    <row r="123" spans="17:49" x14ac:dyDescent="0.25">
      <c r="Q123" s="32">
        <v>116</v>
      </c>
      <c r="R123" s="94">
        <f t="shared" si="49"/>
        <v>45</v>
      </c>
      <c r="S123" s="92">
        <f t="shared" si="79"/>
        <v>8.5066666666666659</v>
      </c>
      <c r="T123" s="92">
        <f t="shared" si="51"/>
        <v>9</v>
      </c>
      <c r="U123" s="95">
        <f t="shared" si="80"/>
        <v>42.533333333333331</v>
      </c>
      <c r="V123" s="94">
        <f>IF(Variable_Management!$B$22=3,2,IF((S123*R123/T123)&lt;((T123*(1-(T123/R123)))/(2*Lm*Fsw)),1,2))</f>
        <v>2</v>
      </c>
      <c r="W123" s="92">
        <f t="shared" si="81"/>
        <v>0.8</v>
      </c>
      <c r="X123" s="95">
        <f t="shared" si="82"/>
        <v>0.19999999999999996</v>
      </c>
      <c r="Y123" s="94">
        <f t="shared" si="83"/>
        <v>5.454545454545455</v>
      </c>
      <c r="Z123" s="92">
        <f t="shared" si="77"/>
        <v>45.260606060606058</v>
      </c>
      <c r="AA123" s="92">
        <f t="shared" si="78"/>
        <v>42.562469186918882</v>
      </c>
      <c r="AB123" s="92">
        <v>0</v>
      </c>
      <c r="AC123" s="92">
        <f t="shared" si="84"/>
        <v>10.869382699724516</v>
      </c>
      <c r="AD123" s="95">
        <f t="shared" si="67"/>
        <v>10.869382699724516</v>
      </c>
      <c r="AE123" s="94">
        <f t="shared" si="76"/>
        <v>34.026666666666664</v>
      </c>
      <c r="AF123" s="92">
        <f t="shared" si="68"/>
        <v>38.069029756876333</v>
      </c>
      <c r="AG123" s="92">
        <f t="shared" si="85"/>
        <v>10.144757186409551</v>
      </c>
      <c r="AH123" s="92">
        <f t="shared" si="86"/>
        <v>19.808035714285715</v>
      </c>
      <c r="AI123" s="95">
        <f t="shared" si="69"/>
        <v>29.952792900695265</v>
      </c>
      <c r="AJ123" s="94">
        <f t="shared" si="70"/>
        <v>8.5066666666666642</v>
      </c>
      <c r="AK123" s="92">
        <f t="shared" si="87"/>
        <v>19.034514878438163</v>
      </c>
      <c r="AL123" s="92">
        <f t="shared" si="88"/>
        <v>2.5361892966023865</v>
      </c>
      <c r="AM123" s="92">
        <f t="shared" si="95"/>
        <v>0.34846000000000005</v>
      </c>
      <c r="AN123" s="211">
        <f t="shared" si="89"/>
        <v>0.30777212121212116</v>
      </c>
      <c r="AO123" s="95">
        <f t="shared" si="72"/>
        <v>3.1924214178145078</v>
      </c>
      <c r="AP123" s="94">
        <f t="shared" si="90"/>
        <v>2.7173456749311291</v>
      </c>
      <c r="AQ123" s="230">
        <f t="shared" si="91"/>
        <v>10.869382699724516</v>
      </c>
      <c r="AR123" s="230">
        <f t="shared" si="92"/>
        <v>1.0915700452567536</v>
      </c>
      <c r="AS123" s="92">
        <f t="shared" si="93"/>
        <v>3.6000000000000004E-2</v>
      </c>
      <c r="AT123" s="95">
        <f t="shared" si="94"/>
        <v>2.9699999999999997E-5</v>
      </c>
      <c r="AU123" s="94">
        <f t="shared" si="73"/>
        <v>58.728925138146693</v>
      </c>
      <c r="AV123" s="92">
        <f t="shared" si="74"/>
        <v>382.79999999999995</v>
      </c>
      <c r="AW123" s="95">
        <f t="shared" si="75"/>
        <v>86.69873664114499</v>
      </c>
    </row>
    <row r="124" spans="17:49" x14ac:dyDescent="0.25">
      <c r="Q124" s="32">
        <v>117</v>
      </c>
      <c r="R124" s="94">
        <f t="shared" si="49"/>
        <v>45</v>
      </c>
      <c r="S124" s="92">
        <f t="shared" si="79"/>
        <v>8.58</v>
      </c>
      <c r="T124" s="92">
        <f t="shared" si="51"/>
        <v>9</v>
      </c>
      <c r="U124" s="95">
        <f t="shared" si="80"/>
        <v>42.900000000000006</v>
      </c>
      <c r="V124" s="94">
        <f>IF(Variable_Management!$B$22=3,2,IF((S124*R124/T124)&lt;((T124*(1-(T124/R124)))/(2*Lm*Fsw)),1,2))</f>
        <v>2</v>
      </c>
      <c r="W124" s="92">
        <f t="shared" si="81"/>
        <v>0.8</v>
      </c>
      <c r="X124" s="95">
        <f t="shared" si="82"/>
        <v>0.19999999999999996</v>
      </c>
      <c r="Y124" s="94">
        <f t="shared" si="83"/>
        <v>5.454545454545455</v>
      </c>
      <c r="Z124" s="92">
        <f t="shared" si="77"/>
        <v>45.627272727272732</v>
      </c>
      <c r="AA124" s="92">
        <f t="shared" si="78"/>
        <v>42.928886997486622</v>
      </c>
      <c r="AB124" s="92">
        <v>0</v>
      </c>
      <c r="AC124" s="92">
        <f t="shared" si="84"/>
        <v>11.057336033057856</v>
      </c>
      <c r="AD124" s="95">
        <f t="shared" si="67"/>
        <v>11.057336033057856</v>
      </c>
      <c r="AE124" s="94">
        <f t="shared" si="76"/>
        <v>34.320000000000007</v>
      </c>
      <c r="AF124" s="92">
        <f t="shared" si="68"/>
        <v>38.396763809914766</v>
      </c>
      <c r="AG124" s="92">
        <f t="shared" si="85"/>
        <v>10.320180297520663</v>
      </c>
      <c r="AH124" s="92">
        <f t="shared" si="86"/>
        <v>19.978794642857146</v>
      </c>
      <c r="AI124" s="95">
        <f t="shared" si="69"/>
        <v>30.298974940377811</v>
      </c>
      <c r="AJ124" s="94">
        <f t="shared" si="70"/>
        <v>8.58</v>
      </c>
      <c r="AK124" s="92">
        <f t="shared" si="87"/>
        <v>19.198381904957383</v>
      </c>
      <c r="AL124" s="92">
        <f t="shared" si="88"/>
        <v>2.5800450743801657</v>
      </c>
      <c r="AM124" s="92">
        <f t="shared" si="95"/>
        <v>0.34846000000000005</v>
      </c>
      <c r="AN124" s="211">
        <f t="shared" si="89"/>
        <v>0.31026545454545457</v>
      </c>
      <c r="AO124" s="95">
        <f t="shared" si="72"/>
        <v>3.2387705289256203</v>
      </c>
      <c r="AP124" s="94">
        <f t="shared" si="90"/>
        <v>2.7643340082644641</v>
      </c>
      <c r="AQ124" s="230">
        <f t="shared" si="91"/>
        <v>11.057336033057856</v>
      </c>
      <c r="AR124" s="230">
        <f t="shared" si="92"/>
        <v>1.0915700452567536</v>
      </c>
      <c r="AS124" s="92">
        <f t="shared" si="93"/>
        <v>3.6000000000000004E-2</v>
      </c>
      <c r="AT124" s="95">
        <f t="shared" si="94"/>
        <v>2.9699999999999997E-5</v>
      </c>
      <c r="AU124" s="94">
        <f t="shared" si="73"/>
        <v>59.544351288940362</v>
      </c>
      <c r="AV124" s="92">
        <f t="shared" si="74"/>
        <v>386.1</v>
      </c>
      <c r="AW124" s="95">
        <f t="shared" si="75"/>
        <v>86.638593955758708</v>
      </c>
    </row>
    <row r="125" spans="17:49" x14ac:dyDescent="0.25">
      <c r="Q125" s="32">
        <v>118</v>
      </c>
      <c r="R125" s="94">
        <f t="shared" si="49"/>
        <v>45</v>
      </c>
      <c r="S125" s="92">
        <f t="shared" si="79"/>
        <v>8.6533333333333342</v>
      </c>
      <c r="T125" s="92">
        <f t="shared" si="51"/>
        <v>9</v>
      </c>
      <c r="U125" s="95">
        <f t="shared" si="80"/>
        <v>43.266666666666673</v>
      </c>
      <c r="V125" s="94">
        <f>IF(Variable_Management!$B$22=3,2,IF((S125*R125/T125)&lt;((T125*(1-(T125/R125)))/(2*Lm*Fsw)),1,2))</f>
        <v>2</v>
      </c>
      <c r="W125" s="92">
        <f t="shared" si="81"/>
        <v>0.8</v>
      </c>
      <c r="X125" s="95">
        <f t="shared" si="82"/>
        <v>0.19999999999999996</v>
      </c>
      <c r="Y125" s="94">
        <f t="shared" si="83"/>
        <v>5.454545454545455</v>
      </c>
      <c r="Z125" s="92">
        <f t="shared" si="77"/>
        <v>45.993939393939399</v>
      </c>
      <c r="AA125" s="92">
        <f t="shared" si="78"/>
        <v>43.295309021733758</v>
      </c>
      <c r="AB125" s="92">
        <v>0</v>
      </c>
      <c r="AC125" s="92">
        <f t="shared" si="84"/>
        <v>11.246902699724522</v>
      </c>
      <c r="AD125" s="95">
        <f t="shared" si="67"/>
        <v>11.246902699724522</v>
      </c>
      <c r="AE125" s="94">
        <f t="shared" si="76"/>
        <v>34.613333333333337</v>
      </c>
      <c r="AF125" s="92">
        <f t="shared" si="68"/>
        <v>38.724501631782637</v>
      </c>
      <c r="AG125" s="92">
        <f t="shared" si="85"/>
        <v>10.497109186409553</v>
      </c>
      <c r="AH125" s="92">
        <f t="shared" si="86"/>
        <v>20.149553571428573</v>
      </c>
      <c r="AI125" s="95">
        <f t="shared" si="69"/>
        <v>30.646662757838126</v>
      </c>
      <c r="AJ125" s="94">
        <f t="shared" si="70"/>
        <v>8.6533333333333324</v>
      </c>
      <c r="AK125" s="92">
        <f t="shared" si="87"/>
        <v>19.362250815891315</v>
      </c>
      <c r="AL125" s="92">
        <f t="shared" si="88"/>
        <v>2.6242772966023873</v>
      </c>
      <c r="AM125" s="92">
        <f t="shared" si="95"/>
        <v>0.34846000000000005</v>
      </c>
      <c r="AN125" s="211">
        <f t="shared" si="89"/>
        <v>0.31275878787878791</v>
      </c>
      <c r="AO125" s="95">
        <f t="shared" si="72"/>
        <v>3.2854960844811756</v>
      </c>
      <c r="AP125" s="94">
        <f t="shared" si="90"/>
        <v>2.8117256749311306</v>
      </c>
      <c r="AQ125" s="230">
        <f t="shared" si="91"/>
        <v>11.246902699724522</v>
      </c>
      <c r="AR125" s="230">
        <f t="shared" si="92"/>
        <v>1.0915700452567536</v>
      </c>
      <c r="AS125" s="92">
        <f t="shared" si="93"/>
        <v>3.6000000000000004E-2</v>
      </c>
      <c r="AT125" s="95">
        <f t="shared" si="94"/>
        <v>2.9699999999999997E-5</v>
      </c>
      <c r="AU125" s="94">
        <f t="shared" si="73"/>
        <v>60.365289661956233</v>
      </c>
      <c r="AV125" s="92">
        <f t="shared" si="74"/>
        <v>389.40000000000003</v>
      </c>
      <c r="AW125" s="95">
        <f t="shared" si="75"/>
        <v>86.578490815214565</v>
      </c>
    </row>
    <row r="126" spans="17:49" x14ac:dyDescent="0.25">
      <c r="Q126" s="32">
        <v>119</v>
      </c>
      <c r="R126" s="94">
        <f t="shared" si="49"/>
        <v>45</v>
      </c>
      <c r="S126" s="92">
        <f t="shared" si="79"/>
        <v>8.7266666666666666</v>
      </c>
      <c r="T126" s="92">
        <f t="shared" si="51"/>
        <v>9</v>
      </c>
      <c r="U126" s="95">
        <f t="shared" si="80"/>
        <v>43.633333333333333</v>
      </c>
      <c r="V126" s="94">
        <f>IF(Variable_Management!$B$22=3,2,IF((S126*R126/T126)&lt;((T126*(1-(T126/R126)))/(2*Lm*Fsw)),1,2))</f>
        <v>2</v>
      </c>
      <c r="W126" s="92">
        <f t="shared" si="81"/>
        <v>0.8</v>
      </c>
      <c r="X126" s="95">
        <f t="shared" si="82"/>
        <v>0.19999999999999996</v>
      </c>
      <c r="Y126" s="94">
        <f t="shared" si="83"/>
        <v>5.454545454545455</v>
      </c>
      <c r="Z126" s="92">
        <f t="shared" si="77"/>
        <v>46.360606060606059</v>
      </c>
      <c r="AA126" s="92">
        <f t="shared" si="78"/>
        <v>43.661735153573005</v>
      </c>
      <c r="AB126" s="92">
        <v>0</v>
      </c>
      <c r="AC126" s="92">
        <f t="shared" si="84"/>
        <v>11.438082699724516</v>
      </c>
      <c r="AD126" s="95">
        <f t="shared" si="67"/>
        <v>11.438082699724516</v>
      </c>
      <c r="AE126" s="94">
        <f t="shared" si="76"/>
        <v>34.906666666666666</v>
      </c>
      <c r="AF126" s="92">
        <f t="shared" si="68"/>
        <v>39.052243127592583</v>
      </c>
      <c r="AG126" s="92">
        <f t="shared" si="85"/>
        <v>10.675543853076215</v>
      </c>
      <c r="AH126" s="92">
        <f t="shared" si="86"/>
        <v>20.3203125</v>
      </c>
      <c r="AI126" s="95">
        <f t="shared" si="69"/>
        <v>30.995856353076213</v>
      </c>
      <c r="AJ126" s="94">
        <f t="shared" si="70"/>
        <v>8.7266666666666648</v>
      </c>
      <c r="AK126" s="92">
        <f t="shared" si="87"/>
        <v>19.526121563796291</v>
      </c>
      <c r="AL126" s="92">
        <f t="shared" si="88"/>
        <v>2.6688859632690538</v>
      </c>
      <c r="AM126" s="92">
        <f t="shared" si="95"/>
        <v>0.34846000000000005</v>
      </c>
      <c r="AN126" s="211">
        <f t="shared" si="89"/>
        <v>0.31525212121212121</v>
      </c>
      <c r="AO126" s="95">
        <f t="shared" si="72"/>
        <v>3.3325980844811753</v>
      </c>
      <c r="AP126" s="94">
        <f t="shared" si="90"/>
        <v>2.859520674931129</v>
      </c>
      <c r="AQ126" s="230">
        <f t="shared" si="91"/>
        <v>11.438082699724516</v>
      </c>
      <c r="AR126" s="230">
        <f t="shared" si="92"/>
        <v>1.0915700452567536</v>
      </c>
      <c r="AS126" s="92">
        <f t="shared" si="93"/>
        <v>3.6000000000000004E-2</v>
      </c>
      <c r="AT126" s="95">
        <f t="shared" si="94"/>
        <v>2.9699999999999997E-5</v>
      </c>
      <c r="AU126" s="94">
        <f t="shared" si="73"/>
        <v>61.191740257194304</v>
      </c>
      <c r="AV126" s="92">
        <f t="shared" si="74"/>
        <v>392.7</v>
      </c>
      <c r="AW126" s="95">
        <f t="shared" si="75"/>
        <v>86.518428332156816</v>
      </c>
    </row>
    <row r="127" spans="17:49" x14ac:dyDescent="0.25">
      <c r="Q127" s="32">
        <v>120</v>
      </c>
      <c r="R127" s="94">
        <f t="shared" si="49"/>
        <v>45</v>
      </c>
      <c r="S127" s="92">
        <f t="shared" si="79"/>
        <v>8.8000000000000007</v>
      </c>
      <c r="T127" s="92">
        <f t="shared" si="51"/>
        <v>9</v>
      </c>
      <c r="U127" s="95">
        <f t="shared" si="80"/>
        <v>44.000000000000007</v>
      </c>
      <c r="V127" s="94">
        <f>IF(Variable_Management!$B$22=3,2,IF((S127*R127/T127)&lt;((T127*(1-(T127/R127)))/(2*Lm*Fsw)),1,2))</f>
        <v>2</v>
      </c>
      <c r="W127" s="92">
        <f t="shared" si="81"/>
        <v>0.8</v>
      </c>
      <c r="X127" s="95">
        <f t="shared" si="82"/>
        <v>0.19999999999999996</v>
      </c>
      <c r="Y127" s="94">
        <f t="shared" si="83"/>
        <v>5.454545454545455</v>
      </c>
      <c r="Z127" s="92">
        <f t="shared" si="77"/>
        <v>46.727272727272734</v>
      </c>
      <c r="AA127" s="92">
        <f t="shared" si="78"/>
        <v>44.02816529044761</v>
      </c>
      <c r="AB127" s="92">
        <v>0</v>
      </c>
      <c r="AC127" s="92">
        <f t="shared" si="84"/>
        <v>11.630876033057854</v>
      </c>
      <c r="AD127" s="95">
        <f t="shared" si="67"/>
        <v>11.630876033057854</v>
      </c>
      <c r="AE127" s="94">
        <f t="shared" si="76"/>
        <v>35.20000000000001</v>
      </c>
      <c r="AF127" s="92">
        <f t="shared" si="68"/>
        <v>39.379988205615049</v>
      </c>
      <c r="AG127" s="92">
        <f t="shared" si="85"/>
        <v>10.855484297520663</v>
      </c>
      <c r="AH127" s="92">
        <f t="shared" si="86"/>
        <v>20.491071428571431</v>
      </c>
      <c r="AI127" s="95">
        <f t="shared" si="69"/>
        <v>31.346555726092092</v>
      </c>
      <c r="AJ127" s="94">
        <f t="shared" si="70"/>
        <v>8.7999999999999989</v>
      </c>
      <c r="AK127" s="92">
        <f t="shared" si="87"/>
        <v>19.689994102807521</v>
      </c>
      <c r="AL127" s="92">
        <f t="shared" si="88"/>
        <v>2.7138710743801648</v>
      </c>
      <c r="AM127" s="92">
        <f t="shared" si="95"/>
        <v>0.34846000000000005</v>
      </c>
      <c r="AN127" s="211">
        <f t="shared" si="89"/>
        <v>0.31774545454545455</v>
      </c>
      <c r="AO127" s="95">
        <f t="shared" si="72"/>
        <v>3.3800765289256196</v>
      </c>
      <c r="AP127" s="94">
        <f t="shared" si="90"/>
        <v>2.9077190082644635</v>
      </c>
      <c r="AQ127" s="230">
        <f t="shared" si="91"/>
        <v>11.630876033057854</v>
      </c>
      <c r="AR127" s="230">
        <f t="shared" si="92"/>
        <v>1.0915700452567536</v>
      </c>
      <c r="AS127" s="92">
        <f t="shared" si="93"/>
        <v>3.6000000000000004E-2</v>
      </c>
      <c r="AT127" s="95">
        <f t="shared" si="94"/>
        <v>2.9699999999999997E-5</v>
      </c>
      <c r="AU127" s="94">
        <f t="shared" si="73"/>
        <v>62.023703074654634</v>
      </c>
      <c r="AV127" s="92">
        <f t="shared" si="74"/>
        <v>396.00000000000006</v>
      </c>
      <c r="AW127" s="95">
        <f t="shared" si="75"/>
        <v>86.458407576224232</v>
      </c>
    </row>
    <row r="128" spans="17:49" x14ac:dyDescent="0.25">
      <c r="Q128" s="32">
        <v>121</v>
      </c>
      <c r="R128" s="94">
        <f t="shared" si="49"/>
        <v>45</v>
      </c>
      <c r="S128" s="92">
        <f t="shared" si="79"/>
        <v>8.8733333333333331</v>
      </c>
      <c r="T128" s="92">
        <f t="shared" si="51"/>
        <v>9</v>
      </c>
      <c r="U128" s="95">
        <f t="shared" si="80"/>
        <v>44.366666666666667</v>
      </c>
      <c r="V128" s="94">
        <f>IF(Variable_Management!$B$22=3,2,IF((S128*R128/T128)&lt;((T128*(1-(T128/R128)))/(2*Lm*Fsw)),1,2))</f>
        <v>2</v>
      </c>
      <c r="W128" s="92">
        <f t="shared" si="81"/>
        <v>0.8</v>
      </c>
      <c r="X128" s="95">
        <f t="shared" si="82"/>
        <v>0.19999999999999996</v>
      </c>
      <c r="Y128" s="94">
        <f t="shared" si="83"/>
        <v>5.454545454545455</v>
      </c>
      <c r="Z128" s="92">
        <f t="shared" si="77"/>
        <v>47.093939393939394</v>
      </c>
      <c r="AA128" s="92">
        <f t="shared" si="78"/>
        <v>44.394599333185631</v>
      </c>
      <c r="AB128" s="92">
        <v>0</v>
      </c>
      <c r="AC128" s="92">
        <f t="shared" si="84"/>
        <v>11.825282699724516</v>
      </c>
      <c r="AD128" s="95">
        <f t="shared" si="67"/>
        <v>11.825282699724516</v>
      </c>
      <c r="AE128" s="94">
        <f t="shared" si="76"/>
        <v>35.493333333333332</v>
      </c>
      <c r="AF128" s="92">
        <f t="shared" si="68"/>
        <v>39.707736777147964</v>
      </c>
      <c r="AG128" s="92">
        <f t="shared" si="85"/>
        <v>11.036930519742883</v>
      </c>
      <c r="AH128" s="92">
        <f t="shared" si="86"/>
        <v>20.661830357142858</v>
      </c>
      <c r="AI128" s="95">
        <f t="shared" si="69"/>
        <v>31.698760876885743</v>
      </c>
      <c r="AJ128" s="94">
        <f t="shared" si="70"/>
        <v>8.8733333333333313</v>
      </c>
      <c r="AK128" s="92">
        <f t="shared" si="87"/>
        <v>19.853868388573979</v>
      </c>
      <c r="AL128" s="92">
        <f t="shared" si="88"/>
        <v>2.7592326299357199</v>
      </c>
      <c r="AM128" s="92">
        <f t="shared" si="95"/>
        <v>0.34846000000000005</v>
      </c>
      <c r="AN128" s="211">
        <f t="shared" si="89"/>
        <v>0.32023878787878785</v>
      </c>
      <c r="AO128" s="95">
        <f t="shared" si="72"/>
        <v>3.4279314178145079</v>
      </c>
      <c r="AP128" s="94">
        <f t="shared" si="90"/>
        <v>2.956320674931129</v>
      </c>
      <c r="AQ128" s="230">
        <f t="shared" si="91"/>
        <v>11.825282699724516</v>
      </c>
      <c r="AR128" s="230">
        <f t="shared" si="92"/>
        <v>1.0915700452567536</v>
      </c>
      <c r="AS128" s="92">
        <f t="shared" si="93"/>
        <v>3.6000000000000004E-2</v>
      </c>
      <c r="AT128" s="95">
        <f t="shared" si="94"/>
        <v>2.9699999999999997E-5</v>
      </c>
      <c r="AU128" s="94">
        <f t="shared" si="73"/>
        <v>62.861178114337172</v>
      </c>
      <c r="AV128" s="92">
        <f t="shared" si="74"/>
        <v>399.3</v>
      </c>
      <c r="AW128" s="95">
        <f t="shared" si="75"/>
        <v>86.398429575842584</v>
      </c>
    </row>
    <row r="129" spans="17:49" x14ac:dyDescent="0.25">
      <c r="Q129" s="32">
        <v>122</v>
      </c>
      <c r="R129" s="94">
        <f t="shared" si="49"/>
        <v>45</v>
      </c>
      <c r="S129" s="92">
        <f t="shared" si="79"/>
        <v>8.9466666666666672</v>
      </c>
      <c r="T129" s="92">
        <f t="shared" si="51"/>
        <v>9</v>
      </c>
      <c r="U129" s="95">
        <f t="shared" si="80"/>
        <v>44.733333333333334</v>
      </c>
      <c r="V129" s="94">
        <f>IF(Variable_Management!$B$22=3,2,IF((S129*R129/T129)&lt;((T129*(1-(T129/R129)))/(2*Lm*Fsw)),1,2))</f>
        <v>2</v>
      </c>
      <c r="W129" s="92">
        <f t="shared" si="81"/>
        <v>0.8</v>
      </c>
      <c r="X129" s="95">
        <f t="shared" si="82"/>
        <v>0.19999999999999996</v>
      </c>
      <c r="Y129" s="94">
        <f t="shared" si="83"/>
        <v>5.454545454545455</v>
      </c>
      <c r="Z129" s="92">
        <f t="shared" si="77"/>
        <v>47.460606060606061</v>
      </c>
      <c r="AA129" s="92">
        <f t="shared" si="78"/>
        <v>44.761037185861618</v>
      </c>
      <c r="AB129" s="92">
        <v>0</v>
      </c>
      <c r="AC129" s="92">
        <f t="shared" si="84"/>
        <v>12.02130269972452</v>
      </c>
      <c r="AD129" s="95">
        <f t="shared" si="67"/>
        <v>12.02130269972452</v>
      </c>
      <c r="AE129" s="94">
        <f t="shared" si="76"/>
        <v>35.786666666666669</v>
      </c>
      <c r="AF129" s="92">
        <f t="shared" si="68"/>
        <v>40.035488756392986</v>
      </c>
      <c r="AG129" s="92">
        <f t="shared" si="85"/>
        <v>11.219882519742885</v>
      </c>
      <c r="AH129" s="92">
        <f t="shared" si="86"/>
        <v>20.832589285714285</v>
      </c>
      <c r="AI129" s="95">
        <f t="shared" si="69"/>
        <v>32.052471805457174</v>
      </c>
      <c r="AJ129" s="94">
        <f t="shared" si="70"/>
        <v>8.9466666666666654</v>
      </c>
      <c r="AK129" s="92">
        <f t="shared" si="87"/>
        <v>20.01774437819649</v>
      </c>
      <c r="AL129" s="92">
        <f t="shared" si="88"/>
        <v>2.80497062993572</v>
      </c>
      <c r="AM129" s="92">
        <f t="shared" si="95"/>
        <v>0.34846000000000005</v>
      </c>
      <c r="AN129" s="211">
        <f t="shared" si="89"/>
        <v>0.32273212121212119</v>
      </c>
      <c r="AO129" s="95">
        <f t="shared" si="72"/>
        <v>3.4761627511478412</v>
      </c>
      <c r="AP129" s="94">
        <f t="shared" si="90"/>
        <v>3.0053256749311301</v>
      </c>
      <c r="AQ129" s="230">
        <f t="shared" si="91"/>
        <v>12.02130269972452</v>
      </c>
      <c r="AR129" s="230">
        <f t="shared" si="92"/>
        <v>1.0915700452567536</v>
      </c>
      <c r="AS129" s="92">
        <f t="shared" si="93"/>
        <v>3.6000000000000004E-2</v>
      </c>
      <c r="AT129" s="95">
        <f t="shared" si="94"/>
        <v>2.9699999999999997E-5</v>
      </c>
      <c r="AU129" s="94">
        <f t="shared" si="73"/>
        <v>63.704165376241939</v>
      </c>
      <c r="AV129" s="92">
        <f t="shared" si="74"/>
        <v>402.6</v>
      </c>
      <c r="AW129" s="95">
        <f t="shared" si="75"/>
        <v>86.338495319928867</v>
      </c>
    </row>
    <row r="130" spans="17:49" x14ac:dyDescent="0.25">
      <c r="Q130" s="32">
        <v>123</v>
      </c>
      <c r="R130" s="94">
        <f t="shared" si="49"/>
        <v>45</v>
      </c>
      <c r="S130" s="92">
        <f t="shared" si="79"/>
        <v>9.02</v>
      </c>
      <c r="T130" s="92">
        <f t="shared" si="51"/>
        <v>9</v>
      </c>
      <c r="U130" s="95">
        <f t="shared" si="80"/>
        <v>45.099999999999994</v>
      </c>
      <c r="V130" s="94">
        <f>IF(Variable_Management!$B$22=3,2,IF((S130*R130/T130)&lt;((T130*(1-(T130/R130)))/(2*Lm*Fsw)),1,2))</f>
        <v>2</v>
      </c>
      <c r="W130" s="92">
        <f t="shared" si="81"/>
        <v>0.8</v>
      </c>
      <c r="X130" s="95">
        <f t="shared" si="82"/>
        <v>0.19999999999999996</v>
      </c>
      <c r="Y130" s="94">
        <f t="shared" si="83"/>
        <v>5.454545454545455</v>
      </c>
      <c r="Z130" s="92">
        <f t="shared" si="77"/>
        <v>47.827272727272721</v>
      </c>
      <c r="AA130" s="92">
        <f t="shared" si="78"/>
        <v>45.127478755664768</v>
      </c>
      <c r="AB130" s="92">
        <v>0</v>
      </c>
      <c r="AC130" s="92">
        <f t="shared" si="84"/>
        <v>12.218936033057851</v>
      </c>
      <c r="AD130" s="95">
        <f t="shared" si="67"/>
        <v>12.218936033057851</v>
      </c>
      <c r="AE130" s="94">
        <f t="shared" si="76"/>
        <v>36.08</v>
      </c>
      <c r="AF130" s="92">
        <f t="shared" si="68"/>
        <v>40.363244060337614</v>
      </c>
      <c r="AG130" s="92">
        <f t="shared" si="85"/>
        <v>11.404340297520658</v>
      </c>
      <c r="AH130" s="92">
        <f t="shared" si="86"/>
        <v>21.003348214285712</v>
      </c>
      <c r="AI130" s="95">
        <f t="shared" si="69"/>
        <v>32.40768851180637</v>
      </c>
      <c r="AJ130" s="94">
        <f t="shared" si="70"/>
        <v>9.019999999999996</v>
      </c>
      <c r="AK130" s="92">
        <f t="shared" si="87"/>
        <v>20.181622030168803</v>
      </c>
      <c r="AL130" s="92">
        <f t="shared" si="88"/>
        <v>2.8510850743801632</v>
      </c>
      <c r="AM130" s="92">
        <f t="shared" si="95"/>
        <v>0.34846000000000005</v>
      </c>
      <c r="AN130" s="211">
        <f t="shared" si="89"/>
        <v>0.32522545454545448</v>
      </c>
      <c r="AO130" s="95">
        <f t="shared" si="72"/>
        <v>3.5247705289256182</v>
      </c>
      <c r="AP130" s="94">
        <f t="shared" si="90"/>
        <v>3.0547340082644627</v>
      </c>
      <c r="AQ130" s="230">
        <f t="shared" si="91"/>
        <v>12.218936033057851</v>
      </c>
      <c r="AR130" s="230">
        <f t="shared" si="92"/>
        <v>1.0915700452567536</v>
      </c>
      <c r="AS130" s="92">
        <f t="shared" si="93"/>
        <v>3.6000000000000004E-2</v>
      </c>
      <c r="AT130" s="95">
        <f t="shared" si="94"/>
        <v>2.9699999999999997E-5</v>
      </c>
      <c r="AU130" s="94">
        <f t="shared" si="73"/>
        <v>64.552664860368907</v>
      </c>
      <c r="AV130" s="92">
        <f t="shared" si="74"/>
        <v>405.9</v>
      </c>
      <c r="AW130" s="95">
        <f t="shared" si="75"/>
        <v>86.278605759512857</v>
      </c>
    </row>
    <row r="131" spans="17:49" x14ac:dyDescent="0.25">
      <c r="Q131" s="32">
        <v>124</v>
      </c>
      <c r="R131" s="94">
        <f t="shared" si="49"/>
        <v>45</v>
      </c>
      <c r="S131" s="92">
        <f t="shared" si="79"/>
        <v>9.0933333333333337</v>
      </c>
      <c r="T131" s="92">
        <f t="shared" si="51"/>
        <v>9</v>
      </c>
      <c r="U131" s="95">
        <f t="shared" si="80"/>
        <v>45.466666666666669</v>
      </c>
      <c r="V131" s="94">
        <f>IF(Variable_Management!$B$22=3,2,IF((S131*R131/T131)&lt;((T131*(1-(T131/R131)))/(2*Lm*Fsw)),1,2))</f>
        <v>2</v>
      </c>
      <c r="W131" s="92">
        <f t="shared" si="81"/>
        <v>0.8</v>
      </c>
      <c r="X131" s="95">
        <f t="shared" si="82"/>
        <v>0.19999999999999996</v>
      </c>
      <c r="Y131" s="94">
        <f t="shared" si="83"/>
        <v>5.454545454545455</v>
      </c>
      <c r="Z131" s="92">
        <f t="shared" si="77"/>
        <v>48.193939393939395</v>
      </c>
      <c r="AA131" s="92">
        <f t="shared" si="78"/>
        <v>45.493923952773663</v>
      </c>
      <c r="AB131" s="92">
        <v>0</v>
      </c>
      <c r="AC131" s="92">
        <f t="shared" si="84"/>
        <v>12.41818269972452</v>
      </c>
      <c r="AD131" s="95">
        <f t="shared" si="67"/>
        <v>12.41818269972452</v>
      </c>
      <c r="AE131" s="94">
        <f t="shared" si="76"/>
        <v>36.373333333333335</v>
      </c>
      <c r="AF131" s="92">
        <f t="shared" si="68"/>
        <v>40.691002608643139</v>
      </c>
      <c r="AG131" s="92">
        <f t="shared" si="85"/>
        <v>11.590303853076218</v>
      </c>
      <c r="AH131" s="92">
        <f t="shared" si="86"/>
        <v>21.174107142857142</v>
      </c>
      <c r="AI131" s="95">
        <f t="shared" si="69"/>
        <v>32.76441099593336</v>
      </c>
      <c r="AJ131" s="94">
        <f t="shared" si="70"/>
        <v>9.0933333333333319</v>
      </c>
      <c r="AK131" s="92">
        <f t="shared" si="87"/>
        <v>20.345501304321566</v>
      </c>
      <c r="AL131" s="92">
        <f t="shared" si="88"/>
        <v>2.8975759632690536</v>
      </c>
      <c r="AM131" s="92">
        <f t="shared" si="95"/>
        <v>0.34846000000000005</v>
      </c>
      <c r="AN131" s="211">
        <f t="shared" si="89"/>
        <v>0.32771878787878789</v>
      </c>
      <c r="AO131" s="95">
        <f t="shared" si="72"/>
        <v>3.5737547511478418</v>
      </c>
      <c r="AP131" s="94">
        <f t="shared" si="90"/>
        <v>3.10454567493113</v>
      </c>
      <c r="AQ131" s="230">
        <f t="shared" si="91"/>
        <v>12.41818269972452</v>
      </c>
      <c r="AR131" s="230">
        <f t="shared" si="92"/>
        <v>1.0915700452567536</v>
      </c>
      <c r="AS131" s="92">
        <f t="shared" si="93"/>
        <v>3.6000000000000004E-2</v>
      </c>
      <c r="AT131" s="95">
        <f t="shared" si="94"/>
        <v>2.9699999999999997E-5</v>
      </c>
      <c r="AU131" s="94">
        <f t="shared" si="73"/>
        <v>65.406676566718133</v>
      </c>
      <c r="AV131" s="92">
        <f t="shared" si="74"/>
        <v>409.20000000000005</v>
      </c>
      <c r="AW131" s="95">
        <f t="shared" si="75"/>
        <v>86.218761809280281</v>
      </c>
    </row>
    <row r="132" spans="17:49" x14ac:dyDescent="0.25">
      <c r="Q132" s="32">
        <v>125</v>
      </c>
      <c r="R132" s="94">
        <f t="shared" si="49"/>
        <v>45</v>
      </c>
      <c r="S132" s="92">
        <f t="shared" si="79"/>
        <v>9.1666666666666661</v>
      </c>
      <c r="T132" s="92">
        <f t="shared" si="51"/>
        <v>9</v>
      </c>
      <c r="U132" s="95">
        <f t="shared" si="80"/>
        <v>45.833333333333336</v>
      </c>
      <c r="V132" s="94">
        <f>IF(Variable_Management!$B$22=3,2,IF((S132*R132/T132)&lt;((T132*(1-(T132/R132)))/(2*Lm*Fsw)),1,2))</f>
        <v>2</v>
      </c>
      <c r="W132" s="92">
        <f t="shared" si="81"/>
        <v>0.8</v>
      </c>
      <c r="X132" s="95">
        <f t="shared" si="82"/>
        <v>0.19999999999999996</v>
      </c>
      <c r="Y132" s="94">
        <f t="shared" si="83"/>
        <v>5.454545454545455</v>
      </c>
      <c r="Z132" s="92">
        <f t="shared" si="77"/>
        <v>48.560606060606062</v>
      </c>
      <c r="AA132" s="92">
        <f t="shared" si="78"/>
        <v>45.860372690236829</v>
      </c>
      <c r="AB132" s="92">
        <v>0</v>
      </c>
      <c r="AC132" s="92">
        <f t="shared" si="84"/>
        <v>12.61904269972452</v>
      </c>
      <c r="AD132" s="95">
        <f t="shared" si="67"/>
        <v>12.61904269972452</v>
      </c>
      <c r="AE132" s="94">
        <f t="shared" si="76"/>
        <v>36.666666666666671</v>
      </c>
      <c r="AF132" s="92">
        <f t="shared" si="68"/>
        <v>41.018764323537781</v>
      </c>
      <c r="AG132" s="92">
        <f t="shared" si="85"/>
        <v>11.777773186409551</v>
      </c>
      <c r="AH132" s="92">
        <f t="shared" si="86"/>
        <v>21.344866071428573</v>
      </c>
      <c r="AI132" s="95">
        <f t="shared" si="69"/>
        <v>33.122639257838124</v>
      </c>
      <c r="AJ132" s="94">
        <f t="shared" si="70"/>
        <v>9.1666666666666643</v>
      </c>
      <c r="AK132" s="92">
        <f t="shared" si="87"/>
        <v>20.509382161768887</v>
      </c>
      <c r="AL132" s="92">
        <f t="shared" si="88"/>
        <v>2.9444432966023868</v>
      </c>
      <c r="AM132" s="92">
        <f t="shared" si="95"/>
        <v>0.34846000000000005</v>
      </c>
      <c r="AN132" s="211">
        <f t="shared" si="89"/>
        <v>0.33021212121212118</v>
      </c>
      <c r="AO132" s="95">
        <f t="shared" si="72"/>
        <v>3.6231154178145082</v>
      </c>
      <c r="AP132" s="94">
        <f t="shared" si="90"/>
        <v>3.1547606749311301</v>
      </c>
      <c r="AQ132" s="230">
        <f t="shared" si="91"/>
        <v>12.61904269972452</v>
      </c>
      <c r="AR132" s="230">
        <f t="shared" si="92"/>
        <v>1.0915700452567536</v>
      </c>
      <c r="AS132" s="92">
        <f t="shared" si="93"/>
        <v>3.6000000000000004E-2</v>
      </c>
      <c r="AT132" s="95">
        <f t="shared" si="94"/>
        <v>2.9699999999999997E-5</v>
      </c>
      <c r="AU132" s="94">
        <f t="shared" si="73"/>
        <v>66.266200495289553</v>
      </c>
      <c r="AV132" s="92">
        <f t="shared" si="74"/>
        <v>412.5</v>
      </c>
      <c r="AW132" s="95">
        <f t="shared" si="75"/>
        <v>86.158964349042108</v>
      </c>
    </row>
    <row r="133" spans="17:49" x14ac:dyDescent="0.25">
      <c r="Q133" s="32">
        <v>126</v>
      </c>
      <c r="R133" s="94">
        <f t="shared" si="49"/>
        <v>45</v>
      </c>
      <c r="S133" s="92">
        <f t="shared" si="79"/>
        <v>9.24</v>
      </c>
      <c r="T133" s="92">
        <f t="shared" si="51"/>
        <v>9</v>
      </c>
      <c r="U133" s="95">
        <f t="shared" si="80"/>
        <v>46.2</v>
      </c>
      <c r="V133" s="94">
        <f>IF(Variable_Management!$B$22=3,2,IF((S133*R133/T133)&lt;((T133*(1-(T133/R133)))/(2*Lm*Fsw)),1,2))</f>
        <v>2</v>
      </c>
      <c r="W133" s="92">
        <f t="shared" si="81"/>
        <v>0.8</v>
      </c>
      <c r="X133" s="95">
        <f t="shared" si="82"/>
        <v>0.19999999999999996</v>
      </c>
      <c r="Y133" s="94">
        <f t="shared" si="83"/>
        <v>5.454545454545455</v>
      </c>
      <c r="Z133" s="92">
        <f t="shared" si="77"/>
        <v>48.927272727272729</v>
      </c>
      <c r="AA133" s="92">
        <f t="shared" si="78"/>
        <v>46.226824883859102</v>
      </c>
      <c r="AB133" s="92">
        <v>0</v>
      </c>
      <c r="AC133" s="92">
        <f t="shared" si="84"/>
        <v>12.821516033057849</v>
      </c>
      <c r="AD133" s="95">
        <f t="shared" si="67"/>
        <v>12.821516033057849</v>
      </c>
      <c r="AE133" s="94">
        <f t="shared" si="76"/>
        <v>36.96</v>
      </c>
      <c r="AF133" s="92">
        <f t="shared" si="68"/>
        <v>41.346529129715115</v>
      </c>
      <c r="AG133" s="92">
        <f t="shared" si="85"/>
        <v>11.966748297520665</v>
      </c>
      <c r="AH133" s="92">
        <f t="shared" si="86"/>
        <v>21.515625</v>
      </c>
      <c r="AI133" s="95">
        <f t="shared" si="69"/>
        <v>33.482373297520667</v>
      </c>
      <c r="AJ133" s="94">
        <f t="shared" si="70"/>
        <v>9.2399999999999984</v>
      </c>
      <c r="AK133" s="92">
        <f t="shared" si="87"/>
        <v>20.673264564857554</v>
      </c>
      <c r="AL133" s="92">
        <f t="shared" si="88"/>
        <v>2.9916870743801649</v>
      </c>
      <c r="AM133" s="92">
        <f t="shared" si="95"/>
        <v>0.34846000000000005</v>
      </c>
      <c r="AN133" s="211">
        <f t="shared" si="89"/>
        <v>0.33270545454545453</v>
      </c>
      <c r="AO133" s="95">
        <f t="shared" si="72"/>
        <v>3.6728525289256195</v>
      </c>
      <c r="AP133" s="94">
        <f t="shared" si="90"/>
        <v>3.2053790082644622</v>
      </c>
      <c r="AQ133" s="230">
        <f t="shared" si="91"/>
        <v>12.821516033057849</v>
      </c>
      <c r="AR133" s="230">
        <f t="shared" si="92"/>
        <v>1.0915700452567536</v>
      </c>
      <c r="AS133" s="92">
        <f t="shared" si="93"/>
        <v>3.6000000000000004E-2</v>
      </c>
      <c r="AT133" s="95">
        <f t="shared" si="94"/>
        <v>2.9699999999999997E-5</v>
      </c>
      <c r="AU133" s="94">
        <f t="shared" si="73"/>
        <v>67.13123664608321</v>
      </c>
      <c r="AV133" s="92">
        <f t="shared" si="74"/>
        <v>415.8</v>
      </c>
      <c r="AW133" s="95">
        <f t="shared" si="75"/>
        <v>86.099214225134006</v>
      </c>
    </row>
    <row r="134" spans="17:49" x14ac:dyDescent="0.25">
      <c r="Q134" s="32">
        <v>127</v>
      </c>
      <c r="R134" s="94">
        <f t="shared" si="49"/>
        <v>45</v>
      </c>
      <c r="S134" s="92">
        <f t="shared" si="79"/>
        <v>9.3133333333333326</v>
      </c>
      <c r="T134" s="92">
        <f t="shared" si="51"/>
        <v>9</v>
      </c>
      <c r="U134" s="95">
        <f t="shared" si="80"/>
        <v>46.566666666666663</v>
      </c>
      <c r="V134" s="94">
        <f>IF(Variable_Management!$B$22=3,2,IF((S134*R134/T134)&lt;((T134*(1-(T134/R134)))/(2*Lm*Fsw)),1,2))</f>
        <v>2</v>
      </c>
      <c r="W134" s="92">
        <f t="shared" si="81"/>
        <v>0.8</v>
      </c>
      <c r="X134" s="95">
        <f t="shared" si="82"/>
        <v>0.19999999999999996</v>
      </c>
      <c r="Y134" s="94">
        <f t="shared" si="83"/>
        <v>5.454545454545455</v>
      </c>
      <c r="Z134" s="92">
        <f t="shared" si="77"/>
        <v>49.29393939393939</v>
      </c>
      <c r="AA134" s="92">
        <f t="shared" si="78"/>
        <v>46.593280452093296</v>
      </c>
      <c r="AB134" s="92">
        <v>0</v>
      </c>
      <c r="AC134" s="92">
        <f t="shared" si="84"/>
        <v>13.025602699724516</v>
      </c>
      <c r="AD134" s="95">
        <f t="shared" si="67"/>
        <v>13.025602699724516</v>
      </c>
      <c r="AE134" s="94">
        <f t="shared" si="76"/>
        <v>37.25333333333333</v>
      </c>
      <c r="AF134" s="92">
        <f t="shared" si="68"/>
        <v>41.674296954237093</v>
      </c>
      <c r="AG134" s="92">
        <f t="shared" si="85"/>
        <v>12.157229186409547</v>
      </c>
      <c r="AH134" s="92">
        <f t="shared" si="86"/>
        <v>21.686383928571427</v>
      </c>
      <c r="AI134" s="95">
        <f t="shared" si="69"/>
        <v>33.843613114980975</v>
      </c>
      <c r="AJ134" s="94">
        <f t="shared" si="70"/>
        <v>9.3133333333333308</v>
      </c>
      <c r="AK134" s="92">
        <f t="shared" si="87"/>
        <v>20.837148477118543</v>
      </c>
      <c r="AL134" s="92">
        <f t="shared" si="88"/>
        <v>3.0393072966023853</v>
      </c>
      <c r="AM134" s="92">
        <f t="shared" si="95"/>
        <v>0.34846000000000005</v>
      </c>
      <c r="AN134" s="211">
        <f t="shared" si="89"/>
        <v>0.33519878787878782</v>
      </c>
      <c r="AO134" s="95">
        <f t="shared" si="72"/>
        <v>3.7229660844811732</v>
      </c>
      <c r="AP134" s="94">
        <f t="shared" si="90"/>
        <v>3.2564006749311289</v>
      </c>
      <c r="AQ134" s="230">
        <f t="shared" si="91"/>
        <v>13.025602699724516</v>
      </c>
      <c r="AR134" s="230">
        <f t="shared" si="92"/>
        <v>1.0915700452567536</v>
      </c>
      <c r="AS134" s="92">
        <f t="shared" si="93"/>
        <v>3.6000000000000004E-2</v>
      </c>
      <c r="AT134" s="95">
        <f t="shared" si="94"/>
        <v>2.9699999999999997E-5</v>
      </c>
      <c r="AU134" s="94">
        <f t="shared" si="73"/>
        <v>68.00178501909906</v>
      </c>
      <c r="AV134" s="92">
        <f t="shared" si="74"/>
        <v>419.09999999999997</v>
      </c>
      <c r="AW134" s="95">
        <f t="shared" si="75"/>
        <v>86.039512251749855</v>
      </c>
    </row>
    <row r="135" spans="17:49" x14ac:dyDescent="0.25">
      <c r="Q135" s="32">
        <v>128</v>
      </c>
      <c r="R135" s="94">
        <f t="shared" ref="R135:R157" si="96">VOUT</f>
        <v>45</v>
      </c>
      <c r="S135" s="92">
        <f t="shared" ref="S135:S157" si="97">Q135*$O$12</f>
        <v>9.3866666666666667</v>
      </c>
      <c r="T135" s="92">
        <f t="shared" ref="T135:T157" si="98">VIN_var</f>
        <v>9</v>
      </c>
      <c r="U135" s="95">
        <f t="shared" ref="U135:U157" si="99">(R135*S135)/(T135*EFF_est)</f>
        <v>46.93333333333333</v>
      </c>
      <c r="V135" s="94">
        <f>IF(Variable_Management!$B$22=3,2,IF((S135*R135/T135)&lt;((T135*(1-(T135/R135)))/(2*Lm*Fsw)),1,2))</f>
        <v>2</v>
      </c>
      <c r="W135" s="92">
        <f t="shared" ref="W135:W157" si="100">CHOOSE(V135,SQRT((2*S135*Lm*Fsw*(R135-T135))/((T135)^2)),1-(T135/R135))</f>
        <v>0.8</v>
      </c>
      <c r="X135" s="95">
        <f t="shared" ref="X135:X157" si="101">CHOOSE(V135,(Lm*Z135*Fsw)/(R135-T135),1-W135)</f>
        <v>0.19999999999999996</v>
      </c>
      <c r="Y135" s="94">
        <f t="shared" ref="Y135:Y157" si="102">(T135*W135)/(Lm*Fsw)</f>
        <v>5.454545454545455</v>
      </c>
      <c r="Z135" s="92">
        <f t="shared" si="77"/>
        <v>49.660606060606057</v>
      </c>
      <c r="AA135" s="92">
        <f t="shared" si="78"/>
        <v>46.959739315936929</v>
      </c>
      <c r="AB135" s="92">
        <v>0</v>
      </c>
      <c r="AC135" s="92">
        <f t="shared" ref="AC135:AC157" si="103">(AA135^2)*Rdcr</f>
        <v>13.231302699724516</v>
      </c>
      <c r="AD135" s="95">
        <f t="shared" si="67"/>
        <v>13.231302699724516</v>
      </c>
      <c r="AE135" s="94">
        <f t="shared" si="76"/>
        <v>37.546666666666667</v>
      </c>
      <c r="AF135" s="92">
        <f t="shared" si="68"/>
        <v>42.00206772644178</v>
      </c>
      <c r="AG135" s="92">
        <f t="shared" ref="AG135:AG157" si="104">(AF135^2)*RDS_on</f>
        <v>12.349215853076215</v>
      </c>
      <c r="AH135" s="92">
        <f t="shared" ref="AH135:AH157" si="105">((R135*U135)/2)*Fsw*(tr_sw+tf_sw)</f>
        <v>21.857142857142858</v>
      </c>
      <c r="AI135" s="95">
        <f t="shared" si="69"/>
        <v>34.206358710219071</v>
      </c>
      <c r="AJ135" s="94">
        <f t="shared" si="70"/>
        <v>9.3866666666666632</v>
      </c>
      <c r="AK135" s="92">
        <f t="shared" ref="AK135:AK157" si="106">CHOOSE(V135,Z135*SQRT(X135/3),SQRT(X135*((Z135^2)+((Y135^2)/3)-(Y135*Z135))))</f>
        <v>21.001033863220886</v>
      </c>
      <c r="AL135" s="92">
        <f t="shared" ref="AL135:AL157" si="107">(AK135^2)*RDS_on_HS</f>
        <v>3.0873039632690529</v>
      </c>
      <c r="AM135" s="92">
        <f t="shared" si="95"/>
        <v>0.34846000000000005</v>
      </c>
      <c r="AN135" s="211">
        <f t="shared" ref="AN135:AN157" si="108">Vd_rect*t_dead*Fsw*Z135</f>
        <v>0.33769212121212117</v>
      </c>
      <c r="AO135" s="95">
        <f t="shared" si="72"/>
        <v>3.7734560844811744</v>
      </c>
      <c r="AP135" s="94">
        <f t="shared" ref="AP135:AP157" si="109">(AA135^2)*R_cs</f>
        <v>3.307825674931129</v>
      </c>
      <c r="AQ135" s="230">
        <f t="shared" ref="AQ135:AQ157" si="110">Rdcr*AA135^2</f>
        <v>13.231302699724516</v>
      </c>
      <c r="AR135" s="230">
        <f t="shared" ref="AR135:AR157" si="111">ABS(7.759*10^-3*Fsw^0.9458*(0.00787*Y135)^2.304)</f>
        <v>1.0915700452567536</v>
      </c>
      <c r="AS135" s="92">
        <f t="shared" ref="AS135:AS157" si="112">(Qg_tot+Qg_tot_HS)*Vcc*Fsw</f>
        <v>3.6000000000000004E-2</v>
      </c>
      <c r="AT135" s="95">
        <f t="shared" ref="AT135:AT157" si="113">IQ*T135</f>
        <v>2.9699999999999997E-5</v>
      </c>
      <c r="AU135" s="94">
        <f t="shared" si="73"/>
        <v>68.877845614337161</v>
      </c>
      <c r="AV135" s="92">
        <f t="shared" si="74"/>
        <v>422.4</v>
      </c>
      <c r="AW135" s="95">
        <f t="shared" si="75"/>
        <v>85.979859212212943</v>
      </c>
    </row>
    <row r="136" spans="17:49" x14ac:dyDescent="0.25">
      <c r="Q136" s="32">
        <v>129</v>
      </c>
      <c r="R136" s="94">
        <f t="shared" si="96"/>
        <v>45</v>
      </c>
      <c r="S136" s="92">
        <f t="shared" si="97"/>
        <v>9.4600000000000009</v>
      </c>
      <c r="T136" s="92">
        <f t="shared" si="98"/>
        <v>9</v>
      </c>
      <c r="U136" s="95">
        <f t="shared" si="99"/>
        <v>47.300000000000004</v>
      </c>
      <c r="V136" s="94">
        <f>IF(Variable_Management!$B$22=3,2,IF((S136*R136/T136)&lt;((T136*(1-(T136/R136)))/(2*Lm*Fsw)),1,2))</f>
        <v>2</v>
      </c>
      <c r="W136" s="92">
        <f t="shared" si="100"/>
        <v>0.8</v>
      </c>
      <c r="X136" s="95">
        <f t="shared" si="101"/>
        <v>0.19999999999999996</v>
      </c>
      <c r="Y136" s="94">
        <f t="shared" si="102"/>
        <v>5.454545454545455</v>
      </c>
      <c r="Z136" s="92">
        <f t="shared" si="77"/>
        <v>50.027272727272731</v>
      </c>
      <c r="AA136" s="92">
        <f t="shared" si="78"/>
        <v>47.326201398833774</v>
      </c>
      <c r="AB136" s="92">
        <v>0</v>
      </c>
      <c r="AC136" s="92">
        <f t="shared" si="103"/>
        <v>13.438616033057855</v>
      </c>
      <c r="AD136" s="95">
        <f t="shared" ref="AD136:AD157" si="114">AB136+AC136</f>
        <v>13.438616033057855</v>
      </c>
      <c r="AE136" s="94">
        <f t="shared" si="76"/>
        <v>37.840000000000003</v>
      </c>
      <c r="AF136" s="92">
        <f t="shared" ref="AF136:AF157" si="115">CHOOSE(V136,Z136*SQRT(W136/3),SQRT(W136*((Z136^2)+((Y136^2)/3)-(Z136*Y136))))</f>
        <v>42.329841377855175</v>
      </c>
      <c r="AG136" s="92">
        <f t="shared" si="104"/>
        <v>12.542708297520662</v>
      </c>
      <c r="AH136" s="92">
        <f t="shared" si="105"/>
        <v>22.027901785714285</v>
      </c>
      <c r="AI136" s="95">
        <f t="shared" ref="AI136:AI157" si="116">AG136+AH136</f>
        <v>34.570610083234946</v>
      </c>
      <c r="AJ136" s="94">
        <f t="shared" ref="AJ136:AJ156" si="117">X136*U136</f>
        <v>9.4599999999999991</v>
      </c>
      <c r="AK136" s="92">
        <f t="shared" si="106"/>
        <v>21.164920688927584</v>
      </c>
      <c r="AL136" s="92">
        <f t="shared" si="107"/>
        <v>3.1356770743801641</v>
      </c>
      <c r="AM136" s="92">
        <f t="shared" ref="AM136:AM157" si="118">CHOOSE(V136,(R136+Vd_rect)*Qrr*Fsw,(R136+Vd_rect)*Qrr*Fsw)</f>
        <v>0.34846000000000005</v>
      </c>
      <c r="AN136" s="211">
        <f t="shared" si="108"/>
        <v>0.34018545454545457</v>
      </c>
      <c r="AO136" s="95">
        <f t="shared" ref="AO136:AO157" si="119">AL136+AM136+AN136</f>
        <v>3.8243225289256189</v>
      </c>
      <c r="AP136" s="94">
        <f t="shared" si="109"/>
        <v>3.3596540082644637</v>
      </c>
      <c r="AQ136" s="230">
        <f t="shared" si="110"/>
        <v>13.438616033057855</v>
      </c>
      <c r="AR136" s="230">
        <f t="shared" si="111"/>
        <v>1.0915700452567536</v>
      </c>
      <c r="AS136" s="92">
        <f t="shared" si="112"/>
        <v>3.6000000000000004E-2</v>
      </c>
      <c r="AT136" s="95">
        <f t="shared" si="113"/>
        <v>2.9699999999999997E-5</v>
      </c>
      <c r="AU136" s="94">
        <f t="shared" ref="AU136:AU157" si="120">AP136+AO136+AI136+AD136+AS136+AT136+AQ136+AR136</f>
        <v>69.759418431797499</v>
      </c>
      <c r="AV136" s="92">
        <f t="shared" ref="AV136:AV157" si="121">R136*S136</f>
        <v>425.70000000000005</v>
      </c>
      <c r="AW136" s="95">
        <f t="shared" ref="AW136:AW156" si="122">(AV136/(AV136+AU136))*100</f>
        <v>85.920255860188036</v>
      </c>
    </row>
    <row r="137" spans="17:49" x14ac:dyDescent="0.25">
      <c r="Q137" s="32">
        <v>130</v>
      </c>
      <c r="R137" s="94">
        <f t="shared" si="96"/>
        <v>45</v>
      </c>
      <c r="S137" s="92">
        <f t="shared" si="97"/>
        <v>9.5333333333333332</v>
      </c>
      <c r="T137" s="92">
        <f t="shared" si="98"/>
        <v>9</v>
      </c>
      <c r="U137" s="95">
        <f t="shared" si="99"/>
        <v>47.666666666666664</v>
      </c>
      <c r="V137" s="94">
        <f>IF(Variable_Management!$B$22=3,2,IF((S137*R137/T137)&lt;((T137*(1-(T137/R137)))/(2*Lm*Fsw)),1,2))</f>
        <v>2</v>
      </c>
      <c r="W137" s="92">
        <f t="shared" si="100"/>
        <v>0.8</v>
      </c>
      <c r="X137" s="95">
        <f t="shared" si="101"/>
        <v>0.19999999999999996</v>
      </c>
      <c r="Y137" s="94">
        <f t="shared" si="102"/>
        <v>5.454545454545455</v>
      </c>
      <c r="Z137" s="92">
        <f t="shared" si="77"/>
        <v>50.393939393939391</v>
      </c>
      <c r="AA137" s="92">
        <f t="shared" si="78"/>
        <v>47.692666626579879</v>
      </c>
      <c r="AB137" s="92">
        <v>0</v>
      </c>
      <c r="AC137" s="92">
        <f t="shared" si="103"/>
        <v>13.647542699724516</v>
      </c>
      <c r="AD137" s="95">
        <f t="shared" si="114"/>
        <v>13.647542699724516</v>
      </c>
      <c r="AE137" s="94">
        <f t="shared" ref="AE137:AE157" si="123">U137*W137</f>
        <v>38.133333333333333</v>
      </c>
      <c r="AF137" s="92">
        <f t="shared" si="115"/>
        <v>42.657617842107271</v>
      </c>
      <c r="AG137" s="92">
        <f t="shared" si="104"/>
        <v>12.737706519742879</v>
      </c>
      <c r="AH137" s="92">
        <f t="shared" si="105"/>
        <v>22.198660714285715</v>
      </c>
      <c r="AI137" s="95">
        <f t="shared" si="116"/>
        <v>34.936367234028594</v>
      </c>
      <c r="AJ137" s="94">
        <f t="shared" si="117"/>
        <v>9.5333333333333314</v>
      </c>
      <c r="AK137" s="92">
        <f t="shared" si="106"/>
        <v>21.328808921053632</v>
      </c>
      <c r="AL137" s="92">
        <f t="shared" si="107"/>
        <v>3.1844266299357193</v>
      </c>
      <c r="AM137" s="92">
        <f t="shared" si="118"/>
        <v>0.34846000000000005</v>
      </c>
      <c r="AN137" s="211">
        <f t="shared" si="108"/>
        <v>0.34267878787878786</v>
      </c>
      <c r="AO137" s="95">
        <f t="shared" si="119"/>
        <v>3.8755654178145074</v>
      </c>
      <c r="AP137" s="94">
        <f t="shared" si="109"/>
        <v>3.411885674931129</v>
      </c>
      <c r="AQ137" s="230">
        <f t="shared" si="110"/>
        <v>13.647542699724516</v>
      </c>
      <c r="AR137" s="230">
        <f t="shared" si="111"/>
        <v>1.0915700452567536</v>
      </c>
      <c r="AS137" s="92">
        <f t="shared" si="112"/>
        <v>3.6000000000000004E-2</v>
      </c>
      <c r="AT137" s="95">
        <f t="shared" si="113"/>
        <v>2.9699999999999997E-5</v>
      </c>
      <c r="AU137" s="94">
        <f t="shared" si="120"/>
        <v>70.646503471480017</v>
      </c>
      <c r="AV137" s="92">
        <f t="shared" si="121"/>
        <v>429</v>
      </c>
      <c r="AW137" s="95">
        <f t="shared" si="122"/>
        <v>85.86070292083761</v>
      </c>
    </row>
    <row r="138" spans="17:49" x14ac:dyDescent="0.25">
      <c r="Q138" s="32">
        <v>131</v>
      </c>
      <c r="R138" s="94">
        <f t="shared" si="96"/>
        <v>45</v>
      </c>
      <c r="S138" s="92">
        <f t="shared" si="97"/>
        <v>9.6066666666666674</v>
      </c>
      <c r="T138" s="92">
        <f t="shared" si="98"/>
        <v>9</v>
      </c>
      <c r="U138" s="95">
        <f t="shared" si="99"/>
        <v>48.033333333333331</v>
      </c>
      <c r="V138" s="94">
        <f>IF(Variable_Management!$B$22=3,2,IF((S138*R138/T138)&lt;((T138*(1-(T138/R138)))/(2*Lm*Fsw)),1,2))</f>
        <v>2</v>
      </c>
      <c r="W138" s="92">
        <f t="shared" si="100"/>
        <v>0.8</v>
      </c>
      <c r="X138" s="95">
        <f t="shared" si="101"/>
        <v>0.19999999999999996</v>
      </c>
      <c r="Y138" s="94">
        <f t="shared" si="102"/>
        <v>5.454545454545455</v>
      </c>
      <c r="Z138" s="92">
        <f t="shared" si="77"/>
        <v>50.760606060606058</v>
      </c>
      <c r="AA138" s="92">
        <f t="shared" si="78"/>
        <v>48.059134927234034</v>
      </c>
      <c r="AB138" s="92">
        <v>0</v>
      </c>
      <c r="AC138" s="92">
        <f t="shared" si="103"/>
        <v>13.858082699724518</v>
      </c>
      <c r="AD138" s="95">
        <f t="shared" si="114"/>
        <v>13.858082699724518</v>
      </c>
      <c r="AE138" s="94">
        <f t="shared" si="123"/>
        <v>38.426666666666669</v>
      </c>
      <c r="AF138" s="92">
        <f t="shared" si="115"/>
        <v>42.98539705485188</v>
      </c>
      <c r="AG138" s="92">
        <f t="shared" si="104"/>
        <v>12.93421051974288</v>
      </c>
      <c r="AH138" s="92">
        <f t="shared" si="105"/>
        <v>22.369419642857142</v>
      </c>
      <c r="AI138" s="95">
        <f t="shared" si="116"/>
        <v>35.303630162600022</v>
      </c>
      <c r="AJ138" s="94">
        <f t="shared" si="117"/>
        <v>9.6066666666666638</v>
      </c>
      <c r="AK138" s="92">
        <f t="shared" si="106"/>
        <v>21.492698527425937</v>
      </c>
      <c r="AL138" s="92">
        <f t="shared" si="107"/>
        <v>3.2335526299357191</v>
      </c>
      <c r="AM138" s="92">
        <f t="shared" si="118"/>
        <v>0.34846000000000005</v>
      </c>
      <c r="AN138" s="211">
        <f t="shared" si="108"/>
        <v>0.34517212121212115</v>
      </c>
      <c r="AO138" s="95">
        <f t="shared" si="119"/>
        <v>3.9271847511478404</v>
      </c>
      <c r="AP138" s="94">
        <f t="shared" si="109"/>
        <v>3.4645206749311295</v>
      </c>
      <c r="AQ138" s="230">
        <f t="shared" si="110"/>
        <v>13.858082699724518</v>
      </c>
      <c r="AR138" s="230">
        <f t="shared" si="111"/>
        <v>1.0915700452567536</v>
      </c>
      <c r="AS138" s="92">
        <f t="shared" si="112"/>
        <v>3.6000000000000004E-2</v>
      </c>
      <c r="AT138" s="95">
        <f t="shared" si="113"/>
        <v>2.9699999999999997E-5</v>
      </c>
      <c r="AU138" s="94">
        <f t="shared" si="120"/>
        <v>71.539100733384785</v>
      </c>
      <c r="AV138" s="92">
        <f t="shared" si="121"/>
        <v>432.3</v>
      </c>
      <c r="AW138" s="95">
        <f t="shared" si="122"/>
        <v>85.801201091925392</v>
      </c>
    </row>
    <row r="139" spans="17:49" x14ac:dyDescent="0.25">
      <c r="Q139" s="32">
        <v>132</v>
      </c>
      <c r="R139" s="94">
        <f t="shared" si="96"/>
        <v>45</v>
      </c>
      <c r="S139" s="92">
        <f t="shared" si="97"/>
        <v>9.68</v>
      </c>
      <c r="T139" s="92">
        <f t="shared" si="98"/>
        <v>9</v>
      </c>
      <c r="U139" s="95">
        <f t="shared" si="99"/>
        <v>48.4</v>
      </c>
      <c r="V139" s="94">
        <f>IF(Variable_Management!$B$22=3,2,IF((S139*R139/T139)&lt;((T139*(1-(T139/R139)))/(2*Lm*Fsw)),1,2))</f>
        <v>2</v>
      </c>
      <c r="W139" s="92">
        <f t="shared" si="100"/>
        <v>0.8</v>
      </c>
      <c r="X139" s="95">
        <f t="shared" si="101"/>
        <v>0.19999999999999996</v>
      </c>
      <c r="Y139" s="94">
        <f t="shared" si="102"/>
        <v>5.454545454545455</v>
      </c>
      <c r="Z139" s="92">
        <f t="shared" si="77"/>
        <v>51.127272727272725</v>
      </c>
      <c r="AA139" s="92">
        <f t="shared" si="78"/>
        <v>48.425606231032106</v>
      </c>
      <c r="AB139" s="92">
        <v>0</v>
      </c>
      <c r="AC139" s="92">
        <f t="shared" si="103"/>
        <v>14.070236033057855</v>
      </c>
      <c r="AD139" s="95">
        <f t="shared" si="114"/>
        <v>14.070236033057855</v>
      </c>
      <c r="AE139" s="94">
        <f t="shared" si="123"/>
        <v>38.72</v>
      </c>
      <c r="AF139" s="92">
        <f t="shared" si="115"/>
        <v>43.313178953690063</v>
      </c>
      <c r="AG139" s="92">
        <f t="shared" si="104"/>
        <v>13.132220297520659</v>
      </c>
      <c r="AH139" s="92">
        <f t="shared" si="105"/>
        <v>22.540178571428573</v>
      </c>
      <c r="AI139" s="95">
        <f t="shared" si="116"/>
        <v>35.67239886894923</v>
      </c>
      <c r="AJ139" s="94">
        <f t="shared" si="117"/>
        <v>9.6799999999999979</v>
      </c>
      <c r="AK139" s="92">
        <f t="shared" si="106"/>
        <v>21.656589476845028</v>
      </c>
      <c r="AL139" s="92">
        <f t="shared" si="107"/>
        <v>3.2830550743801634</v>
      </c>
      <c r="AM139" s="92">
        <f t="shared" si="118"/>
        <v>0.34846000000000005</v>
      </c>
      <c r="AN139" s="211">
        <f t="shared" si="108"/>
        <v>0.3476654545454545</v>
      </c>
      <c r="AO139" s="95">
        <f t="shared" si="119"/>
        <v>3.9791805289256184</v>
      </c>
      <c r="AP139" s="94">
        <f t="shared" si="109"/>
        <v>3.5175590082644637</v>
      </c>
      <c r="AQ139" s="230">
        <f t="shared" si="110"/>
        <v>14.070236033057855</v>
      </c>
      <c r="AR139" s="230">
        <f t="shared" si="111"/>
        <v>1.0915700452567536</v>
      </c>
      <c r="AS139" s="92">
        <f t="shared" si="112"/>
        <v>3.6000000000000004E-2</v>
      </c>
      <c r="AT139" s="95">
        <f t="shared" si="113"/>
        <v>2.9699999999999997E-5</v>
      </c>
      <c r="AU139" s="94">
        <f t="shared" si="120"/>
        <v>72.437210217511776</v>
      </c>
      <c r="AV139" s="92">
        <f t="shared" si="121"/>
        <v>435.59999999999997</v>
      </c>
      <c r="AW139" s="95">
        <f t="shared" si="122"/>
        <v>85.741751044869645</v>
      </c>
    </row>
    <row r="140" spans="17:49" x14ac:dyDescent="0.25">
      <c r="Q140" s="32">
        <v>133</v>
      </c>
      <c r="R140" s="94">
        <f t="shared" si="96"/>
        <v>45</v>
      </c>
      <c r="S140" s="92">
        <f t="shared" si="97"/>
        <v>9.7533333333333339</v>
      </c>
      <c r="T140" s="92">
        <f t="shared" si="98"/>
        <v>9</v>
      </c>
      <c r="U140" s="95">
        <f t="shared" si="99"/>
        <v>48.766666666666673</v>
      </c>
      <c r="V140" s="94">
        <f>IF(Variable_Management!$B$22=3,2,IF((S140*R140/T140)&lt;((T140*(1-(T140/R140)))/(2*Lm*Fsw)),1,2))</f>
        <v>2</v>
      </c>
      <c r="W140" s="92">
        <f t="shared" si="100"/>
        <v>0.8</v>
      </c>
      <c r="X140" s="95">
        <f t="shared" si="101"/>
        <v>0.19999999999999996</v>
      </c>
      <c r="Y140" s="94">
        <f t="shared" si="102"/>
        <v>5.454545454545455</v>
      </c>
      <c r="Z140" s="92">
        <f t="shared" si="77"/>
        <v>51.493939393939399</v>
      </c>
      <c r="AA140" s="92">
        <f t="shared" si="78"/>
        <v>48.792080470305365</v>
      </c>
      <c r="AB140" s="92">
        <v>0</v>
      </c>
      <c r="AC140" s="92">
        <f t="shared" si="103"/>
        <v>14.284002699724526</v>
      </c>
      <c r="AD140" s="95">
        <f t="shared" si="114"/>
        <v>14.284002699724526</v>
      </c>
      <c r="AE140" s="94">
        <f t="shared" si="123"/>
        <v>39.013333333333343</v>
      </c>
      <c r="AF140" s="92">
        <f t="shared" si="115"/>
        <v>43.640963478097078</v>
      </c>
      <c r="AG140" s="92">
        <f t="shared" si="104"/>
        <v>13.331735853076221</v>
      </c>
      <c r="AH140" s="92">
        <f t="shared" si="105"/>
        <v>22.710937500000007</v>
      </c>
      <c r="AI140" s="95">
        <f t="shared" si="116"/>
        <v>36.042673353076225</v>
      </c>
      <c r="AJ140" s="94">
        <f t="shared" si="117"/>
        <v>9.7533333333333321</v>
      </c>
      <c r="AK140" s="92">
        <f t="shared" si="106"/>
        <v>21.820481739048535</v>
      </c>
      <c r="AL140" s="92">
        <f t="shared" si="107"/>
        <v>3.3329339632690544</v>
      </c>
      <c r="AM140" s="92">
        <f t="shared" si="118"/>
        <v>0.34846000000000005</v>
      </c>
      <c r="AN140" s="211">
        <f t="shared" si="108"/>
        <v>0.3501587878787879</v>
      </c>
      <c r="AO140" s="95">
        <f t="shared" si="119"/>
        <v>4.0315527511478422</v>
      </c>
      <c r="AP140" s="94">
        <f t="shared" si="109"/>
        <v>3.5710006749311316</v>
      </c>
      <c r="AQ140" s="230">
        <f t="shared" si="110"/>
        <v>14.284002699724526</v>
      </c>
      <c r="AR140" s="230">
        <f t="shared" si="111"/>
        <v>1.0915700452567536</v>
      </c>
      <c r="AS140" s="92">
        <f t="shared" si="112"/>
        <v>3.6000000000000004E-2</v>
      </c>
      <c r="AT140" s="95">
        <f t="shared" si="113"/>
        <v>2.9699999999999997E-5</v>
      </c>
      <c r="AU140" s="94">
        <f t="shared" si="120"/>
        <v>73.340831923861003</v>
      </c>
      <c r="AV140" s="92">
        <f t="shared" si="121"/>
        <v>438.90000000000003</v>
      </c>
      <c r="AW140" s="95">
        <f t="shared" si="122"/>
        <v>85.682353425749099</v>
      </c>
    </row>
    <row r="141" spans="17:49" x14ac:dyDescent="0.25">
      <c r="Q141" s="32">
        <v>134</v>
      </c>
      <c r="R141" s="94">
        <f t="shared" si="96"/>
        <v>45</v>
      </c>
      <c r="S141" s="92">
        <f t="shared" si="97"/>
        <v>9.8266666666666662</v>
      </c>
      <c r="T141" s="92">
        <f t="shared" si="98"/>
        <v>9</v>
      </c>
      <c r="U141" s="95">
        <f t="shared" si="99"/>
        <v>49.133333333333333</v>
      </c>
      <c r="V141" s="94">
        <f>IF(Variable_Management!$B$22=3,2,IF((S141*R141/T141)&lt;((T141*(1-(T141/R141)))/(2*Lm*Fsw)),1,2))</f>
        <v>2</v>
      </c>
      <c r="W141" s="92">
        <f t="shared" si="100"/>
        <v>0.8</v>
      </c>
      <c r="X141" s="95">
        <f t="shared" si="101"/>
        <v>0.19999999999999996</v>
      </c>
      <c r="Y141" s="94">
        <f t="shared" si="102"/>
        <v>5.454545454545455</v>
      </c>
      <c r="Z141" s="92">
        <f t="shared" si="77"/>
        <v>51.860606060606059</v>
      </c>
      <c r="AA141" s="92">
        <f t="shared" si="78"/>
        <v>49.158557579402384</v>
      </c>
      <c r="AB141" s="92">
        <v>0</v>
      </c>
      <c r="AC141" s="92">
        <f t="shared" si="103"/>
        <v>14.499382699724517</v>
      </c>
      <c r="AD141" s="95">
        <f t="shared" si="114"/>
        <v>14.499382699724517</v>
      </c>
      <c r="AE141" s="94">
        <f t="shared" si="123"/>
        <v>39.306666666666672</v>
      </c>
      <c r="AF141" s="92">
        <f t="shared" si="115"/>
        <v>43.968750569352501</v>
      </c>
      <c r="AG141" s="92">
        <f t="shared" si="104"/>
        <v>13.532757186409551</v>
      </c>
      <c r="AH141" s="92">
        <f t="shared" si="105"/>
        <v>22.881696428571427</v>
      </c>
      <c r="AI141" s="95">
        <f t="shared" si="116"/>
        <v>36.414453614980978</v>
      </c>
      <c r="AJ141" s="94">
        <f t="shared" si="117"/>
        <v>9.8266666666666644</v>
      </c>
      <c r="AK141" s="92">
        <f t="shared" si="106"/>
        <v>21.984375284676247</v>
      </c>
      <c r="AL141" s="92">
        <f t="shared" si="107"/>
        <v>3.3831892966023869</v>
      </c>
      <c r="AM141" s="92">
        <f t="shared" si="118"/>
        <v>0.34846000000000005</v>
      </c>
      <c r="AN141" s="211">
        <f t="shared" si="108"/>
        <v>0.35265212121212119</v>
      </c>
      <c r="AO141" s="95">
        <f t="shared" si="119"/>
        <v>4.0843014178145083</v>
      </c>
      <c r="AP141" s="94">
        <f t="shared" si="109"/>
        <v>3.6248456749311293</v>
      </c>
      <c r="AQ141" s="230">
        <f t="shared" si="110"/>
        <v>14.499382699724517</v>
      </c>
      <c r="AR141" s="230">
        <f t="shared" si="111"/>
        <v>1.0915700452567536</v>
      </c>
      <c r="AS141" s="92">
        <f t="shared" si="112"/>
        <v>3.6000000000000004E-2</v>
      </c>
      <c r="AT141" s="95">
        <f t="shared" si="113"/>
        <v>2.9699999999999997E-5</v>
      </c>
      <c r="AU141" s="94">
        <f t="shared" si="120"/>
        <v>74.24996585243241</v>
      </c>
      <c r="AV141" s="92">
        <f t="shared" si="121"/>
        <v>442.2</v>
      </c>
      <c r="AW141" s="95">
        <f t="shared" si="122"/>
        <v>85.623008856263894</v>
      </c>
    </row>
    <row r="142" spans="17:49" x14ac:dyDescent="0.25">
      <c r="Q142" s="32">
        <v>135</v>
      </c>
      <c r="R142" s="94">
        <f t="shared" si="96"/>
        <v>45</v>
      </c>
      <c r="S142" s="92">
        <f t="shared" si="97"/>
        <v>9.9</v>
      </c>
      <c r="T142" s="92">
        <f t="shared" si="98"/>
        <v>9</v>
      </c>
      <c r="U142" s="95">
        <f t="shared" si="99"/>
        <v>49.5</v>
      </c>
      <c r="V142" s="94">
        <f>IF(Variable_Management!$B$22=3,2,IF((S142*R142/T142)&lt;((T142*(1-(T142/R142)))/(2*Lm*Fsw)),1,2))</f>
        <v>2</v>
      </c>
      <c r="W142" s="92">
        <f t="shared" si="100"/>
        <v>0.8</v>
      </c>
      <c r="X142" s="95">
        <f t="shared" si="101"/>
        <v>0.19999999999999996</v>
      </c>
      <c r="Y142" s="94">
        <f t="shared" si="102"/>
        <v>5.454545454545455</v>
      </c>
      <c r="Z142" s="92">
        <f t="shared" si="77"/>
        <v>52.227272727272727</v>
      </c>
      <c r="AA142" s="92">
        <f t="shared" si="78"/>
        <v>49.52503749461453</v>
      </c>
      <c r="AB142" s="92">
        <v>0</v>
      </c>
      <c r="AC142" s="92">
        <f t="shared" si="103"/>
        <v>14.716376033057852</v>
      </c>
      <c r="AD142" s="95">
        <f t="shared" si="114"/>
        <v>14.716376033057852</v>
      </c>
      <c r="AE142" s="94">
        <f t="shared" si="123"/>
        <v>39.6</v>
      </c>
      <c r="AF142" s="92">
        <f t="shared" si="115"/>
        <v>44.296540170473584</v>
      </c>
      <c r="AG142" s="92">
        <f t="shared" si="104"/>
        <v>13.735284297520659</v>
      </c>
      <c r="AH142" s="92">
        <f t="shared" si="105"/>
        <v>23.052455357142858</v>
      </c>
      <c r="AI142" s="95">
        <f t="shared" si="116"/>
        <v>36.787739654663518</v>
      </c>
      <c r="AJ142" s="94">
        <f t="shared" si="117"/>
        <v>9.8999999999999986</v>
      </c>
      <c r="AK142" s="92">
        <f t="shared" si="106"/>
        <v>22.148270085236788</v>
      </c>
      <c r="AL142" s="92">
        <f t="shared" si="107"/>
        <v>3.4338210743801638</v>
      </c>
      <c r="AM142" s="92">
        <f t="shared" si="118"/>
        <v>0.34846000000000005</v>
      </c>
      <c r="AN142" s="211">
        <f t="shared" si="108"/>
        <v>0.35514545454545454</v>
      </c>
      <c r="AO142" s="95">
        <f t="shared" si="119"/>
        <v>4.1374265289256185</v>
      </c>
      <c r="AP142" s="94">
        <f t="shared" si="109"/>
        <v>3.679094008264463</v>
      </c>
      <c r="AQ142" s="230">
        <f t="shared" si="110"/>
        <v>14.716376033057852</v>
      </c>
      <c r="AR142" s="230">
        <f t="shared" si="111"/>
        <v>1.0915700452567536</v>
      </c>
      <c r="AS142" s="92">
        <f t="shared" si="112"/>
        <v>3.6000000000000004E-2</v>
      </c>
      <c r="AT142" s="95">
        <f t="shared" si="113"/>
        <v>2.9699999999999997E-5</v>
      </c>
      <c r="AU142" s="94">
        <f t="shared" si="120"/>
        <v>75.164612003226068</v>
      </c>
      <c r="AV142" s="92">
        <f t="shared" si="121"/>
        <v>445.5</v>
      </c>
      <c r="AW142" s="95">
        <f t="shared" si="122"/>
        <v>85.563717934653809</v>
      </c>
    </row>
    <row r="143" spans="17:49" x14ac:dyDescent="0.25">
      <c r="Q143" s="32">
        <v>136</v>
      </c>
      <c r="R143" s="94">
        <f t="shared" si="96"/>
        <v>45</v>
      </c>
      <c r="S143" s="92">
        <f t="shared" si="97"/>
        <v>9.9733333333333327</v>
      </c>
      <c r="T143" s="92">
        <f t="shared" si="98"/>
        <v>9</v>
      </c>
      <c r="U143" s="95">
        <f t="shared" si="99"/>
        <v>49.86666666666666</v>
      </c>
      <c r="V143" s="94">
        <f>IF(Variable_Management!$B$22=3,2,IF((S143*R143/T143)&lt;((T143*(1-(T143/R143)))/(2*Lm*Fsw)),1,2))</f>
        <v>2</v>
      </c>
      <c r="W143" s="92">
        <f t="shared" si="100"/>
        <v>0.8</v>
      </c>
      <c r="X143" s="95">
        <f t="shared" si="101"/>
        <v>0.19999999999999996</v>
      </c>
      <c r="Y143" s="94">
        <f t="shared" si="102"/>
        <v>5.454545454545455</v>
      </c>
      <c r="Z143" s="92">
        <f t="shared" si="77"/>
        <v>52.593939393939387</v>
      </c>
      <c r="AA143" s="92">
        <f t="shared" si="78"/>
        <v>49.891520154104533</v>
      </c>
      <c r="AB143" s="92">
        <v>0</v>
      </c>
      <c r="AC143" s="92">
        <f t="shared" si="103"/>
        <v>14.934982699724515</v>
      </c>
      <c r="AD143" s="95">
        <f t="shared" si="114"/>
        <v>14.934982699724515</v>
      </c>
      <c r="AE143" s="94">
        <f t="shared" si="123"/>
        <v>39.893333333333331</v>
      </c>
      <c r="AF143" s="92">
        <f t="shared" si="115"/>
        <v>44.624332226151409</v>
      </c>
      <c r="AG143" s="92">
        <f t="shared" si="104"/>
        <v>13.939317186409546</v>
      </c>
      <c r="AH143" s="92">
        <f t="shared" si="105"/>
        <v>23.223214285714281</v>
      </c>
      <c r="AI143" s="95">
        <f t="shared" si="116"/>
        <v>37.162531472123831</v>
      </c>
      <c r="AJ143" s="94">
        <f t="shared" si="117"/>
        <v>9.9733333333333292</v>
      </c>
      <c r="AK143" s="92">
        <f t="shared" si="106"/>
        <v>22.312166113075701</v>
      </c>
      <c r="AL143" s="92">
        <f t="shared" si="107"/>
        <v>3.4848292966023853</v>
      </c>
      <c r="AM143" s="92">
        <f t="shared" si="118"/>
        <v>0.34846000000000005</v>
      </c>
      <c r="AN143" s="211">
        <f t="shared" si="108"/>
        <v>0.35763878787878783</v>
      </c>
      <c r="AO143" s="95">
        <f t="shared" si="119"/>
        <v>4.1909280844811736</v>
      </c>
      <c r="AP143" s="94">
        <f t="shared" si="109"/>
        <v>3.7337456749311286</v>
      </c>
      <c r="AQ143" s="230">
        <f t="shared" si="110"/>
        <v>14.934982699724515</v>
      </c>
      <c r="AR143" s="230">
        <f t="shared" si="111"/>
        <v>1.0915700452567536</v>
      </c>
      <c r="AS143" s="92">
        <f t="shared" si="112"/>
        <v>3.6000000000000004E-2</v>
      </c>
      <c r="AT143" s="95">
        <f t="shared" si="113"/>
        <v>2.9699999999999997E-5</v>
      </c>
      <c r="AU143" s="94">
        <f t="shared" si="120"/>
        <v>76.08477037624192</v>
      </c>
      <c r="AV143" s="92">
        <f t="shared" si="121"/>
        <v>448.79999999999995</v>
      </c>
      <c r="AW143" s="95">
        <f t="shared" si="122"/>
        <v>85.504481236576225</v>
      </c>
    </row>
    <row r="144" spans="17:49" x14ac:dyDescent="0.25">
      <c r="Q144" s="32">
        <v>137</v>
      </c>
      <c r="R144" s="94">
        <f t="shared" si="96"/>
        <v>45</v>
      </c>
      <c r="S144" s="92">
        <f t="shared" si="97"/>
        <v>10.046666666666667</v>
      </c>
      <c r="T144" s="92">
        <f t="shared" si="98"/>
        <v>9</v>
      </c>
      <c r="U144" s="95">
        <f t="shared" si="99"/>
        <v>50.233333333333334</v>
      </c>
      <c r="V144" s="94">
        <f>IF(Variable_Management!$B$22=3,2,IF((S144*R144/T144)&lt;((T144*(1-(T144/R144)))/(2*Lm*Fsw)),1,2))</f>
        <v>2</v>
      </c>
      <c r="W144" s="92">
        <f t="shared" si="100"/>
        <v>0.8</v>
      </c>
      <c r="X144" s="95">
        <f t="shared" si="101"/>
        <v>0.19999999999999996</v>
      </c>
      <c r="Y144" s="94">
        <f t="shared" si="102"/>
        <v>5.454545454545455</v>
      </c>
      <c r="Z144" s="92">
        <f t="shared" ref="Z144:Z157" si="124">CHOOSE(V144,Y144,U144+(0.5*Y144))</f>
        <v>52.960606060606061</v>
      </c>
      <c r="AA144" s="92">
        <f t="shared" ref="AA144:AA157" si="125">CHOOSE(V144,Z144*SQRT((W144+X144)/3),SQRT((U144^2)+((Y144^2)/12)))</f>
        <v>50.258005497838383</v>
      </c>
      <c r="AB144" s="92">
        <v>0</v>
      </c>
      <c r="AC144" s="92">
        <f t="shared" si="103"/>
        <v>15.155202699724519</v>
      </c>
      <c r="AD144" s="95">
        <f t="shared" si="114"/>
        <v>15.155202699724519</v>
      </c>
      <c r="AE144" s="94">
        <f t="shared" si="123"/>
        <v>40.186666666666667</v>
      </c>
      <c r="AF144" s="92">
        <f t="shared" si="115"/>
        <v>44.952126682689908</v>
      </c>
      <c r="AG144" s="92">
        <f t="shared" si="104"/>
        <v>14.144855853076216</v>
      </c>
      <c r="AH144" s="92">
        <f t="shared" si="105"/>
        <v>23.393973214285715</v>
      </c>
      <c r="AI144" s="95">
        <f t="shared" si="116"/>
        <v>37.538829067361931</v>
      </c>
      <c r="AJ144" s="94">
        <f t="shared" si="117"/>
        <v>10.046666666666665</v>
      </c>
      <c r="AK144" s="92">
        <f t="shared" si="106"/>
        <v>22.476063341344954</v>
      </c>
      <c r="AL144" s="92">
        <f t="shared" si="107"/>
        <v>3.5362139632690539</v>
      </c>
      <c r="AM144" s="92">
        <f t="shared" si="118"/>
        <v>0.34846000000000005</v>
      </c>
      <c r="AN144" s="211">
        <f t="shared" si="108"/>
        <v>0.36013212121212118</v>
      </c>
      <c r="AO144" s="95">
        <f t="shared" si="119"/>
        <v>4.2448060844811755</v>
      </c>
      <c r="AP144" s="94">
        <f t="shared" si="109"/>
        <v>3.7888006749311298</v>
      </c>
      <c r="AQ144" s="230">
        <f t="shared" si="110"/>
        <v>15.155202699724519</v>
      </c>
      <c r="AR144" s="230">
        <f t="shared" si="111"/>
        <v>1.0915700452567536</v>
      </c>
      <c r="AS144" s="92">
        <f t="shared" si="112"/>
        <v>3.6000000000000004E-2</v>
      </c>
      <c r="AT144" s="95">
        <f t="shared" si="113"/>
        <v>2.9699999999999997E-5</v>
      </c>
      <c r="AU144" s="94">
        <f t="shared" si="120"/>
        <v>77.010440971480037</v>
      </c>
      <c r="AV144" s="92">
        <f t="shared" si="121"/>
        <v>452.1</v>
      </c>
      <c r="AW144" s="95">
        <f t="shared" si="122"/>
        <v>85.445299315945448</v>
      </c>
    </row>
    <row r="145" spans="17:49" x14ac:dyDescent="0.25">
      <c r="Q145" s="32">
        <v>138</v>
      </c>
      <c r="R145" s="94">
        <f t="shared" si="96"/>
        <v>45</v>
      </c>
      <c r="S145" s="92">
        <f t="shared" si="97"/>
        <v>10.119999999999999</v>
      </c>
      <c r="T145" s="92">
        <f t="shared" si="98"/>
        <v>9</v>
      </c>
      <c r="U145" s="95">
        <f t="shared" si="99"/>
        <v>50.599999999999994</v>
      </c>
      <c r="V145" s="94">
        <f>IF(Variable_Management!$B$22=3,2,IF((S145*R145/T145)&lt;((T145*(1-(T145/R145)))/(2*Lm*Fsw)),1,2))</f>
        <v>2</v>
      </c>
      <c r="W145" s="92">
        <f t="shared" si="100"/>
        <v>0.8</v>
      </c>
      <c r="X145" s="95">
        <f t="shared" si="101"/>
        <v>0.19999999999999996</v>
      </c>
      <c r="Y145" s="94">
        <f t="shared" si="102"/>
        <v>5.454545454545455</v>
      </c>
      <c r="Z145" s="92">
        <f t="shared" si="124"/>
        <v>53.327272727272721</v>
      </c>
      <c r="AA145" s="92">
        <f t="shared" si="125"/>
        <v>50.62449346751999</v>
      </c>
      <c r="AB145" s="92">
        <v>0</v>
      </c>
      <c r="AC145" s="92">
        <f t="shared" si="103"/>
        <v>15.377036033057845</v>
      </c>
      <c r="AD145" s="95">
        <f t="shared" si="114"/>
        <v>15.377036033057845</v>
      </c>
      <c r="AE145" s="94">
        <f t="shared" si="123"/>
        <v>40.479999999999997</v>
      </c>
      <c r="AF145" s="92">
        <f t="shared" si="115"/>
        <v>45.279923487947499</v>
      </c>
      <c r="AG145" s="92">
        <f t="shared" si="104"/>
        <v>14.351900297520659</v>
      </c>
      <c r="AH145" s="92">
        <f t="shared" si="105"/>
        <v>23.564732142857135</v>
      </c>
      <c r="AI145" s="95">
        <f t="shared" si="116"/>
        <v>37.916632440377796</v>
      </c>
      <c r="AJ145" s="94">
        <f t="shared" si="117"/>
        <v>10.119999999999997</v>
      </c>
      <c r="AK145" s="92">
        <f t="shared" si="106"/>
        <v>22.639961743973746</v>
      </c>
      <c r="AL145" s="92">
        <f t="shared" si="107"/>
        <v>3.5879750743801631</v>
      </c>
      <c r="AM145" s="92">
        <f t="shared" si="118"/>
        <v>0.34846000000000005</v>
      </c>
      <c r="AN145" s="211">
        <f t="shared" si="108"/>
        <v>0.36262545454545447</v>
      </c>
      <c r="AO145" s="95">
        <f t="shared" si="119"/>
        <v>4.2990605289256179</v>
      </c>
      <c r="AP145" s="94">
        <f t="shared" si="109"/>
        <v>3.8442590082644612</v>
      </c>
      <c r="AQ145" s="230">
        <f t="shared" si="110"/>
        <v>15.377036033057845</v>
      </c>
      <c r="AR145" s="230">
        <f t="shared" si="111"/>
        <v>1.0915700452567536</v>
      </c>
      <c r="AS145" s="92">
        <f t="shared" si="112"/>
        <v>3.6000000000000004E-2</v>
      </c>
      <c r="AT145" s="95">
        <f t="shared" si="113"/>
        <v>2.9699999999999997E-5</v>
      </c>
      <c r="AU145" s="94">
        <f t="shared" si="120"/>
        <v>77.941623788940333</v>
      </c>
      <c r="AV145" s="92">
        <f t="shared" si="121"/>
        <v>455.4</v>
      </c>
      <c r="AW145" s="95">
        <f t="shared" si="122"/>
        <v>85.386172705735746</v>
      </c>
    </row>
    <row r="146" spans="17:49" x14ac:dyDescent="0.25">
      <c r="Q146" s="32">
        <v>139</v>
      </c>
      <c r="R146" s="94">
        <f t="shared" si="96"/>
        <v>45</v>
      </c>
      <c r="S146" s="92">
        <f t="shared" si="97"/>
        <v>10.193333333333333</v>
      </c>
      <c r="T146" s="92">
        <f t="shared" si="98"/>
        <v>9</v>
      </c>
      <c r="U146" s="95">
        <f t="shared" si="99"/>
        <v>50.966666666666669</v>
      </c>
      <c r="V146" s="94">
        <f>IF(Variable_Management!$B$22=3,2,IF((S146*R146/T146)&lt;((T146*(1-(T146/R146)))/(2*Lm*Fsw)),1,2))</f>
        <v>2</v>
      </c>
      <c r="W146" s="92">
        <f t="shared" si="100"/>
        <v>0.8</v>
      </c>
      <c r="X146" s="95">
        <f t="shared" si="101"/>
        <v>0.19999999999999996</v>
      </c>
      <c r="Y146" s="94">
        <f t="shared" si="102"/>
        <v>5.454545454545455</v>
      </c>
      <c r="Z146" s="92">
        <f t="shared" si="124"/>
        <v>53.693939393939395</v>
      </c>
      <c r="AA146" s="92">
        <f t="shared" si="125"/>
        <v>50.990984006528905</v>
      </c>
      <c r="AB146" s="92">
        <v>0</v>
      </c>
      <c r="AC146" s="92">
        <f t="shared" si="103"/>
        <v>15.600482699724518</v>
      </c>
      <c r="AD146" s="95">
        <f t="shared" si="114"/>
        <v>15.600482699724518</v>
      </c>
      <c r="AE146" s="94">
        <f t="shared" si="123"/>
        <v>40.773333333333341</v>
      </c>
      <c r="AF146" s="92">
        <f t="shared" si="115"/>
        <v>45.607722591281281</v>
      </c>
      <c r="AG146" s="92">
        <f t="shared" si="104"/>
        <v>14.560450519742883</v>
      </c>
      <c r="AH146" s="92">
        <f t="shared" si="105"/>
        <v>23.735491071428573</v>
      </c>
      <c r="AI146" s="95">
        <f t="shared" si="116"/>
        <v>38.295941591171456</v>
      </c>
      <c r="AJ146" s="94">
        <f t="shared" si="117"/>
        <v>10.193333333333332</v>
      </c>
      <c r="AK146" s="92">
        <f t="shared" si="106"/>
        <v>22.803861295640637</v>
      </c>
      <c r="AL146" s="92">
        <f t="shared" si="107"/>
        <v>3.6401126299357194</v>
      </c>
      <c r="AM146" s="92">
        <f t="shared" si="118"/>
        <v>0.34846000000000005</v>
      </c>
      <c r="AN146" s="211">
        <f t="shared" si="108"/>
        <v>0.36511878787878788</v>
      </c>
      <c r="AO146" s="95">
        <f t="shared" si="119"/>
        <v>4.3536914178145079</v>
      </c>
      <c r="AP146" s="94">
        <f t="shared" si="109"/>
        <v>3.9001206749311295</v>
      </c>
      <c r="AQ146" s="230">
        <f t="shared" si="110"/>
        <v>15.600482699724518</v>
      </c>
      <c r="AR146" s="230">
        <f t="shared" si="111"/>
        <v>1.0915700452567536</v>
      </c>
      <c r="AS146" s="92">
        <f t="shared" si="112"/>
        <v>3.6000000000000004E-2</v>
      </c>
      <c r="AT146" s="95">
        <f t="shared" si="113"/>
        <v>2.9699999999999997E-5</v>
      </c>
      <c r="AU146" s="94">
        <f t="shared" si="120"/>
        <v>78.878318828622881</v>
      </c>
      <c r="AV146" s="92">
        <f t="shared" si="121"/>
        <v>458.7</v>
      </c>
      <c r="AW146" s="95">
        <f t="shared" si="122"/>
        <v>85.327101918749662</v>
      </c>
    </row>
    <row r="147" spans="17:49" x14ac:dyDescent="0.25">
      <c r="Q147" s="32">
        <v>140</v>
      </c>
      <c r="R147" s="94">
        <f t="shared" si="96"/>
        <v>45</v>
      </c>
      <c r="S147" s="92">
        <f t="shared" si="97"/>
        <v>10.266666666666667</v>
      </c>
      <c r="T147" s="92">
        <f t="shared" si="98"/>
        <v>9</v>
      </c>
      <c r="U147" s="95">
        <f t="shared" si="99"/>
        <v>51.333333333333343</v>
      </c>
      <c r="V147" s="94">
        <f>IF(Variable_Management!$B$22=3,2,IF((S147*R147/T147)&lt;((T147*(1-(T147/R147)))/(2*Lm*Fsw)),1,2))</f>
        <v>2</v>
      </c>
      <c r="W147" s="92">
        <f t="shared" si="100"/>
        <v>0.8</v>
      </c>
      <c r="X147" s="95">
        <f t="shared" si="101"/>
        <v>0.19999999999999996</v>
      </c>
      <c r="Y147" s="94">
        <f t="shared" si="102"/>
        <v>5.454545454545455</v>
      </c>
      <c r="Z147" s="92">
        <f t="shared" si="124"/>
        <v>54.060606060606069</v>
      </c>
      <c r="AA147" s="92">
        <f t="shared" si="125"/>
        <v>51.3574770598604</v>
      </c>
      <c r="AB147" s="92">
        <v>0</v>
      </c>
      <c r="AC147" s="92">
        <f t="shared" si="103"/>
        <v>15.825542699724526</v>
      </c>
      <c r="AD147" s="95">
        <f t="shared" si="114"/>
        <v>15.825542699724526</v>
      </c>
      <c r="AE147" s="94">
        <f t="shared" si="123"/>
        <v>41.066666666666677</v>
      </c>
      <c r="AF147" s="92">
        <f t="shared" si="115"/>
        <v>45.935523943493557</v>
      </c>
      <c r="AG147" s="92">
        <f t="shared" si="104"/>
        <v>14.770506519742888</v>
      </c>
      <c r="AH147" s="92">
        <f t="shared" si="105"/>
        <v>23.906250000000007</v>
      </c>
      <c r="AI147" s="95">
        <f t="shared" si="116"/>
        <v>38.676756519742895</v>
      </c>
      <c r="AJ147" s="94">
        <f t="shared" si="117"/>
        <v>10.266666666666666</v>
      </c>
      <c r="AK147" s="92">
        <f t="shared" si="106"/>
        <v>22.967761971746775</v>
      </c>
      <c r="AL147" s="92">
        <f t="shared" si="107"/>
        <v>3.6926266299357211</v>
      </c>
      <c r="AM147" s="92">
        <f t="shared" si="118"/>
        <v>0.34846000000000005</v>
      </c>
      <c r="AN147" s="211">
        <f t="shared" si="108"/>
        <v>0.36761212121212128</v>
      </c>
      <c r="AO147" s="95">
        <f t="shared" si="119"/>
        <v>4.4086987511478428</v>
      </c>
      <c r="AP147" s="94">
        <f t="shared" si="109"/>
        <v>3.9563856749311315</v>
      </c>
      <c r="AQ147" s="230">
        <f t="shared" si="110"/>
        <v>15.825542699724526</v>
      </c>
      <c r="AR147" s="230">
        <f t="shared" si="111"/>
        <v>1.0915700452567536</v>
      </c>
      <c r="AS147" s="92">
        <f t="shared" si="112"/>
        <v>3.6000000000000004E-2</v>
      </c>
      <c r="AT147" s="95">
        <f t="shared" si="113"/>
        <v>2.9699999999999997E-5</v>
      </c>
      <c r="AU147" s="94">
        <f t="shared" si="120"/>
        <v>79.820526090527679</v>
      </c>
      <c r="AV147" s="92">
        <f t="shared" si="121"/>
        <v>462.00000000000006</v>
      </c>
      <c r="AW147" s="95">
        <f t="shared" si="122"/>
        <v>85.268087448353469</v>
      </c>
    </row>
    <row r="148" spans="17:49" x14ac:dyDescent="0.25">
      <c r="Q148" s="32">
        <v>141</v>
      </c>
      <c r="R148" s="94">
        <f t="shared" si="96"/>
        <v>45</v>
      </c>
      <c r="S148" s="92">
        <f t="shared" si="97"/>
        <v>10.34</v>
      </c>
      <c r="T148" s="92">
        <f t="shared" si="98"/>
        <v>9</v>
      </c>
      <c r="U148" s="95">
        <f t="shared" si="99"/>
        <v>51.7</v>
      </c>
      <c r="V148" s="94">
        <f>IF(Variable_Management!$B$22=3,2,IF((S148*R148/T148)&lt;((T148*(1-(T148/R148)))/(2*Lm*Fsw)),1,2))</f>
        <v>2</v>
      </c>
      <c r="W148" s="92">
        <f t="shared" si="100"/>
        <v>0.8</v>
      </c>
      <c r="X148" s="95">
        <f t="shared" si="101"/>
        <v>0.19999999999999996</v>
      </c>
      <c r="Y148" s="94">
        <f t="shared" si="102"/>
        <v>5.454545454545455</v>
      </c>
      <c r="Z148" s="92">
        <f t="shared" si="124"/>
        <v>54.427272727272729</v>
      </c>
      <c r="AA148" s="92">
        <f t="shared" si="125"/>
        <v>51.723972574068355</v>
      </c>
      <c r="AB148" s="92">
        <v>0</v>
      </c>
      <c r="AC148" s="92">
        <f t="shared" si="103"/>
        <v>16.052216033057853</v>
      </c>
      <c r="AD148" s="95">
        <f t="shared" si="114"/>
        <v>16.052216033057853</v>
      </c>
      <c r="AE148" s="94">
        <f t="shared" si="123"/>
        <v>41.360000000000007</v>
      </c>
      <c r="AF148" s="92">
        <f t="shared" si="115"/>
        <v>46.263327496780647</v>
      </c>
      <c r="AG148" s="92">
        <f t="shared" si="104"/>
        <v>14.982068297520662</v>
      </c>
      <c r="AH148" s="92">
        <f t="shared" si="105"/>
        <v>24.077008928571427</v>
      </c>
      <c r="AI148" s="95">
        <f t="shared" si="116"/>
        <v>39.059077226092086</v>
      </c>
      <c r="AJ148" s="94">
        <f t="shared" si="117"/>
        <v>10.339999999999998</v>
      </c>
      <c r="AK148" s="92">
        <f t="shared" si="106"/>
        <v>23.13166374839032</v>
      </c>
      <c r="AL148" s="92">
        <f t="shared" si="107"/>
        <v>3.7455170743801647</v>
      </c>
      <c r="AM148" s="92">
        <f t="shared" si="118"/>
        <v>0.34846000000000005</v>
      </c>
      <c r="AN148" s="211">
        <f t="shared" si="108"/>
        <v>0.37010545454545452</v>
      </c>
      <c r="AO148" s="95">
        <f t="shared" si="119"/>
        <v>4.4640825289256192</v>
      </c>
      <c r="AP148" s="94">
        <f t="shared" si="109"/>
        <v>4.0130540082644632</v>
      </c>
      <c r="AQ148" s="230">
        <f t="shared" si="110"/>
        <v>16.052216033057853</v>
      </c>
      <c r="AR148" s="230">
        <f t="shared" si="111"/>
        <v>1.0915700452567536</v>
      </c>
      <c r="AS148" s="92">
        <f t="shared" si="112"/>
        <v>3.6000000000000004E-2</v>
      </c>
      <c r="AT148" s="95">
        <f t="shared" si="113"/>
        <v>2.9699999999999997E-5</v>
      </c>
      <c r="AU148" s="94">
        <f t="shared" si="120"/>
        <v>80.768245574654628</v>
      </c>
      <c r="AV148" s="92">
        <f t="shared" si="121"/>
        <v>465.3</v>
      </c>
      <c r="AW148" s="95">
        <f t="shared" si="122"/>
        <v>85.209129769181473</v>
      </c>
    </row>
    <row r="149" spans="17:49" x14ac:dyDescent="0.25">
      <c r="Q149" s="32">
        <v>142</v>
      </c>
      <c r="R149" s="94">
        <f t="shared" si="96"/>
        <v>45</v>
      </c>
      <c r="S149" s="92">
        <f t="shared" si="97"/>
        <v>10.413333333333334</v>
      </c>
      <c r="T149" s="92">
        <f t="shared" si="98"/>
        <v>9</v>
      </c>
      <c r="U149" s="95">
        <f t="shared" si="99"/>
        <v>52.06666666666667</v>
      </c>
      <c r="V149" s="94">
        <f>IF(Variable_Management!$B$22=3,2,IF((S149*R149/T149)&lt;((T149*(1-(T149/R149)))/(2*Lm*Fsw)),1,2))</f>
        <v>2</v>
      </c>
      <c r="W149" s="92">
        <f t="shared" si="100"/>
        <v>0.8</v>
      </c>
      <c r="X149" s="95">
        <f t="shared" si="101"/>
        <v>0.19999999999999996</v>
      </c>
      <c r="Y149" s="94">
        <f t="shared" si="102"/>
        <v>5.454545454545455</v>
      </c>
      <c r="Z149" s="92">
        <f t="shared" si="124"/>
        <v>54.793939393939397</v>
      </c>
      <c r="AA149" s="92">
        <f t="shared" si="125"/>
        <v>52.090470497210461</v>
      </c>
      <c r="AB149" s="92">
        <v>0</v>
      </c>
      <c r="AC149" s="92">
        <f t="shared" si="103"/>
        <v>16.280502699724522</v>
      </c>
      <c r="AD149" s="95">
        <f t="shared" si="114"/>
        <v>16.280502699724522</v>
      </c>
      <c r="AE149" s="94">
        <f t="shared" si="123"/>
        <v>41.653333333333336</v>
      </c>
      <c r="AF149" s="92">
        <f t="shared" si="115"/>
        <v>46.591133204683942</v>
      </c>
      <c r="AG149" s="92">
        <f t="shared" si="104"/>
        <v>15.19513585307622</v>
      </c>
      <c r="AH149" s="92">
        <f t="shared" si="105"/>
        <v>24.247767857142858</v>
      </c>
      <c r="AI149" s="95">
        <f t="shared" si="116"/>
        <v>39.442903710219078</v>
      </c>
      <c r="AJ149" s="94">
        <f t="shared" si="117"/>
        <v>10.413333333333332</v>
      </c>
      <c r="AK149" s="92">
        <f t="shared" si="106"/>
        <v>23.295566602341967</v>
      </c>
      <c r="AL149" s="92">
        <f t="shared" si="107"/>
        <v>3.7987839632690532</v>
      </c>
      <c r="AM149" s="92">
        <f t="shared" si="118"/>
        <v>0.34846000000000005</v>
      </c>
      <c r="AN149" s="211">
        <f t="shared" si="108"/>
        <v>0.37259878787878786</v>
      </c>
      <c r="AO149" s="95">
        <f t="shared" si="119"/>
        <v>4.5198427511478414</v>
      </c>
      <c r="AP149" s="94">
        <f t="shared" si="109"/>
        <v>4.0701256749311305</v>
      </c>
      <c r="AQ149" s="230">
        <f t="shared" si="110"/>
        <v>16.280502699724522</v>
      </c>
      <c r="AR149" s="230">
        <f t="shared" si="111"/>
        <v>1.0915700452567536</v>
      </c>
      <c r="AS149" s="92">
        <f t="shared" si="112"/>
        <v>3.6000000000000004E-2</v>
      </c>
      <c r="AT149" s="95">
        <f t="shared" si="113"/>
        <v>2.9699999999999997E-5</v>
      </c>
      <c r="AU149" s="94">
        <f t="shared" si="120"/>
        <v>81.721477281003857</v>
      </c>
      <c r="AV149" s="92">
        <f t="shared" si="121"/>
        <v>468.6</v>
      </c>
      <c r="AW149" s="95">
        <f t="shared" si="122"/>
        <v>85.150229337810231</v>
      </c>
    </row>
    <row r="150" spans="17:49" x14ac:dyDescent="0.25">
      <c r="Q150" s="32">
        <v>143</v>
      </c>
      <c r="R150" s="94">
        <f t="shared" si="96"/>
        <v>45</v>
      </c>
      <c r="S150" s="92">
        <f t="shared" si="97"/>
        <v>10.486666666666666</v>
      </c>
      <c r="T150" s="92">
        <f t="shared" si="98"/>
        <v>9</v>
      </c>
      <c r="U150" s="95">
        <f t="shared" si="99"/>
        <v>52.43333333333333</v>
      </c>
      <c r="V150" s="94">
        <f>IF(Variable_Management!$B$22=3,2,IF((S150*R150/T150)&lt;((T150*(1-(T150/R150)))/(2*Lm*Fsw)),1,2))</f>
        <v>2</v>
      </c>
      <c r="W150" s="92">
        <f t="shared" si="100"/>
        <v>0.8</v>
      </c>
      <c r="X150" s="95">
        <f t="shared" si="101"/>
        <v>0.19999999999999996</v>
      </c>
      <c r="Y150" s="94">
        <f t="shared" si="102"/>
        <v>5.454545454545455</v>
      </c>
      <c r="Z150" s="92">
        <f t="shared" si="124"/>
        <v>55.160606060606057</v>
      </c>
      <c r="AA150" s="92">
        <f t="shared" si="125"/>
        <v>52.456970778795636</v>
      </c>
      <c r="AB150" s="92">
        <v>0</v>
      </c>
      <c r="AC150" s="92">
        <f t="shared" si="103"/>
        <v>16.510402699724516</v>
      </c>
      <c r="AD150" s="95">
        <f t="shared" si="114"/>
        <v>16.510402699724516</v>
      </c>
      <c r="AE150" s="94">
        <f t="shared" si="123"/>
        <v>41.946666666666665</v>
      </c>
      <c r="AF150" s="92">
        <f t="shared" si="115"/>
        <v>46.918941022042851</v>
      </c>
      <c r="AG150" s="92">
        <f t="shared" si="104"/>
        <v>15.409709186409549</v>
      </c>
      <c r="AH150" s="92">
        <f t="shared" si="105"/>
        <v>24.418526785714285</v>
      </c>
      <c r="AI150" s="95">
        <f t="shared" si="116"/>
        <v>39.828235972123835</v>
      </c>
      <c r="AJ150" s="94">
        <f t="shared" si="117"/>
        <v>10.486666666666663</v>
      </c>
      <c r="AK150" s="92">
        <f t="shared" si="106"/>
        <v>23.459470511021422</v>
      </c>
      <c r="AL150" s="92">
        <f t="shared" si="107"/>
        <v>3.8524272966023863</v>
      </c>
      <c r="AM150" s="92">
        <f t="shared" si="118"/>
        <v>0.34846000000000005</v>
      </c>
      <c r="AN150" s="211">
        <f t="shared" si="108"/>
        <v>0.37509212121212115</v>
      </c>
      <c r="AO150" s="95">
        <f t="shared" si="119"/>
        <v>4.5759794178145068</v>
      </c>
      <c r="AP150" s="94">
        <f t="shared" si="109"/>
        <v>4.1276006749311289</v>
      </c>
      <c r="AQ150" s="230">
        <f t="shared" si="110"/>
        <v>16.510402699724516</v>
      </c>
      <c r="AR150" s="230">
        <f t="shared" si="111"/>
        <v>1.0915700452567536</v>
      </c>
      <c r="AS150" s="92">
        <f t="shared" si="112"/>
        <v>3.6000000000000004E-2</v>
      </c>
      <c r="AT150" s="95">
        <f t="shared" si="113"/>
        <v>2.9699999999999997E-5</v>
      </c>
      <c r="AU150" s="94">
        <f t="shared" si="120"/>
        <v>82.680221209575279</v>
      </c>
      <c r="AV150" s="92">
        <f t="shared" si="121"/>
        <v>471.9</v>
      </c>
      <c r="AW150" s="95">
        <f t="shared" si="122"/>
        <v>85.091386593404934</v>
      </c>
    </row>
    <row r="151" spans="17:49" x14ac:dyDescent="0.25">
      <c r="Q151" s="32">
        <v>144</v>
      </c>
      <c r="R151" s="94">
        <f t="shared" si="96"/>
        <v>45</v>
      </c>
      <c r="S151" s="92">
        <f t="shared" si="97"/>
        <v>10.56</v>
      </c>
      <c r="T151" s="92">
        <f t="shared" si="98"/>
        <v>9</v>
      </c>
      <c r="U151" s="95">
        <f t="shared" si="99"/>
        <v>52.800000000000004</v>
      </c>
      <c r="V151" s="94">
        <f>IF(Variable_Management!$B$22=3,2,IF((S151*R151/T151)&lt;((T151*(1-(T151/R151)))/(2*Lm*Fsw)),1,2))</f>
        <v>2</v>
      </c>
      <c r="W151" s="92">
        <f t="shared" si="100"/>
        <v>0.8</v>
      </c>
      <c r="X151" s="95">
        <f t="shared" si="101"/>
        <v>0.19999999999999996</v>
      </c>
      <c r="Y151" s="94">
        <f t="shared" si="102"/>
        <v>5.454545454545455</v>
      </c>
      <c r="Z151" s="92">
        <f t="shared" si="124"/>
        <v>55.527272727272731</v>
      </c>
      <c r="AA151" s="92">
        <f t="shared" si="125"/>
        <v>52.823473369733797</v>
      </c>
      <c r="AB151" s="92">
        <v>0</v>
      </c>
      <c r="AC151" s="92">
        <f t="shared" si="103"/>
        <v>16.741916033057855</v>
      </c>
      <c r="AD151" s="95">
        <f t="shared" si="114"/>
        <v>16.741916033057855</v>
      </c>
      <c r="AE151" s="94">
        <f t="shared" si="123"/>
        <v>42.240000000000009</v>
      </c>
      <c r="AF151" s="92">
        <f t="shared" si="115"/>
        <v>47.246750904949856</v>
      </c>
      <c r="AG151" s="92">
        <f t="shared" si="104"/>
        <v>15.625788297520662</v>
      </c>
      <c r="AH151" s="92">
        <f t="shared" si="105"/>
        <v>24.589285714285715</v>
      </c>
      <c r="AI151" s="95">
        <f t="shared" si="116"/>
        <v>40.215074011806379</v>
      </c>
      <c r="AJ151" s="94">
        <f t="shared" si="117"/>
        <v>10.559999999999999</v>
      </c>
      <c r="AK151" s="92">
        <f t="shared" si="106"/>
        <v>23.623375452474928</v>
      </c>
      <c r="AL151" s="92">
        <f t="shared" si="107"/>
        <v>3.9064470743801656</v>
      </c>
      <c r="AM151" s="92">
        <f t="shared" si="118"/>
        <v>0.34846000000000005</v>
      </c>
      <c r="AN151" s="211">
        <f t="shared" si="108"/>
        <v>0.37758545454545456</v>
      </c>
      <c r="AO151" s="95">
        <f t="shared" si="119"/>
        <v>4.6324925289256198</v>
      </c>
      <c r="AP151" s="94">
        <f t="shared" si="109"/>
        <v>4.1854790082644637</v>
      </c>
      <c r="AQ151" s="230">
        <f t="shared" si="110"/>
        <v>16.741916033057855</v>
      </c>
      <c r="AR151" s="230">
        <f t="shared" si="111"/>
        <v>1.0915700452567536</v>
      </c>
      <c r="AS151" s="92">
        <f t="shared" si="112"/>
        <v>3.6000000000000004E-2</v>
      </c>
      <c r="AT151" s="95">
        <f t="shared" si="113"/>
        <v>2.9699999999999997E-5</v>
      </c>
      <c r="AU151" s="94">
        <f t="shared" si="120"/>
        <v>83.644477360368938</v>
      </c>
      <c r="AV151" s="92">
        <f t="shared" si="121"/>
        <v>475.20000000000005</v>
      </c>
      <c r="AW151" s="95">
        <f t="shared" si="122"/>
        <v>85.032601958338574</v>
      </c>
    </row>
    <row r="152" spans="17:49" x14ac:dyDescent="0.25">
      <c r="Q152" s="32">
        <v>145</v>
      </c>
      <c r="R152" s="94">
        <f t="shared" si="96"/>
        <v>45</v>
      </c>
      <c r="S152" s="92">
        <f t="shared" si="97"/>
        <v>10.633333333333333</v>
      </c>
      <c r="T152" s="92">
        <f t="shared" si="98"/>
        <v>9</v>
      </c>
      <c r="U152" s="95">
        <f t="shared" si="99"/>
        <v>53.166666666666664</v>
      </c>
      <c r="V152" s="94">
        <f>IF(Variable_Management!$B$22=3,2,IF((S152*R152/T152)&lt;((T152*(1-(T152/R152)))/(2*Lm*Fsw)),1,2))</f>
        <v>2</v>
      </c>
      <c r="W152" s="92">
        <f t="shared" si="100"/>
        <v>0.8</v>
      </c>
      <c r="X152" s="95">
        <f t="shared" si="101"/>
        <v>0.19999999999999996</v>
      </c>
      <c r="Y152" s="94">
        <f t="shared" si="102"/>
        <v>5.454545454545455</v>
      </c>
      <c r="Z152" s="92">
        <f t="shared" si="124"/>
        <v>55.893939393939391</v>
      </c>
      <c r="AA152" s="92">
        <f t="shared" si="125"/>
        <v>53.189978222287507</v>
      </c>
      <c r="AB152" s="92">
        <v>0</v>
      </c>
      <c r="AC152" s="92">
        <f t="shared" si="103"/>
        <v>16.975042699724515</v>
      </c>
      <c r="AD152" s="95">
        <f t="shared" si="114"/>
        <v>16.975042699724515</v>
      </c>
      <c r="AE152" s="94">
        <f t="shared" si="123"/>
        <v>42.533333333333331</v>
      </c>
      <c r="AF152" s="92">
        <f t="shared" si="115"/>
        <v>47.574562810707313</v>
      </c>
      <c r="AG152" s="92">
        <f t="shared" si="104"/>
        <v>15.843373186409547</v>
      </c>
      <c r="AH152" s="92">
        <f t="shared" si="105"/>
        <v>24.760044642857142</v>
      </c>
      <c r="AI152" s="95">
        <f t="shared" si="116"/>
        <v>40.603417829266689</v>
      </c>
      <c r="AJ152" s="94">
        <f t="shared" si="117"/>
        <v>10.633333333333331</v>
      </c>
      <c r="AK152" s="92">
        <f t="shared" si="106"/>
        <v>23.787281405353653</v>
      </c>
      <c r="AL152" s="92">
        <f t="shared" si="107"/>
        <v>3.9608432966023859</v>
      </c>
      <c r="AM152" s="92">
        <f t="shared" si="118"/>
        <v>0.34846000000000005</v>
      </c>
      <c r="AN152" s="211">
        <f t="shared" si="108"/>
        <v>0.38007878787878785</v>
      </c>
      <c r="AO152" s="95">
        <f t="shared" si="119"/>
        <v>4.6893820844811742</v>
      </c>
      <c r="AP152" s="94">
        <f t="shared" si="109"/>
        <v>4.2437606749311287</v>
      </c>
      <c r="AQ152" s="230">
        <f t="shared" si="110"/>
        <v>16.975042699724515</v>
      </c>
      <c r="AR152" s="230">
        <f t="shared" si="111"/>
        <v>1.0915700452567536</v>
      </c>
      <c r="AS152" s="92">
        <f t="shared" si="112"/>
        <v>3.6000000000000004E-2</v>
      </c>
      <c r="AT152" s="95">
        <f t="shared" si="113"/>
        <v>2.9699999999999997E-5</v>
      </c>
      <c r="AU152" s="94">
        <f t="shared" si="120"/>
        <v>84.614245733384777</v>
      </c>
      <c r="AV152" s="92">
        <f t="shared" si="121"/>
        <v>478.5</v>
      </c>
      <c r="AW152" s="95">
        <f t="shared" si="122"/>
        <v>84.973875838785531</v>
      </c>
    </row>
    <row r="153" spans="17:49" x14ac:dyDescent="0.25">
      <c r="Q153" s="32">
        <v>146</v>
      </c>
      <c r="R153" s="94">
        <f t="shared" si="96"/>
        <v>45</v>
      </c>
      <c r="S153" s="92">
        <f t="shared" si="97"/>
        <v>10.706666666666667</v>
      </c>
      <c r="T153" s="92">
        <f t="shared" si="98"/>
        <v>9</v>
      </c>
      <c r="U153" s="95">
        <f t="shared" si="99"/>
        <v>53.533333333333331</v>
      </c>
      <c r="V153" s="94">
        <f>IF(Variable_Management!$B$22=3,2,IF((S153*R153/T153)&lt;((T153*(1-(T153/R153)))/(2*Lm*Fsw)),1,2))</f>
        <v>2</v>
      </c>
      <c r="W153" s="92">
        <f t="shared" si="100"/>
        <v>0.8</v>
      </c>
      <c r="X153" s="95">
        <f t="shared" si="101"/>
        <v>0.19999999999999996</v>
      </c>
      <c r="Y153" s="94">
        <f t="shared" si="102"/>
        <v>5.454545454545455</v>
      </c>
      <c r="Z153" s="92">
        <f t="shared" si="124"/>
        <v>56.260606060606058</v>
      </c>
      <c r="AA153" s="92">
        <f t="shared" si="125"/>
        <v>53.556485290025833</v>
      </c>
      <c r="AB153" s="92">
        <v>0</v>
      </c>
      <c r="AC153" s="92">
        <f t="shared" si="103"/>
        <v>17.209782699724521</v>
      </c>
      <c r="AD153" s="95">
        <f t="shared" si="114"/>
        <v>17.209782699724521</v>
      </c>
      <c r="AE153" s="94">
        <f t="shared" si="123"/>
        <v>42.826666666666668</v>
      </c>
      <c r="AF153" s="92">
        <f t="shared" si="115"/>
        <v>47.902376697786117</v>
      </c>
      <c r="AG153" s="92">
        <f t="shared" si="104"/>
        <v>16.062463853076217</v>
      </c>
      <c r="AH153" s="92">
        <f t="shared" si="105"/>
        <v>24.930803571428573</v>
      </c>
      <c r="AI153" s="95">
        <f t="shared" si="116"/>
        <v>40.993267424504793</v>
      </c>
      <c r="AJ153" s="94">
        <f t="shared" si="117"/>
        <v>10.706666666666663</v>
      </c>
      <c r="AK153" s="92">
        <f t="shared" si="106"/>
        <v>23.951188348893051</v>
      </c>
      <c r="AL153" s="92">
        <f t="shared" si="107"/>
        <v>4.0156159632690516</v>
      </c>
      <c r="AM153" s="92">
        <f t="shared" si="118"/>
        <v>0.34846000000000005</v>
      </c>
      <c r="AN153" s="211">
        <f t="shared" si="108"/>
        <v>0.3825721212121212</v>
      </c>
      <c r="AO153" s="95">
        <f t="shared" si="119"/>
        <v>4.7466480844811727</v>
      </c>
      <c r="AP153" s="94">
        <f t="shared" si="109"/>
        <v>4.3024456749311302</v>
      </c>
      <c r="AQ153" s="230">
        <f t="shared" si="110"/>
        <v>17.209782699724521</v>
      </c>
      <c r="AR153" s="230">
        <f t="shared" si="111"/>
        <v>1.0915700452567536</v>
      </c>
      <c r="AS153" s="92">
        <f t="shared" si="112"/>
        <v>3.6000000000000004E-2</v>
      </c>
      <c r="AT153" s="95">
        <f t="shared" si="113"/>
        <v>2.9699999999999997E-5</v>
      </c>
      <c r="AU153" s="94">
        <f t="shared" si="120"/>
        <v>85.589526328622895</v>
      </c>
      <c r="AV153" s="92">
        <f t="shared" si="121"/>
        <v>481.8</v>
      </c>
      <c r="AW153" s="95">
        <f t="shared" si="122"/>
        <v>84.915208625290902</v>
      </c>
    </row>
    <row r="154" spans="17:49" x14ac:dyDescent="0.25">
      <c r="Q154" s="32">
        <v>147</v>
      </c>
      <c r="R154" s="94">
        <f t="shared" si="96"/>
        <v>45</v>
      </c>
      <c r="S154" s="92">
        <f t="shared" si="97"/>
        <v>10.78</v>
      </c>
      <c r="T154" s="92">
        <f t="shared" si="98"/>
        <v>9</v>
      </c>
      <c r="U154" s="95">
        <f t="shared" si="99"/>
        <v>53.9</v>
      </c>
      <c r="V154" s="94">
        <f>IF(Variable_Management!$B$22=3,2,IF((S154*R154/T154)&lt;((T154*(1-(T154/R154)))/(2*Lm*Fsw)),1,2))</f>
        <v>2</v>
      </c>
      <c r="W154" s="92">
        <f t="shared" si="100"/>
        <v>0.8</v>
      </c>
      <c r="X154" s="95">
        <f t="shared" si="101"/>
        <v>0.19999999999999996</v>
      </c>
      <c r="Y154" s="94">
        <f t="shared" si="102"/>
        <v>5.454545454545455</v>
      </c>
      <c r="Z154" s="92">
        <f t="shared" si="124"/>
        <v>56.627272727272725</v>
      </c>
      <c r="AA154" s="92">
        <f t="shared" si="125"/>
        <v>53.922994527779849</v>
      </c>
      <c r="AB154" s="92">
        <v>0</v>
      </c>
      <c r="AC154" s="92">
        <f t="shared" si="103"/>
        <v>17.446136033057854</v>
      </c>
      <c r="AD154" s="95">
        <f t="shared" si="114"/>
        <v>17.446136033057854</v>
      </c>
      <c r="AE154" s="94">
        <f t="shared" si="123"/>
        <v>43.120000000000005</v>
      </c>
      <c r="AF154" s="92">
        <f t="shared" si="115"/>
        <v>48.230192525785959</v>
      </c>
      <c r="AG154" s="92">
        <f t="shared" si="104"/>
        <v>16.28306029752066</v>
      </c>
      <c r="AH154" s="92">
        <f t="shared" si="105"/>
        <v>25.1015625</v>
      </c>
      <c r="AI154" s="95">
        <f t="shared" si="116"/>
        <v>41.384622797520663</v>
      </c>
      <c r="AJ154" s="94">
        <f t="shared" si="117"/>
        <v>10.779999999999998</v>
      </c>
      <c r="AK154" s="92">
        <f t="shared" si="106"/>
        <v>24.11509626289298</v>
      </c>
      <c r="AL154" s="92">
        <f t="shared" si="107"/>
        <v>4.0707650743801649</v>
      </c>
      <c r="AM154" s="92">
        <f t="shared" si="118"/>
        <v>0.34846000000000005</v>
      </c>
      <c r="AN154" s="211">
        <f t="shared" si="108"/>
        <v>0.38506545454545449</v>
      </c>
      <c r="AO154" s="95">
        <f t="shared" si="119"/>
        <v>4.8042905289256197</v>
      </c>
      <c r="AP154" s="94">
        <f t="shared" si="109"/>
        <v>4.3615340082644636</v>
      </c>
      <c r="AQ154" s="230">
        <f t="shared" si="110"/>
        <v>17.446136033057854</v>
      </c>
      <c r="AR154" s="230">
        <f t="shared" si="111"/>
        <v>1.0915700452567536</v>
      </c>
      <c r="AS154" s="92">
        <f t="shared" si="112"/>
        <v>3.6000000000000004E-2</v>
      </c>
      <c r="AT154" s="95">
        <f t="shared" si="113"/>
        <v>2.9699999999999997E-5</v>
      </c>
      <c r="AU154" s="94">
        <f t="shared" si="120"/>
        <v>86.570319146083222</v>
      </c>
      <c r="AV154" s="92">
        <f t="shared" si="121"/>
        <v>485.09999999999997</v>
      </c>
      <c r="AW154" s="95">
        <f t="shared" si="122"/>
        <v>84.856600693316508</v>
      </c>
    </row>
    <row r="155" spans="17:49" x14ac:dyDescent="0.25">
      <c r="Q155" s="32">
        <v>148</v>
      </c>
      <c r="R155" s="94">
        <f t="shared" si="96"/>
        <v>45</v>
      </c>
      <c r="S155" s="92">
        <f t="shared" si="97"/>
        <v>10.853333333333333</v>
      </c>
      <c r="T155" s="92">
        <f t="shared" si="98"/>
        <v>9</v>
      </c>
      <c r="U155" s="95">
        <f t="shared" si="99"/>
        <v>54.266666666666673</v>
      </c>
      <c r="V155" s="94">
        <f>IF(Variable_Management!$B$22=3,2,IF((S155*R155/T155)&lt;((T155*(1-(T155/R155)))/(2*Lm*Fsw)),1,2))</f>
        <v>2</v>
      </c>
      <c r="W155" s="92">
        <f t="shared" si="100"/>
        <v>0.8</v>
      </c>
      <c r="X155" s="95">
        <f t="shared" si="101"/>
        <v>0.19999999999999996</v>
      </c>
      <c r="Y155" s="94">
        <f t="shared" si="102"/>
        <v>5.454545454545455</v>
      </c>
      <c r="Z155" s="92">
        <f t="shared" si="124"/>
        <v>56.993939393939399</v>
      </c>
      <c r="AA155" s="92">
        <f t="shared" si="125"/>
        <v>54.28950589160015</v>
      </c>
      <c r="AB155" s="92">
        <v>0</v>
      </c>
      <c r="AC155" s="92">
        <f t="shared" si="103"/>
        <v>17.684102699724523</v>
      </c>
      <c r="AD155" s="95">
        <f t="shared" si="114"/>
        <v>17.684102699724523</v>
      </c>
      <c r="AE155" s="94">
        <f t="shared" si="123"/>
        <v>43.413333333333341</v>
      </c>
      <c r="AF155" s="92">
        <f t="shared" si="115"/>
        <v>48.558010255397306</v>
      </c>
      <c r="AG155" s="92">
        <f t="shared" si="104"/>
        <v>16.505162519742893</v>
      </c>
      <c r="AH155" s="92">
        <f t="shared" si="105"/>
        <v>25.272321428571434</v>
      </c>
      <c r="AI155" s="95">
        <f t="shared" si="116"/>
        <v>41.777483948314327</v>
      </c>
      <c r="AJ155" s="94">
        <f t="shared" si="117"/>
        <v>10.853333333333332</v>
      </c>
      <c r="AK155" s="92">
        <f t="shared" si="106"/>
        <v>24.279005127698646</v>
      </c>
      <c r="AL155" s="92">
        <f t="shared" si="107"/>
        <v>4.1262906299357205</v>
      </c>
      <c r="AM155" s="92">
        <f t="shared" si="118"/>
        <v>0.34846000000000005</v>
      </c>
      <c r="AN155" s="211">
        <f t="shared" si="108"/>
        <v>0.38755878787878789</v>
      </c>
      <c r="AO155" s="95">
        <f t="shared" si="119"/>
        <v>4.862309417814509</v>
      </c>
      <c r="AP155" s="94">
        <f t="shared" si="109"/>
        <v>4.4210256749311307</v>
      </c>
      <c r="AQ155" s="230">
        <f t="shared" si="110"/>
        <v>17.684102699724523</v>
      </c>
      <c r="AR155" s="230">
        <f t="shared" si="111"/>
        <v>1.0915700452567536</v>
      </c>
      <c r="AS155" s="92">
        <f t="shared" si="112"/>
        <v>3.6000000000000004E-2</v>
      </c>
      <c r="AT155" s="95">
        <f t="shared" si="113"/>
        <v>2.9699999999999997E-5</v>
      </c>
      <c r="AU155" s="94">
        <f t="shared" si="120"/>
        <v>87.55662418576577</v>
      </c>
      <c r="AV155" s="92">
        <f t="shared" si="121"/>
        <v>488.40000000000003</v>
      </c>
      <c r="AW155" s="95">
        <f t="shared" si="122"/>
        <v>84.798052403764743</v>
      </c>
    </row>
    <row r="156" spans="17:49" x14ac:dyDescent="0.25">
      <c r="Q156" s="32">
        <v>149</v>
      </c>
      <c r="R156" s="94">
        <f t="shared" si="96"/>
        <v>45</v>
      </c>
      <c r="S156" s="92">
        <f t="shared" si="97"/>
        <v>10.926666666666666</v>
      </c>
      <c r="T156" s="92">
        <f t="shared" si="98"/>
        <v>9</v>
      </c>
      <c r="U156" s="95">
        <f t="shared" si="99"/>
        <v>54.633333333333333</v>
      </c>
      <c r="V156" s="94">
        <f>IF(Variable_Management!$B$22=3,2,IF((S156*R156/T156)&lt;((T156*(1-(T156/R156)))/(2*Lm*Fsw)),1,2))</f>
        <v>2</v>
      </c>
      <c r="W156" s="92">
        <f t="shared" si="100"/>
        <v>0.8</v>
      </c>
      <c r="X156" s="95">
        <f t="shared" si="101"/>
        <v>0.19999999999999996</v>
      </c>
      <c r="Y156" s="94">
        <f t="shared" si="102"/>
        <v>5.454545454545455</v>
      </c>
      <c r="Z156" s="92">
        <f t="shared" si="124"/>
        <v>57.360606060606059</v>
      </c>
      <c r="AA156" s="92">
        <f t="shared" si="125"/>
        <v>54.6560193387159</v>
      </c>
      <c r="AB156" s="92">
        <v>0</v>
      </c>
      <c r="AC156" s="92">
        <f t="shared" si="103"/>
        <v>17.92368269972452</v>
      </c>
      <c r="AD156" s="95">
        <f t="shared" si="114"/>
        <v>17.92368269972452</v>
      </c>
      <c r="AE156" s="94">
        <f t="shared" si="123"/>
        <v>43.706666666666671</v>
      </c>
      <c r="AF156" s="92">
        <f t="shared" si="115"/>
        <v>48.885829848364743</v>
      </c>
      <c r="AG156" s="92">
        <f t="shared" si="104"/>
        <v>16.728770519742884</v>
      </c>
      <c r="AH156" s="92">
        <f t="shared" si="105"/>
        <v>25.443080357142858</v>
      </c>
      <c r="AI156" s="95">
        <f t="shared" si="116"/>
        <v>42.171850876885742</v>
      </c>
      <c r="AJ156" s="94">
        <f t="shared" si="117"/>
        <v>10.926666666666664</v>
      </c>
      <c r="AK156" s="92">
        <f t="shared" si="106"/>
        <v>24.442914924182368</v>
      </c>
      <c r="AL156" s="92">
        <f t="shared" si="107"/>
        <v>4.1821926299357202</v>
      </c>
      <c r="AM156" s="92">
        <f t="shared" si="118"/>
        <v>0.34846000000000005</v>
      </c>
      <c r="AN156" s="211">
        <f t="shared" si="108"/>
        <v>0.39005212121212118</v>
      </c>
      <c r="AO156" s="95">
        <f t="shared" si="119"/>
        <v>4.9207047511478414</v>
      </c>
      <c r="AP156" s="94">
        <f t="shared" si="109"/>
        <v>4.4809206749311299</v>
      </c>
      <c r="AQ156" s="230">
        <f t="shared" si="110"/>
        <v>17.92368269972452</v>
      </c>
      <c r="AR156" s="230">
        <f t="shared" si="111"/>
        <v>1.0915700452567536</v>
      </c>
      <c r="AS156" s="92">
        <f t="shared" si="112"/>
        <v>3.6000000000000004E-2</v>
      </c>
      <c r="AT156" s="95">
        <f t="shared" si="113"/>
        <v>2.9699999999999997E-5</v>
      </c>
      <c r="AU156" s="94">
        <f t="shared" si="120"/>
        <v>88.548441447670513</v>
      </c>
      <c r="AV156" s="92">
        <f t="shared" si="121"/>
        <v>491.7</v>
      </c>
      <c r="AW156" s="95">
        <f t="shared" si="122"/>
        <v>84.739564103481314</v>
      </c>
    </row>
    <row r="157" spans="17:49" ht="15.75" thickBot="1" x14ac:dyDescent="0.3">
      <c r="Q157" s="32">
        <v>150</v>
      </c>
      <c r="R157" s="96">
        <f t="shared" si="96"/>
        <v>45</v>
      </c>
      <c r="S157" s="97">
        <f t="shared" si="97"/>
        <v>11</v>
      </c>
      <c r="T157" s="97">
        <f t="shared" si="98"/>
        <v>9</v>
      </c>
      <c r="U157" s="98">
        <f t="shared" si="99"/>
        <v>55</v>
      </c>
      <c r="V157" s="94">
        <f>IF(Variable_Management!$B$22=3,2,IF((S157*R157/T157)&lt;((T157*(1-(T157/R157)))/(2*Lm*Fsw)),1,2))</f>
        <v>2</v>
      </c>
      <c r="W157" s="97">
        <f t="shared" si="100"/>
        <v>0.8</v>
      </c>
      <c r="X157" s="95">
        <f t="shared" si="101"/>
        <v>0.19999999999999996</v>
      </c>
      <c r="Y157" s="96">
        <f t="shared" si="102"/>
        <v>5.454545454545455</v>
      </c>
      <c r="Z157" s="97">
        <f t="shared" si="124"/>
        <v>57.727272727272727</v>
      </c>
      <c r="AA157" s="97">
        <f t="shared" si="125"/>
        <v>55.022534827495683</v>
      </c>
      <c r="AB157" s="97">
        <v>0</v>
      </c>
      <c r="AC157" s="97">
        <f t="shared" si="103"/>
        <v>18.164876033057851</v>
      </c>
      <c r="AD157" s="98">
        <f t="shared" si="114"/>
        <v>18.164876033057851</v>
      </c>
      <c r="AE157" s="96">
        <f t="shared" si="123"/>
        <v>44</v>
      </c>
      <c r="AF157" s="92">
        <f t="shared" si="115"/>
        <v>49.213651267452001</v>
      </c>
      <c r="AG157" s="97">
        <f t="shared" si="104"/>
        <v>16.953884297520659</v>
      </c>
      <c r="AH157" s="97">
        <f t="shared" si="105"/>
        <v>25.613839285714285</v>
      </c>
      <c r="AI157" s="98">
        <f t="shared" si="116"/>
        <v>42.567723583234944</v>
      </c>
      <c r="AJ157" s="96">
        <f>X157*U157</f>
        <v>10.999999999999998</v>
      </c>
      <c r="AK157" s="97">
        <f t="shared" si="106"/>
        <v>24.606825633725997</v>
      </c>
      <c r="AL157" s="92">
        <f t="shared" si="107"/>
        <v>4.2384710743801639</v>
      </c>
      <c r="AM157" s="92">
        <f t="shared" si="118"/>
        <v>0.34846000000000005</v>
      </c>
      <c r="AN157" s="211">
        <f t="shared" si="108"/>
        <v>0.39254545454545453</v>
      </c>
      <c r="AO157" s="95">
        <f t="shared" si="119"/>
        <v>4.9794765289256189</v>
      </c>
      <c r="AP157" s="94">
        <f t="shared" si="109"/>
        <v>4.5412190082644628</v>
      </c>
      <c r="AQ157" s="230">
        <f t="shared" si="110"/>
        <v>18.164876033057851</v>
      </c>
      <c r="AR157" s="230">
        <f t="shared" si="111"/>
        <v>1.0915700452567536</v>
      </c>
      <c r="AS157" s="92">
        <f t="shared" si="112"/>
        <v>3.6000000000000004E-2</v>
      </c>
      <c r="AT157" s="98">
        <f t="shared" si="113"/>
        <v>2.9699999999999997E-5</v>
      </c>
      <c r="AU157" s="94">
        <f t="shared" si="120"/>
        <v>89.545770931797492</v>
      </c>
      <c r="AV157" s="97">
        <f t="shared" si="121"/>
        <v>495</v>
      </c>
      <c r="AW157" s="98">
        <f>(AV157/(AV157+AU157))*100</f>
        <v>84.681136125737993</v>
      </c>
    </row>
    <row r="158" spans="17:49" x14ac:dyDescent="0.25">
      <c r="Q158" s="32"/>
    </row>
    <row r="159" spans="17:49" x14ac:dyDescent="0.25">
      <c r="Q159" s="32"/>
    </row>
    <row r="160" spans="17:49" x14ac:dyDescent="0.25">
      <c r="Q160" s="32"/>
    </row>
    <row r="161" spans="17:17" x14ac:dyDescent="0.25">
      <c r="Q161" s="32"/>
    </row>
    <row r="162" spans="17:17" x14ac:dyDescent="0.25">
      <c r="Q162" s="32"/>
    </row>
    <row r="163" spans="17:17" x14ac:dyDescent="0.25">
      <c r="Q163" s="32"/>
    </row>
    <row r="164" spans="17:17" x14ac:dyDescent="0.25">
      <c r="Q164" s="32"/>
    </row>
    <row r="165" spans="17:17" x14ac:dyDescent="0.25">
      <c r="Q165" s="32"/>
    </row>
    <row r="166" spans="17:17" x14ac:dyDescent="0.25">
      <c r="Q166" s="32"/>
    </row>
    <row r="167" spans="17:17" x14ac:dyDescent="0.25">
      <c r="Q167" s="32"/>
    </row>
    <row r="168" spans="17:17" x14ac:dyDescent="0.25">
      <c r="Q168" s="32"/>
    </row>
    <row r="169" spans="17:17" x14ac:dyDescent="0.25">
      <c r="Q169" s="32"/>
    </row>
    <row r="170" spans="17:17" x14ac:dyDescent="0.25">
      <c r="Q170" s="32"/>
    </row>
    <row r="171" spans="17:17" x14ac:dyDescent="0.25">
      <c r="Q171" s="32"/>
    </row>
    <row r="172" spans="17:17" x14ac:dyDescent="0.25">
      <c r="Q172" s="32"/>
    </row>
    <row r="173" spans="17:17" x14ac:dyDescent="0.25">
      <c r="Q173" s="32"/>
    </row>
    <row r="174" spans="17:17" x14ac:dyDescent="0.25">
      <c r="Q174" s="32"/>
    </row>
    <row r="175" spans="17:17" x14ac:dyDescent="0.25">
      <c r="Q175" s="32"/>
    </row>
    <row r="176" spans="17:17" x14ac:dyDescent="0.25">
      <c r="Q176" s="32"/>
    </row>
    <row r="177" spans="17:17" x14ac:dyDescent="0.25">
      <c r="Q177" s="32"/>
    </row>
    <row r="178" spans="17:17" x14ac:dyDescent="0.25">
      <c r="Q178" s="32"/>
    </row>
    <row r="179" spans="17:17" x14ac:dyDescent="0.25">
      <c r="Q179" s="32"/>
    </row>
    <row r="180" spans="17:17" x14ac:dyDescent="0.25">
      <c r="Q180" s="32"/>
    </row>
    <row r="181" spans="17:17" x14ac:dyDescent="0.25">
      <c r="Q181" s="32"/>
    </row>
    <row r="182" spans="17:17" x14ac:dyDescent="0.25">
      <c r="Q182" s="32"/>
    </row>
    <row r="183" spans="17:17" x14ac:dyDescent="0.25">
      <c r="Q183" s="32"/>
    </row>
    <row r="184" spans="17:17" x14ac:dyDescent="0.25">
      <c r="Q184" s="32"/>
    </row>
    <row r="185" spans="17:17" x14ac:dyDescent="0.25">
      <c r="Q185" s="32"/>
    </row>
    <row r="186" spans="17:17" x14ac:dyDescent="0.25">
      <c r="Q186" s="32"/>
    </row>
    <row r="187" spans="17:17" x14ac:dyDescent="0.25">
      <c r="Q187" s="32"/>
    </row>
    <row r="188" spans="17:17" x14ac:dyDescent="0.25">
      <c r="Q188" s="32"/>
    </row>
    <row r="189" spans="17:17" x14ac:dyDescent="0.25">
      <c r="Q189" s="32"/>
    </row>
    <row r="190" spans="17:17" x14ac:dyDescent="0.25">
      <c r="Q190" s="32"/>
    </row>
    <row r="191" spans="17:17" x14ac:dyDescent="0.25">
      <c r="Q191" s="32"/>
    </row>
    <row r="192" spans="17:17" x14ac:dyDescent="0.25">
      <c r="Q192" s="32"/>
    </row>
    <row r="193" spans="17:17" x14ac:dyDescent="0.25">
      <c r="Q193" s="32"/>
    </row>
    <row r="194" spans="17:17" x14ac:dyDescent="0.25">
      <c r="Q194" s="32"/>
    </row>
    <row r="195" spans="17:17" x14ac:dyDescent="0.25">
      <c r="Q195" s="32"/>
    </row>
    <row r="196" spans="17:17" x14ac:dyDescent="0.25">
      <c r="Q196" s="32"/>
    </row>
    <row r="197" spans="17:17" x14ac:dyDescent="0.25">
      <c r="Q197" s="32"/>
    </row>
    <row r="198" spans="17:17" x14ac:dyDescent="0.25">
      <c r="Q198" s="32"/>
    </row>
    <row r="199" spans="17:17" x14ac:dyDescent="0.25">
      <c r="Q199" s="32"/>
    </row>
    <row r="200" spans="17:17" x14ac:dyDescent="0.25">
      <c r="Q200" s="32"/>
    </row>
    <row r="201" spans="17:17" x14ac:dyDescent="0.25">
      <c r="Q201" s="32"/>
    </row>
    <row r="202" spans="17:17" x14ac:dyDescent="0.25">
      <c r="Q202" s="32"/>
    </row>
    <row r="203" spans="17:17" x14ac:dyDescent="0.25">
      <c r="Q203" s="32"/>
    </row>
    <row r="204" spans="17:17" x14ac:dyDescent="0.25">
      <c r="Q204" s="32"/>
    </row>
    <row r="205" spans="17:17" x14ac:dyDescent="0.25">
      <c r="Q205" s="32"/>
    </row>
    <row r="206" spans="17:17" x14ac:dyDescent="0.25">
      <c r="Q206" s="32"/>
    </row>
    <row r="207" spans="17:17" x14ac:dyDescent="0.25">
      <c r="Q207" s="32"/>
    </row>
  </sheetData>
  <mergeCells count="7">
    <mergeCell ref="AP5:AT5"/>
    <mergeCell ref="A1:M1"/>
    <mergeCell ref="R5:U5"/>
    <mergeCell ref="V5:X5"/>
    <mergeCell ref="Y5:AD5"/>
    <mergeCell ref="AE5:AI5"/>
    <mergeCell ref="AJ5:AO5"/>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72"/>
  <sheetViews>
    <sheetView topLeftCell="A46" zoomScaleNormal="100" workbookViewId="0">
      <selection activeCell="B76" sqref="B76"/>
    </sheetView>
  </sheetViews>
  <sheetFormatPr defaultRowHeight="15" x14ac:dyDescent="0.25"/>
  <cols>
    <col min="1" max="1" width="26.7109375" customWidth="1"/>
    <col min="2" max="2" width="25.5703125" customWidth="1"/>
    <col min="3" max="3" width="10.28515625" customWidth="1"/>
  </cols>
  <sheetData>
    <row r="1" spans="1:9" ht="27.75" x14ac:dyDescent="0.4">
      <c r="A1" s="357" t="s">
        <v>66</v>
      </c>
      <c r="B1" s="357"/>
      <c r="C1" s="357"/>
      <c r="D1" s="357"/>
      <c r="E1" s="357"/>
      <c r="F1" s="357"/>
      <c r="G1" s="357"/>
      <c r="H1" s="357"/>
      <c r="I1" s="357"/>
    </row>
    <row r="2" spans="1:9" x14ac:dyDescent="0.25">
      <c r="A2" s="12"/>
      <c r="B2" s="12" t="s">
        <v>10</v>
      </c>
      <c r="C2" s="13"/>
      <c r="D2" s="18"/>
      <c r="E2" s="12"/>
      <c r="F2" s="12"/>
      <c r="G2" s="12"/>
      <c r="H2" s="12"/>
      <c r="I2" s="12"/>
    </row>
    <row r="3" spans="1:9" x14ac:dyDescent="0.25">
      <c r="A3" s="12"/>
      <c r="B3" s="12" t="s">
        <v>11</v>
      </c>
      <c r="C3" s="14"/>
      <c r="D3" s="18"/>
      <c r="E3" s="12"/>
      <c r="F3" s="12"/>
      <c r="G3" s="12"/>
      <c r="H3" s="12"/>
      <c r="I3" s="12"/>
    </row>
    <row r="4" spans="1:9" x14ac:dyDescent="0.25">
      <c r="A4" s="12"/>
      <c r="B4" s="12" t="s">
        <v>12</v>
      </c>
      <c r="C4" s="15"/>
      <c r="D4" s="18"/>
      <c r="E4" s="12"/>
      <c r="F4" s="12"/>
      <c r="G4" s="12"/>
      <c r="H4" s="12"/>
      <c r="I4" s="12"/>
    </row>
    <row r="5" spans="1:9" x14ac:dyDescent="0.25">
      <c r="A5" s="11" t="s">
        <v>13</v>
      </c>
      <c r="B5" s="11" t="s">
        <v>14</v>
      </c>
      <c r="C5" s="11" t="s">
        <v>15</v>
      </c>
      <c r="D5" s="18"/>
      <c r="E5" s="358" t="s">
        <v>16</v>
      </c>
      <c r="F5" s="358"/>
      <c r="G5" s="358"/>
      <c r="H5" s="358"/>
      <c r="I5" s="11"/>
    </row>
    <row r="6" spans="1:9" s="32" customFormat="1" x14ac:dyDescent="0.25">
      <c r="A6" s="11"/>
      <c r="B6" s="11"/>
      <c r="C6" s="11"/>
      <c r="D6" s="18"/>
      <c r="E6" s="324"/>
      <c r="F6" s="324"/>
      <c r="G6" s="324"/>
      <c r="H6" s="324"/>
      <c r="I6" s="11"/>
    </row>
    <row r="7" spans="1:9" s="32" customFormat="1" x14ac:dyDescent="0.25">
      <c r="A7" s="329" t="s">
        <v>756</v>
      </c>
      <c r="B7" s="329"/>
      <c r="C7" s="329"/>
      <c r="D7" s="18"/>
      <c r="E7" s="324"/>
      <c r="F7" s="324"/>
      <c r="G7" s="324"/>
      <c r="H7" s="324"/>
      <c r="I7" s="11"/>
    </row>
    <row r="8" spans="1:9" s="32" customFormat="1" x14ac:dyDescent="0.25">
      <c r="A8" s="329" t="s">
        <v>757</v>
      </c>
      <c r="B8" s="330">
        <v>4.5</v>
      </c>
      <c r="C8" s="329" t="s">
        <v>5</v>
      </c>
      <c r="D8" s="18"/>
      <c r="E8" s="324"/>
      <c r="F8" s="324"/>
      <c r="G8" s="324"/>
      <c r="H8" s="324"/>
      <c r="I8" s="11"/>
    </row>
    <row r="9" spans="1:9" s="4" customFormat="1" x14ac:dyDescent="0.25">
      <c r="A9" s="329" t="s">
        <v>758</v>
      </c>
      <c r="B9" s="330">
        <v>42</v>
      </c>
      <c r="C9" s="329" t="s">
        <v>5</v>
      </c>
      <c r="D9" s="18"/>
      <c r="E9" s="20"/>
      <c r="F9" s="20"/>
      <c r="G9" s="20"/>
      <c r="H9" s="20"/>
      <c r="I9" s="11"/>
    </row>
    <row r="10" spans="1:9" s="32" customFormat="1" x14ac:dyDescent="0.25">
      <c r="A10" s="329" t="s">
        <v>759</v>
      </c>
      <c r="B10" s="330">
        <v>6</v>
      </c>
      <c r="C10" s="329" t="s">
        <v>5</v>
      </c>
      <c r="D10" s="18"/>
      <c r="E10" s="324"/>
      <c r="F10" s="324"/>
      <c r="G10" s="324"/>
      <c r="H10" s="324"/>
      <c r="I10" s="11"/>
    </row>
    <row r="11" spans="1:9" s="32" customFormat="1" x14ac:dyDescent="0.25">
      <c r="A11" s="329" t="s">
        <v>760</v>
      </c>
      <c r="B11" s="330">
        <v>60</v>
      </c>
      <c r="C11" s="329" t="s">
        <v>5</v>
      </c>
      <c r="D11" s="18"/>
      <c r="E11" s="324"/>
      <c r="F11" s="324"/>
      <c r="G11" s="324"/>
      <c r="H11" s="324"/>
      <c r="I11" s="11"/>
    </row>
    <row r="12" spans="1:9" s="32" customFormat="1" x14ac:dyDescent="0.25">
      <c r="A12" s="11"/>
      <c r="B12" s="11"/>
      <c r="C12" s="11"/>
      <c r="D12" s="18"/>
      <c r="E12" s="324"/>
      <c r="F12" s="324"/>
      <c r="G12" s="324"/>
      <c r="H12" s="324"/>
      <c r="I12" s="11"/>
    </row>
    <row r="13" spans="1:9" s="4" customFormat="1" x14ac:dyDescent="0.25">
      <c r="A13" s="11" t="s">
        <v>48</v>
      </c>
      <c r="B13" s="11"/>
      <c r="C13" s="11"/>
      <c r="D13" s="18"/>
      <c r="E13" s="20"/>
      <c r="F13" s="20"/>
      <c r="G13" s="20"/>
      <c r="H13" s="20"/>
      <c r="I13" s="11"/>
    </row>
    <row r="14" spans="1:9" s="4" customFormat="1" x14ac:dyDescent="0.25">
      <c r="A14" s="11"/>
      <c r="B14" s="11"/>
      <c r="C14" s="11"/>
      <c r="D14" s="18"/>
      <c r="E14" s="20"/>
      <c r="F14" s="20"/>
      <c r="G14" s="20"/>
      <c r="H14" s="20"/>
      <c r="I14" s="11"/>
    </row>
    <row r="15" spans="1:9" x14ac:dyDescent="0.25">
      <c r="A15" t="s">
        <v>37</v>
      </c>
      <c r="B15" s="22">
        <v>0.82</v>
      </c>
      <c r="D15" t="s">
        <v>40</v>
      </c>
    </row>
    <row r="16" spans="1:9" s="4" customFormat="1" x14ac:dyDescent="0.25">
      <c r="A16" s="4" t="s">
        <v>41</v>
      </c>
      <c r="B16" s="238">
        <f>(1-B15)/(2.2*10^6)</f>
        <v>8.1818181818181847E-8</v>
      </c>
      <c r="C16" s="4" t="s">
        <v>44</v>
      </c>
      <c r="D16" s="4" t="s">
        <v>47</v>
      </c>
    </row>
    <row r="17" spans="1:4" x14ac:dyDescent="0.25">
      <c r="A17" s="4" t="s">
        <v>38</v>
      </c>
      <c r="B17" s="22">
        <v>0.87</v>
      </c>
      <c r="D17" s="4" t="s">
        <v>40</v>
      </c>
    </row>
    <row r="18" spans="1:4" s="4" customFormat="1" x14ac:dyDescent="0.25">
      <c r="A18" s="4" t="s">
        <v>42</v>
      </c>
      <c r="B18" s="238">
        <f>(1-B17)/(2.2*10^6)</f>
        <v>5.9090909090909092E-8</v>
      </c>
      <c r="C18" s="4" t="s">
        <v>44</v>
      </c>
      <c r="D18" s="4" t="s">
        <v>46</v>
      </c>
    </row>
    <row r="19" spans="1:4" x14ac:dyDescent="0.25">
      <c r="A19" s="4" t="s">
        <v>39</v>
      </c>
      <c r="B19" s="22">
        <v>0.92</v>
      </c>
      <c r="D19" s="4" t="s">
        <v>40</v>
      </c>
    </row>
    <row r="20" spans="1:4" x14ac:dyDescent="0.25">
      <c r="A20" t="s">
        <v>43</v>
      </c>
      <c r="B20" s="238">
        <f>(1-B19)/(2.2*10^6)</f>
        <v>3.6363636363636343E-8</v>
      </c>
      <c r="C20" t="s">
        <v>44</v>
      </c>
      <c r="D20" t="s">
        <v>45</v>
      </c>
    </row>
    <row r="22" spans="1:4" x14ac:dyDescent="0.25">
      <c r="A22" t="s">
        <v>49</v>
      </c>
      <c r="B22" s="22">
        <v>0.99</v>
      </c>
      <c r="D22" s="4" t="s">
        <v>55</v>
      </c>
    </row>
    <row r="23" spans="1:4" x14ac:dyDescent="0.25">
      <c r="A23" t="s">
        <v>50</v>
      </c>
      <c r="B23" s="22">
        <v>0.99399999999999999</v>
      </c>
      <c r="D23" t="s">
        <v>52</v>
      </c>
    </row>
    <row r="24" spans="1:4" x14ac:dyDescent="0.25">
      <c r="A24" t="s">
        <v>51</v>
      </c>
      <c r="B24" s="22">
        <v>0.997</v>
      </c>
      <c r="D24" s="4" t="s">
        <v>56</v>
      </c>
    </row>
    <row r="25" spans="1:4" x14ac:dyDescent="0.25">
      <c r="B25" s="4">
        <f>IF(((1-D_limit_min)/Constants!B18)&lt;Fsw,2,1)</f>
        <v>2</v>
      </c>
      <c r="D25" s="4" t="s">
        <v>371</v>
      </c>
    </row>
    <row r="26" spans="1:4" x14ac:dyDescent="0.25">
      <c r="A26" t="s">
        <v>65</v>
      </c>
      <c r="B26" s="1">
        <f>CHOOSE(B25,D_limit_min,(1-Constants!B16*Fsw))</f>
        <v>0.96727272727272728</v>
      </c>
      <c r="D26" s="4" t="s">
        <v>492</v>
      </c>
    </row>
    <row r="28" spans="1:4" x14ac:dyDescent="0.25">
      <c r="A28" t="s">
        <v>70</v>
      </c>
      <c r="B28" s="22">
        <f>20*10^-9</f>
        <v>2E-8</v>
      </c>
      <c r="C28" t="s">
        <v>44</v>
      </c>
      <c r="D28" t="s">
        <v>484</v>
      </c>
    </row>
    <row r="29" spans="1:4" s="32" customFormat="1" x14ac:dyDescent="0.25">
      <c r="B29" s="27"/>
    </row>
    <row r="30" spans="1:4" s="32" customFormat="1" x14ac:dyDescent="0.25">
      <c r="A30" s="32" t="s">
        <v>478</v>
      </c>
      <c r="B30" s="22">
        <f>20*10^-9</f>
        <v>2E-8</v>
      </c>
      <c r="C30" s="32" t="s">
        <v>44</v>
      </c>
      <c r="D30" s="32" t="s">
        <v>477</v>
      </c>
    </row>
    <row r="31" spans="1:4" ht="15.75" x14ac:dyDescent="0.25">
      <c r="A31" s="42" t="s">
        <v>124</v>
      </c>
    </row>
    <row r="32" spans="1:4" s="32" customFormat="1" x14ac:dyDescent="0.25">
      <c r="A32" s="32" t="s">
        <v>420</v>
      </c>
      <c r="B32" s="22">
        <v>4.8000000000000001E-2</v>
      </c>
      <c r="C32" s="2"/>
    </row>
    <row r="33" spans="1:8" s="32" customFormat="1" x14ac:dyDescent="0.25">
      <c r="B33" s="27"/>
      <c r="C33" s="2"/>
    </row>
    <row r="34" spans="1:8" x14ac:dyDescent="0.25">
      <c r="A34" t="s">
        <v>115</v>
      </c>
      <c r="B34" s="22">
        <v>0.06</v>
      </c>
      <c r="C34" s="2" t="s">
        <v>5</v>
      </c>
      <c r="D34" t="s">
        <v>116</v>
      </c>
    </row>
    <row r="35" spans="1:8" x14ac:dyDescent="0.25">
      <c r="A35" t="s">
        <v>176</v>
      </c>
      <c r="B35" s="22">
        <v>1</v>
      </c>
      <c r="C35" t="s">
        <v>132</v>
      </c>
      <c r="D35" t="s">
        <v>178</v>
      </c>
    </row>
    <row r="36" spans="1:8" x14ac:dyDescent="0.25">
      <c r="A36" t="s">
        <v>180</v>
      </c>
      <c r="B36" s="22">
        <v>10</v>
      </c>
      <c r="C36" t="s">
        <v>132</v>
      </c>
      <c r="D36" t="s">
        <v>181</v>
      </c>
    </row>
    <row r="38" spans="1:8" s="32" customFormat="1" x14ac:dyDescent="0.25">
      <c r="A38" s="47" t="s">
        <v>200</v>
      </c>
    </row>
    <row r="39" spans="1:8" s="32" customFormat="1" x14ac:dyDescent="0.25">
      <c r="A39" s="32" t="s">
        <v>218</v>
      </c>
      <c r="B39" s="22">
        <v>1</v>
      </c>
      <c r="C39" s="32" t="s">
        <v>5</v>
      </c>
      <c r="D39" s="32" t="s">
        <v>219</v>
      </c>
    </row>
    <row r="40" spans="1:8" x14ac:dyDescent="0.25">
      <c r="A40" t="s">
        <v>203</v>
      </c>
      <c r="B40" s="22">
        <f>(1*10^-3)/1</f>
        <v>1E-3</v>
      </c>
      <c r="C40" t="s">
        <v>205</v>
      </c>
      <c r="D40" t="s">
        <v>204</v>
      </c>
    </row>
    <row r="41" spans="1:8" s="32" customFormat="1" x14ac:dyDescent="0.25"/>
    <row r="42" spans="1:8" x14ac:dyDescent="0.25">
      <c r="A42" s="47" t="s">
        <v>250</v>
      </c>
    </row>
    <row r="43" spans="1:8" x14ac:dyDescent="0.25">
      <c r="A43" t="s">
        <v>251</v>
      </c>
      <c r="B43" s="263">
        <f>50*10^-6</f>
        <v>4.9999999999999996E-5</v>
      </c>
      <c r="C43" t="s">
        <v>6</v>
      </c>
      <c r="D43" t="s">
        <v>252</v>
      </c>
    </row>
    <row r="44" spans="1:8" x14ac:dyDescent="0.25">
      <c r="A44" s="47" t="s">
        <v>518</v>
      </c>
      <c r="B44" s="32"/>
      <c r="C44" s="32"/>
      <c r="D44" s="32"/>
      <c r="E44" s="32"/>
      <c r="F44" s="32"/>
      <c r="G44" s="32"/>
      <c r="H44" s="32"/>
    </row>
    <row r="45" spans="1:8" x14ac:dyDescent="0.25">
      <c r="A45" s="32" t="s">
        <v>504</v>
      </c>
      <c r="B45" s="32">
        <v>1.1000000000000001</v>
      </c>
      <c r="C45" s="32" t="s">
        <v>5</v>
      </c>
      <c r="D45" s="32" t="s">
        <v>519</v>
      </c>
      <c r="E45" s="32"/>
      <c r="F45" s="32"/>
      <c r="G45" s="32"/>
      <c r="H45" s="32"/>
    </row>
    <row r="46" spans="1:8" x14ac:dyDescent="0.25">
      <c r="A46" s="32" t="s">
        <v>506</v>
      </c>
      <c r="B46" s="32">
        <v>1.075</v>
      </c>
      <c r="C46" s="32" t="s">
        <v>5</v>
      </c>
      <c r="D46" s="32" t="s">
        <v>520</v>
      </c>
      <c r="E46" s="32"/>
      <c r="F46" s="32"/>
      <c r="G46" s="32"/>
      <c r="H46" s="32"/>
    </row>
    <row r="47" spans="1:8" x14ac:dyDescent="0.25">
      <c r="A47" s="32" t="s">
        <v>508</v>
      </c>
      <c r="B47" s="32">
        <f>10*10^-6</f>
        <v>9.9999999999999991E-6</v>
      </c>
      <c r="C47" s="32" t="s">
        <v>6</v>
      </c>
      <c r="D47" s="32" t="s">
        <v>521</v>
      </c>
      <c r="E47" s="32"/>
      <c r="F47" s="32"/>
      <c r="G47" s="32"/>
      <c r="H47" s="32"/>
    </row>
    <row r="49" spans="1:4" x14ac:dyDescent="0.25">
      <c r="A49" s="47" t="s">
        <v>300</v>
      </c>
    </row>
    <row r="50" spans="1:4" x14ac:dyDescent="0.25">
      <c r="A50" t="s">
        <v>301</v>
      </c>
      <c r="B50" s="22">
        <v>5</v>
      </c>
      <c r="C50" t="s">
        <v>5</v>
      </c>
      <c r="D50" t="s">
        <v>302</v>
      </c>
    </row>
    <row r="52" spans="1:4" x14ac:dyDescent="0.25">
      <c r="A52" s="47" t="s">
        <v>318</v>
      </c>
    </row>
    <row r="53" spans="1:4" x14ac:dyDescent="0.25">
      <c r="A53" t="s">
        <v>319</v>
      </c>
      <c r="B53" s="264">
        <f>3.3*(10^-6)</f>
        <v>3.2999999999999997E-6</v>
      </c>
      <c r="C53" t="s">
        <v>6</v>
      </c>
      <c r="D53" t="s">
        <v>320</v>
      </c>
    </row>
    <row r="55" spans="1:4" x14ac:dyDescent="0.25">
      <c r="A55" s="47" t="s">
        <v>534</v>
      </c>
    </row>
    <row r="56" spans="1:4" x14ac:dyDescent="0.25">
      <c r="A56" t="s">
        <v>348</v>
      </c>
      <c r="B56" s="22">
        <v>2.5</v>
      </c>
      <c r="C56" t="s">
        <v>5</v>
      </c>
      <c r="D56" t="s">
        <v>349</v>
      </c>
    </row>
    <row r="57" spans="1:4" x14ac:dyDescent="0.25">
      <c r="A57" s="32" t="s">
        <v>351</v>
      </c>
      <c r="B57" s="22">
        <v>60</v>
      </c>
      <c r="D57" t="s">
        <v>350</v>
      </c>
    </row>
    <row r="59" spans="1:4" x14ac:dyDescent="0.25">
      <c r="A59" s="47" t="s">
        <v>489</v>
      </c>
    </row>
    <row r="60" spans="1:4" x14ac:dyDescent="0.25">
      <c r="A60" t="s">
        <v>490</v>
      </c>
      <c r="B60" s="263">
        <v>2.0000000000000002E-5</v>
      </c>
      <c r="C60" t="s">
        <v>6</v>
      </c>
    </row>
    <row r="62" spans="1:4" x14ac:dyDescent="0.25">
      <c r="A62" s="47" t="s">
        <v>535</v>
      </c>
    </row>
    <row r="63" spans="1:4" x14ac:dyDescent="0.25">
      <c r="A63" t="s">
        <v>537</v>
      </c>
      <c r="B63" s="263">
        <v>3.9999999999999998E-6</v>
      </c>
      <c r="C63" t="s">
        <v>6</v>
      </c>
    </row>
    <row r="64" spans="1:4" x14ac:dyDescent="0.25">
      <c r="A64" t="s">
        <v>536</v>
      </c>
      <c r="B64" s="263">
        <v>3.3300000000000002E-4</v>
      </c>
      <c r="C64" t="s">
        <v>205</v>
      </c>
    </row>
    <row r="65" spans="1:3" x14ac:dyDescent="0.25">
      <c r="A65" t="s">
        <v>538</v>
      </c>
      <c r="B65" s="265">
        <v>1</v>
      </c>
      <c r="C65" t="s">
        <v>5</v>
      </c>
    </row>
    <row r="67" spans="1:3" x14ac:dyDescent="0.25">
      <c r="A67" s="47" t="s">
        <v>570</v>
      </c>
    </row>
    <row r="68" spans="1:3" x14ac:dyDescent="0.25">
      <c r="A68" t="s">
        <v>571</v>
      </c>
      <c r="B68">
        <v>1.2</v>
      </c>
      <c r="C68" t="s">
        <v>572</v>
      </c>
    </row>
    <row r="70" spans="1:3" x14ac:dyDescent="0.25">
      <c r="A70" s="47" t="s">
        <v>775</v>
      </c>
    </row>
    <row r="71" spans="1:3" x14ac:dyDescent="0.25">
      <c r="A71" t="s">
        <v>773</v>
      </c>
      <c r="B71" s="22">
        <v>2000000</v>
      </c>
      <c r="C71" t="s">
        <v>572</v>
      </c>
    </row>
    <row r="72" spans="1:3" x14ac:dyDescent="0.25">
      <c r="A72" t="s">
        <v>774</v>
      </c>
      <c r="B72" s="263">
        <v>2E-12</v>
      </c>
      <c r="C72" t="s">
        <v>142</v>
      </c>
    </row>
  </sheetData>
  <mergeCells count="2">
    <mergeCell ref="A1:I1"/>
    <mergeCell ref="E5:H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590E-75FD-4733-A1B0-21A696084D79}">
  <sheetPr codeName="Sheet7"/>
  <dimension ref="A1:U27"/>
  <sheetViews>
    <sheetView workbookViewId="0">
      <selection activeCell="C3" sqref="C3"/>
    </sheetView>
  </sheetViews>
  <sheetFormatPr defaultRowHeight="15" x14ac:dyDescent="0.25"/>
  <cols>
    <col min="1" max="1" width="9.140625" style="32"/>
    <col min="2" max="2" width="12" customWidth="1"/>
    <col min="3" max="3" width="16.140625" customWidth="1"/>
    <col min="4" max="4" width="14.28515625" style="295" customWidth="1"/>
    <col min="5" max="5" width="4.5703125" style="294" customWidth="1"/>
    <col min="12" max="12" width="22.7109375" customWidth="1"/>
    <col min="13" max="13" width="14.28515625" customWidth="1"/>
    <col min="18" max="18" width="23.85546875" style="308" customWidth="1"/>
    <col min="21" max="21" width="22.85546875" customWidth="1"/>
  </cols>
  <sheetData>
    <row r="1" spans="1:21" s="32" customFormat="1" x14ac:dyDescent="0.25">
      <c r="B1" s="178"/>
      <c r="C1" s="383" t="s">
        <v>580</v>
      </c>
      <c r="D1" s="383"/>
      <c r="E1" s="294"/>
      <c r="F1" s="383" t="s">
        <v>584</v>
      </c>
      <c r="G1" s="383"/>
      <c r="H1" s="383"/>
      <c r="I1" s="383"/>
      <c r="K1" s="32" t="s">
        <v>589</v>
      </c>
      <c r="R1" s="308"/>
    </row>
    <row r="2" spans="1:21" s="296" customFormat="1" x14ac:dyDescent="0.25">
      <c r="A2" s="296" t="s">
        <v>680</v>
      </c>
      <c r="B2" s="296" t="s">
        <v>679</v>
      </c>
      <c r="C2" s="305" t="s">
        <v>645</v>
      </c>
      <c r="D2" s="297"/>
      <c r="E2" s="298"/>
      <c r="F2" s="296" t="s">
        <v>585</v>
      </c>
      <c r="G2" s="296" t="s">
        <v>586</v>
      </c>
      <c r="H2" s="296" t="s">
        <v>587</v>
      </c>
      <c r="I2" s="296" t="s">
        <v>588</v>
      </c>
      <c r="K2" s="296" t="s">
        <v>614</v>
      </c>
      <c r="L2" s="296" t="s">
        <v>590</v>
      </c>
      <c r="M2" s="296" t="s">
        <v>592</v>
      </c>
      <c r="N2" s="296" t="s">
        <v>593</v>
      </c>
      <c r="O2" s="296" t="s">
        <v>594</v>
      </c>
      <c r="P2" s="304" t="s">
        <v>586</v>
      </c>
      <c r="Q2" s="304" t="s">
        <v>586</v>
      </c>
      <c r="R2" s="309" t="s">
        <v>583</v>
      </c>
      <c r="S2" s="296" t="s">
        <v>610</v>
      </c>
      <c r="U2" s="296" t="s">
        <v>763</v>
      </c>
    </row>
    <row r="3" spans="1:21" x14ac:dyDescent="0.25">
      <c r="A3" s="32">
        <v>1</v>
      </c>
      <c r="B3" s="294" t="s">
        <v>653</v>
      </c>
      <c r="C3" t="s">
        <v>780</v>
      </c>
      <c r="D3" s="295" t="s">
        <v>681</v>
      </c>
      <c r="F3">
        <v>0</v>
      </c>
      <c r="G3" t="s">
        <v>581</v>
      </c>
      <c r="H3" t="s">
        <v>597</v>
      </c>
      <c r="I3" t="s">
        <v>597</v>
      </c>
      <c r="K3" s="32">
        <v>0</v>
      </c>
      <c r="L3" t="s">
        <v>687</v>
      </c>
      <c r="M3" s="300" t="s">
        <v>628</v>
      </c>
      <c r="N3" t="s">
        <v>582</v>
      </c>
      <c r="O3" t="s">
        <v>582</v>
      </c>
      <c r="P3" s="316">
        <v>1</v>
      </c>
      <c r="Q3" t="s">
        <v>584</v>
      </c>
      <c r="R3" s="308" t="s">
        <v>674</v>
      </c>
      <c r="S3" t="s">
        <v>582</v>
      </c>
      <c r="U3" t="s">
        <v>524</v>
      </c>
    </row>
    <row r="4" spans="1:21" x14ac:dyDescent="0.25">
      <c r="A4" s="32">
        <v>2</v>
      </c>
      <c r="B4" s="294" t="s">
        <v>654</v>
      </c>
      <c r="C4" t="s">
        <v>646</v>
      </c>
      <c r="D4" s="295" t="s">
        <v>682</v>
      </c>
      <c r="F4">
        <v>1</v>
      </c>
      <c r="G4" s="32" t="s">
        <v>581</v>
      </c>
      <c r="H4" s="32" t="s">
        <v>597</v>
      </c>
      <c r="I4" t="s">
        <v>597</v>
      </c>
      <c r="K4" s="32">
        <v>1</v>
      </c>
      <c r="L4" s="32" t="s">
        <v>591</v>
      </c>
      <c r="M4" s="300" t="s">
        <v>628</v>
      </c>
      <c r="N4" s="32" t="s">
        <v>582</v>
      </c>
      <c r="O4" s="32" t="s">
        <v>582</v>
      </c>
      <c r="P4" s="316">
        <v>1</v>
      </c>
      <c r="Q4" s="32" t="s">
        <v>584</v>
      </c>
      <c r="R4" s="308" t="s">
        <v>673</v>
      </c>
      <c r="S4" t="s">
        <v>612</v>
      </c>
      <c r="U4" t="s">
        <v>525</v>
      </c>
    </row>
    <row r="5" spans="1:21" x14ac:dyDescent="0.25">
      <c r="A5" s="32">
        <v>3</v>
      </c>
      <c r="B5" s="294" t="s">
        <v>655</v>
      </c>
      <c r="C5" t="s">
        <v>647</v>
      </c>
      <c r="F5" s="32">
        <v>0</v>
      </c>
      <c r="G5" s="32" t="s">
        <v>581</v>
      </c>
      <c r="H5" s="32" t="s">
        <v>597</v>
      </c>
      <c r="I5" t="s">
        <v>598</v>
      </c>
      <c r="K5" s="32">
        <v>0</v>
      </c>
      <c r="L5" s="32" t="s">
        <v>591</v>
      </c>
      <c r="M5" s="300" t="s">
        <v>628</v>
      </c>
      <c r="N5" s="32" t="s">
        <v>582</v>
      </c>
      <c r="O5" s="32" t="s">
        <v>582</v>
      </c>
      <c r="P5" s="316">
        <v>1</v>
      </c>
      <c r="Q5" s="32" t="s">
        <v>584</v>
      </c>
      <c r="R5" s="308" t="s">
        <v>672</v>
      </c>
      <c r="S5" t="s">
        <v>611</v>
      </c>
    </row>
    <row r="6" spans="1:21" x14ac:dyDescent="0.25">
      <c r="A6" s="32">
        <v>4</v>
      </c>
      <c r="B6" s="294" t="s">
        <v>656</v>
      </c>
      <c r="C6" t="s">
        <v>648</v>
      </c>
      <c r="F6" s="32">
        <v>1</v>
      </c>
      <c r="G6" s="32" t="s">
        <v>581</v>
      </c>
      <c r="H6" s="32" t="s">
        <v>597</v>
      </c>
      <c r="I6" t="s">
        <v>598</v>
      </c>
      <c r="K6" s="32">
        <v>1</v>
      </c>
      <c r="L6" t="s">
        <v>603</v>
      </c>
      <c r="M6" s="300" t="s">
        <v>628</v>
      </c>
      <c r="N6" t="s">
        <v>581</v>
      </c>
      <c r="O6" s="32" t="s">
        <v>582</v>
      </c>
      <c r="P6" s="316">
        <v>0</v>
      </c>
      <c r="Q6" t="s">
        <v>582</v>
      </c>
      <c r="R6" s="308" t="s">
        <v>671</v>
      </c>
    </row>
    <row r="7" spans="1:21" x14ac:dyDescent="0.25">
      <c r="A7" s="32">
        <v>5</v>
      </c>
      <c r="B7" s="294" t="s">
        <v>657</v>
      </c>
      <c r="C7" t="s">
        <v>649</v>
      </c>
      <c r="F7" s="32">
        <v>0</v>
      </c>
      <c r="G7" s="32" t="s">
        <v>581</v>
      </c>
      <c r="H7" s="32" t="s">
        <v>598</v>
      </c>
      <c r="I7" s="32" t="s">
        <v>597</v>
      </c>
      <c r="K7" s="32">
        <v>0</v>
      </c>
      <c r="L7" s="32" t="s">
        <v>603</v>
      </c>
      <c r="M7" s="300" t="s">
        <v>628</v>
      </c>
      <c r="N7" s="32" t="s">
        <v>581</v>
      </c>
      <c r="O7" s="32" t="s">
        <v>582</v>
      </c>
      <c r="P7" s="316">
        <v>0</v>
      </c>
      <c r="Q7" s="32" t="s">
        <v>582</v>
      </c>
    </row>
    <row r="8" spans="1:21" x14ac:dyDescent="0.25">
      <c r="A8" s="32">
        <v>6</v>
      </c>
      <c r="B8" s="294" t="s">
        <v>658</v>
      </c>
      <c r="C8" s="32" t="s">
        <v>650</v>
      </c>
      <c r="F8" s="32">
        <v>1</v>
      </c>
      <c r="G8" s="32" t="s">
        <v>581</v>
      </c>
      <c r="H8" s="32" t="s">
        <v>598</v>
      </c>
      <c r="I8" s="32" t="s">
        <v>597</v>
      </c>
      <c r="K8" s="32">
        <v>1</v>
      </c>
      <c r="L8" s="32" t="s">
        <v>603</v>
      </c>
      <c r="M8" s="300" t="s">
        <v>628</v>
      </c>
      <c r="N8" s="32" t="s">
        <v>581</v>
      </c>
      <c r="O8" s="32" t="s">
        <v>582</v>
      </c>
      <c r="P8" s="316">
        <v>0</v>
      </c>
      <c r="Q8" s="32" t="s">
        <v>582</v>
      </c>
      <c r="R8" s="308" t="s">
        <v>675</v>
      </c>
    </row>
    <row r="9" spans="1:21" x14ac:dyDescent="0.25">
      <c r="A9" s="32">
        <v>7</v>
      </c>
      <c r="B9" s="294" t="s">
        <v>659</v>
      </c>
      <c r="C9" t="s">
        <v>651</v>
      </c>
      <c r="F9" s="32">
        <v>0</v>
      </c>
      <c r="G9" s="32" t="s">
        <v>581</v>
      </c>
      <c r="H9" s="32" t="s">
        <v>598</v>
      </c>
      <c r="I9" s="32" t="s">
        <v>598</v>
      </c>
      <c r="K9" s="32">
        <v>0</v>
      </c>
      <c r="L9" s="32" t="s">
        <v>604</v>
      </c>
      <c r="M9" s="300" t="s">
        <v>629</v>
      </c>
      <c r="N9" t="s">
        <v>582</v>
      </c>
      <c r="O9" t="s">
        <v>611</v>
      </c>
      <c r="P9" s="316">
        <v>1</v>
      </c>
      <c r="Q9" s="32" t="s">
        <v>584</v>
      </c>
      <c r="R9" s="308" t="s">
        <v>676</v>
      </c>
    </row>
    <row r="10" spans="1:21" x14ac:dyDescent="0.25">
      <c r="A10" s="32">
        <v>8</v>
      </c>
      <c r="B10" s="294" t="s">
        <v>660</v>
      </c>
      <c r="C10" t="s">
        <v>652</v>
      </c>
      <c r="F10" s="32">
        <v>1</v>
      </c>
      <c r="G10" s="32" t="s">
        <v>581</v>
      </c>
      <c r="H10" s="32" t="s">
        <v>598</v>
      </c>
      <c r="I10" s="32" t="s">
        <v>598</v>
      </c>
      <c r="K10" s="32">
        <v>1</v>
      </c>
      <c r="L10" s="32" t="s">
        <v>604</v>
      </c>
      <c r="M10" s="300" t="s">
        <v>629</v>
      </c>
      <c r="N10" s="32" t="s">
        <v>582</v>
      </c>
      <c r="O10" t="s">
        <v>611</v>
      </c>
      <c r="P10" s="316">
        <v>1</v>
      </c>
      <c r="Q10" s="32" t="s">
        <v>584</v>
      </c>
    </row>
    <row r="11" spans="1:21" ht="18" x14ac:dyDescent="0.25">
      <c r="A11" s="32">
        <v>9</v>
      </c>
      <c r="B11" s="294" t="s">
        <v>661</v>
      </c>
      <c r="C11" s="32"/>
      <c r="F11" s="32">
        <v>0</v>
      </c>
      <c r="G11" t="s">
        <v>582</v>
      </c>
      <c r="H11" s="32" t="s">
        <v>597</v>
      </c>
      <c r="I11" s="32" t="s">
        <v>597</v>
      </c>
      <c r="K11" s="32">
        <v>0</v>
      </c>
      <c r="L11" s="32" t="s">
        <v>605</v>
      </c>
      <c r="M11" s="300" t="s">
        <v>628</v>
      </c>
      <c r="N11" s="32" t="s">
        <v>582</v>
      </c>
      <c r="O11" t="s">
        <v>612</v>
      </c>
      <c r="P11" s="316">
        <v>1</v>
      </c>
      <c r="Q11" s="32" t="s">
        <v>584</v>
      </c>
      <c r="R11" s="308" t="s">
        <v>678</v>
      </c>
    </row>
    <row r="12" spans="1:21" ht="18" x14ac:dyDescent="0.25">
      <c r="A12" s="32">
        <v>10</v>
      </c>
      <c r="B12" s="294" t="s">
        <v>662</v>
      </c>
      <c r="C12" s="32"/>
      <c r="F12" s="32">
        <v>1</v>
      </c>
      <c r="G12" s="32" t="s">
        <v>582</v>
      </c>
      <c r="H12" s="32" t="s">
        <v>597</v>
      </c>
      <c r="I12" s="32" t="s">
        <v>597</v>
      </c>
      <c r="K12" s="32">
        <v>1</v>
      </c>
      <c r="L12" s="32" t="s">
        <v>605</v>
      </c>
      <c r="M12" s="300" t="s">
        <v>628</v>
      </c>
      <c r="N12" s="32" t="s">
        <v>582</v>
      </c>
      <c r="O12" t="s">
        <v>612</v>
      </c>
      <c r="P12" s="316">
        <v>1</v>
      </c>
      <c r="Q12" s="32" t="s">
        <v>584</v>
      </c>
      <c r="R12" s="308" t="s">
        <v>677</v>
      </c>
    </row>
    <row r="13" spans="1:21" x14ac:dyDescent="0.25">
      <c r="A13" s="32">
        <v>11</v>
      </c>
      <c r="B13" s="294" t="s">
        <v>663</v>
      </c>
      <c r="C13" s="32"/>
      <c r="F13" s="32">
        <v>0</v>
      </c>
      <c r="G13" s="32" t="s">
        <v>582</v>
      </c>
      <c r="H13" s="32" t="s">
        <v>597</v>
      </c>
      <c r="I13" s="32" t="s">
        <v>598</v>
      </c>
      <c r="K13" s="32">
        <v>0</v>
      </c>
      <c r="L13" s="32" t="s">
        <v>606</v>
      </c>
      <c r="M13" s="300" t="s">
        <v>629</v>
      </c>
      <c r="N13" t="s">
        <v>581</v>
      </c>
      <c r="O13" t="s">
        <v>611</v>
      </c>
      <c r="P13" s="316">
        <v>0</v>
      </c>
      <c r="Q13" s="32" t="s">
        <v>582</v>
      </c>
    </row>
    <row r="14" spans="1:21" x14ac:dyDescent="0.25">
      <c r="A14" s="32">
        <v>12</v>
      </c>
      <c r="B14" s="294" t="s">
        <v>664</v>
      </c>
      <c r="C14" s="32"/>
      <c r="F14" s="32">
        <v>1</v>
      </c>
      <c r="G14" s="32" t="s">
        <v>582</v>
      </c>
      <c r="H14" s="32" t="s">
        <v>597</v>
      </c>
      <c r="I14" s="32" t="s">
        <v>598</v>
      </c>
      <c r="K14" s="32">
        <v>1</v>
      </c>
      <c r="L14" s="32" t="s">
        <v>606</v>
      </c>
      <c r="M14" s="300" t="s">
        <v>629</v>
      </c>
      <c r="N14" s="32" t="s">
        <v>581</v>
      </c>
      <c r="O14" t="s">
        <v>611</v>
      </c>
      <c r="P14" s="316">
        <v>0</v>
      </c>
      <c r="Q14" s="32" t="s">
        <v>582</v>
      </c>
      <c r="R14" s="308" t="s">
        <v>684</v>
      </c>
    </row>
    <row r="15" spans="1:21" x14ac:dyDescent="0.25">
      <c r="A15" s="32">
        <v>13</v>
      </c>
      <c r="B15" s="294" t="s">
        <v>665</v>
      </c>
      <c r="C15" s="32"/>
      <c r="F15" s="32">
        <v>0</v>
      </c>
      <c r="G15" s="32" t="s">
        <v>582</v>
      </c>
      <c r="H15" s="32" t="s">
        <v>598</v>
      </c>
      <c r="I15" s="32" t="s">
        <v>597</v>
      </c>
      <c r="K15" s="32">
        <v>0</v>
      </c>
      <c r="L15" s="32" t="s">
        <v>607</v>
      </c>
      <c r="M15" s="300" t="s">
        <v>628</v>
      </c>
      <c r="N15" s="32" t="s">
        <v>581</v>
      </c>
      <c r="O15" t="s">
        <v>612</v>
      </c>
      <c r="P15" s="316">
        <v>0</v>
      </c>
      <c r="Q15" s="32" t="s">
        <v>582</v>
      </c>
      <c r="R15" s="308" t="s">
        <v>685</v>
      </c>
    </row>
    <row r="16" spans="1:21" x14ac:dyDescent="0.25">
      <c r="A16" s="32">
        <v>14</v>
      </c>
      <c r="B16" s="294" t="s">
        <v>666</v>
      </c>
      <c r="C16" s="32"/>
      <c r="F16" s="32">
        <v>1</v>
      </c>
      <c r="G16" s="32" t="s">
        <v>582</v>
      </c>
      <c r="H16" s="32" t="s">
        <v>598</v>
      </c>
      <c r="I16" s="32" t="s">
        <v>597</v>
      </c>
      <c r="K16" s="32">
        <v>1</v>
      </c>
      <c r="L16" s="32" t="s">
        <v>607</v>
      </c>
      <c r="M16" s="300" t="s">
        <v>628</v>
      </c>
      <c r="N16" s="32" t="s">
        <v>581</v>
      </c>
      <c r="O16" t="s">
        <v>612</v>
      </c>
      <c r="P16" s="316">
        <v>0</v>
      </c>
      <c r="Q16" s="32" t="s">
        <v>582</v>
      </c>
    </row>
    <row r="17" spans="1:18" x14ac:dyDescent="0.25">
      <c r="A17" s="32">
        <v>15</v>
      </c>
      <c r="B17" s="294" t="s">
        <v>667</v>
      </c>
      <c r="C17" s="32"/>
      <c r="F17" s="32">
        <v>0</v>
      </c>
      <c r="G17" s="32" t="s">
        <v>582</v>
      </c>
      <c r="H17" s="32" t="s">
        <v>598</v>
      </c>
      <c r="I17" s="32" t="s">
        <v>598</v>
      </c>
      <c r="K17" s="32">
        <v>0</v>
      </c>
      <c r="L17" t="s">
        <v>608</v>
      </c>
      <c r="M17" s="300" t="s">
        <v>628</v>
      </c>
      <c r="N17" s="32" t="s">
        <v>581</v>
      </c>
      <c r="O17" t="s">
        <v>582</v>
      </c>
      <c r="P17" s="316">
        <v>0</v>
      </c>
      <c r="Q17" s="32" t="s">
        <v>582</v>
      </c>
    </row>
    <row r="18" spans="1:18" x14ac:dyDescent="0.25">
      <c r="A18" s="32">
        <v>16</v>
      </c>
      <c r="B18" s="294" t="s">
        <v>668</v>
      </c>
      <c r="C18" s="32"/>
      <c r="F18" s="32">
        <v>1</v>
      </c>
      <c r="G18" s="32" t="s">
        <v>582</v>
      </c>
      <c r="H18" s="32" t="s">
        <v>598</v>
      </c>
      <c r="I18" s="32" t="s">
        <v>598</v>
      </c>
      <c r="K18" s="32">
        <v>1</v>
      </c>
      <c r="L18" t="s">
        <v>608</v>
      </c>
      <c r="M18" s="300" t="s">
        <v>628</v>
      </c>
      <c r="N18" s="32" t="s">
        <v>581</v>
      </c>
      <c r="O18" t="s">
        <v>582</v>
      </c>
      <c r="P18" s="316">
        <v>0</v>
      </c>
      <c r="Q18" s="32" t="s">
        <v>582</v>
      </c>
    </row>
    <row r="20" spans="1:18" s="32" customFormat="1" x14ac:dyDescent="0.25">
      <c r="D20" s="295"/>
      <c r="E20" s="294"/>
      <c r="L20" s="32" t="s">
        <v>688</v>
      </c>
      <c r="R20" s="308"/>
    </row>
    <row r="21" spans="1:18" x14ac:dyDescent="0.25">
      <c r="L21" t="s">
        <v>693</v>
      </c>
    </row>
    <row r="22" spans="1:18" x14ac:dyDescent="0.25">
      <c r="L22" t="s">
        <v>694</v>
      </c>
    </row>
    <row r="23" spans="1:18" x14ac:dyDescent="0.25">
      <c r="L23" s="32" t="s">
        <v>695</v>
      </c>
    </row>
    <row r="26" spans="1:18" x14ac:dyDescent="0.25">
      <c r="L26" t="s">
        <v>691</v>
      </c>
    </row>
    <row r="27" spans="1:18" x14ac:dyDescent="0.25">
      <c r="L27" t="s">
        <v>690</v>
      </c>
    </row>
  </sheetData>
  <mergeCells count="2">
    <mergeCell ref="F1:I1"/>
    <mergeCell ref="C1:D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492BE-18DE-4890-A02C-7AFE310404F9}">
  <sheetPr codeName="Sheet6"/>
  <dimension ref="A1:P49"/>
  <sheetViews>
    <sheetView topLeftCell="A10" zoomScale="115" zoomScaleNormal="115" workbookViewId="0">
      <selection activeCell="F30" sqref="F30"/>
    </sheetView>
  </sheetViews>
  <sheetFormatPr defaultColWidth="9.140625" defaultRowHeight="15" x14ac:dyDescent="0.25"/>
  <cols>
    <col min="1" max="1" width="19.140625" style="179" customWidth="1"/>
    <col min="2" max="2" width="15.42578125" style="179" customWidth="1"/>
    <col min="3" max="3" width="14.42578125" style="179" customWidth="1"/>
    <col min="4" max="4" width="17.42578125" style="179" customWidth="1"/>
    <col min="5" max="5" width="27.28515625" style="179" customWidth="1"/>
    <col min="6" max="6" width="35" style="179" customWidth="1"/>
    <col min="7" max="16384" width="9.140625" style="179"/>
  </cols>
  <sheetData>
    <row r="1" spans="1:16" x14ac:dyDescent="0.25">
      <c r="A1" s="385"/>
      <c r="B1" s="385"/>
      <c r="C1" s="385"/>
      <c r="D1" s="385"/>
      <c r="E1" s="385"/>
      <c r="F1" s="385"/>
      <c r="G1" s="385"/>
      <c r="H1" s="385"/>
      <c r="I1" s="385"/>
      <c r="J1" s="385"/>
      <c r="K1" s="385"/>
      <c r="L1" s="385"/>
      <c r="M1" s="244"/>
      <c r="N1" s="244"/>
      <c r="O1" s="244"/>
      <c r="P1" s="244"/>
    </row>
    <row r="2" spans="1:16" x14ac:dyDescent="0.25">
      <c r="A2" s="385"/>
      <c r="B2" s="385"/>
      <c r="C2" s="385"/>
      <c r="D2" s="385"/>
      <c r="E2" s="385"/>
      <c r="F2" s="385"/>
      <c r="G2" s="385"/>
      <c r="H2" s="385"/>
      <c r="I2" s="385"/>
      <c r="J2" s="385"/>
      <c r="K2" s="385"/>
      <c r="L2" s="385"/>
      <c r="M2" s="244"/>
      <c r="N2" s="244"/>
      <c r="O2" s="244"/>
      <c r="P2" s="244"/>
    </row>
    <row r="3" spans="1:16" x14ac:dyDescent="0.25">
      <c r="A3" s="385"/>
      <c r="B3" s="385"/>
      <c r="C3" s="385"/>
      <c r="D3" s="385"/>
      <c r="E3" s="385"/>
      <c r="F3" s="385"/>
      <c r="G3" s="385"/>
      <c r="H3" s="385"/>
      <c r="I3" s="385"/>
      <c r="J3" s="385"/>
      <c r="K3" s="385"/>
      <c r="L3" s="385"/>
      <c r="M3" s="244"/>
      <c r="N3" s="244"/>
      <c r="O3" s="244"/>
      <c r="P3" s="244"/>
    </row>
    <row r="4" spans="1:16" x14ac:dyDescent="0.25">
      <c r="A4" s="386"/>
      <c r="B4" s="386"/>
      <c r="C4" s="386"/>
      <c r="D4" s="386"/>
      <c r="E4" s="386"/>
      <c r="F4" s="386"/>
      <c r="G4" s="386"/>
      <c r="H4" s="386"/>
      <c r="I4" s="386"/>
      <c r="J4" s="386"/>
      <c r="K4" s="386"/>
      <c r="L4" s="386"/>
      <c r="M4" s="244"/>
      <c r="N4" s="244"/>
      <c r="O4" s="244"/>
      <c r="P4" s="244"/>
    </row>
    <row r="5" spans="1:16" x14ac:dyDescent="0.25">
      <c r="A5" s="245" t="s">
        <v>527</v>
      </c>
      <c r="B5" s="337">
        <f>LOOKUP(2,1/((A37:A46)&lt;&gt;""),(A37:A46))</f>
        <v>1.1000000000000001</v>
      </c>
      <c r="C5" s="246"/>
      <c r="D5" s="246"/>
      <c r="E5" s="246"/>
      <c r="F5" s="246"/>
      <c r="G5" s="246"/>
      <c r="H5" s="246"/>
      <c r="I5" s="246"/>
      <c r="J5" s="246"/>
      <c r="K5" s="247"/>
      <c r="L5" s="248"/>
      <c r="M5" s="244"/>
      <c r="N5" s="244"/>
      <c r="O5" s="244"/>
      <c r="P5" s="244"/>
    </row>
    <row r="6" spans="1:16" x14ac:dyDescent="0.25">
      <c r="A6" s="245"/>
      <c r="B6" s="249"/>
      <c r="C6" s="246"/>
      <c r="D6" s="246"/>
      <c r="E6" s="246"/>
      <c r="F6" s="246"/>
      <c r="G6" s="246"/>
      <c r="H6" s="246"/>
      <c r="I6" s="246"/>
      <c r="J6" s="248"/>
      <c r="K6" s="248"/>
      <c r="L6" s="248"/>
      <c r="M6" s="244"/>
      <c r="N6" s="244"/>
      <c r="O6" s="244"/>
      <c r="P6" s="244"/>
    </row>
    <row r="7" spans="1:16" x14ac:dyDescent="0.25">
      <c r="A7" s="250"/>
      <c r="B7" s="251"/>
      <c r="C7" s="244"/>
      <c r="D7" s="244"/>
      <c r="E7" s="244"/>
      <c r="F7" s="244"/>
      <c r="G7" s="244"/>
      <c r="H7" s="244"/>
      <c r="I7" s="244"/>
      <c r="J7" s="244"/>
      <c r="K7" s="244"/>
      <c r="L7" s="244"/>
      <c r="M7" s="244"/>
      <c r="N7" s="244"/>
      <c r="O7" s="244"/>
      <c r="P7" s="244"/>
    </row>
    <row r="8" spans="1:16" x14ac:dyDescent="0.25">
      <c r="A8" s="250"/>
      <c r="B8" s="251"/>
      <c r="C8" s="244"/>
      <c r="D8" s="244"/>
      <c r="E8" s="244"/>
      <c r="F8" s="244"/>
      <c r="G8" s="244"/>
      <c r="H8" s="244"/>
      <c r="I8" s="244"/>
      <c r="J8" s="244"/>
      <c r="K8" s="244"/>
      <c r="L8" s="244"/>
      <c r="M8" s="244"/>
      <c r="N8" s="244"/>
      <c r="O8" s="244"/>
      <c r="P8" s="244"/>
    </row>
    <row r="9" spans="1:16" x14ac:dyDescent="0.25">
      <c r="A9" s="250"/>
      <c r="B9" s="251"/>
      <c r="C9" s="244"/>
      <c r="D9" s="244"/>
      <c r="E9" s="244"/>
      <c r="F9" s="244"/>
      <c r="G9" s="244"/>
      <c r="H9" s="244"/>
      <c r="I9" s="244"/>
      <c r="J9" s="244"/>
      <c r="K9" s="244"/>
      <c r="L9" s="244"/>
      <c r="M9" s="244"/>
      <c r="N9" s="244"/>
      <c r="O9" s="244"/>
      <c r="P9" s="244"/>
    </row>
    <row r="10" spans="1:16" x14ac:dyDescent="0.25">
      <c r="A10" s="250"/>
      <c r="B10" s="251"/>
      <c r="C10" s="244"/>
      <c r="D10" s="244"/>
      <c r="E10" s="244"/>
      <c r="F10" s="244"/>
      <c r="G10" s="244"/>
      <c r="H10" s="244"/>
      <c r="I10" s="244"/>
      <c r="J10" s="244"/>
      <c r="K10" s="244"/>
      <c r="L10" s="244"/>
      <c r="M10" s="244"/>
      <c r="N10" s="244"/>
      <c r="O10" s="244"/>
      <c r="P10" s="244"/>
    </row>
    <row r="11" spans="1:16" x14ac:dyDescent="0.25">
      <c r="A11" s="250"/>
      <c r="B11" s="251"/>
      <c r="C11" s="244"/>
      <c r="D11" s="244"/>
      <c r="E11" s="244"/>
      <c r="F11" s="244"/>
      <c r="G11" s="244"/>
      <c r="H11" s="244"/>
      <c r="I11" s="244"/>
      <c r="J11" s="244"/>
      <c r="K11" s="244"/>
      <c r="L11" s="244"/>
      <c r="M11" s="244"/>
      <c r="N11" s="244"/>
      <c r="O11" s="244"/>
      <c r="P11" s="244"/>
    </row>
    <row r="12" spans="1:16" x14ac:dyDescent="0.25">
      <c r="A12" s="250"/>
      <c r="B12" s="251"/>
      <c r="C12" s="244"/>
      <c r="D12" s="244"/>
      <c r="E12" s="244"/>
      <c r="F12" s="244"/>
      <c r="G12" s="244"/>
      <c r="H12" s="244"/>
      <c r="I12" s="244"/>
      <c r="J12" s="244"/>
      <c r="K12" s="244"/>
      <c r="L12" s="244"/>
      <c r="M12" s="244"/>
      <c r="N12" s="244"/>
      <c r="O12" s="244"/>
      <c r="P12" s="244"/>
    </row>
    <row r="13" spans="1:16" x14ac:dyDescent="0.25">
      <c r="A13" s="250"/>
      <c r="B13" s="251"/>
      <c r="C13" s="244"/>
      <c r="D13" s="244"/>
      <c r="E13" s="244"/>
      <c r="F13" s="244"/>
      <c r="G13" s="244"/>
      <c r="H13" s="244"/>
      <c r="I13" s="244"/>
      <c r="J13" s="244"/>
      <c r="K13" s="244"/>
      <c r="L13" s="244"/>
      <c r="M13" s="244"/>
      <c r="N13" s="244"/>
      <c r="O13" s="244"/>
      <c r="P13" s="244"/>
    </row>
    <row r="14" spans="1:16" x14ac:dyDescent="0.25">
      <c r="A14" s="250"/>
      <c r="B14" s="251"/>
      <c r="C14" s="244"/>
      <c r="D14" s="244"/>
      <c r="E14" s="244"/>
      <c r="F14" s="244"/>
      <c r="G14" s="244"/>
      <c r="H14" s="244"/>
      <c r="I14" s="244"/>
      <c r="J14" s="244"/>
      <c r="K14" s="244"/>
      <c r="L14" s="244"/>
      <c r="M14" s="244"/>
      <c r="N14" s="244"/>
      <c r="O14" s="244"/>
      <c r="P14" s="244"/>
    </row>
    <row r="15" spans="1:16" x14ac:dyDescent="0.25">
      <c r="A15" s="250"/>
      <c r="B15" s="251"/>
      <c r="C15" s="244"/>
      <c r="D15" s="244"/>
      <c r="E15" s="244"/>
      <c r="F15" s="244"/>
      <c r="G15" s="244"/>
      <c r="H15" s="244"/>
      <c r="I15" s="244"/>
      <c r="J15" s="244"/>
      <c r="K15" s="244"/>
      <c r="L15" s="244"/>
      <c r="M15" s="244"/>
      <c r="N15" s="244"/>
      <c r="O15" s="244"/>
      <c r="P15" s="244"/>
    </row>
    <row r="16" spans="1:16" x14ac:dyDescent="0.25">
      <c r="A16" s="250"/>
      <c r="B16" s="251"/>
      <c r="C16" s="244"/>
      <c r="D16" s="244"/>
      <c r="E16" s="244"/>
      <c r="F16" s="244"/>
      <c r="G16" s="244"/>
      <c r="H16" s="244"/>
      <c r="I16" s="244"/>
      <c r="J16" s="244"/>
      <c r="K16" s="244"/>
      <c r="L16" s="244"/>
      <c r="M16" s="244"/>
      <c r="N16" s="244"/>
      <c r="O16" s="244"/>
      <c r="P16" s="244"/>
    </row>
    <row r="17" spans="1:16" x14ac:dyDescent="0.25">
      <c r="A17" s="250"/>
      <c r="B17" s="251"/>
      <c r="C17" s="244"/>
      <c r="D17" s="244"/>
      <c r="E17" s="244"/>
      <c r="F17" s="244"/>
      <c r="G17" s="244"/>
      <c r="H17" s="244"/>
      <c r="I17" s="244"/>
      <c r="J17" s="244"/>
      <c r="K17" s="244"/>
      <c r="L17" s="244"/>
      <c r="M17" s="244"/>
      <c r="N17" s="244"/>
      <c r="O17" s="244"/>
      <c r="P17" s="244"/>
    </row>
    <row r="18" spans="1:16" x14ac:dyDescent="0.25">
      <c r="A18" s="250"/>
      <c r="B18" s="251"/>
      <c r="C18" s="244"/>
      <c r="D18" s="244"/>
      <c r="E18" s="244"/>
      <c r="F18" s="244"/>
      <c r="G18" s="244"/>
      <c r="H18" s="244"/>
      <c r="I18" s="244"/>
      <c r="J18" s="244"/>
      <c r="K18" s="244"/>
      <c r="L18" s="244"/>
      <c r="M18" s="244"/>
      <c r="N18" s="244"/>
      <c r="O18" s="244"/>
      <c r="P18" s="244"/>
    </row>
    <row r="19" spans="1:16" x14ac:dyDescent="0.25">
      <c r="A19" s="250"/>
      <c r="B19" s="251"/>
      <c r="C19" s="244"/>
      <c r="D19" s="244"/>
      <c r="E19" s="244"/>
      <c r="F19" s="244"/>
      <c r="G19" s="244"/>
      <c r="H19" s="244"/>
      <c r="I19" s="244"/>
      <c r="J19" s="244"/>
      <c r="K19" s="244"/>
      <c r="L19" s="244"/>
      <c r="M19" s="244"/>
      <c r="N19" s="244"/>
      <c r="O19" s="244"/>
      <c r="P19" s="244"/>
    </row>
    <row r="20" spans="1:16" x14ac:dyDescent="0.25">
      <c r="A20" s="250"/>
      <c r="B20" s="251"/>
      <c r="C20" s="244"/>
      <c r="D20" s="244"/>
      <c r="E20" s="244"/>
      <c r="F20" s="244"/>
      <c r="G20" s="244"/>
      <c r="H20" s="244"/>
      <c r="I20" s="244"/>
      <c r="J20" s="244"/>
      <c r="K20" s="244"/>
      <c r="L20" s="244"/>
      <c r="M20" s="244"/>
      <c r="N20" s="244"/>
      <c r="O20" s="244"/>
      <c r="P20" s="244"/>
    </row>
    <row r="21" spans="1:16" x14ac:dyDescent="0.25">
      <c r="A21" s="250"/>
      <c r="B21" s="251"/>
      <c r="C21" s="244"/>
      <c r="D21" s="244"/>
      <c r="E21" s="244"/>
      <c r="F21" s="244"/>
      <c r="G21" s="244"/>
      <c r="H21" s="244"/>
      <c r="I21" s="244"/>
      <c r="J21" s="244"/>
      <c r="K21" s="244"/>
      <c r="L21" s="244"/>
      <c r="M21" s="244"/>
      <c r="N21" s="244"/>
      <c r="O21" s="244"/>
      <c r="P21" s="244"/>
    </row>
    <row r="22" spans="1:16" x14ac:dyDescent="0.25">
      <c r="A22" s="250"/>
      <c r="B22" s="251"/>
      <c r="C22" s="244"/>
      <c r="D22" s="244"/>
      <c r="E22" s="244"/>
      <c r="F22" s="244"/>
      <c r="G22" s="244"/>
      <c r="H22" s="244"/>
      <c r="I22" s="244"/>
      <c r="J22" s="244"/>
      <c r="K22" s="244"/>
      <c r="L22" s="244"/>
      <c r="M22" s="244"/>
      <c r="N22" s="244"/>
      <c r="O22" s="244"/>
      <c r="P22" s="244"/>
    </row>
    <row r="23" spans="1:16" x14ac:dyDescent="0.25">
      <c r="A23" s="250"/>
      <c r="B23" s="251"/>
      <c r="C23" s="244"/>
      <c r="D23" s="244"/>
      <c r="E23" s="244"/>
      <c r="F23" s="244"/>
      <c r="G23" s="244"/>
      <c r="H23" s="244"/>
      <c r="I23" s="244"/>
      <c r="J23" s="244"/>
      <c r="K23" s="244"/>
      <c r="L23" s="244"/>
      <c r="M23" s="244"/>
      <c r="N23" s="244"/>
      <c r="O23" s="244"/>
      <c r="P23" s="244"/>
    </row>
    <row r="24" spans="1:16" x14ac:dyDescent="0.25">
      <c r="A24" s="250"/>
      <c r="B24" s="251"/>
      <c r="C24" s="244"/>
      <c r="D24" s="244"/>
      <c r="E24" s="244"/>
      <c r="F24" s="244"/>
      <c r="G24" s="244"/>
      <c r="H24" s="244"/>
      <c r="I24" s="244"/>
      <c r="J24" s="244"/>
      <c r="K24" s="244"/>
      <c r="L24" s="244"/>
      <c r="M24" s="244"/>
      <c r="N24" s="244"/>
      <c r="O24" s="244"/>
      <c r="P24" s="244"/>
    </row>
    <row r="25" spans="1:16" x14ac:dyDescent="0.25">
      <c r="A25" s="250"/>
      <c r="B25" s="251"/>
      <c r="C25" s="244"/>
      <c r="D25" s="244"/>
      <c r="E25" s="244"/>
      <c r="F25" s="244"/>
      <c r="G25" s="244"/>
      <c r="H25" s="244"/>
      <c r="I25" s="244"/>
      <c r="J25" s="244"/>
      <c r="K25" s="244"/>
      <c r="L25" s="244"/>
      <c r="M25" s="244"/>
      <c r="N25" s="244"/>
      <c r="O25" s="244"/>
      <c r="P25" s="244"/>
    </row>
    <row r="26" spans="1:16" x14ac:dyDescent="0.25">
      <c r="A26" s="250"/>
      <c r="B26" s="251"/>
      <c r="C26" s="244"/>
      <c r="D26" s="244"/>
      <c r="E26" s="244"/>
      <c r="F26" s="244"/>
      <c r="G26" s="244"/>
      <c r="H26" s="244"/>
      <c r="I26" s="244"/>
      <c r="J26" s="244"/>
      <c r="K26" s="244"/>
      <c r="L26" s="244"/>
      <c r="M26" s="244"/>
      <c r="N26" s="244"/>
      <c r="O26" s="244"/>
      <c r="P26" s="244"/>
    </row>
    <row r="27" spans="1:16" x14ac:dyDescent="0.25">
      <c r="A27" s="250"/>
      <c r="B27" s="251"/>
      <c r="C27" s="244"/>
      <c r="D27" s="244"/>
      <c r="E27" s="244"/>
      <c r="F27" s="244"/>
      <c r="G27" s="244"/>
      <c r="H27" s="244"/>
      <c r="I27" s="244"/>
      <c r="J27" s="244"/>
      <c r="K27" s="244"/>
      <c r="L27" s="244"/>
      <c r="M27" s="244"/>
      <c r="N27" s="244"/>
      <c r="O27" s="244"/>
      <c r="P27" s="244"/>
    </row>
    <row r="28" spans="1:16" x14ac:dyDescent="0.25">
      <c r="A28" s="250"/>
      <c r="B28" s="251"/>
      <c r="C28" s="244"/>
      <c r="D28" s="244"/>
      <c r="E28" s="244"/>
      <c r="F28" s="244"/>
      <c r="G28" s="244"/>
      <c r="H28" s="244"/>
      <c r="I28" s="244"/>
      <c r="J28" s="244"/>
      <c r="K28" s="244"/>
      <c r="L28" s="244"/>
      <c r="M28" s="244"/>
      <c r="N28" s="244"/>
      <c r="O28" s="244"/>
      <c r="P28" s="244"/>
    </row>
    <row r="29" spans="1:16" x14ac:dyDescent="0.25">
      <c r="A29" s="250"/>
      <c r="B29" s="251"/>
      <c r="C29" s="244"/>
      <c r="D29" s="244"/>
      <c r="E29" s="244"/>
      <c r="F29" s="244"/>
      <c r="G29" s="244"/>
      <c r="H29" s="244"/>
      <c r="I29" s="244"/>
      <c r="J29" s="244"/>
      <c r="K29" s="244"/>
      <c r="L29" s="244"/>
      <c r="M29" s="244"/>
      <c r="N29" s="244"/>
      <c r="O29" s="244"/>
      <c r="P29" s="244"/>
    </row>
    <row r="30" spans="1:16" x14ac:dyDescent="0.25">
      <c r="A30" s="250"/>
      <c r="B30" s="251"/>
      <c r="C30" s="244"/>
      <c r="D30" s="244"/>
      <c r="E30" s="244"/>
      <c r="F30" s="244"/>
      <c r="G30" s="244"/>
      <c r="H30" s="244"/>
      <c r="I30" s="244"/>
      <c r="J30" s="244"/>
      <c r="K30" s="244"/>
      <c r="L30" s="244"/>
      <c r="M30" s="244"/>
      <c r="N30" s="244"/>
      <c r="O30" s="244"/>
      <c r="P30" s="244"/>
    </row>
    <row r="31" spans="1:16" x14ac:dyDescent="0.25">
      <c r="A31" s="250"/>
      <c r="B31" s="251"/>
      <c r="C31" s="244"/>
      <c r="D31" s="244"/>
      <c r="E31" s="244"/>
      <c r="F31" s="244"/>
      <c r="G31" s="244"/>
      <c r="H31" s="244"/>
      <c r="I31" s="244"/>
      <c r="J31" s="244"/>
      <c r="K31" s="244"/>
      <c r="L31" s="244"/>
      <c r="M31" s="244"/>
      <c r="N31" s="244"/>
      <c r="O31" s="244"/>
      <c r="P31" s="244"/>
    </row>
    <row r="32" spans="1:16" x14ac:dyDescent="0.25">
      <c r="A32" s="250"/>
      <c r="B32" s="251"/>
      <c r="C32" s="244"/>
      <c r="D32" s="244"/>
      <c r="E32" s="244"/>
      <c r="F32" s="244"/>
      <c r="G32" s="244"/>
      <c r="H32" s="244"/>
      <c r="I32" s="244"/>
      <c r="J32" s="244"/>
      <c r="K32" s="244"/>
      <c r="L32" s="244"/>
      <c r="M32" s="244"/>
      <c r="N32" s="244"/>
      <c r="O32" s="244"/>
      <c r="P32" s="244"/>
    </row>
    <row r="33" spans="1:16" x14ac:dyDescent="0.25">
      <c r="A33" s="250"/>
      <c r="B33" s="251"/>
      <c r="C33" s="244"/>
      <c r="D33" s="244"/>
      <c r="E33" s="244"/>
      <c r="F33" s="244"/>
      <c r="G33" s="244"/>
      <c r="H33" s="244"/>
      <c r="I33" s="244"/>
      <c r="J33" s="244"/>
      <c r="K33" s="244"/>
      <c r="L33" s="244"/>
      <c r="M33" s="244"/>
      <c r="N33" s="244"/>
      <c r="O33" s="244"/>
      <c r="P33" s="244"/>
    </row>
    <row r="34" spans="1:16" x14ac:dyDescent="0.25">
      <c r="A34" s="250"/>
      <c r="B34" s="251"/>
      <c r="C34" s="244"/>
      <c r="D34" s="244"/>
      <c r="E34" s="244"/>
      <c r="F34" s="244"/>
      <c r="G34" s="244"/>
      <c r="H34" s="244"/>
      <c r="I34" s="244"/>
      <c r="J34" s="244"/>
      <c r="K34" s="244"/>
      <c r="L34" s="244"/>
      <c r="M34" s="244"/>
      <c r="N34" s="244"/>
      <c r="O34" s="244"/>
      <c r="P34" s="244"/>
    </row>
    <row r="35" spans="1:16" x14ac:dyDescent="0.25">
      <c r="A35" s="252" t="s">
        <v>528</v>
      </c>
      <c r="B35" s="253"/>
      <c r="C35" s="246"/>
      <c r="D35" s="246"/>
      <c r="E35" s="246"/>
      <c r="F35" s="246"/>
      <c r="G35" s="246"/>
      <c r="H35" s="246"/>
      <c r="I35" s="246"/>
      <c r="J35" s="246"/>
      <c r="K35" s="246"/>
      <c r="L35" s="244"/>
      <c r="M35" s="244"/>
      <c r="N35" s="244"/>
      <c r="O35" s="244"/>
      <c r="P35" s="244"/>
    </row>
    <row r="36" spans="1:16" x14ac:dyDescent="0.25">
      <c r="A36" s="243" t="s">
        <v>529</v>
      </c>
      <c r="B36" s="387" t="s">
        <v>530</v>
      </c>
      <c r="C36" s="387"/>
      <c r="D36" s="387"/>
      <c r="E36" s="387"/>
      <c r="F36" s="387"/>
      <c r="G36" s="387"/>
      <c r="H36" s="387"/>
      <c r="I36" s="387"/>
      <c r="J36" s="387"/>
      <c r="K36" s="387"/>
      <c r="L36" s="242"/>
      <c r="M36" s="244"/>
      <c r="N36" s="244"/>
      <c r="O36" s="244"/>
      <c r="P36" s="244"/>
    </row>
    <row r="37" spans="1:16" x14ac:dyDescent="0.25">
      <c r="A37" s="254" t="s">
        <v>713</v>
      </c>
      <c r="B37" s="388" t="s">
        <v>531</v>
      </c>
      <c r="C37" s="388"/>
      <c r="D37" s="388"/>
      <c r="E37" s="388"/>
      <c r="F37" s="388"/>
      <c r="G37" s="388"/>
      <c r="H37" s="388"/>
      <c r="I37" s="388"/>
      <c r="J37" s="388"/>
      <c r="K37" s="388"/>
      <c r="L37" s="244"/>
      <c r="M37" s="244"/>
      <c r="N37" s="244"/>
      <c r="O37" s="244"/>
      <c r="P37" s="244"/>
    </row>
    <row r="38" spans="1:16" x14ac:dyDescent="0.25">
      <c r="A38" s="252">
        <v>1.1000000000000001</v>
      </c>
      <c r="B38" s="384" t="s">
        <v>779</v>
      </c>
      <c r="C38" s="384"/>
      <c r="D38" s="384"/>
      <c r="E38" s="384"/>
      <c r="F38" s="384"/>
      <c r="G38" s="384"/>
      <c r="H38" s="384"/>
      <c r="I38" s="384"/>
      <c r="J38" s="384"/>
      <c r="K38" s="384"/>
      <c r="L38" s="244"/>
      <c r="M38" s="244"/>
      <c r="N38" s="244"/>
      <c r="O38" s="244"/>
      <c r="P38" s="244"/>
    </row>
    <row r="39" spans="1:16" x14ac:dyDescent="0.25">
      <c r="A39" s="254"/>
      <c r="B39" s="384"/>
      <c r="C39" s="384"/>
      <c r="D39" s="384"/>
      <c r="E39" s="384"/>
      <c r="F39" s="384"/>
      <c r="G39" s="384"/>
      <c r="H39" s="384"/>
      <c r="I39" s="384"/>
      <c r="J39" s="384"/>
      <c r="K39" s="384"/>
      <c r="L39" s="244"/>
      <c r="M39" s="244"/>
      <c r="N39" s="244"/>
      <c r="O39" s="244"/>
      <c r="P39" s="244"/>
    </row>
    <row r="40" spans="1:16" x14ac:dyDescent="0.25">
      <c r="A40" s="252"/>
      <c r="B40" s="384"/>
      <c r="C40" s="384"/>
      <c r="D40" s="384"/>
      <c r="E40" s="384"/>
      <c r="F40" s="384"/>
      <c r="G40" s="384"/>
      <c r="H40" s="384"/>
      <c r="I40" s="384"/>
      <c r="J40" s="384"/>
      <c r="K40" s="384"/>
      <c r="L40" s="244"/>
      <c r="M40" s="244"/>
      <c r="N40" s="244"/>
      <c r="O40" s="244"/>
      <c r="P40" s="244"/>
    </row>
    <row r="41" spans="1:16" x14ac:dyDescent="0.25">
      <c r="A41" s="252"/>
      <c r="B41" s="384"/>
      <c r="C41" s="384"/>
      <c r="D41" s="384"/>
      <c r="E41" s="384"/>
      <c r="F41" s="384"/>
      <c r="G41" s="384"/>
      <c r="H41" s="384"/>
      <c r="I41" s="384"/>
      <c r="J41" s="384"/>
      <c r="K41" s="384"/>
      <c r="L41" s="244"/>
      <c r="M41" s="244"/>
      <c r="N41" s="244"/>
      <c r="O41" s="244"/>
      <c r="P41" s="244"/>
    </row>
    <row r="42" spans="1:16" x14ac:dyDescent="0.25">
      <c r="A42" s="252"/>
      <c r="B42" s="384"/>
      <c r="C42" s="384"/>
      <c r="D42" s="384"/>
      <c r="E42" s="384"/>
      <c r="F42" s="384"/>
      <c r="G42" s="384"/>
      <c r="H42" s="384"/>
      <c r="I42" s="384"/>
      <c r="J42" s="384"/>
      <c r="K42" s="384"/>
      <c r="L42" s="244"/>
      <c r="M42" s="244"/>
      <c r="N42" s="244"/>
      <c r="O42" s="244"/>
      <c r="P42" s="244"/>
    </row>
    <row r="43" spans="1:16" x14ac:dyDescent="0.25">
      <c r="A43" s="252"/>
      <c r="B43" s="384"/>
      <c r="C43" s="384"/>
      <c r="D43" s="384"/>
      <c r="E43" s="384"/>
      <c r="F43" s="384"/>
      <c r="G43" s="384"/>
      <c r="H43" s="384"/>
      <c r="I43" s="384"/>
      <c r="J43" s="384"/>
      <c r="K43" s="384"/>
      <c r="L43" s="244"/>
      <c r="M43" s="244"/>
      <c r="N43" s="244"/>
      <c r="O43" s="244"/>
      <c r="P43" s="244"/>
    </row>
    <row r="44" spans="1:16" x14ac:dyDescent="0.25">
      <c r="A44" s="252"/>
      <c r="B44" s="384"/>
      <c r="C44" s="384"/>
      <c r="D44" s="384"/>
      <c r="E44" s="384"/>
      <c r="F44" s="384"/>
      <c r="G44" s="384"/>
      <c r="H44" s="384"/>
      <c r="I44" s="384"/>
      <c r="J44" s="384"/>
      <c r="K44" s="384"/>
      <c r="L44" s="255"/>
      <c r="M44" s="255"/>
      <c r="N44" s="255"/>
      <c r="O44" s="255"/>
      <c r="P44" s="255"/>
    </row>
    <row r="45" spans="1:16" x14ac:dyDescent="0.25">
      <c r="A45" s="252"/>
      <c r="B45" s="384"/>
      <c r="C45" s="384"/>
      <c r="D45" s="384"/>
      <c r="E45" s="384"/>
      <c r="F45" s="384"/>
      <c r="G45" s="384"/>
      <c r="H45" s="384"/>
      <c r="I45" s="384"/>
      <c r="J45" s="384"/>
      <c r="K45" s="384"/>
      <c r="L45" s="244"/>
      <c r="M45" s="244"/>
      <c r="N45" s="244"/>
      <c r="O45" s="244"/>
      <c r="P45" s="244"/>
    </row>
    <row r="46" spans="1:16" x14ac:dyDescent="0.25">
      <c r="A46" s="252"/>
      <c r="B46" s="384"/>
      <c r="C46" s="384"/>
      <c r="D46" s="384"/>
      <c r="E46" s="384"/>
      <c r="F46" s="384"/>
      <c r="G46" s="384"/>
      <c r="H46" s="384"/>
      <c r="I46" s="384"/>
      <c r="J46" s="384"/>
      <c r="K46" s="384"/>
      <c r="L46" s="244"/>
      <c r="M46" s="244"/>
      <c r="N46" s="244"/>
      <c r="O46" s="244"/>
      <c r="P46" s="244"/>
    </row>
    <row r="47" spans="1:16" x14ac:dyDescent="0.25">
      <c r="A47" s="252"/>
      <c r="B47" s="384"/>
      <c r="C47" s="384"/>
      <c r="D47" s="384"/>
      <c r="E47" s="384"/>
      <c r="F47" s="384"/>
      <c r="G47" s="384"/>
      <c r="H47" s="384"/>
      <c r="I47" s="384"/>
      <c r="J47" s="384"/>
      <c r="K47" s="384"/>
      <c r="L47" s="244"/>
      <c r="M47" s="244"/>
      <c r="N47" s="244"/>
      <c r="O47" s="244"/>
      <c r="P47" s="244"/>
    </row>
    <row r="48" spans="1:16" x14ac:dyDescent="0.25">
      <c r="A48" s="250"/>
      <c r="B48" s="384"/>
      <c r="C48" s="384"/>
      <c r="D48" s="384"/>
      <c r="E48" s="384"/>
      <c r="F48" s="384"/>
      <c r="G48" s="384"/>
      <c r="H48" s="384"/>
      <c r="I48" s="384"/>
      <c r="J48" s="384"/>
      <c r="K48" s="384"/>
      <c r="L48" s="244"/>
      <c r="M48" s="244"/>
      <c r="N48" s="244"/>
      <c r="O48" s="244"/>
      <c r="P48" s="244"/>
    </row>
    <row r="49" spans="1:16" x14ac:dyDescent="0.25">
      <c r="A49" s="252"/>
      <c r="B49" s="384"/>
      <c r="C49" s="384"/>
      <c r="D49" s="384"/>
      <c r="E49" s="384"/>
      <c r="F49" s="384"/>
      <c r="G49" s="384"/>
      <c r="H49" s="384"/>
      <c r="I49" s="384"/>
      <c r="J49" s="384"/>
      <c r="K49" s="384"/>
      <c r="L49" s="244"/>
      <c r="M49" s="244"/>
      <c r="N49" s="244"/>
      <c r="O49" s="244"/>
      <c r="P49" s="244"/>
    </row>
  </sheetData>
  <sheetProtection algorithmName="SHA-512" hashValue="4e+Oe5yCXtlMivyifQGkPrsWit52wB8aZh7huJe2ht2m/d84DMyF7xTAnFDZOIySNkRHwSUSpH6cXJU60d4b7Q==" saltValue="njQ/1ShoFRVxXYWote5k/Q==" spinCount="100000" sheet="1" objects="1" scenarios="1" selectLockedCells="1" selectUnlockedCells="1"/>
  <mergeCells count="16">
    <mergeCell ref="B39:K39"/>
    <mergeCell ref="A1:L3"/>
    <mergeCell ref="A4:L4"/>
    <mergeCell ref="B36:K36"/>
    <mergeCell ref="B37:K37"/>
    <mergeCell ref="B38:K38"/>
    <mergeCell ref="B46:K46"/>
    <mergeCell ref="B47:K47"/>
    <mergeCell ref="B48:K48"/>
    <mergeCell ref="B49:K49"/>
    <mergeCell ref="B40:K40"/>
    <mergeCell ref="B41:K41"/>
    <mergeCell ref="B42:K42"/>
    <mergeCell ref="B43:K43"/>
    <mergeCell ref="B44:K44"/>
    <mergeCell ref="B45:K45"/>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150</vt:i4>
      </vt:variant>
    </vt:vector>
  </HeadingPairs>
  <TitlesOfParts>
    <vt:vector size="157" baseType="lpstr">
      <vt:lpstr>Design Converter</vt:lpstr>
      <vt:lpstr>Variable_Management</vt:lpstr>
      <vt:lpstr>Loop_Modeling</vt:lpstr>
      <vt:lpstr>Eff_vs_IOUT</vt:lpstr>
      <vt:lpstr>Constants</vt:lpstr>
      <vt:lpstr>Lists</vt:lpstr>
      <vt:lpstr>Important Notice and Disclaimer</vt:lpstr>
      <vt:lpstr>Acs</vt:lpstr>
      <vt:lpstr>Adc</vt:lpstr>
      <vt:lpstr>Adc_ea</vt:lpstr>
      <vt:lpstr>ADC_VINmin</vt:lpstr>
      <vt:lpstr>CCOMP</vt:lpstr>
      <vt:lpstr>CCOMP_Calc</vt:lpstr>
      <vt:lpstr>CCOMP_calc_CCM</vt:lpstr>
      <vt:lpstr>CCOMP_CALC_DCM</vt:lpstr>
      <vt:lpstr>CHF</vt:lpstr>
      <vt:lpstr>CHF_calc</vt:lpstr>
      <vt:lpstr>CHF_CALC_CCM</vt:lpstr>
      <vt:lpstr>CHF_CALC_DCM</vt:lpstr>
      <vt:lpstr>CISS</vt:lpstr>
      <vt:lpstr>Comp_calc_CCM</vt:lpstr>
      <vt:lpstr>Cout</vt:lpstr>
      <vt:lpstr>Cout_min</vt:lpstr>
      <vt:lpstr>D_limit_max</vt:lpstr>
      <vt:lpstr>D_limit_min</vt:lpstr>
      <vt:lpstr>D_limit_nom</vt:lpstr>
      <vt:lpstr>DC_DCM_max</vt:lpstr>
      <vt:lpstr>Dc_max_IC</vt:lpstr>
      <vt:lpstr>Dc_max_ideal</vt:lpstr>
      <vt:lpstr>DC_rip</vt:lpstr>
      <vt:lpstr>Dc_rip_max</vt:lpstr>
      <vt:lpstr>Dc_VIN_max</vt:lpstr>
      <vt:lpstr>Dc_VIN_min</vt:lpstr>
      <vt:lpstr>Dc_VIN_nom</vt:lpstr>
      <vt:lpstr>DC_VIN_var_DCM</vt:lpstr>
      <vt:lpstr>EFF_est</vt:lpstr>
      <vt:lpstr>fcross</vt:lpstr>
      <vt:lpstr>fcross_est</vt:lpstr>
      <vt:lpstr>fp_ea_est</vt:lpstr>
      <vt:lpstr>Fsw</vt:lpstr>
      <vt:lpstr>fz_ea_est</vt:lpstr>
      <vt:lpstr>fz_rhp</vt:lpstr>
      <vt:lpstr>GAIN</vt:lpstr>
      <vt:lpstr>Gcomp</vt:lpstr>
      <vt:lpstr>gfs</vt:lpstr>
      <vt:lpstr>GIMON</vt:lpstr>
      <vt:lpstr>gm_ea</vt:lpstr>
      <vt:lpstr>Gplant_fc_dB</vt:lpstr>
      <vt:lpstr>I_offset</vt:lpstr>
      <vt:lpstr>IIN_33</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vt:lpstr>
      <vt:lpstr>IOUT_VAR</vt:lpstr>
      <vt:lpstr>Ipk_margin</vt:lpstr>
      <vt:lpstr>Ipk_selected</vt:lpstr>
      <vt:lpstr>IQ</vt:lpstr>
      <vt:lpstr>IRMS_COUT</vt:lpstr>
      <vt:lpstr>Iss</vt:lpstr>
      <vt:lpstr>Kd</vt:lpstr>
      <vt:lpstr>Kd_VINmin</vt:lpstr>
      <vt:lpstr>Kex</vt:lpstr>
      <vt:lpstr>Kex_VINmin</vt:lpstr>
      <vt:lpstr>Kfb</vt:lpstr>
      <vt:lpstr>Km</vt:lpstr>
      <vt:lpstr>Km_VINmin</vt:lpstr>
      <vt:lpstr>Lm</vt:lpstr>
      <vt:lpstr>Lopt_2</vt:lpstr>
      <vt:lpstr>M_L_DCM</vt:lpstr>
      <vt:lpstr>Np</vt:lpstr>
      <vt:lpstr>POUT</vt:lpstr>
      <vt:lpstr>'Design Converter'!Print_Area</vt:lpstr>
      <vt:lpstr>Q</vt:lpstr>
      <vt:lpstr>Q_VINmin</vt:lpstr>
      <vt:lpstr>Qg_tot</vt:lpstr>
      <vt:lpstr>Qg_tot_HS</vt:lpstr>
      <vt:lpstr>Qgd</vt:lpstr>
      <vt:lpstr>Qgs</vt:lpstr>
      <vt:lpstr>Qrr</vt:lpstr>
      <vt:lpstr>R_ATRK</vt:lpstr>
      <vt:lpstr>R_cs</vt:lpstr>
      <vt:lpstr>R_sl</vt:lpstr>
      <vt:lpstr>RCOMP</vt:lpstr>
      <vt:lpstr>RCOMP_Calc</vt:lpstr>
      <vt:lpstr>Rcomp_calc_CCM</vt:lpstr>
      <vt:lpstr>RCOMP_CALC_DCM</vt:lpstr>
      <vt:lpstr>Rcs_max</vt:lpstr>
      <vt:lpstr>Rcs_wo_sl</vt:lpstr>
      <vt:lpstr>Rdcr</vt:lpstr>
      <vt:lpstr>RDS_on</vt:lpstr>
      <vt:lpstr>RDS_on_HS</vt:lpstr>
      <vt:lpstr>Resr</vt:lpstr>
      <vt:lpstr>RFBB</vt:lpstr>
      <vt:lpstr>RFBT</vt:lpstr>
      <vt:lpstr>Rg</vt:lpstr>
      <vt:lpstr>Rg_int</vt:lpstr>
      <vt:lpstr>Rgate</vt:lpstr>
      <vt:lpstr>ROUT</vt:lpstr>
      <vt:lpstr>RT</vt:lpstr>
      <vt:lpstr>Ruvlo_bottom_calc</vt:lpstr>
      <vt:lpstr>Ruvlo_bottom_sel</vt:lpstr>
      <vt:lpstr>Ruvlo_top_sel</vt:lpstr>
      <vt:lpstr>Se_VINmin</vt:lpstr>
      <vt:lpstr>Sn_VINmin</vt:lpstr>
      <vt:lpstr>t_dead</vt:lpstr>
      <vt:lpstr>tf_sw</vt:lpstr>
      <vt:lpstr>tr_sw</vt:lpstr>
      <vt:lpstr>tss</vt:lpstr>
      <vt:lpstr>UV_fall</vt:lpstr>
      <vt:lpstr>UV_I_hyst</vt:lpstr>
      <vt:lpstr>UV_rise</vt:lpstr>
      <vt:lpstr>V_ATRK</vt:lpstr>
      <vt:lpstr>V_ILIM</vt:lpstr>
      <vt:lpstr>Vcc</vt:lpstr>
      <vt:lpstr>Vcl</vt:lpstr>
      <vt:lpstr>Vd_rect</vt:lpstr>
      <vt:lpstr>Vgsth</vt:lpstr>
      <vt:lpstr>VIN_33</vt:lpstr>
      <vt:lpstr>VIN_max</vt:lpstr>
      <vt:lpstr>VIN_min</vt:lpstr>
      <vt:lpstr>VIN_nom</vt:lpstr>
      <vt:lpstr>VIN_op_max</vt:lpstr>
      <vt:lpstr>VIN_op_min</vt:lpstr>
      <vt:lpstr>VIN_var</vt:lpstr>
      <vt:lpstr>VOUT</vt:lpstr>
      <vt:lpstr>VOUT_range</vt:lpstr>
      <vt:lpstr>Vout_rip_sel</vt:lpstr>
      <vt:lpstr>Vref</vt:lpstr>
      <vt:lpstr>Vsl</vt:lpstr>
      <vt:lpstr>Vth</vt:lpstr>
      <vt:lpstr>VTRK</vt:lpstr>
      <vt:lpstr>Vuvlo_off</vt:lpstr>
      <vt:lpstr>Vuvlo_on</vt:lpstr>
      <vt:lpstr>wp_lf</vt:lpstr>
      <vt:lpstr>wp_lf_DCM</vt:lpstr>
      <vt:lpstr>wp_lf_VINmin</vt:lpstr>
      <vt:lpstr>wp0_ea</vt:lpstr>
      <vt:lpstr>wp1_ea</vt:lpstr>
      <vt:lpstr>wsl</vt:lpstr>
      <vt:lpstr>wsl_VINmin</vt:lpstr>
      <vt:lpstr>wz_ea</vt:lpstr>
      <vt:lpstr>wz_esr</vt:lpstr>
      <vt:lpstr>wz_esr_VINmin</vt:lpstr>
      <vt:lpstr>wz_rhp</vt:lpstr>
      <vt:lpstr>wz_RHP_VINmin</vt:lpstr>
      <vt:lpstr>wz1_dcm</vt:lpstr>
      <vt:lpstr>wz2_dcm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Ji, Feng</cp:lastModifiedBy>
  <cp:lastPrinted>2018-08-09T07:13:51Z</cp:lastPrinted>
  <dcterms:created xsi:type="dcterms:W3CDTF">2018-06-26T09:13:29Z</dcterms:created>
  <dcterms:modified xsi:type="dcterms:W3CDTF">2025-04-14T09:13:53Z</dcterms:modified>
</cp:coreProperties>
</file>