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s16.itg.ti.com/sites/LP-PS/Projects/Isolation/Shared Documents/Device development/TPSI3100/Applications/"/>
    </mc:Choice>
  </mc:AlternateContent>
  <xr:revisionPtr revIDLastSave="0" documentId="13_ncr:1_{9EC5A891-823C-4CB8-ADC5-A897EFF00D1C}" xr6:coauthVersionLast="36" xr6:coauthVersionMax="36" xr10:uidLastSave="{00000000-0000-0000-0000-000000000000}"/>
  <bookViews>
    <workbookView xWindow="0" yWindow="0" windowWidth="28800" windowHeight="12225" xr2:uid="{FEC81FE8-AF6F-44AC-8889-174F64FCD81D}"/>
  </bookViews>
  <sheets>
    <sheet name="USER INPUT" sheetId="2" r:id="rId1"/>
    <sheet name="POWER TRANSFER" sheetId="1" r:id="rId2"/>
  </sheets>
  <definedNames>
    <definedName name="CDIV1">'USER INPUT'!$B$19</definedName>
    <definedName name="CDIV2">'USER INPUT'!$B$20</definedName>
    <definedName name="CLOAD">'USER INPUT'!$B$22</definedName>
    <definedName name="CTOTAL">'USER INPUT'!$B$21</definedName>
    <definedName name="IAUX">'USER INPUT'!$B$9</definedName>
    <definedName name="IGT">'USER INPUT'!$B$39</definedName>
    <definedName name="IOUT_MAX">'POWER TRANSFER'!$E$5</definedName>
    <definedName name="MAX_COEFF0">'POWER TRANSFER'!$E$17</definedName>
    <definedName name="MAX_COEFF1">'POWER TRANSFER'!$D$17</definedName>
    <definedName name="MAX_COEFF2">'POWER TRANSFER'!$C$17</definedName>
    <definedName name="MAX_COEFF3">'POWER TRANSFER'!$B$17</definedName>
    <definedName name="MID_COEFF0">'POWER TRANSFER'!$E$18</definedName>
    <definedName name="MID_COEFF1">'POWER TRANSFER'!$D$18</definedName>
    <definedName name="MID_COEFF2">'POWER TRANSFER'!$C$18</definedName>
    <definedName name="MID_COEFF3">'POWER TRANSFER'!$B$18</definedName>
    <definedName name="MIN_COEFF0">'POWER TRANSFER'!$E$19</definedName>
    <definedName name="MIN_COEFF1">'POWER TRANSFER'!$D$19</definedName>
    <definedName name="MIN_COEFF2">'POWER TRANSFER'!$C$19</definedName>
    <definedName name="MIN_COEFF3">'POWER TRANSFER'!$B$19</definedName>
    <definedName name="n">'USER INPUT'!$B$17</definedName>
    <definedName name="PMAX">'POWER TRANSFER'!$D$5</definedName>
    <definedName name="QTOTAL">'USER INPUT'!$B$13</definedName>
    <definedName name="RLIMIT">'USER INPUT'!$B$38</definedName>
    <definedName name="tGT">'USER INPUT'!$B$40</definedName>
    <definedName name="USER_TA">'USER INPUT'!$B$7</definedName>
    <definedName name="VDDH">'POWER TRANSFER'!$B$21</definedName>
    <definedName name="VDDH_UV_F">'POWER TRANSFER'!$B$23</definedName>
    <definedName name="VDDH_UV_R">'POWER TRANSFER'!$B$22</definedName>
    <definedName name="VDDHdroop">'USER INPUT'!$B$18</definedName>
    <definedName name="VDDM">'POWER TRANSFER'!$B$24</definedName>
    <definedName name="VDDM_UV_F">'POWER TRANSFER'!$B$26</definedName>
    <definedName name="VDDM_UV_R">'POWER TRANSFER'!$B$25</definedName>
    <definedName name="VDDP_INPUT">'USER INPUT'!$B$8</definedName>
    <definedName name="VGT">'USER INPUT'!$B$37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9" i="2"/>
  <c r="D5" i="1"/>
  <c r="D4" i="1"/>
  <c r="D3" i="1"/>
  <c r="E3" i="1" s="1"/>
  <c r="B29" i="2" l="1"/>
  <c r="D29" i="2" s="1"/>
  <c r="R30" i="2" l="1"/>
  <c r="B25" i="1"/>
  <c r="B24" i="1"/>
  <c r="B23" i="1"/>
  <c r="B22" i="1"/>
  <c r="D18" i="2" l="1"/>
  <c r="D17" i="2"/>
  <c r="B46" i="2" l="1"/>
  <c r="B45" i="2"/>
  <c r="B47" i="2" s="1"/>
  <c r="B48" i="2" s="1"/>
  <c r="B44" i="2"/>
  <c r="AG31" i="1" l="1"/>
  <c r="AB31" i="1"/>
  <c r="V31" i="1"/>
  <c r="AJ30" i="1" l="1"/>
  <c r="AJ29" i="1"/>
  <c r="Z30" i="1"/>
  <c r="Z29" i="1"/>
  <c r="B30" i="1"/>
  <c r="AA30" i="1"/>
  <c r="AE30" i="1" s="1"/>
  <c r="AG29" i="1"/>
  <c r="AF29" i="1"/>
  <c r="AB29" i="1"/>
  <c r="AA29" i="1"/>
  <c r="W29" i="1"/>
  <c r="V29" i="1"/>
  <c r="AI30" i="1"/>
  <c r="AH30" i="1"/>
  <c r="AG30" i="1"/>
  <c r="AF30" i="1"/>
  <c r="AD30" i="1"/>
  <c r="AC30" i="1"/>
  <c r="AB30" i="1"/>
  <c r="AI29" i="1"/>
  <c r="AH29" i="1"/>
  <c r="AD29" i="1"/>
  <c r="AC29" i="1"/>
  <c r="Y30" i="1"/>
  <c r="X30" i="1"/>
  <c r="W30" i="1"/>
  <c r="V30" i="1"/>
  <c r="X29" i="1"/>
  <c r="Y29" i="1"/>
  <c r="R32" i="1"/>
  <c r="R28" i="1"/>
  <c r="M32" i="1"/>
  <c r="M31" i="1"/>
  <c r="M30" i="1"/>
  <c r="M29" i="1"/>
  <c r="M28" i="1"/>
  <c r="B33" i="2"/>
  <c r="D33" i="2" s="1"/>
  <c r="B31" i="2"/>
  <c r="AE29" i="1" l="1"/>
  <c r="B3" i="1" s="1"/>
  <c r="C3" i="1" s="1"/>
  <c r="B5" i="1"/>
  <c r="C5" i="1" s="1"/>
  <c r="B26" i="1"/>
  <c r="B21" i="1"/>
  <c r="B19" i="1"/>
  <c r="B18" i="1"/>
  <c r="E19" i="1"/>
  <c r="D19" i="1"/>
  <c r="C19" i="1"/>
  <c r="E18" i="1"/>
  <c r="D18" i="1"/>
  <c r="C18" i="1"/>
  <c r="E17" i="1"/>
  <c r="D17" i="1"/>
  <c r="C17" i="1"/>
  <c r="B17" i="1"/>
  <c r="A13" i="1"/>
  <c r="A12" i="1"/>
  <c r="A11" i="1"/>
  <c r="A10" i="1"/>
  <c r="A9" i="1"/>
  <c r="B34" i="2" l="1"/>
  <c r="D34" i="2" s="1"/>
  <c r="B24" i="2"/>
  <c r="D24" i="2" s="1"/>
  <c r="B55" i="2"/>
  <c r="D55" i="2" s="1"/>
  <c r="J5" i="1"/>
  <c r="E4" i="1"/>
  <c r="J4" i="1"/>
  <c r="J3" i="1"/>
  <c r="B22" i="2"/>
  <c r="B19" i="2" s="1"/>
  <c r="B30" i="2"/>
  <c r="B32" i="2" s="1"/>
  <c r="D32" i="2" s="1"/>
  <c r="B29" i="1"/>
  <c r="E5" i="1"/>
  <c r="B49" i="2" s="1"/>
  <c r="B50" i="2" s="1"/>
  <c r="B51" i="2" s="1"/>
  <c r="J60" i="1"/>
  <c r="R31" i="1" s="1"/>
  <c r="J51" i="1"/>
  <c r="R30" i="1" s="1"/>
  <c r="J42" i="1"/>
  <c r="R29" i="1" s="1"/>
  <c r="J66" i="1"/>
  <c r="P32" i="1" s="1"/>
  <c r="J57" i="1"/>
  <c r="P31" i="1" s="1"/>
  <c r="J48" i="1"/>
  <c r="P30" i="1" s="1"/>
  <c r="J39" i="1"/>
  <c r="P29" i="1" s="1"/>
  <c r="J30" i="1"/>
  <c r="P28" i="1" s="1"/>
  <c r="J63" i="1"/>
  <c r="N32" i="1" s="1"/>
  <c r="J54" i="1"/>
  <c r="N31" i="1" s="1"/>
  <c r="J45" i="1"/>
  <c r="N30" i="1" s="1"/>
  <c r="J36" i="1"/>
  <c r="N29" i="1" s="1"/>
  <c r="J27" i="1"/>
  <c r="N28" i="1" s="1"/>
  <c r="J71" i="1"/>
  <c r="S32" i="1" s="1"/>
  <c r="J62" i="1"/>
  <c r="S31" i="1" s="1"/>
  <c r="J53" i="1"/>
  <c r="S30" i="1" s="1"/>
  <c r="J44" i="1"/>
  <c r="S29" i="1" s="1"/>
  <c r="J35" i="1"/>
  <c r="S28" i="1" s="1"/>
  <c r="J68" i="1"/>
  <c r="Q32" i="1" s="1"/>
  <c r="J65" i="1"/>
  <c r="O32" i="1" s="1"/>
  <c r="J59" i="1"/>
  <c r="Q31" i="1" s="1"/>
  <c r="J56" i="1"/>
  <c r="O31" i="1" s="1"/>
  <c r="J50" i="1"/>
  <c r="Q30" i="1" s="1"/>
  <c r="J47" i="1"/>
  <c r="O30" i="1" s="1"/>
  <c r="J41" i="1"/>
  <c r="Q29" i="1" s="1"/>
  <c r="J38" i="1"/>
  <c r="O29" i="1" s="1"/>
  <c r="J29" i="1"/>
  <c r="O28" i="1" s="1"/>
  <c r="J32" i="1"/>
  <c r="Q28" i="1" s="1"/>
  <c r="B52" i="2" l="1"/>
  <c r="B53" i="2" s="1"/>
  <c r="B20" i="2"/>
  <c r="B21" i="2" s="1"/>
  <c r="F5" i="1" s="1"/>
  <c r="B23" i="2" l="1"/>
  <c r="B54" i="2"/>
  <c r="B28" i="1"/>
  <c r="F3" i="1"/>
  <c r="G4" i="1"/>
  <c r="I4" i="1" s="1"/>
  <c r="G5" i="1"/>
  <c r="I5" i="1" s="1"/>
  <c r="G3" i="1"/>
  <c r="I3" i="1" s="1"/>
  <c r="F4" i="1"/>
  <c r="H3" i="1" l="1"/>
  <c r="H4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Tilden Chen</author>
  </authors>
  <commentList>
    <comment ref="A21" authorId="0" shapeId="0" xr:uid="{F6572794-231E-4B87-B5C9-85A5650F0650}">
      <text>
        <r>
          <rPr>
            <b/>
            <sz val="9"/>
            <color indexed="81"/>
            <rFont val="Tahoma"/>
            <family val="2"/>
          </rPr>
          <t>Tilden Chen:</t>
        </r>
        <r>
          <rPr>
            <sz val="9"/>
            <color indexed="81"/>
            <rFont val="Tahoma"/>
            <family val="2"/>
          </rPr>
          <t xml:space="preserve">
Nominal VDDH</t>
        </r>
      </text>
    </comment>
    <comment ref="A22" authorId="0" shapeId="0" xr:uid="{871B1302-36C2-4BBC-9BD5-ED2C2F43310A}">
      <text>
        <r>
          <rPr>
            <b/>
            <sz val="9"/>
            <color indexed="81"/>
            <rFont val="Tahoma"/>
            <family val="2"/>
          </rPr>
          <t>Tilden Chen:</t>
        </r>
        <r>
          <rPr>
            <sz val="9"/>
            <color indexed="81"/>
            <rFont val="Tahoma"/>
            <family val="2"/>
          </rPr>
          <t xml:space="preserve">
Maximum rising VDDH UVLO</t>
        </r>
      </text>
    </comment>
    <comment ref="A23" authorId="0" shapeId="0" xr:uid="{F1F008D5-EEF7-4617-A156-CAA0CEB0BD23}">
      <text>
        <r>
          <rPr>
            <b/>
            <sz val="9"/>
            <color indexed="81"/>
            <rFont val="Tahoma"/>
            <family val="2"/>
          </rPr>
          <t>Tilden Chen:</t>
        </r>
        <r>
          <rPr>
            <sz val="9"/>
            <color indexed="81"/>
            <rFont val="Tahoma"/>
            <family val="2"/>
          </rPr>
          <t xml:space="preserve">
Maximum falling VDDH UVLO</t>
        </r>
      </text>
    </comment>
    <comment ref="A24" authorId="0" shapeId="0" xr:uid="{E51A2EC8-85D8-4FA1-BDBC-747DF916F47A}">
      <text>
        <r>
          <rPr>
            <b/>
            <sz val="9"/>
            <color indexed="81"/>
            <rFont val="Tahoma"/>
            <family val="2"/>
          </rPr>
          <t>Tilden Chen:</t>
        </r>
        <r>
          <rPr>
            <sz val="9"/>
            <color indexed="81"/>
            <rFont val="Tahoma"/>
            <family val="2"/>
          </rPr>
          <t xml:space="preserve">
Nominal VDDH</t>
        </r>
      </text>
    </comment>
  </commentList>
</comments>
</file>

<file path=xl/sharedStrings.xml><?xml version="1.0" encoding="utf-8"?>
<sst xmlns="http://schemas.openxmlformats.org/spreadsheetml/2006/main" count="243" uniqueCount="127">
  <si>
    <t>Level</t>
  </si>
  <si>
    <t>Mid</t>
  </si>
  <si>
    <r>
      <t>I</t>
    </r>
    <r>
      <rPr>
        <vertAlign val="subscript"/>
        <sz val="11"/>
        <color theme="1"/>
        <rFont val="Calibri"/>
        <family val="2"/>
        <scheme val="minor"/>
      </rPr>
      <t>VDDP</t>
    </r>
  </si>
  <si>
    <t>Min</t>
  </si>
  <si>
    <t>Max</t>
  </si>
  <si>
    <r>
      <t>P</t>
    </r>
    <r>
      <rPr>
        <vertAlign val="subscript"/>
        <sz val="11"/>
        <color theme="1"/>
        <rFont val="Calibri"/>
        <family val="2"/>
        <scheme val="minor"/>
      </rPr>
      <t>OUT</t>
    </r>
    <r>
      <rPr>
        <sz val="11"/>
        <color theme="1"/>
        <rFont val="Calibri"/>
        <family val="2"/>
        <scheme val="minor"/>
      </rPr>
      <t>, mW</t>
    </r>
  </si>
  <si>
    <t>Temp, °C</t>
  </si>
  <si>
    <t>VDDP</t>
  </si>
  <si>
    <t>VDDP, V</t>
  </si>
  <si>
    <r>
      <t>I</t>
    </r>
    <r>
      <rPr>
        <vertAlign val="subscript"/>
        <sz val="11"/>
        <color theme="1"/>
        <rFont val="Calibri"/>
        <family val="2"/>
        <scheme val="minor"/>
      </rPr>
      <t>VDDP</t>
    </r>
    <r>
      <rPr>
        <sz val="11"/>
        <color theme="1"/>
        <rFont val="Calibri"/>
        <family val="2"/>
        <scheme val="minor"/>
      </rPr>
      <t>, mA</t>
    </r>
  </si>
  <si>
    <t>Load type</t>
  </si>
  <si>
    <t>Mode</t>
  </si>
  <si>
    <t>nC</t>
  </si>
  <si>
    <t>n</t>
  </si>
  <si>
    <r>
      <t>C</t>
    </r>
    <r>
      <rPr>
        <vertAlign val="subscript"/>
        <sz val="11"/>
        <color theme="1"/>
        <rFont val="Calibri"/>
        <family val="2"/>
        <scheme val="minor"/>
      </rPr>
      <t>DIV1</t>
    </r>
  </si>
  <si>
    <r>
      <t>C</t>
    </r>
    <r>
      <rPr>
        <vertAlign val="subscript"/>
        <sz val="11"/>
        <color theme="1"/>
        <rFont val="Calibri"/>
        <family val="2"/>
        <scheme val="minor"/>
      </rPr>
      <t>DIV2</t>
    </r>
  </si>
  <si>
    <r>
      <t>C</t>
    </r>
    <r>
      <rPr>
        <vertAlign val="subscript"/>
        <sz val="11"/>
        <color theme="1"/>
        <rFont val="Calibri"/>
        <family val="2"/>
        <scheme val="minor"/>
      </rPr>
      <t>LOAD</t>
    </r>
  </si>
  <si>
    <r>
      <t>C</t>
    </r>
    <r>
      <rPr>
        <vertAlign val="subscript"/>
        <sz val="11"/>
        <color theme="1"/>
        <rFont val="Calibri"/>
        <family val="2"/>
        <scheme val="minor"/>
      </rPr>
      <t>TOTAL</t>
    </r>
  </si>
  <si>
    <r>
      <t>VDDH</t>
    </r>
    <r>
      <rPr>
        <vertAlign val="subscript"/>
        <sz val="11"/>
        <color theme="1"/>
        <rFont val="Calibri"/>
        <family val="2"/>
        <scheme val="minor"/>
      </rPr>
      <t>droop</t>
    </r>
  </si>
  <si>
    <r>
      <t>VDDM</t>
    </r>
    <r>
      <rPr>
        <vertAlign val="subscript"/>
        <sz val="11"/>
        <color theme="1"/>
        <rFont val="Calibri"/>
        <family val="2"/>
        <scheme val="minor"/>
      </rPr>
      <t>droop</t>
    </r>
  </si>
  <si>
    <r>
      <t>Select "Solve" to solve for C</t>
    </r>
    <r>
      <rPr>
        <vertAlign val="subscript"/>
        <sz val="11"/>
        <color theme="1"/>
        <rFont val="Calibri"/>
        <family val="2"/>
        <scheme val="minor"/>
      </rPr>
      <t>DIVx</t>
    </r>
    <r>
      <rPr>
        <sz val="11"/>
        <color theme="1"/>
        <rFont val="Calibri"/>
        <family val="2"/>
        <scheme val="minor"/>
      </rPr>
      <t xml:space="preserve">
Select "Input" to input C</t>
    </r>
    <r>
      <rPr>
        <vertAlign val="subscript"/>
        <sz val="11"/>
        <color theme="1"/>
        <rFont val="Calibri"/>
        <family val="2"/>
        <scheme val="minor"/>
      </rPr>
      <t>DIVx</t>
    </r>
  </si>
  <si>
    <t>nF</t>
  </si>
  <si>
    <t>TREND</t>
  </si>
  <si>
    <t>MIN</t>
  </si>
  <si>
    <t>MID</t>
  </si>
  <si>
    <t>MAX</t>
  </si>
  <si>
    <t>COEFF-3</t>
  </si>
  <si>
    <t>COEFF-2</t>
  </si>
  <si>
    <t>COEFF-1</t>
  </si>
  <si>
    <t>COEFF-0</t>
  </si>
  <si>
    <t xml:space="preserve"> °C</t>
  </si>
  <si>
    <t>Range: -40 to 150</t>
  </si>
  <si>
    <r>
      <t>P</t>
    </r>
    <r>
      <rPr>
        <vertAlign val="subscript"/>
        <sz val="11"/>
        <color theme="1"/>
        <rFont val="Calibri"/>
        <family val="2"/>
        <scheme val="minor"/>
      </rPr>
      <t>OUT</t>
    </r>
    <r>
      <rPr>
        <sz val="11"/>
        <color theme="1"/>
        <rFont val="Calibri"/>
        <family val="2"/>
        <scheme val="minor"/>
      </rPr>
      <t xml:space="preserve"> Interpolation</t>
    </r>
  </si>
  <si>
    <t>VDDH</t>
  </si>
  <si>
    <t>VDDM</t>
  </si>
  <si>
    <t>V</t>
  </si>
  <si>
    <t>VDDH_UV_R</t>
  </si>
  <si>
    <t>VDDH_UV_F</t>
  </si>
  <si>
    <t>VDDM_UV_R</t>
  </si>
  <si>
    <t>VDDM_UV_F</t>
  </si>
  <si>
    <t>Use below for driving MOSFETs, IGBTs:</t>
  </si>
  <si>
    <t>SOLVE</t>
  </si>
  <si>
    <t>INPUT</t>
  </si>
  <si>
    <r>
      <t>Q</t>
    </r>
    <r>
      <rPr>
        <vertAlign val="subscript"/>
        <sz val="11"/>
        <color theme="1"/>
        <rFont val="Calibri"/>
        <family val="2"/>
        <scheme val="minor"/>
      </rPr>
      <t>DIV</t>
    </r>
  </si>
  <si>
    <r>
      <t>Q</t>
    </r>
    <r>
      <rPr>
        <vertAlign val="subscript"/>
        <sz val="11"/>
        <color theme="1"/>
        <rFont val="Calibri"/>
        <family val="2"/>
        <scheme val="minor"/>
      </rPr>
      <t>G</t>
    </r>
  </si>
  <si>
    <t>kHz</t>
  </si>
  <si>
    <t>Use below for driving SCRs, TRIACs:</t>
  </si>
  <si>
    <t>Ω</t>
  </si>
  <si>
    <t>mA</t>
  </si>
  <si>
    <t>µs</t>
  </si>
  <si>
    <t>4.5 V</t>
  </si>
  <si>
    <t>5.0 V</t>
  </si>
  <si>
    <t>5.5 V</t>
  </si>
  <si>
    <t>Min (4.5-V)</t>
  </si>
  <si>
    <t>Max (4.5-V)</t>
  </si>
  <si>
    <t>Min (5.0-V)</t>
  </si>
  <si>
    <t>Max (5.0-V)</t>
  </si>
  <si>
    <t>Min (5.5-V)</t>
  </si>
  <si>
    <t>Max (5.5-V)</t>
  </si>
  <si>
    <r>
      <t>I</t>
    </r>
    <r>
      <rPr>
        <vertAlign val="subscript"/>
        <sz val="11"/>
        <color theme="1"/>
        <rFont val="Calibri"/>
        <family val="2"/>
        <scheme val="minor"/>
      </rPr>
      <t>VDDP</t>
    </r>
    <r>
      <rPr>
        <sz val="11"/>
        <color theme="1"/>
        <rFont val="Calibri"/>
        <family val="2"/>
        <scheme val="minor"/>
      </rPr>
      <t xml:space="preserve"> Interpolation</t>
    </r>
  </si>
  <si>
    <t>USER_VDDP</t>
  </si>
  <si>
    <t xml:space="preserve"> </t>
  </si>
  <si>
    <t>VDDP=4.5?</t>
  </si>
  <si>
    <t>VDDP=5.0?</t>
  </si>
  <si>
    <r>
      <t>I</t>
    </r>
    <r>
      <rPr>
        <b/>
        <vertAlign val="subscript"/>
        <sz val="11"/>
        <color theme="1"/>
        <rFont val="Calibri"/>
        <family val="2"/>
        <scheme val="minor"/>
      </rPr>
      <t>VDDP</t>
    </r>
    <r>
      <rPr>
        <b/>
        <sz val="11"/>
        <color theme="1"/>
        <rFont val="Calibri"/>
        <family val="2"/>
        <scheme val="minor"/>
      </rPr>
      <t>, mA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</si>
  <si>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IN</t>
    </r>
    <r>
      <rPr>
        <b/>
        <sz val="11"/>
        <color theme="1"/>
        <rFont val="Calibri"/>
        <family val="2"/>
        <scheme val="minor"/>
      </rPr>
      <t>, mW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</si>
  <si>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OUT</t>
    </r>
    <r>
      <rPr>
        <b/>
        <sz val="11"/>
        <color theme="1"/>
        <rFont val="Calibri"/>
        <family val="2"/>
        <scheme val="minor"/>
      </rPr>
      <t>, mW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</si>
  <si>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OUT</t>
    </r>
    <r>
      <rPr>
        <b/>
        <sz val="11"/>
        <color theme="1"/>
        <rFont val="Calibri"/>
        <family val="2"/>
        <scheme val="minor"/>
      </rPr>
      <t>, mA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</si>
  <si>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START</t>
    </r>
    <r>
      <rPr>
        <b/>
        <sz val="11"/>
        <color theme="1"/>
        <rFont val="Calibri"/>
        <family val="2"/>
        <scheme val="minor"/>
      </rPr>
      <t>, µs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</si>
  <si>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RECOVER</t>
    </r>
    <r>
      <rPr>
        <b/>
        <sz val="11"/>
        <color theme="1"/>
        <rFont val="Calibri"/>
        <family val="2"/>
        <scheme val="minor"/>
      </rPr>
      <t>, µs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</si>
  <si>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EN_MAX</t>
    </r>
    <r>
      <rPr>
        <b/>
        <sz val="11"/>
        <color theme="1"/>
        <rFont val="Calibri"/>
        <family val="2"/>
        <scheme val="minor"/>
      </rPr>
      <t>, kHz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</si>
  <si>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SW_MAX</t>
    </r>
    <r>
      <rPr>
        <b/>
        <sz val="11"/>
        <color theme="1"/>
        <rFont val="Calibri"/>
        <family val="2"/>
        <scheme val="minor"/>
      </rPr>
      <t>, kHz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</si>
  <si>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AUX_MAX</t>
    </r>
    <r>
      <rPr>
        <b/>
        <sz val="11"/>
        <color theme="1"/>
        <rFont val="Calibri"/>
        <family val="2"/>
        <scheme val="minor"/>
      </rPr>
      <t>, mA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</si>
  <si>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A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</si>
  <si>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AUX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</si>
  <si>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EN_MAX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</si>
  <si>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TOTAL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</si>
  <si>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DIV1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</si>
  <si>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DIV2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</si>
  <si>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LOAD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</si>
  <si>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TOTAL</t>
    </r>
  </si>
  <si>
    <r>
      <t>VDDH</t>
    </r>
    <r>
      <rPr>
        <b/>
        <vertAlign val="subscript"/>
        <sz val="11"/>
        <color theme="1"/>
        <rFont val="Calibri"/>
        <family val="2"/>
        <scheme val="minor"/>
      </rPr>
      <t>droop</t>
    </r>
  </si>
  <si>
    <r>
      <t>VDDM</t>
    </r>
    <r>
      <rPr>
        <b/>
        <vertAlign val="subscript"/>
        <sz val="11"/>
        <color theme="1"/>
        <rFont val="Calibri"/>
        <family val="2"/>
        <scheme val="minor"/>
      </rPr>
      <t>droop</t>
    </r>
  </si>
  <si>
    <r>
      <t>V</t>
    </r>
    <r>
      <rPr>
        <b/>
        <vertAlign val="subscript"/>
        <sz val="11"/>
        <rFont val="Calibri"/>
        <family val="2"/>
        <scheme val="minor"/>
      </rPr>
      <t>GT</t>
    </r>
  </si>
  <si>
    <r>
      <t>R</t>
    </r>
    <r>
      <rPr>
        <b/>
        <vertAlign val="subscript"/>
        <sz val="11"/>
        <rFont val="Calibri"/>
        <family val="2"/>
        <scheme val="minor"/>
      </rPr>
      <t>LIMIT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</si>
  <si>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GT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</si>
  <si>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GT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</si>
  <si>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EN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</si>
  <si>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EN_MIN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</si>
  <si>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GT_MAX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</si>
  <si>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GT_AVG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</si>
  <si>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DIV1_CALC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</si>
  <si>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DIV2_CALC</t>
    </r>
  </si>
  <si>
    <t>N/A</t>
  </si>
  <si>
    <r>
      <t>I</t>
    </r>
    <r>
      <rPr>
        <b/>
        <vertAlign val="subscript"/>
        <sz val="11"/>
        <color theme="1"/>
        <rFont val="Calibri"/>
        <family val="2"/>
        <scheme val="minor"/>
      </rPr>
      <t>GT_MIN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</si>
  <si>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REQUIRED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</si>
  <si>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REPLENISH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</si>
  <si>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LOSS</t>
    </r>
  </si>
  <si>
    <t>Capacitance between VDDH and VDDM</t>
  </si>
  <si>
    <t>Triggering gate voltage</t>
  </si>
  <si>
    <t>Gate current limiting resistance</t>
  </si>
  <si>
    <t>Trigger gate current</t>
  </si>
  <si>
    <t>SCR/TRIAC turn-on time</t>
  </si>
  <si>
    <t>CDIV2/CDIV1, Min: 3</t>
  </si>
  <si>
    <r>
      <t>Desired VDDH droop switching C</t>
    </r>
    <r>
      <rPr>
        <vertAlign val="subscript"/>
        <sz val="11"/>
        <color theme="1"/>
        <rFont val="Calibri"/>
        <family val="2"/>
        <scheme val="minor"/>
      </rPr>
      <t>LOAD</t>
    </r>
    <r>
      <rPr>
        <sz val="11"/>
        <color theme="1"/>
        <rFont val="Calibri"/>
        <family val="2"/>
        <scheme val="minor"/>
      </rPr>
      <t>. Recommend ≤ 1V</t>
    </r>
  </si>
  <si>
    <t>EN high time</t>
  </si>
  <si>
    <t>Required minimum high time</t>
  </si>
  <si>
    <t>Computed start trigger current</t>
  </si>
  <si>
    <t>Computed end trigger current</t>
  </si>
  <si>
    <t>Computed average trigger current</t>
  </si>
  <si>
    <t>Computer charge replenished</t>
  </si>
  <si>
    <t>Computer net charge required</t>
  </si>
  <si>
    <t>Computed total charge required</t>
  </si>
  <si>
    <t>Computed minimum VDDH to VDDM capacitance</t>
  </si>
  <si>
    <t>Computed minimum VDDM to VSSS capacitance</t>
  </si>
  <si>
    <r>
      <t>Computed VDDM droop switching C</t>
    </r>
    <r>
      <rPr>
        <vertAlign val="subscript"/>
        <sz val="11"/>
        <color theme="1"/>
        <rFont val="Calibri"/>
        <family val="2"/>
        <scheme val="minor"/>
      </rPr>
      <t>LOAD</t>
    </r>
  </si>
  <si>
    <t>Series combination of CDIV1 and CDIV2</t>
  </si>
  <si>
    <t>Select load type</t>
  </si>
  <si>
    <t>Select primary side supply voltage</t>
  </si>
  <si>
    <t>MOSFET / IGBT</t>
  </si>
  <si>
    <t>Computed equivalent load capacitance</t>
  </si>
  <si>
    <t>Computed capacitance between VDDM and VSSS</t>
  </si>
  <si>
    <t>Computed capacitance between VDDH and VDDM</t>
  </si>
  <si>
    <r>
      <t>Computed VDDM voltage droop switching C</t>
    </r>
    <r>
      <rPr>
        <vertAlign val="subscript"/>
        <sz val="11"/>
        <color theme="1"/>
        <rFont val="Calibri"/>
        <family val="2"/>
        <scheme val="minor"/>
      </rPr>
      <t>LOAD</t>
    </r>
  </si>
  <si>
    <t>Capacitance between VDDM and VSSS</t>
  </si>
  <si>
    <r>
      <t>Computer equivalent capacitance of series C</t>
    </r>
    <r>
      <rPr>
        <vertAlign val="subscript"/>
        <sz val="11"/>
        <color theme="1"/>
        <rFont val="Calibri"/>
        <family val="2"/>
        <scheme val="minor"/>
      </rPr>
      <t>DIV1</t>
    </r>
    <r>
      <rPr>
        <sz val="11"/>
        <color theme="1"/>
        <rFont val="Calibri"/>
        <family val="2"/>
        <scheme val="minor"/>
      </rPr>
      <t xml:space="preserve"> and C</t>
    </r>
    <r>
      <rPr>
        <vertAlign val="subscript"/>
        <sz val="11"/>
        <color theme="1"/>
        <rFont val="Calibri"/>
        <family val="2"/>
        <scheme val="minor"/>
      </rPr>
      <t>DIV2</t>
    </r>
  </si>
  <si>
    <t>Solve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</si>
</sst>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14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4" borderId="0" xfId="0" applyFill="1"/>
    <xf numFmtId="0" fontId="0" fillId="6" borderId="0" xfId="0" applyFill="1"/>
    <xf numFmtId="0" fontId="0" fillId="0" borderId="3" xfId="0" applyBorder="1"/>
    <xf numFmtId="0" fontId="0" fillId="0" borderId="4" xfId="0" applyBorder="1"/>
    <xf numFmtId="0" fontId="0" fillId="0" borderId="1" xfId="0" quotePrefix="1" applyBorder="1"/>
    <xf numFmtId="0" fontId="0" fillId="0" borderId="1" xfId="0" applyFont="1" applyBorder="1"/>
    <xf numFmtId="0" fontId="0" fillId="0" borderId="3" xfId="0" applyBorder="1" applyAlignment="1">
      <alignment wrapText="1"/>
    </xf>
    <xf numFmtId="0" fontId="0" fillId="6" borderId="0" xfId="0" applyFill="1" applyBorder="1"/>
    <xf numFmtId="0" fontId="0" fillId="6" borderId="5" xfId="0" applyFill="1" applyBorder="1"/>
    <xf numFmtId="0" fontId="0" fillId="6" borderId="5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0" fontId="10" fillId="0" borderId="1" xfId="0" applyFont="1" applyFill="1" applyBorder="1"/>
    <xf numFmtId="0" fontId="10" fillId="0" borderId="4" xfId="0" applyFont="1" applyFill="1" applyBorder="1"/>
    <xf numFmtId="2" fontId="6" fillId="3" borderId="1" xfId="0" applyNumberFormat="1" applyFont="1" applyFill="1" applyBorder="1" applyProtection="1">
      <protection locked="0"/>
    </xf>
    <xf numFmtId="0" fontId="6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" xfId="0" applyFill="1" applyBorder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165" fontId="0" fillId="0" borderId="1" xfId="0" applyNumberFormat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0" borderId="0" xfId="0" applyFill="1" applyProtection="1">
      <protection hidden="1"/>
    </xf>
    <xf numFmtId="0" fontId="0" fillId="7" borderId="1" xfId="0" applyFill="1" applyBorder="1" applyProtection="1">
      <protection hidden="1"/>
    </xf>
    <xf numFmtId="0" fontId="5" fillId="0" borderId="1" xfId="0" applyFont="1" applyFill="1" applyBorder="1" applyProtection="1">
      <protection hidden="1"/>
    </xf>
    <xf numFmtId="2" fontId="12" fillId="5" borderId="1" xfId="0" applyNumberFormat="1" applyFont="1" applyFill="1" applyBorder="1" applyProtection="1"/>
    <xf numFmtId="2" fontId="13" fillId="5" borderId="1" xfId="0" applyNumberFormat="1" applyFont="1" applyFill="1" applyBorder="1"/>
    <xf numFmtId="0" fontId="13" fillId="5" borderId="1" xfId="0" applyFont="1" applyFill="1" applyBorder="1" applyProtection="1"/>
    <xf numFmtId="2" fontId="13" fillId="5" borderId="1" xfId="0" applyNumberFormat="1" applyFont="1" applyFill="1" applyBorder="1" applyProtection="1"/>
    <xf numFmtId="0" fontId="8" fillId="6" borderId="5" xfId="0" applyFont="1" applyFill="1" applyBorder="1"/>
    <xf numFmtId="2" fontId="12" fillId="6" borderId="5" xfId="0" applyNumberFormat="1" applyFont="1" applyFill="1" applyBorder="1" applyProtection="1"/>
    <xf numFmtId="0" fontId="8" fillId="2" borderId="1" xfId="0" applyFont="1" applyFill="1" applyBorder="1" applyProtection="1"/>
    <xf numFmtId="2" fontId="13" fillId="8" borderId="1" xfId="0" applyNumberFormat="1" applyFont="1" applyFill="1" applyBorder="1" applyProtection="1"/>
    <xf numFmtId="164" fontId="13" fillId="8" borderId="1" xfId="0" applyNumberFormat="1" applyFont="1" applyFill="1" applyBorder="1" applyProtection="1"/>
    <xf numFmtId="2" fontId="13" fillId="8" borderId="1" xfId="0" applyNumberFormat="1" applyFont="1" applyFill="1" applyBorder="1" applyAlignment="1" applyProtection="1">
      <alignment horizontal="right"/>
    </xf>
    <xf numFmtId="0" fontId="0" fillId="0" borderId="1" xfId="0" applyBorder="1"/>
    <xf numFmtId="0" fontId="8" fillId="0" borderId="1" xfId="0" applyFont="1" applyBorder="1"/>
    <xf numFmtId="2" fontId="12" fillId="5" borderId="1" xfId="0" applyNumberFormat="1" applyFont="1" applyFill="1" applyBorder="1" applyProtection="1"/>
    <xf numFmtId="0" fontId="7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7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</cellXfs>
  <cellStyles count="1">
    <cellStyle name="Normal" xfId="0" builtinId="0"/>
  </cellStyles>
  <dxfs count="24"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5" tint="-0.24994659260841701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5" tint="-0.24994659260841701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strike val="0"/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strike val="0"/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</a:t>
            </a:r>
            <a:r>
              <a:rPr lang="en-US" baseline="-25000"/>
              <a:t>OUT</a:t>
            </a:r>
            <a:r>
              <a:rPr lang="en-US"/>
              <a:t> vs. Temperature at Level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'POWER TRANSFER'!$B$8</c:f>
              <c:strCache>
                <c:ptCount val="1"/>
                <c:pt idx="0">
                  <c:v>Min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23128591935716775"/>
                  <c:y val="-1.614027413240011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'POWER TRANSFER'!$A$9:$A$13</c:f>
            </c:numRef>
          </c:xVal>
          <c:yVal>
            <c:numRef>
              <c:f>'POWER TRANSFER'!$B$9:$B$13</c:f>
            </c:numRef>
          </c:yVal>
          <c:smooth val="0"/>
          <c:extLst>
            <c:ext xmlns:c16="http://schemas.microsoft.com/office/drawing/2014/chart" uri="{C3380CC4-5D6E-409C-BE32-E72D297353CC}">
              <c16:uniqueId val="{00000000-E03D-4B85-98F8-8AA3D662230A}"/>
            </c:ext>
          </c:extLst>
        </c:ser>
        <c:ser>
          <c:idx val="1"/>
          <c:order val="1"/>
          <c:tx>
            <c:strRef>
              <c:f>'POWER TRANSFER'!$C$8</c:f>
              <c:strCache>
                <c:ptCount val="1"/>
                <c:pt idx="0">
                  <c:v>Mid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22912842205403935"/>
                  <c:y val="-5.777376786235058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'POWER TRANSFER'!$A$9:$A$13</c:f>
            </c:numRef>
          </c:xVal>
          <c:yVal>
            <c:numRef>
              <c:f>'POWER TRANSFER'!$C$9:$C$13</c:f>
            </c:numRef>
          </c:yVal>
          <c:smooth val="0"/>
          <c:extLst>
            <c:ext xmlns:c16="http://schemas.microsoft.com/office/drawing/2014/chart" uri="{C3380CC4-5D6E-409C-BE32-E72D297353CC}">
              <c16:uniqueId val="{00000001-E03D-4B85-98F8-8AA3D662230A}"/>
            </c:ext>
          </c:extLst>
        </c:ser>
        <c:ser>
          <c:idx val="2"/>
          <c:order val="2"/>
          <c:tx>
            <c:strRef>
              <c:f>'POWER TRANSFER'!$D$8</c:f>
              <c:strCache>
                <c:ptCount val="1"/>
                <c:pt idx="0">
                  <c:v>Max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23162024649831392"/>
                  <c:y val="-0.11021471274424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'POWER TRANSFER'!$A$9:$A$13</c:f>
            </c:numRef>
          </c:xVal>
          <c:yVal>
            <c:numRef>
              <c:f>'POWER TRANSFER'!$D$9:$D$13</c:f>
            </c:numRef>
          </c:yVal>
          <c:smooth val="0"/>
          <c:extLst>
            <c:ext xmlns:c16="http://schemas.microsoft.com/office/drawing/2014/chart" uri="{C3380CC4-5D6E-409C-BE32-E72D297353CC}">
              <c16:uniqueId val="{00000002-E03D-4B85-98F8-8AA3D6622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88784"/>
        <c:axId val="2054551536"/>
      </c:scatterChart>
      <c:valAx>
        <c:axId val="67688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, °C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551536"/>
        <c:crosses val="autoZero"/>
        <c:crossBetween val="midCat"/>
      </c:valAx>
      <c:valAx>
        <c:axId val="20545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</a:t>
                </a:r>
                <a:r>
                  <a:rPr lang="en-US" baseline="-25000"/>
                  <a:t>OUT</a:t>
                </a:r>
                <a:r>
                  <a:rPr lang="en-US"/>
                  <a:t>, 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8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I</a:t>
            </a:r>
            <a:r>
              <a:rPr lang="en-US" sz="1400" b="0" i="0" baseline="-25000">
                <a:effectLst/>
              </a:rPr>
              <a:t>VDDP</a:t>
            </a:r>
            <a:r>
              <a:rPr lang="en-US" sz="1400" b="0" i="0" baseline="0">
                <a:effectLst/>
              </a:rPr>
              <a:t> vs. Temperature at Level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'POWER TRANSFER'!$N$27</c:f>
              <c:strCache>
                <c:ptCount val="1"/>
                <c:pt idx="0">
                  <c:v>Min (4.5-V)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23957239720034995"/>
                  <c:y val="0.2147630504520268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'POWER TRANSFER'!$M$28:$M$32</c:f>
            </c:numRef>
          </c:xVal>
          <c:yVal>
            <c:numRef>
              <c:f>'POWER TRANSFER'!$N$28:$N$32</c:f>
            </c:numRef>
          </c:yVal>
          <c:smooth val="0"/>
          <c:extLst>
            <c:ext xmlns:c16="http://schemas.microsoft.com/office/drawing/2014/chart" uri="{C3380CC4-5D6E-409C-BE32-E72D297353CC}">
              <c16:uniqueId val="{00000000-696B-43F8-BC85-91482C97DB84}"/>
            </c:ext>
          </c:extLst>
        </c:ser>
        <c:ser>
          <c:idx val="1"/>
          <c:order val="1"/>
          <c:tx>
            <c:strRef>
              <c:f>'POWER TRANSFER'!$O$27</c:f>
              <c:strCache>
                <c:ptCount val="1"/>
                <c:pt idx="0">
                  <c:v>Max (4.5-V)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24133617672790902"/>
                  <c:y val="6.195027704870224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'POWER TRANSFER'!$M$28:$M$32</c:f>
            </c:numRef>
          </c:xVal>
          <c:yVal>
            <c:numRef>
              <c:f>'POWER TRANSFER'!$O$28:$O$32</c:f>
            </c:numRef>
          </c:yVal>
          <c:smooth val="0"/>
          <c:extLst>
            <c:ext xmlns:c16="http://schemas.microsoft.com/office/drawing/2014/chart" uri="{C3380CC4-5D6E-409C-BE32-E72D297353CC}">
              <c16:uniqueId val="{00000005-696B-43F8-BC85-91482C97DB84}"/>
            </c:ext>
          </c:extLst>
        </c:ser>
        <c:ser>
          <c:idx val="2"/>
          <c:order val="2"/>
          <c:tx>
            <c:strRef>
              <c:f>'POWER TRANSFER'!$P$27</c:f>
              <c:strCache>
                <c:ptCount val="1"/>
                <c:pt idx="0">
                  <c:v>Min (5.0-V)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23401684164479439"/>
                  <c:y val="0.159207494896471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'POWER TRANSFER'!$M$28:$M$32</c:f>
            </c:numRef>
          </c:xVal>
          <c:yVal>
            <c:numRef>
              <c:f>'POWER TRANSFER'!$P$28:$P$32</c:f>
            </c:numRef>
          </c:yVal>
          <c:smooth val="0"/>
          <c:extLst>
            <c:ext xmlns:c16="http://schemas.microsoft.com/office/drawing/2014/chart" uri="{C3380CC4-5D6E-409C-BE32-E72D297353CC}">
              <c16:uniqueId val="{00000006-696B-43F8-BC85-91482C97DB84}"/>
            </c:ext>
          </c:extLst>
        </c:ser>
        <c:ser>
          <c:idx val="3"/>
          <c:order val="3"/>
          <c:tx>
            <c:strRef>
              <c:f>'POWER TRANSFER'!$Q$27</c:f>
              <c:strCache>
                <c:ptCount val="1"/>
                <c:pt idx="0">
                  <c:v>Max (5.0-V)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24112795275590551"/>
                  <c:y val="4.12500000000000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'POWER TRANSFER'!$M$28:$M$32</c:f>
            </c:numRef>
          </c:xVal>
          <c:yVal>
            <c:numRef>
              <c:f>'POWER TRANSFER'!$Q$28:$Q$32</c:f>
            </c:numRef>
          </c:yVal>
          <c:smooth val="0"/>
          <c:extLst>
            <c:ext xmlns:c16="http://schemas.microsoft.com/office/drawing/2014/chart" uri="{C3380CC4-5D6E-409C-BE32-E72D297353CC}">
              <c16:uniqueId val="{00000007-696B-43F8-BC85-91482C97DB84}"/>
            </c:ext>
          </c:extLst>
        </c:ser>
        <c:ser>
          <c:idx val="4"/>
          <c:order val="4"/>
          <c:tx>
            <c:strRef>
              <c:f>'POWER TRANSFER'!$R$27</c:f>
              <c:strCache>
                <c:ptCount val="1"/>
                <c:pt idx="0">
                  <c:v>Min (5.5-V)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23123906386701662"/>
                  <c:y val="0.112911198600174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'POWER TRANSFER'!$M$28:$M$32</c:f>
            </c:numRef>
          </c:xVal>
          <c:yVal>
            <c:numRef>
              <c:f>'POWER TRANSFER'!$R$28:$R$32</c:f>
            </c:numRef>
          </c:yVal>
          <c:smooth val="0"/>
          <c:extLst>
            <c:ext xmlns:c16="http://schemas.microsoft.com/office/drawing/2014/chart" uri="{C3380CC4-5D6E-409C-BE32-E72D297353CC}">
              <c16:uniqueId val="{00000008-696B-43F8-BC85-91482C97DB84}"/>
            </c:ext>
          </c:extLst>
        </c:ser>
        <c:ser>
          <c:idx val="5"/>
          <c:order val="5"/>
          <c:tx>
            <c:strRef>
              <c:f>'POWER TRANSFER'!$S$27</c:f>
              <c:strCache>
                <c:ptCount val="1"/>
                <c:pt idx="0">
                  <c:v>Max (5.5-V)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23444728783902014"/>
                  <c:y val="-5.042067658209390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'POWER TRANSFER'!$M$28:$M$32</c:f>
            </c:numRef>
          </c:xVal>
          <c:yVal>
            <c:numRef>
              <c:f>'POWER TRANSFER'!$S$28:$S$32</c:f>
            </c:numRef>
          </c:yVal>
          <c:smooth val="0"/>
          <c:extLst>
            <c:ext xmlns:c16="http://schemas.microsoft.com/office/drawing/2014/chart" uri="{C3380CC4-5D6E-409C-BE32-E72D297353CC}">
              <c16:uniqueId val="{00000009-696B-43F8-BC85-91482C97D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787647"/>
        <c:axId val="877531727"/>
      </c:scatterChart>
      <c:valAx>
        <c:axId val="919787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Temperature, °C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531727"/>
        <c:crosses val="autoZero"/>
        <c:crossBetween val="midCat"/>
      </c:valAx>
      <c:valAx>
        <c:axId val="877531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I</a:t>
                </a:r>
                <a:r>
                  <a:rPr lang="en-US" sz="1000" b="0" i="0" u="none" strike="noStrike" baseline="-25000">
                    <a:effectLst/>
                  </a:rPr>
                  <a:t>VDDP</a:t>
                </a:r>
                <a:r>
                  <a:rPr lang="en-US" baseline="0"/>
                  <a:t>, 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7876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hyperlink" Target="https://www.ti.com/legal/copyright.html" TargetMode="External"/><Relationship Id="rId4" Type="http://schemas.openxmlformats.org/officeDocument/2006/relationships/image" Target="../media/image4.svg"/><Relationship Id="rId9" Type="http://schemas.openxmlformats.org/officeDocument/2006/relationships/image" Target="../media/image9.jpg"/><Relationship Id="rId14" Type="http://schemas.openxmlformats.org/officeDocument/2006/relationships/image" Target="../media/image13.sv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461999</xdr:colOff>
      <xdr:row>6</xdr:row>
      <xdr:rowOff>114299</xdr:rowOff>
    </xdr:from>
    <xdr:to>
      <xdr:col>7</xdr:col>
      <xdr:colOff>596460</xdr:colOff>
      <xdr:row>10</xdr:row>
      <xdr:rowOff>118432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44B19058-7A78-42F7-8C89-C8AD1E0B1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24524" y="1257299"/>
          <a:ext cx="744061" cy="842333"/>
        </a:xfrm>
        <a:prstGeom prst="rect">
          <a:avLst/>
        </a:prstGeom>
      </xdr:spPr>
    </xdr:pic>
    <xdr:clientData/>
  </xdr:twoCellAnchor>
  <xdr:twoCellAnchor editAs="oneCell">
    <xdr:from>
      <xdr:col>4</xdr:col>
      <xdr:colOff>421499</xdr:colOff>
      <xdr:row>6</xdr:row>
      <xdr:rowOff>76200</xdr:rowOff>
    </xdr:from>
    <xdr:to>
      <xdr:col>6</xdr:col>
      <xdr:colOff>11022</xdr:colOff>
      <xdr:row>10</xdr:row>
      <xdr:rowOff>183659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AE9C14C-0322-4759-8496-E84E6DA92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164824" y="1219200"/>
          <a:ext cx="808723" cy="945659"/>
        </a:xfrm>
        <a:prstGeom prst="rect">
          <a:avLst/>
        </a:prstGeom>
      </xdr:spPr>
    </xdr:pic>
    <xdr:clientData/>
  </xdr:twoCellAnchor>
  <xdr:twoCellAnchor editAs="oneCell">
    <xdr:from>
      <xdr:col>10</xdr:col>
      <xdr:colOff>542925</xdr:colOff>
      <xdr:row>6</xdr:row>
      <xdr:rowOff>131546</xdr:rowOff>
    </xdr:from>
    <xdr:to>
      <xdr:col>11</xdr:col>
      <xdr:colOff>547725</xdr:colOff>
      <xdr:row>9</xdr:row>
      <xdr:rowOff>186701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FFF84B6E-6BD3-4830-8005-9A03144A8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943850" y="1274546"/>
          <a:ext cx="614400" cy="702855"/>
        </a:xfrm>
        <a:prstGeom prst="rect">
          <a:avLst/>
        </a:prstGeom>
      </xdr:spPr>
    </xdr:pic>
    <xdr:clientData/>
  </xdr:twoCellAnchor>
  <xdr:twoCellAnchor editAs="oneCell">
    <xdr:from>
      <xdr:col>8</xdr:col>
      <xdr:colOff>462000</xdr:colOff>
      <xdr:row>5</xdr:row>
      <xdr:rowOff>168837</xdr:rowOff>
    </xdr:from>
    <xdr:to>
      <xdr:col>10</xdr:col>
      <xdr:colOff>166724</xdr:colOff>
      <xdr:row>11</xdr:row>
      <xdr:rowOff>65227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002F70FC-0AA7-49F8-84F8-DFF9D9EB8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6643725" y="1121337"/>
          <a:ext cx="923924" cy="1115590"/>
        </a:xfrm>
        <a:prstGeom prst="rect">
          <a:avLst/>
        </a:prstGeom>
      </xdr:spPr>
    </xdr:pic>
    <xdr:clientData/>
  </xdr:twoCellAnchor>
  <xdr:oneCellAnchor>
    <xdr:from>
      <xdr:col>11</xdr:col>
      <xdr:colOff>61949</xdr:colOff>
      <xdr:row>5</xdr:row>
      <xdr:rowOff>66675</xdr:rowOff>
    </xdr:from>
    <xdr:ext cx="425437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178C8EA-C9F7-4A49-BF0A-A77191F8E4FA}"/>
            </a:ext>
          </a:extLst>
        </xdr:cNvPr>
        <xdr:cNvSpPr txBox="1"/>
      </xdr:nvSpPr>
      <xdr:spPr>
        <a:xfrm>
          <a:off x="8072474" y="1019175"/>
          <a:ext cx="42543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SCR</a:t>
          </a:r>
        </a:p>
      </xdr:txBody>
    </xdr:sp>
    <xdr:clientData/>
  </xdr:oneCellAnchor>
  <xdr:oneCellAnchor>
    <xdr:from>
      <xdr:col>9</xdr:col>
      <xdr:colOff>20155</xdr:colOff>
      <xdr:row>5</xdr:row>
      <xdr:rowOff>66675</xdr:rowOff>
    </xdr:from>
    <xdr:ext cx="563167" cy="28020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A928A84-581A-4D99-8DF2-ACAB0185D60A}"/>
            </a:ext>
          </a:extLst>
        </xdr:cNvPr>
        <xdr:cNvSpPr txBox="1"/>
      </xdr:nvSpPr>
      <xdr:spPr>
        <a:xfrm>
          <a:off x="6811480" y="1019175"/>
          <a:ext cx="563167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TRIAC</a:t>
          </a:r>
        </a:p>
      </xdr:txBody>
    </xdr:sp>
    <xdr:clientData/>
  </xdr:oneCellAnchor>
  <xdr:oneCellAnchor>
    <xdr:from>
      <xdr:col>4</xdr:col>
      <xdr:colOff>573291</xdr:colOff>
      <xdr:row>5</xdr:row>
      <xdr:rowOff>76200</xdr:rowOff>
    </xdr:from>
    <xdr:ext cx="717889" cy="280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1F89DA7-F531-4B83-873F-9048C8A8BC58}"/>
            </a:ext>
          </a:extLst>
        </xdr:cNvPr>
        <xdr:cNvSpPr txBox="1"/>
      </xdr:nvSpPr>
      <xdr:spPr>
        <a:xfrm>
          <a:off x="4316616" y="1028700"/>
          <a:ext cx="717889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MOSFET</a:t>
          </a:r>
        </a:p>
      </xdr:txBody>
    </xdr:sp>
    <xdr:clientData/>
  </xdr:oneCellAnchor>
  <xdr:oneCellAnchor>
    <xdr:from>
      <xdr:col>7</xdr:col>
      <xdr:colOff>71474</xdr:colOff>
      <xdr:row>5</xdr:row>
      <xdr:rowOff>76200</xdr:rowOff>
    </xdr:from>
    <xdr:ext cx="486159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B4ECDD3-1A1F-49E8-82A2-2A35F5C53C28}"/>
            </a:ext>
          </a:extLst>
        </xdr:cNvPr>
        <xdr:cNvSpPr txBox="1"/>
      </xdr:nvSpPr>
      <xdr:spPr>
        <a:xfrm>
          <a:off x="5643599" y="1028700"/>
          <a:ext cx="486159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IGBT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3</xdr:col>
      <xdr:colOff>1158688</xdr:colOff>
      <xdr:row>2</xdr:row>
      <xdr:rowOff>78526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8212D6D-B4E6-4F47-9B1B-631D4CC490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084" b="29166"/>
        <a:stretch/>
      </xdr:blipFill>
      <xdr:spPr>
        <a:xfrm>
          <a:off x="0" y="0"/>
          <a:ext cx="3025588" cy="459526"/>
        </a:xfrm>
        <a:prstGeom prst="rect">
          <a:avLst/>
        </a:prstGeom>
      </xdr:spPr>
    </xdr:pic>
    <xdr:clientData/>
  </xdr:twoCellAnchor>
  <xdr:twoCellAnchor>
    <xdr:from>
      <xdr:col>3</xdr:col>
      <xdr:colOff>1200150</xdr:colOff>
      <xdr:row>0</xdr:row>
      <xdr:rowOff>28575</xdr:rowOff>
    </xdr:from>
    <xdr:to>
      <xdr:col>9</xdr:col>
      <xdr:colOff>273050</xdr:colOff>
      <xdr:row>1</xdr:row>
      <xdr:rowOff>168275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9C5469B-30E8-49DA-9546-D29CCD3D014F}"/>
            </a:ext>
          </a:extLst>
        </xdr:cNvPr>
        <xdr:cNvSpPr txBox="1"/>
      </xdr:nvSpPr>
      <xdr:spPr>
        <a:xfrm>
          <a:off x="3067050" y="28575"/>
          <a:ext cx="3997325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u="sng">
              <a:solidFill>
                <a:schemeClr val="accent1"/>
              </a:solidFill>
              <a:latin typeface="+mj-lt"/>
            </a:rPr>
            <a:t>TPSI31xx</a:t>
          </a:r>
          <a:r>
            <a:rPr lang="en-US" sz="2000" b="1" u="sng" baseline="0">
              <a:solidFill>
                <a:schemeClr val="accent1"/>
              </a:solidFill>
              <a:latin typeface="+mj-lt"/>
            </a:rPr>
            <a:t> Device Calculator</a:t>
          </a:r>
          <a:endParaRPr lang="en-US" sz="2000" b="1" u="sng">
            <a:solidFill>
              <a:schemeClr val="accent1"/>
            </a:solidFill>
            <a:latin typeface="+mj-lt"/>
          </a:endParaRPr>
        </a:p>
      </xdr:txBody>
    </xdr:sp>
    <xdr:clientData/>
  </xdr:twoCellAnchor>
  <xdr:twoCellAnchor>
    <xdr:from>
      <xdr:col>10</xdr:col>
      <xdr:colOff>0</xdr:colOff>
      <xdr:row>1</xdr:row>
      <xdr:rowOff>47625</xdr:rowOff>
    </xdr:from>
    <xdr:to>
      <xdr:col>17</xdr:col>
      <xdr:colOff>247650</xdr:colOff>
      <xdr:row>2</xdr:row>
      <xdr:rowOff>79375</xdr:rowOff>
    </xdr:to>
    <xdr:sp macro="" textlink="">
      <xdr:nvSpPr>
        <xdr:cNvPr id="12" name="TextBox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48AD9D6-A31C-467E-BBCF-33B57299AE5D}"/>
            </a:ext>
          </a:extLst>
        </xdr:cNvPr>
        <xdr:cNvSpPr txBox="1"/>
      </xdr:nvSpPr>
      <xdr:spPr>
        <a:xfrm>
          <a:off x="7019925" y="238125"/>
          <a:ext cx="4514850" cy="22225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>
              <a:solidFill>
                <a:srgbClr val="0070C0"/>
              </a:solidFill>
            </a:rPr>
            <a:t>© Copyright 2024 </a:t>
          </a:r>
          <a:r>
            <a:rPr lang="en-US" sz="1100"/>
            <a:t>Texas Instruments Incorporated. All rights</a:t>
          </a:r>
          <a:r>
            <a:rPr lang="en-US" sz="1100" baseline="0"/>
            <a:t> reserved.</a:t>
          </a:r>
          <a:endParaRPr lang="en-US" sz="1100"/>
        </a:p>
      </xdr:txBody>
    </xdr:sp>
    <xdr:clientData/>
  </xdr:twoCellAnchor>
  <xdr:twoCellAnchor editAs="oneCell">
    <xdr:from>
      <xdr:col>4</xdr:col>
      <xdr:colOff>219074</xdr:colOff>
      <xdr:row>10</xdr:row>
      <xdr:rowOff>0</xdr:rowOff>
    </xdr:from>
    <xdr:to>
      <xdr:col>13</xdr:col>
      <xdr:colOff>45829</xdr:colOff>
      <xdr:row>26</xdr:row>
      <xdr:rowOff>0</xdr:rowOff>
    </xdr:to>
    <xdr:pic>
      <xdr:nvPicPr>
        <xdr:cNvPr id="14" name="Graphic 13">
          <a:extLst>
            <a:ext uri="{FF2B5EF4-FFF2-40B4-BE49-F238E27FC236}">
              <a16:creationId xmlns:a16="http://schemas.microsoft.com/office/drawing/2014/main" id="{4A6DBF44-548E-45A5-A64C-CC9A46658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5457824" y="2019300"/>
          <a:ext cx="5313155" cy="3524250"/>
        </a:xfrm>
        <a:prstGeom prst="rect">
          <a:avLst/>
        </a:prstGeom>
      </xdr:spPr>
    </xdr:pic>
    <xdr:clientData/>
  </xdr:twoCellAnchor>
  <xdr:twoCellAnchor editAs="oneCell">
    <xdr:from>
      <xdr:col>3</xdr:col>
      <xdr:colOff>3313155</xdr:colOff>
      <xdr:row>35</xdr:row>
      <xdr:rowOff>219076</xdr:rowOff>
    </xdr:from>
    <xdr:to>
      <xdr:col>17</xdr:col>
      <xdr:colOff>123825</xdr:colOff>
      <xdr:row>57</xdr:row>
      <xdr:rowOff>66676</xdr:rowOff>
    </xdr:to>
    <xdr:pic>
      <xdr:nvPicPr>
        <xdr:cNvPr id="15" name="Graphic 14">
          <a:extLst>
            <a:ext uri="{FF2B5EF4-FFF2-40B4-BE49-F238E27FC236}">
              <a16:creationId xmlns:a16="http://schemas.microsoft.com/office/drawing/2014/main" id="{EE72C609-04AB-4C14-A751-F973DE9E7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5180055" y="8201026"/>
          <a:ext cx="8402595" cy="342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8</xdr:row>
      <xdr:rowOff>147637</xdr:rowOff>
    </xdr:from>
    <xdr:to>
      <xdr:col>13</xdr:col>
      <xdr:colOff>457200</xdr:colOff>
      <xdr:row>23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8F1A7B-5002-4485-8731-268D604CC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576262</xdr:colOff>
      <xdr:row>9</xdr:row>
      <xdr:rowOff>33337</xdr:rowOff>
    </xdr:from>
    <xdr:to>
      <xdr:col>20</xdr:col>
      <xdr:colOff>138112</xdr:colOff>
      <xdr:row>23</xdr:row>
      <xdr:rowOff>71437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A329105-6E4B-4ADB-96A1-EC1FA1BC2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DEB2-5830-4134-80D0-11291E70F401}">
  <dimension ref="A1:R55"/>
  <sheetViews>
    <sheetView tabSelected="1" zoomScaleNormal="100" workbookViewId="0">
      <selection activeCell="B9" sqref="B9"/>
    </sheetView>
  </sheetViews>
  <sheetFormatPr defaultRowHeight="15" x14ac:dyDescent="0.25"/>
  <cols>
    <col min="1" max="1" width="9.85546875" bestFit="1" customWidth="1"/>
    <col min="2" max="2" width="14" bestFit="1" customWidth="1"/>
    <col min="3" max="3" width="4.140625" bestFit="1" customWidth="1"/>
    <col min="4" max="4" width="55" bestFit="1" customWidth="1"/>
    <col min="5" max="16" width="9.140625" style="3"/>
    <col min="18" max="18" width="12" bestFit="1" customWidth="1"/>
  </cols>
  <sheetData>
    <row r="1" spans="1:4" s="3" customFormat="1" x14ac:dyDescent="0.25"/>
    <row r="2" spans="1:4" s="3" customFormat="1" x14ac:dyDescent="0.25"/>
    <row r="3" spans="1:4" s="3" customFormat="1" x14ac:dyDescent="0.25"/>
    <row r="4" spans="1:4" s="2" customFormat="1" x14ac:dyDescent="0.25"/>
    <row r="5" spans="1:4" s="2" customFormat="1" x14ac:dyDescent="0.25"/>
    <row r="6" spans="1:4" x14ac:dyDescent="0.25">
      <c r="A6" s="13" t="s">
        <v>10</v>
      </c>
      <c r="B6" s="19" t="s">
        <v>119</v>
      </c>
      <c r="C6" s="1"/>
      <c r="D6" s="1" t="s">
        <v>117</v>
      </c>
    </row>
    <row r="7" spans="1:4" ht="18" x14ac:dyDescent="0.35">
      <c r="A7" s="13" t="s">
        <v>73</v>
      </c>
      <c r="B7" s="19">
        <v>25</v>
      </c>
      <c r="C7" s="1" t="s">
        <v>30</v>
      </c>
      <c r="D7" s="6" t="s">
        <v>31</v>
      </c>
    </row>
    <row r="8" spans="1:4" x14ac:dyDescent="0.25">
      <c r="A8" s="13" t="s">
        <v>7</v>
      </c>
      <c r="B8" s="20">
        <v>5</v>
      </c>
      <c r="C8" s="12" t="s">
        <v>35</v>
      </c>
      <c r="D8" s="1" t="s">
        <v>118</v>
      </c>
    </row>
    <row r="9" spans="1:4" ht="18" x14ac:dyDescent="0.35">
      <c r="A9" s="14" t="s">
        <v>74</v>
      </c>
      <c r="B9" s="21">
        <v>0</v>
      </c>
      <c r="C9" s="4" t="s">
        <v>48</v>
      </c>
      <c r="D9" s="4" t="str">
        <f>IF(IAUX&gt;5, "ERROR: IAUX &gt; 5 mA", "Auxiliary current from VDDM supply, Max = 5 mA")</f>
        <v>Auxiliary current from VDDM supply, Max = 5 mA</v>
      </c>
    </row>
    <row r="10" spans="1:4" x14ac:dyDescent="0.25">
      <c r="A10" s="35"/>
      <c r="B10" s="36"/>
      <c r="C10" s="10"/>
      <c r="D10" s="10"/>
    </row>
    <row r="11" spans="1:4" x14ac:dyDescent="0.25">
      <c r="A11" s="3"/>
      <c r="B11" s="3"/>
      <c r="C11" s="3"/>
      <c r="D11" s="3"/>
    </row>
    <row r="12" spans="1:4" ht="21" x14ac:dyDescent="0.35">
      <c r="A12" s="45" t="s">
        <v>40</v>
      </c>
      <c r="B12" s="45"/>
      <c r="C12" s="45"/>
      <c r="D12" s="45"/>
    </row>
    <row r="13" spans="1:4" ht="18" x14ac:dyDescent="0.35">
      <c r="A13" s="13" t="s">
        <v>76</v>
      </c>
      <c r="B13" s="19">
        <v>50</v>
      </c>
      <c r="C13" s="1" t="s">
        <v>12</v>
      </c>
      <c r="D13" s="1" t="str">
        <f>IF(QTOTAL&gt;3500, "ERROR: Qg &gt; 3500 nC", "Total gate charge of transistor(s)")</f>
        <v>Total gate charge of transistor(s)</v>
      </c>
    </row>
    <row r="14" spans="1:4" ht="51" x14ac:dyDescent="0.35">
      <c r="A14" s="14" t="s">
        <v>11</v>
      </c>
      <c r="B14" s="21" t="s">
        <v>126</v>
      </c>
      <c r="C14" s="4"/>
      <c r="D14" s="8" t="s">
        <v>20</v>
      </c>
    </row>
    <row r="15" spans="1:4" x14ac:dyDescent="0.25">
      <c r="A15" s="10"/>
      <c r="B15" s="10"/>
      <c r="C15" s="10"/>
      <c r="D15" s="11"/>
    </row>
    <row r="16" spans="1:4" ht="18.75" x14ac:dyDescent="0.3">
      <c r="A16" s="44" t="s">
        <v>41</v>
      </c>
      <c r="B16" s="44"/>
      <c r="C16" s="44"/>
      <c r="D16" s="44"/>
    </row>
    <row r="17" spans="1:18" x14ac:dyDescent="0.25">
      <c r="A17" s="1" t="s">
        <v>13</v>
      </c>
      <c r="B17" s="18">
        <v>3</v>
      </c>
      <c r="C17" s="1"/>
      <c r="D17" s="1" t="str">
        <f>IF(n&lt;3, "WARNING: Recommend n≥3", "CDIV2/CDIV1, Recommend n≥3")</f>
        <v>CDIV2/CDIV1, Recommend n≥3</v>
      </c>
    </row>
    <row r="18" spans="1:18" ht="18" x14ac:dyDescent="0.35">
      <c r="A18" s="1" t="s">
        <v>18</v>
      </c>
      <c r="B18" s="17">
        <v>0.5</v>
      </c>
      <c r="C18" s="1" t="s">
        <v>35</v>
      </c>
      <c r="D18" s="1" t="str">
        <f>IF(VDDHdroop&gt;(VDDH-VDDH_UV_F), "ERROR: Droop exceeds VDDH_UV_F = 10.9V", "Enter desired droop switching CLOAD. Recommend ≤ 0.5V")</f>
        <v>Enter desired droop switching CLOAD. Recommend ≤ 0.5V</v>
      </c>
    </row>
    <row r="19" spans="1:18" ht="18" x14ac:dyDescent="0.35">
      <c r="A19" s="1" t="s">
        <v>14</v>
      </c>
      <c r="B19" s="32">
        <f>CLOAD*(n+1)*(VDDH-VDDHdroop)/(n*VDDHdroop)</f>
        <v>129.41176470588235</v>
      </c>
      <c r="C19" s="1" t="s">
        <v>21</v>
      </c>
      <c r="D19" s="1" t="s">
        <v>122</v>
      </c>
    </row>
    <row r="20" spans="1:18" ht="18" x14ac:dyDescent="0.35">
      <c r="A20" s="1" t="s">
        <v>15</v>
      </c>
      <c r="B20" s="32">
        <f>n*CDIV1</f>
        <v>388.23529411764707</v>
      </c>
      <c r="C20" s="1" t="s">
        <v>21</v>
      </c>
      <c r="D20" s="1" t="s">
        <v>121</v>
      </c>
    </row>
    <row r="21" spans="1:18" ht="18" hidden="1" x14ac:dyDescent="0.35">
      <c r="A21" s="1" t="s">
        <v>17</v>
      </c>
      <c r="B21" s="32">
        <f>CDIV1*CDIV2/(CDIV1+CDIV2)</f>
        <v>97.058823529411768</v>
      </c>
      <c r="C21" s="1" t="s">
        <v>21</v>
      </c>
      <c r="D21" s="1" t="s">
        <v>125</v>
      </c>
    </row>
    <row r="22" spans="1:18" ht="18" hidden="1" x14ac:dyDescent="0.35">
      <c r="A22" s="1" t="s">
        <v>16</v>
      </c>
      <c r="B22" s="32">
        <f>QTOTAL/VDDH</f>
        <v>2.9411764705882355</v>
      </c>
      <c r="C22" s="1" t="s">
        <v>21</v>
      </c>
      <c r="D22" s="1" t="s">
        <v>120</v>
      </c>
    </row>
    <row r="23" spans="1:18" ht="18" x14ac:dyDescent="0.35">
      <c r="A23" s="1" t="s">
        <v>19</v>
      </c>
      <c r="B23" s="32">
        <f>VDDHdroop*CDIV1/(CDIV1+CDIV2)</f>
        <v>0.125</v>
      </c>
      <c r="C23" s="1" t="s">
        <v>35</v>
      </c>
      <c r="D23" s="1" t="s">
        <v>123</v>
      </c>
    </row>
    <row r="24" spans="1:18" ht="18" x14ac:dyDescent="0.35">
      <c r="A24" s="13" t="s">
        <v>75</v>
      </c>
      <c r="B24" s="31">
        <f>MIN(IF(B6="MOSFET / IGBT", (PMAX*10^-3-5*IAUX*10^-3)/VDDH/(QTOTAL*10^-9)*10^-3, 1000/(B48/((IOUT_MAX-IAUX)))), 100)</f>
        <v>51.550588235294107</v>
      </c>
      <c r="C24" s="1" t="s">
        <v>45</v>
      </c>
      <c r="D24" s="1" t="str">
        <f>IF(B24&lt;0, "ERROR", "Computed maximum EN switching frequency")</f>
        <v>Computed maximum EN switching frequency</v>
      </c>
    </row>
    <row r="25" spans="1:18" x14ac:dyDescent="0.25">
      <c r="A25" s="3"/>
      <c r="B25" s="3"/>
      <c r="C25" s="3"/>
      <c r="D25" s="3"/>
    </row>
    <row r="26" spans="1:18" ht="18.75" x14ac:dyDescent="0.3">
      <c r="A26" s="44" t="s">
        <v>42</v>
      </c>
      <c r="B26" s="44"/>
      <c r="C26" s="44"/>
      <c r="D26" s="44"/>
    </row>
    <row r="27" spans="1:18" ht="18" x14ac:dyDescent="0.35">
      <c r="A27" s="13" t="s">
        <v>77</v>
      </c>
      <c r="B27" s="19">
        <v>1000</v>
      </c>
      <c r="C27" s="1" t="s">
        <v>21</v>
      </c>
      <c r="D27" s="1" t="s">
        <v>98</v>
      </c>
    </row>
    <row r="28" spans="1:18" ht="18" x14ac:dyDescent="0.35">
      <c r="A28" s="13" t="s">
        <v>78</v>
      </c>
      <c r="B28" s="19">
        <v>3300</v>
      </c>
      <c r="C28" s="1" t="s">
        <v>21</v>
      </c>
      <c r="D28" s="1" t="s">
        <v>124</v>
      </c>
    </row>
    <row r="29" spans="1:18" x14ac:dyDescent="0.25">
      <c r="A29" s="13" t="s">
        <v>13</v>
      </c>
      <c r="B29" s="33">
        <f>B28/B27</f>
        <v>3.3</v>
      </c>
      <c r="C29" s="1"/>
      <c r="D29" s="1" t="str">
        <f>IF(B29&lt;3, "ERROR: Recommend n ≥ 3", "CDIV2/CDIV1, Min: 3")</f>
        <v>CDIV2/CDIV1, Min: 3</v>
      </c>
    </row>
    <row r="30" spans="1:18" ht="18" hidden="1" x14ac:dyDescent="0.35">
      <c r="A30" s="13" t="s">
        <v>79</v>
      </c>
      <c r="B30" s="34">
        <f>QTOTAL/VDDH</f>
        <v>2.9411764705882355</v>
      </c>
      <c r="C30" s="1" t="s">
        <v>21</v>
      </c>
      <c r="D30" s="1" t="s">
        <v>120</v>
      </c>
      <c r="R30">
        <f>VDDM-VDDM_UV_F</f>
        <v>1.2999999999999998</v>
      </c>
    </row>
    <row r="31" spans="1:18" ht="18" x14ac:dyDescent="0.35">
      <c r="A31" s="13" t="s">
        <v>80</v>
      </c>
      <c r="B31" s="34">
        <f>B27*B28/(B27+B28)</f>
        <v>767.44186046511629</v>
      </c>
      <c r="C31" s="1" t="s">
        <v>21</v>
      </c>
      <c r="D31" s="1" t="s">
        <v>116</v>
      </c>
    </row>
    <row r="32" spans="1:18" ht="18" x14ac:dyDescent="0.35">
      <c r="A32" s="13" t="s">
        <v>81</v>
      </c>
      <c r="B32" s="34">
        <f>B30/(B31+B30)*VDDH</f>
        <v>6.4902779010920716E-2</v>
      </c>
      <c r="C32" s="1" t="s">
        <v>35</v>
      </c>
      <c r="D32" s="1" t="str">
        <f>IF(B32&gt;(VDDH-VDDH_UV_F), "ERROR: Droop exceeds VDDH_UV_F", "Computed VDDH droop switching CLOAD, Recommend ≤ 0.5")</f>
        <v>Computed VDDH droop switching CLOAD, Recommend ≤ 0.5</v>
      </c>
    </row>
    <row r="33" spans="1:4" ht="18" x14ac:dyDescent="0.35">
      <c r="A33" s="13" t="s">
        <v>82</v>
      </c>
      <c r="B33" s="34">
        <f>VDDHdroop*B27/(B27+B28)</f>
        <v>0.11627906976744186</v>
      </c>
      <c r="C33" s="1" t="s">
        <v>35</v>
      </c>
      <c r="D33" s="1" t="str">
        <f>IF(B33&gt;(VDDM-VDDM_UV_F), "ERROR: VDDM droop exceeds VDDM_UV_F", "Computed VDDM droop switching CLOAD")</f>
        <v>Computed VDDM droop switching CLOAD</v>
      </c>
    </row>
    <row r="34" spans="1:4" ht="18" x14ac:dyDescent="0.35">
      <c r="A34" s="42" t="s">
        <v>75</v>
      </c>
      <c r="B34" s="43">
        <f>MIN(IF(B6="MOSFET / IGBT", (PMAX*10^-3-5*IAUX*10^-3)/VDDH/(QTOTAL*10^-9)*10^-3, 1000/(B48/((IOUT_MAX-IAUX)))), 100)</f>
        <v>51.550588235294107</v>
      </c>
      <c r="C34" s="41" t="s">
        <v>45</v>
      </c>
      <c r="D34" s="41" t="str">
        <f>IF(B34&lt;0, "ERROR", "Computed maximum EN switching frequency")</f>
        <v>Computed maximum EN switching frequency</v>
      </c>
    </row>
    <row r="35" spans="1:4" x14ac:dyDescent="0.25">
      <c r="A35" s="9"/>
      <c r="B35" s="9"/>
      <c r="C35" s="9"/>
      <c r="D35" s="9"/>
    </row>
    <row r="36" spans="1:4" ht="21" x14ac:dyDescent="0.35">
      <c r="A36" s="45" t="s">
        <v>46</v>
      </c>
      <c r="B36" s="45"/>
      <c r="C36" s="45"/>
      <c r="D36" s="45"/>
    </row>
    <row r="37" spans="1:4" ht="18" x14ac:dyDescent="0.35">
      <c r="A37" s="16" t="s">
        <v>83</v>
      </c>
      <c r="B37" s="22">
        <v>1.2</v>
      </c>
      <c r="C37" s="5" t="s">
        <v>35</v>
      </c>
      <c r="D37" s="5" t="s">
        <v>99</v>
      </c>
    </row>
    <row r="38" spans="1:4" ht="18" x14ac:dyDescent="0.35">
      <c r="A38" s="15" t="s">
        <v>84</v>
      </c>
      <c r="B38" s="20">
        <v>250</v>
      </c>
      <c r="C38" s="7" t="s">
        <v>47</v>
      </c>
      <c r="D38" s="1" t="s">
        <v>100</v>
      </c>
    </row>
    <row r="39" spans="1:4" ht="18" x14ac:dyDescent="0.35">
      <c r="A39" s="13" t="s">
        <v>85</v>
      </c>
      <c r="B39" s="20">
        <v>80</v>
      </c>
      <c r="C39" s="1" t="s">
        <v>48</v>
      </c>
      <c r="D39" s="1" t="s">
        <v>101</v>
      </c>
    </row>
    <row r="40" spans="1:4" ht="18" x14ac:dyDescent="0.35">
      <c r="A40" s="13" t="s">
        <v>86</v>
      </c>
      <c r="B40" s="20">
        <v>3</v>
      </c>
      <c r="C40" s="1" t="s">
        <v>49</v>
      </c>
      <c r="D40" s="1" t="s">
        <v>102</v>
      </c>
    </row>
    <row r="41" spans="1:4" x14ac:dyDescent="0.25">
      <c r="A41" s="13" t="s">
        <v>13</v>
      </c>
      <c r="B41" s="20">
        <v>3</v>
      </c>
      <c r="C41" s="1"/>
      <c r="D41" s="1" t="s">
        <v>103</v>
      </c>
    </row>
    <row r="42" spans="1:4" ht="18" x14ac:dyDescent="0.35">
      <c r="A42" s="13" t="s">
        <v>81</v>
      </c>
      <c r="B42" s="20">
        <v>1</v>
      </c>
      <c r="C42" s="1" t="s">
        <v>35</v>
      </c>
      <c r="D42" s="1" t="s">
        <v>104</v>
      </c>
    </row>
    <row r="43" spans="1:4" ht="18" x14ac:dyDescent="0.35">
      <c r="A43" s="13" t="s">
        <v>87</v>
      </c>
      <c r="B43" s="17">
        <v>15</v>
      </c>
      <c r="C43" s="1" t="s">
        <v>49</v>
      </c>
      <c r="D43" s="1" t="s">
        <v>105</v>
      </c>
    </row>
    <row r="44" spans="1:4" ht="18" hidden="1" x14ac:dyDescent="0.35">
      <c r="A44" s="13" t="s">
        <v>88</v>
      </c>
      <c r="B44" s="32">
        <f>MAX(tGT+3.5,5)</f>
        <v>6.5</v>
      </c>
      <c r="C44" s="1" t="s">
        <v>49</v>
      </c>
      <c r="D44" s="1" t="s">
        <v>106</v>
      </c>
    </row>
    <row r="45" spans="1:4" ht="18" hidden="1" x14ac:dyDescent="0.35">
      <c r="A45" s="13" t="s">
        <v>89</v>
      </c>
      <c r="B45" s="32">
        <f>(VDDH_UV_F-VGT)/RLIMIT*1000</f>
        <v>41.2</v>
      </c>
      <c r="C45" s="1" t="s">
        <v>48</v>
      </c>
      <c r="D45" s="1" t="s">
        <v>107</v>
      </c>
    </row>
    <row r="46" spans="1:4" ht="18" hidden="1" x14ac:dyDescent="0.35">
      <c r="A46" s="13" t="s">
        <v>94</v>
      </c>
      <c r="B46" s="32">
        <f>(VDDH_UV_F-VGT-B42)/RLIMIT*1000</f>
        <v>37.200000000000003</v>
      </c>
      <c r="C46" s="1" t="s">
        <v>48</v>
      </c>
      <c r="D46" s="1" t="s">
        <v>108</v>
      </c>
    </row>
    <row r="47" spans="1:4" ht="18" x14ac:dyDescent="0.35">
      <c r="A47" s="13" t="s">
        <v>90</v>
      </c>
      <c r="B47" s="32">
        <f>AVERAGE(B45,B46)</f>
        <v>39.200000000000003</v>
      </c>
      <c r="C47" s="1" t="s">
        <v>48</v>
      </c>
      <c r="D47" s="1" t="s">
        <v>109</v>
      </c>
    </row>
    <row r="48" spans="1:4" ht="18" hidden="1" x14ac:dyDescent="0.35">
      <c r="A48" s="13" t="s">
        <v>97</v>
      </c>
      <c r="B48" s="32">
        <f>B47*B43</f>
        <v>588</v>
      </c>
      <c r="C48" s="1" t="s">
        <v>12</v>
      </c>
      <c r="D48" s="1" t="s">
        <v>112</v>
      </c>
    </row>
    <row r="49" spans="1:4" ht="18" hidden="1" x14ac:dyDescent="0.35">
      <c r="A49" s="13" t="s">
        <v>96</v>
      </c>
      <c r="B49" s="32">
        <f>(IOUT_MAX-IAUX)*'USER INPUT'!B43</f>
        <v>38.662941176470582</v>
      </c>
      <c r="C49" s="1" t="s">
        <v>12</v>
      </c>
      <c r="D49" s="1" t="s">
        <v>110</v>
      </c>
    </row>
    <row r="50" spans="1:4" ht="18" x14ac:dyDescent="0.35">
      <c r="A50" s="13" t="s">
        <v>95</v>
      </c>
      <c r="B50" s="32">
        <f>B48-B49</f>
        <v>549.33705882352945</v>
      </c>
      <c r="C50" s="1" t="s">
        <v>12</v>
      </c>
      <c r="D50" s="1" t="s">
        <v>111</v>
      </c>
    </row>
    <row r="51" spans="1:4" ht="18" x14ac:dyDescent="0.35">
      <c r="A51" s="13" t="s">
        <v>91</v>
      </c>
      <c r="B51" s="32">
        <f>B50*(B41+1)/B41/B42</f>
        <v>732.44941176470593</v>
      </c>
      <c r="C51" s="1" t="s">
        <v>21</v>
      </c>
      <c r="D51" s="1" t="s">
        <v>113</v>
      </c>
    </row>
    <row r="52" spans="1:4" ht="18" x14ac:dyDescent="0.35">
      <c r="A52" s="13" t="s">
        <v>92</v>
      </c>
      <c r="B52" s="32">
        <f>B41*B51</f>
        <v>2197.3482352941178</v>
      </c>
      <c r="C52" s="1" t="s">
        <v>21</v>
      </c>
      <c r="D52" s="1" t="s">
        <v>114</v>
      </c>
    </row>
    <row r="53" spans="1:4" ht="18" hidden="1" x14ac:dyDescent="0.35">
      <c r="A53" s="13" t="s">
        <v>80</v>
      </c>
      <c r="B53" s="32">
        <f>B51*B52/(B51+B52)</f>
        <v>549.33705882352945</v>
      </c>
      <c r="C53" s="1" t="s">
        <v>21</v>
      </c>
      <c r="D53" s="1" t="s">
        <v>116</v>
      </c>
    </row>
    <row r="54" spans="1:4" ht="18" x14ac:dyDescent="0.35">
      <c r="A54" s="13" t="s">
        <v>82</v>
      </c>
      <c r="B54" s="32">
        <f>B51/(B52+B51)*B42</f>
        <v>0.25</v>
      </c>
      <c r="C54" s="1" t="s">
        <v>35</v>
      </c>
      <c r="D54" s="1" t="s">
        <v>115</v>
      </c>
    </row>
    <row r="55" spans="1:4" ht="18" x14ac:dyDescent="0.35">
      <c r="A55" s="13" t="s">
        <v>75</v>
      </c>
      <c r="B55" s="31">
        <f>MIN(IF(B6="MOSFET / IGBT", (PMAX*10^-3-5*IAUX*10^-3)/VDDH/(QTOTAL*10^-9)*10^-3, 1000/(B48/((IOUT_MAX-IAUX)))), 100)</f>
        <v>51.550588235294107</v>
      </c>
      <c r="C55" s="1" t="s">
        <v>45</v>
      </c>
      <c r="D55" s="1" t="str">
        <f>IF(B55&lt;0, "ERROR", "Computed maximum EN switching frequency")</f>
        <v>Computed maximum EN switching frequency</v>
      </c>
    </row>
  </sheetData>
  <sheetProtection algorithmName="SHA-512" hashValue="CZnNwM6iyfbVGD0R8d9AoXZBvarfm556z8sySJqS1qZlj42T+dvBeuvEnso1srgLjKuuSQbRxIcJEYc1VJSgvA==" saltValue="myBbjzTzo6/bfK6wMunS4g==" spinCount="100000" sheet="1" formatCells="0" selectLockedCells="1"/>
  <mergeCells count="4">
    <mergeCell ref="A16:D16"/>
    <mergeCell ref="A26:D26"/>
    <mergeCell ref="A12:D12"/>
    <mergeCell ref="A36:D36"/>
  </mergeCells>
  <conditionalFormatting sqref="A26:D34 A35:C35">
    <cfRule type="expression" dxfId="20" priority="8">
      <formula>$B$14="Solve"</formula>
    </cfRule>
  </conditionalFormatting>
  <conditionalFormatting sqref="A16:D24">
    <cfRule type="expression" dxfId="19" priority="10">
      <formula>$B$14="Input"</formula>
    </cfRule>
  </conditionalFormatting>
  <conditionalFormatting sqref="C38">
    <cfRule type="expression" dxfId="18" priority="28">
      <formula>$B$7="F"</formula>
    </cfRule>
  </conditionalFormatting>
  <conditionalFormatting sqref="C40">
    <cfRule type="expression" dxfId="17" priority="26">
      <formula>$B$7="F"</formula>
    </cfRule>
  </conditionalFormatting>
  <conditionalFormatting sqref="C40">
    <cfRule type="expression" dxfId="16" priority="27">
      <formula>$B$7="F"</formula>
    </cfRule>
  </conditionalFormatting>
  <conditionalFormatting sqref="C43">
    <cfRule type="expression" dxfId="15" priority="24">
      <formula>$B$7="F"</formula>
    </cfRule>
  </conditionalFormatting>
  <conditionalFormatting sqref="C43">
    <cfRule type="expression" dxfId="14" priority="25">
      <formula>$B$7="F"</formula>
    </cfRule>
  </conditionalFormatting>
  <conditionalFormatting sqref="A36:D55">
    <cfRule type="expression" dxfId="13" priority="23">
      <formula>$B$6="MOSFET / IGBT"</formula>
    </cfRule>
  </conditionalFormatting>
  <conditionalFormatting sqref="A12:D24 A25:D34">
    <cfRule type="expression" dxfId="12" priority="7">
      <formula>$B$6="TRIAC / SCR"</formula>
    </cfRule>
  </conditionalFormatting>
  <conditionalFormatting sqref="A17:D17">
    <cfRule type="expression" dxfId="11" priority="22">
      <formula>$D$17="WARNING: Recommend n≥3"</formula>
    </cfRule>
  </conditionalFormatting>
  <conditionalFormatting sqref="A18:D18">
    <cfRule type="expression" dxfId="10" priority="20">
      <formula>$D$18="ERROR: Droop exceeds VDDH_UV_F = 10.9V"</formula>
    </cfRule>
    <cfRule type="expression" dxfId="9" priority="29">
      <formula>$B$18&gt;0.5</formula>
    </cfRule>
  </conditionalFormatting>
  <conditionalFormatting sqref="A29:D29">
    <cfRule type="expression" dxfId="8" priority="31">
      <formula>$D$29="ERROR: Recommend n ≥ 3"</formula>
    </cfRule>
  </conditionalFormatting>
  <conditionalFormatting sqref="A32:D32">
    <cfRule type="expression" dxfId="7" priority="18">
      <formula>$D$32="ERROR: Droop exceeds VDDH_UV_F"</formula>
    </cfRule>
    <cfRule type="expression" dxfId="6" priority="9">
      <formula>$B$32&gt;0.5</formula>
    </cfRule>
  </conditionalFormatting>
  <conditionalFormatting sqref="A33:D33">
    <cfRule type="expression" dxfId="5" priority="17">
      <formula>$D$33="ERROR: VDDM droop exceeds VDDM_UV_F"</formula>
    </cfRule>
  </conditionalFormatting>
  <conditionalFormatting sqref="A9:D9">
    <cfRule type="expression" dxfId="4" priority="5">
      <formula>$D$9="ERROR: IAUX &gt; 5 mA"</formula>
    </cfRule>
  </conditionalFormatting>
  <conditionalFormatting sqref="A13:D13">
    <cfRule type="expression" dxfId="3" priority="4">
      <formula>$B$13&gt;3500</formula>
    </cfRule>
  </conditionalFormatting>
  <conditionalFormatting sqref="A34:D34">
    <cfRule type="expression" dxfId="2" priority="3">
      <formula>$B$34&lt;0</formula>
    </cfRule>
  </conditionalFormatting>
  <conditionalFormatting sqref="A24:D24">
    <cfRule type="expression" dxfId="1" priority="2">
      <formula>$B$24&lt;0</formula>
    </cfRule>
  </conditionalFormatting>
  <conditionalFormatting sqref="A55:D55">
    <cfRule type="expression" dxfId="0" priority="1">
      <formula>$B$55&lt;0</formula>
    </cfRule>
  </conditionalFormatting>
  <dataValidations count="3">
    <dataValidation type="list" allowBlank="1" showInputMessage="1" showErrorMessage="1" sqref="B6" xr:uid="{15A9133F-8CBC-46FB-AB9C-BE95503845FF}">
      <formula1>"MOSFET / IGBT, TRIAC / SCR"</formula1>
    </dataValidation>
    <dataValidation type="list" allowBlank="1" showInputMessage="1" showErrorMessage="1" sqref="B8" xr:uid="{C687A3C9-9466-40D2-B186-EEE3277E9874}">
      <formula1>"4.5, 5.0, 5.5"</formula1>
    </dataValidation>
    <dataValidation type="list" allowBlank="1" showInputMessage="1" showErrorMessage="1" sqref="B14:B15" xr:uid="{A2502E66-59E4-41C2-B0CF-19659FC7D9BF}">
      <formula1>"Solve, Input"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70224-5C67-4897-ADA2-4A0F3D7FD258}">
  <dimension ref="A2:AJ85"/>
  <sheetViews>
    <sheetView zoomScaleNormal="100" workbookViewId="0">
      <selection activeCell="G4" sqref="G4"/>
    </sheetView>
  </sheetViews>
  <sheetFormatPr defaultRowHeight="15" x14ac:dyDescent="0.25"/>
  <cols>
    <col min="1" max="1" width="12.28515625" bestFit="1" customWidth="1"/>
    <col min="2" max="2" width="12" bestFit="1" customWidth="1"/>
    <col min="3" max="3" width="8.28515625" bestFit="1" customWidth="1"/>
    <col min="4" max="4" width="9.5703125" bestFit="1" customWidth="1"/>
    <col min="5" max="5" width="8.28515625" bestFit="1" customWidth="1"/>
    <col min="6" max="6" width="8.5703125" bestFit="1" customWidth="1"/>
    <col min="7" max="7" width="10.42578125" bestFit="1" customWidth="1"/>
    <col min="8" max="8" width="11.28515625" bestFit="1" customWidth="1"/>
    <col min="9" max="9" width="11.5703125" bestFit="1" customWidth="1"/>
    <col min="10" max="10" width="12" bestFit="1" customWidth="1"/>
    <col min="11" max="11" width="11.5703125" bestFit="1" customWidth="1"/>
    <col min="14" max="14" width="10.85546875" bestFit="1" customWidth="1"/>
    <col min="15" max="15" width="11.140625" bestFit="1" customWidth="1"/>
    <col min="16" max="16" width="10.85546875" bestFit="1" customWidth="1"/>
    <col min="17" max="17" width="11.140625" bestFit="1" customWidth="1"/>
    <col min="18" max="18" width="10.85546875" bestFit="1" customWidth="1"/>
    <col min="19" max="19" width="11.140625" bestFit="1" customWidth="1"/>
    <col min="21" max="21" width="10.5703125" bestFit="1" customWidth="1"/>
    <col min="22" max="22" width="9.7109375" bestFit="1" customWidth="1"/>
    <col min="27" max="27" width="10.5703125" bestFit="1" customWidth="1"/>
    <col min="32" max="32" width="10.5703125" bestFit="1" customWidth="1"/>
  </cols>
  <sheetData>
    <row r="2" spans="1:10" ht="18" x14ac:dyDescent="0.35">
      <c r="A2" s="37" t="s">
        <v>0</v>
      </c>
      <c r="B2" s="37" t="s">
        <v>64</v>
      </c>
      <c r="C2" s="37" t="s">
        <v>65</v>
      </c>
      <c r="D2" s="37" t="s">
        <v>66</v>
      </c>
      <c r="E2" s="37" t="s">
        <v>67</v>
      </c>
      <c r="F2" s="37" t="s">
        <v>68</v>
      </c>
      <c r="G2" s="37" t="s">
        <v>69</v>
      </c>
      <c r="H2" s="37" t="s">
        <v>70</v>
      </c>
      <c r="I2" s="37" t="s">
        <v>71</v>
      </c>
      <c r="J2" s="37" t="s">
        <v>72</v>
      </c>
    </row>
    <row r="3" spans="1:10" x14ac:dyDescent="0.25">
      <c r="A3" s="37" t="s">
        <v>3</v>
      </c>
      <c r="B3" s="38">
        <f>_xlfn.IFS(V31=TRUE, Z29, AB31=TRUE, AE29, AG31=TRUE, AJ29)</f>
        <v>5.8769</v>
      </c>
      <c r="C3" s="38">
        <f>B3*VDDP_INPUT</f>
        <v>29.384499999999999</v>
      </c>
      <c r="D3" s="38">
        <f>MIN_COEFF3*USER_TA^3+MIN_COEFF2*USER_TA^2+MIN_COEFF1*USER_TA+MIN_COEFF0-IAUX*VDDM</f>
        <v>4.7345999999999995</v>
      </c>
      <c r="E3" s="39">
        <f>D3/VDDH</f>
        <v>0.27850588235294116</v>
      </c>
      <c r="F3" s="38">
        <f>CTOTAL*VDDH_UV_R/E3</f>
        <v>4948.6757065010779</v>
      </c>
      <c r="G3" s="38">
        <f>CTOTAL*VDDHdroop/E3</f>
        <v>174.24914459510836</v>
      </c>
      <c r="H3" s="38">
        <f>MIN(1/(G3*10^-3), 100)</f>
        <v>5.7389090909090905</v>
      </c>
      <c r="I3" s="38">
        <f>MIN(1/(G3*10^-3), 2000)</f>
        <v>5.7389090909090905</v>
      </c>
      <c r="J3" s="38">
        <f>MIN(D3/5, 10)</f>
        <v>0.94691999999999987</v>
      </c>
    </row>
    <row r="4" spans="1:10" x14ac:dyDescent="0.25">
      <c r="A4" s="37" t="s">
        <v>1</v>
      </c>
      <c r="B4" s="40" t="s">
        <v>93</v>
      </c>
      <c r="C4" s="40" t="s">
        <v>93</v>
      </c>
      <c r="D4" s="38">
        <f>MID_COEFF3*USER_TA^3+MID_COEFF2*USER_TA^2+MID_COEFF1*USER_TA+MID_COEFF0-IAUX*VDDM</f>
        <v>20.192499999999999</v>
      </c>
      <c r="E4" s="39">
        <f>D4/VDDH</f>
        <v>1.1877941176470588</v>
      </c>
      <c r="F4" s="38">
        <f>CTOTAL*VDDH_UV_R/E4</f>
        <v>1160.3318063637489</v>
      </c>
      <c r="G4" s="38">
        <f>CTOTAL*VDDHdroop/E4</f>
        <v>40.856753745202433</v>
      </c>
      <c r="H4" s="38">
        <f t="shared" ref="H4:H5" si="0">MIN(1/(G4*10^-3), 100)</f>
        <v>24.475757575757573</v>
      </c>
      <c r="I4" s="38">
        <f t="shared" ref="I4:I5" si="1">MIN(1/(G4*10^-3), 2000)</f>
        <v>24.475757575757573</v>
      </c>
      <c r="J4" s="38">
        <f t="shared" ref="J4:J5" si="2">MIN(D4/5, 10)</f>
        <v>4.0385</v>
      </c>
    </row>
    <row r="5" spans="1:10" x14ac:dyDescent="0.25">
      <c r="A5" s="37" t="s">
        <v>4</v>
      </c>
      <c r="B5" s="38">
        <f>_xlfn.IFS(V31=TRUE, Z30, AB31=TRUE, AE30, AG31=TRUE, AJ30)</f>
        <v>35.271999999999998</v>
      </c>
      <c r="C5" s="38">
        <f>B5*VDDP_INPUT</f>
        <v>176.35999999999999</v>
      </c>
      <c r="D5" s="38">
        <f>MAX_COEFF3*USER_TA^3+MAX_COEFF2*USER_TA^2+MAX_COEFF1*USER_TA+MAX_COEFF0-IAUX*VDDM</f>
        <v>43.817999999999998</v>
      </c>
      <c r="E5" s="39">
        <f>D5/VDDH</f>
        <v>2.5775294117647056</v>
      </c>
      <c r="F5" s="38">
        <f>CTOTAL*VDDH_UV_R/E5</f>
        <v>534.71176228947013</v>
      </c>
      <c r="G5" s="38">
        <f>CTOTAL*VDDHdroop/E5</f>
        <v>18.827878953854583</v>
      </c>
      <c r="H5" s="38">
        <f t="shared" si="0"/>
        <v>53.112727272727263</v>
      </c>
      <c r="I5" s="38">
        <f t="shared" si="1"/>
        <v>53.112727272727263</v>
      </c>
      <c r="J5" s="38">
        <f t="shared" si="2"/>
        <v>8.7636000000000003</v>
      </c>
    </row>
    <row r="7" spans="1:10" s="24" customFormat="1" ht="18" hidden="1" x14ac:dyDescent="0.35">
      <c r="A7" s="23"/>
      <c r="B7" s="47" t="s">
        <v>5</v>
      </c>
      <c r="C7" s="47"/>
      <c r="D7" s="47"/>
    </row>
    <row r="8" spans="1:10" s="24" customFormat="1" hidden="1" x14ac:dyDescent="0.25">
      <c r="A8" s="23" t="s">
        <v>6</v>
      </c>
      <c r="B8" s="23" t="s">
        <v>3</v>
      </c>
      <c r="C8" s="23" t="s">
        <v>1</v>
      </c>
      <c r="D8" s="23" t="s">
        <v>4</v>
      </c>
    </row>
    <row r="9" spans="1:10" s="24" customFormat="1" hidden="1" x14ac:dyDescent="0.25">
      <c r="A9" s="23">
        <f>-40</f>
        <v>-40</v>
      </c>
      <c r="B9" s="25">
        <v>1.3029999999999999</v>
      </c>
      <c r="C9" s="25">
        <v>19.07</v>
      </c>
      <c r="D9" s="25">
        <v>49.981000000000002</v>
      </c>
    </row>
    <row r="10" spans="1:10" s="24" customFormat="1" hidden="1" x14ac:dyDescent="0.25">
      <c r="A10" s="23">
        <f>25</f>
        <v>25</v>
      </c>
      <c r="B10" s="25">
        <v>5.3579999999999997</v>
      </c>
      <c r="C10" s="25">
        <v>20.704999999999998</v>
      </c>
      <c r="D10" s="25">
        <v>43.841000000000001</v>
      </c>
    </row>
    <row r="11" spans="1:10" s="24" customFormat="1" hidden="1" x14ac:dyDescent="0.25">
      <c r="A11" s="23">
        <f>85</f>
        <v>85</v>
      </c>
      <c r="B11" s="25">
        <v>4.6680000000000001</v>
      </c>
      <c r="C11" s="25">
        <v>18.263999999999999</v>
      </c>
      <c r="D11" s="25">
        <v>42.207000000000001</v>
      </c>
    </row>
    <row r="12" spans="1:10" s="24" customFormat="1" hidden="1" x14ac:dyDescent="0.25">
      <c r="A12" s="23">
        <f>105</f>
        <v>105</v>
      </c>
      <c r="B12" s="25">
        <v>4.423</v>
      </c>
      <c r="C12" s="25">
        <v>17.422000000000001</v>
      </c>
      <c r="D12" s="25">
        <v>40.906999999999996</v>
      </c>
    </row>
    <row r="13" spans="1:10" s="24" customFormat="1" hidden="1" x14ac:dyDescent="0.25">
      <c r="A13" s="23">
        <f>150</f>
        <v>150</v>
      </c>
      <c r="B13" s="25">
        <v>3.032</v>
      </c>
      <c r="C13" s="25">
        <v>14.571</v>
      </c>
      <c r="D13" s="25">
        <v>32.999000000000002</v>
      </c>
    </row>
    <row r="14" spans="1:10" s="24" customFormat="1" hidden="1" x14ac:dyDescent="0.25"/>
    <row r="15" spans="1:10" s="24" customFormat="1" ht="18" hidden="1" x14ac:dyDescent="0.35">
      <c r="A15" s="23"/>
      <c r="B15" s="47" t="s">
        <v>32</v>
      </c>
      <c r="C15" s="47"/>
      <c r="D15" s="47"/>
      <c r="E15" s="47"/>
    </row>
    <row r="16" spans="1:10" s="24" customFormat="1" hidden="1" x14ac:dyDescent="0.25">
      <c r="A16" s="23" t="s">
        <v>22</v>
      </c>
      <c r="B16" s="23" t="s">
        <v>26</v>
      </c>
      <c r="C16" s="23" t="s">
        <v>27</v>
      </c>
      <c r="D16" s="23" t="s">
        <v>28</v>
      </c>
      <c r="E16" s="23" t="s">
        <v>29</v>
      </c>
    </row>
    <row r="17" spans="1:36" s="24" customFormat="1" hidden="1" x14ac:dyDescent="0.25">
      <c r="A17" s="23" t="s">
        <v>25</v>
      </c>
      <c r="B17" s="26">
        <f>-0.000008</f>
        <v>-7.9999999999999996E-6</v>
      </c>
      <c r="C17" s="25">
        <f>0.0011</f>
        <v>1.1000000000000001E-3</v>
      </c>
      <c r="D17" s="25">
        <f>-0.0687</f>
        <v>-6.8699999999999997E-2</v>
      </c>
      <c r="E17" s="25">
        <f>44.973</f>
        <v>44.972999999999999</v>
      </c>
    </row>
    <row r="18" spans="1:36" s="24" customFormat="1" hidden="1" x14ac:dyDescent="0.25">
      <c r="A18" s="23" t="s">
        <v>24</v>
      </c>
      <c r="B18" s="26">
        <f>0</f>
        <v>0</v>
      </c>
      <c r="C18" s="25">
        <f>-0.0003</f>
        <v>-2.9999999999999997E-4</v>
      </c>
      <c r="D18" s="25">
        <f>0.0096</f>
        <v>9.5999999999999992E-3</v>
      </c>
      <c r="E18" s="25">
        <f>20.14</f>
        <v>20.14</v>
      </c>
    </row>
    <row r="19" spans="1:36" s="24" customFormat="1" hidden="1" x14ac:dyDescent="0.25">
      <c r="A19" s="23" t="s">
        <v>23</v>
      </c>
      <c r="B19" s="26">
        <f>0</f>
        <v>0</v>
      </c>
      <c r="C19" s="25">
        <f>-0.0003</f>
        <v>-2.9999999999999997E-4</v>
      </c>
      <c r="D19" s="25">
        <f>0.044</f>
        <v>4.3999999999999997E-2</v>
      </c>
      <c r="E19" s="25">
        <f>3.8221</f>
        <v>3.8220999999999998</v>
      </c>
    </row>
    <row r="20" spans="1:36" s="24" customFormat="1" hidden="1" x14ac:dyDescent="0.25"/>
    <row r="21" spans="1:36" s="24" customFormat="1" hidden="1" x14ac:dyDescent="0.25">
      <c r="A21" s="27" t="s">
        <v>33</v>
      </c>
      <c r="B21" s="24">
        <f>17</f>
        <v>17</v>
      </c>
      <c r="C21" s="24" t="s">
        <v>35</v>
      </c>
    </row>
    <row r="22" spans="1:36" s="24" customFormat="1" hidden="1" x14ac:dyDescent="0.25">
      <c r="A22" s="27" t="s">
        <v>36</v>
      </c>
      <c r="B22" s="24">
        <f>14.2</f>
        <v>14.2</v>
      </c>
      <c r="C22" s="24" t="s">
        <v>35</v>
      </c>
    </row>
    <row r="23" spans="1:36" s="24" customFormat="1" hidden="1" x14ac:dyDescent="0.25">
      <c r="A23" s="27" t="s">
        <v>37</v>
      </c>
      <c r="B23" s="24">
        <f>11.5</f>
        <v>11.5</v>
      </c>
      <c r="C23" s="24" t="s">
        <v>35</v>
      </c>
    </row>
    <row r="24" spans="1:36" s="24" customFormat="1" hidden="1" x14ac:dyDescent="0.25">
      <c r="A24" s="27" t="s">
        <v>34</v>
      </c>
      <c r="B24" s="24">
        <f>5</f>
        <v>5</v>
      </c>
      <c r="C24" s="24" t="s">
        <v>35</v>
      </c>
    </row>
    <row r="25" spans="1:36" s="24" customFormat="1" hidden="1" x14ac:dyDescent="0.25">
      <c r="A25" s="27" t="s">
        <v>38</v>
      </c>
      <c r="B25" s="24">
        <f>3.9</f>
        <v>3.9</v>
      </c>
      <c r="C25" s="24" t="s">
        <v>35</v>
      </c>
    </row>
    <row r="26" spans="1:36" s="24" customFormat="1" ht="18" hidden="1" x14ac:dyDescent="0.35">
      <c r="A26" s="27" t="s">
        <v>39</v>
      </c>
      <c r="B26" s="24">
        <f>3.7</f>
        <v>3.7</v>
      </c>
      <c r="C26" s="24" t="s">
        <v>35</v>
      </c>
      <c r="G26" s="28" t="s">
        <v>6</v>
      </c>
      <c r="H26" s="24" t="s">
        <v>8</v>
      </c>
      <c r="I26" s="24" t="s">
        <v>0</v>
      </c>
      <c r="J26" s="24" t="s">
        <v>9</v>
      </c>
      <c r="M26" s="23"/>
      <c r="N26" s="48" t="s">
        <v>50</v>
      </c>
      <c r="O26" s="49"/>
      <c r="P26" s="48" t="s">
        <v>51</v>
      </c>
      <c r="Q26" s="49"/>
      <c r="R26" s="48" t="s">
        <v>52</v>
      </c>
      <c r="S26" s="49"/>
      <c r="U26" s="29"/>
      <c r="V26" s="47" t="s">
        <v>59</v>
      </c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</row>
    <row r="27" spans="1:36" s="24" customFormat="1" hidden="1" x14ac:dyDescent="0.25">
      <c r="G27" s="24">
        <v>-40</v>
      </c>
      <c r="H27" s="24">
        <v>4.5</v>
      </c>
      <c r="I27" s="24" t="s">
        <v>3</v>
      </c>
      <c r="J27" s="24">
        <f>5.549</f>
        <v>5.5490000000000004</v>
      </c>
      <c r="M27" s="23" t="s">
        <v>6</v>
      </c>
      <c r="N27" s="23" t="s">
        <v>53</v>
      </c>
      <c r="O27" s="23" t="s">
        <v>54</v>
      </c>
      <c r="P27" s="23" t="s">
        <v>55</v>
      </c>
      <c r="Q27" s="23" t="s">
        <v>56</v>
      </c>
      <c r="R27" s="23" t="s">
        <v>57</v>
      </c>
      <c r="S27" s="23" t="s">
        <v>58</v>
      </c>
      <c r="U27" s="29"/>
      <c r="V27" s="46" t="s">
        <v>50</v>
      </c>
      <c r="W27" s="46"/>
      <c r="X27" s="46"/>
      <c r="Y27" s="46"/>
      <c r="Z27" s="46"/>
      <c r="AA27" s="46" t="s">
        <v>51</v>
      </c>
      <c r="AB27" s="46"/>
      <c r="AC27" s="46"/>
      <c r="AD27" s="46"/>
      <c r="AE27" s="46"/>
      <c r="AF27" s="46" t="s">
        <v>52</v>
      </c>
      <c r="AG27" s="46"/>
      <c r="AH27" s="46"/>
      <c r="AI27" s="46"/>
      <c r="AJ27" s="46"/>
    </row>
    <row r="28" spans="1:36" s="24" customFormat="1" ht="18" hidden="1" x14ac:dyDescent="0.35">
      <c r="A28" s="27" t="s">
        <v>43</v>
      </c>
      <c r="B28" s="24">
        <f>CDIV1*CDIV2/(CDIV1+CDIV1)*VDDH</f>
        <v>3300</v>
      </c>
      <c r="I28" s="24" t="s">
        <v>1</v>
      </c>
      <c r="M28" s="23">
        <f>-40</f>
        <v>-40</v>
      </c>
      <c r="N28" s="25">
        <f>J27</f>
        <v>5.5490000000000004</v>
      </c>
      <c r="O28" s="25">
        <f>J29</f>
        <v>35.436999999999998</v>
      </c>
      <c r="P28" s="25">
        <f>J30</f>
        <v>5.899</v>
      </c>
      <c r="Q28" s="25">
        <f>J32</f>
        <v>32.991</v>
      </c>
      <c r="R28" s="25">
        <f>J33</f>
        <v>6.2569999999999997</v>
      </c>
      <c r="S28" s="25">
        <f>J35</f>
        <v>30.631</v>
      </c>
      <c r="U28" s="29"/>
      <c r="V28" s="29" t="s">
        <v>26</v>
      </c>
      <c r="W28" s="29" t="s">
        <v>27</v>
      </c>
      <c r="X28" s="29" t="s">
        <v>28</v>
      </c>
      <c r="Y28" s="29" t="s">
        <v>29</v>
      </c>
      <c r="Z28" s="29" t="s">
        <v>2</v>
      </c>
      <c r="AA28" s="29" t="s">
        <v>26</v>
      </c>
      <c r="AB28" s="29" t="s">
        <v>27</v>
      </c>
      <c r="AC28" s="29" t="s">
        <v>28</v>
      </c>
      <c r="AD28" s="29" t="s">
        <v>29</v>
      </c>
      <c r="AE28" s="29" t="s">
        <v>2</v>
      </c>
      <c r="AF28" s="29" t="s">
        <v>26</v>
      </c>
      <c r="AG28" s="29" t="s">
        <v>27</v>
      </c>
      <c r="AH28" s="29" t="s">
        <v>28</v>
      </c>
      <c r="AI28" s="29" t="s">
        <v>29</v>
      </c>
      <c r="AJ28" s="29" t="s">
        <v>2</v>
      </c>
    </row>
    <row r="29" spans="1:36" s="24" customFormat="1" ht="18" hidden="1" x14ac:dyDescent="0.35">
      <c r="A29" s="27" t="s">
        <v>44</v>
      </c>
      <c r="B29" s="24">
        <f>QTOTAL/VDDH</f>
        <v>2.9411764705882355</v>
      </c>
      <c r="I29" s="24" t="s">
        <v>4</v>
      </c>
      <c r="J29" s="24">
        <f>35.437</f>
        <v>35.436999999999998</v>
      </c>
      <c r="M29" s="23">
        <f>25</f>
        <v>25</v>
      </c>
      <c r="N29" s="25">
        <f>J36</f>
        <v>5.4260000000000002</v>
      </c>
      <c r="O29" s="25">
        <f>J38</f>
        <v>39.67</v>
      </c>
      <c r="P29" s="25">
        <f>J39</f>
        <v>5.84</v>
      </c>
      <c r="Q29" s="25">
        <f>J41</f>
        <v>34.497999999999998</v>
      </c>
      <c r="R29" s="25">
        <f>J42</f>
        <v>6.242</v>
      </c>
      <c r="S29" s="25">
        <f>J44</f>
        <v>34.530999999999999</v>
      </c>
      <c r="U29" s="29" t="s">
        <v>3</v>
      </c>
      <c r="V29" s="25">
        <f>0</f>
        <v>0</v>
      </c>
      <c r="W29" s="25">
        <f>0</f>
        <v>0</v>
      </c>
      <c r="X29" s="25">
        <f>0.0003</f>
        <v>2.9999999999999997E-4</v>
      </c>
      <c r="Y29" s="25">
        <f>5.4882</f>
        <v>5.4882</v>
      </c>
      <c r="Z29" s="30" t="str">
        <f>IF(VDDP_INPUT=4.5, V29*(USER_TA)^3+W29*(USER_TA)^2+X29*USER_TA+Y29, "N/A")</f>
        <v>N/A</v>
      </c>
      <c r="AA29" s="25">
        <f>0</f>
        <v>0</v>
      </c>
      <c r="AB29" s="25">
        <f>0</f>
        <v>0</v>
      </c>
      <c r="AC29" s="25">
        <f>0.0004</f>
        <v>4.0000000000000002E-4</v>
      </c>
      <c r="AD29" s="25">
        <f>5.8669</f>
        <v>5.8669000000000002</v>
      </c>
      <c r="AE29" s="30">
        <f>IF(VDDP_INPUT=5, AA29*(USER_TA)^3+AB29*(USER_TA)^2+AC29*USER_TA+AD29, "N/A")</f>
        <v>5.8769</v>
      </c>
      <c r="AF29" s="25">
        <f>0</f>
        <v>0</v>
      </c>
      <c r="AG29" s="25">
        <f>0</f>
        <v>0</v>
      </c>
      <c r="AH29" s="25">
        <f>0.0009</f>
        <v>8.9999999999999998E-4</v>
      </c>
      <c r="AI29" s="25">
        <f>6.2493</f>
        <v>6.2492999999999999</v>
      </c>
      <c r="AJ29" s="30" t="str">
        <f>IF(VDDP_INPUT=5.5, AF29*(USER_TA)^3+AG29*(USER_TA)^2+AH29*USER_TA+AI29, "N/A")</f>
        <v>N/A</v>
      </c>
    </row>
    <row r="30" spans="1:36" s="24" customFormat="1" hidden="1" x14ac:dyDescent="0.25">
      <c r="A30" s="27" t="s">
        <v>60</v>
      </c>
      <c r="B30" s="24">
        <f>VDDP_INPUT</f>
        <v>5</v>
      </c>
      <c r="H30" s="24">
        <v>5</v>
      </c>
      <c r="I30" s="24" t="s">
        <v>3</v>
      </c>
      <c r="J30" s="24">
        <f>5.899</f>
        <v>5.899</v>
      </c>
      <c r="M30" s="23">
        <f>85</f>
        <v>85</v>
      </c>
      <c r="N30" s="25">
        <f>J45</f>
        <v>5.4539999999999997</v>
      </c>
      <c r="O30" s="25">
        <f>J47</f>
        <v>42.286999999999999</v>
      </c>
      <c r="P30" s="25">
        <f>J48</f>
        <v>5.851</v>
      </c>
      <c r="Q30" s="25">
        <f>J50</f>
        <v>39.834000000000003</v>
      </c>
      <c r="R30" s="25">
        <f>J51</f>
        <v>6.2770000000000001</v>
      </c>
      <c r="S30" s="25">
        <f>J53</f>
        <v>36.798999999999999</v>
      </c>
      <c r="U30" s="29" t="s">
        <v>4</v>
      </c>
      <c r="V30" s="25">
        <f>-0.000008</f>
        <v>-7.9999999999999996E-6</v>
      </c>
      <c r="W30" s="25">
        <f>0.0005</f>
        <v>5.0000000000000001E-4</v>
      </c>
      <c r="X30" s="25">
        <f>0.0789</f>
        <v>7.8899999999999998E-2</v>
      </c>
      <c r="Y30" s="25">
        <f>37.343</f>
        <v>37.343000000000004</v>
      </c>
      <c r="Z30" s="30" t="str">
        <f>IF(VDDP_INPUT=4.5, V30*(USER_TA)^3+W30*(USER_TA)^2+X30*USER_TA+Y30, "N/A")</f>
        <v>N/A</v>
      </c>
      <c r="AA30" s="25">
        <f>0</f>
        <v>0</v>
      </c>
      <c r="AB30" s="25">
        <f>0.0003</f>
        <v>2.9999999999999997E-4</v>
      </c>
      <c r="AC30" s="25">
        <f>0.0445</f>
        <v>4.4499999999999998E-2</v>
      </c>
      <c r="AD30" s="25">
        <f>33.972</f>
        <v>33.972000000000001</v>
      </c>
      <c r="AE30" s="30">
        <f>IF(VDDP_INPUT=5, AA30*(USER_TA)^3+AB30*(USER_TA)^2+AC30*USER_TA+AD30, "N/A")</f>
        <v>35.271999999999998</v>
      </c>
      <c r="AF30" s="25">
        <f>-0.000008</f>
        <v>-7.9999999999999996E-6</v>
      </c>
      <c r="AG30" s="25">
        <f>-0.0009</f>
        <v>-8.9999999999999998E-4</v>
      </c>
      <c r="AH30" s="25">
        <f>0.0407</f>
        <v>4.07E-2</v>
      </c>
      <c r="AI30" s="25">
        <f>34.138</f>
        <v>34.137999999999998</v>
      </c>
      <c r="AJ30" s="30" t="str">
        <f>IF(VDDP_INPUT=5.5, AF30*(USER_TA)^3+AG30*(USER_TA)^2+AH30*USER_TA+AI30, "N/A")</f>
        <v>N/A</v>
      </c>
    </row>
    <row r="31" spans="1:36" s="24" customFormat="1" hidden="1" x14ac:dyDescent="0.25">
      <c r="I31" s="24" t="s">
        <v>1</v>
      </c>
      <c r="M31" s="23">
        <f>105</f>
        <v>105</v>
      </c>
      <c r="N31" s="25">
        <f>J54</f>
        <v>5.4930000000000003</v>
      </c>
      <c r="O31" s="25">
        <f>J56</f>
        <v>42.862000000000002</v>
      </c>
      <c r="P31" s="25">
        <f>J57</f>
        <v>5.8860000000000001</v>
      </c>
      <c r="Q31" s="25">
        <f>J59</f>
        <v>43.335000000000001</v>
      </c>
      <c r="R31" s="25">
        <f>J60</f>
        <v>6.3120000000000003</v>
      </c>
      <c r="S31" s="25">
        <f>J62</f>
        <v>37</v>
      </c>
      <c r="U31" s="29" t="s">
        <v>62</v>
      </c>
      <c r="V31" s="25" t="b">
        <f>IF(VDDP_INPUT = 4.5, TRUE, FALSE)</f>
        <v>0</v>
      </c>
      <c r="AA31" s="29" t="s">
        <v>63</v>
      </c>
      <c r="AB31" s="25" t="b">
        <f>IF(VDDP_INPUT = 5, TRUE, FALSE)</f>
        <v>1</v>
      </c>
      <c r="AF31" s="29" t="s">
        <v>63</v>
      </c>
      <c r="AG31" s="25" t="b">
        <f>IF(VDDP_INPUT = 5.5, TRUE, FALSE)</f>
        <v>0</v>
      </c>
    </row>
    <row r="32" spans="1:36" s="24" customFormat="1" hidden="1" x14ac:dyDescent="0.25">
      <c r="I32" s="24" t="s">
        <v>4</v>
      </c>
      <c r="J32" s="24">
        <f>32.991</f>
        <v>32.991</v>
      </c>
      <c r="M32" s="23">
        <f>150</f>
        <v>150</v>
      </c>
      <c r="N32" s="25">
        <f>J63</f>
        <v>5.6180000000000003</v>
      </c>
      <c r="O32" s="25">
        <f>J65</f>
        <v>34.463000000000001</v>
      </c>
      <c r="P32" s="25">
        <f>J66</f>
        <v>6.0030000000000001</v>
      </c>
      <c r="Q32" s="25">
        <f>J68</f>
        <v>47.201000000000001</v>
      </c>
      <c r="R32" s="25">
        <f>J69</f>
        <v>6.45</v>
      </c>
      <c r="S32" s="25">
        <f>J71</f>
        <v>46.869</v>
      </c>
    </row>
    <row r="33" spans="7:26" s="24" customFormat="1" hidden="1" x14ac:dyDescent="0.25">
      <c r="H33" s="24">
        <v>5.5</v>
      </c>
      <c r="I33" s="24" t="s">
        <v>3</v>
      </c>
      <c r="J33" s="24">
        <v>6.2569999999999997</v>
      </c>
    </row>
    <row r="34" spans="7:26" s="24" customFormat="1" hidden="1" x14ac:dyDescent="0.25">
      <c r="I34" s="24" t="s">
        <v>1</v>
      </c>
      <c r="Z34" s="24" t="s">
        <v>61</v>
      </c>
    </row>
    <row r="35" spans="7:26" s="24" customFormat="1" hidden="1" x14ac:dyDescent="0.25">
      <c r="I35" s="24" t="s">
        <v>4</v>
      </c>
      <c r="J35" s="24">
        <f>30.631</f>
        <v>30.631</v>
      </c>
    </row>
    <row r="36" spans="7:26" s="24" customFormat="1" hidden="1" x14ac:dyDescent="0.25">
      <c r="G36" s="24">
        <v>25</v>
      </c>
      <c r="H36" s="24">
        <v>4.5</v>
      </c>
      <c r="I36" s="24" t="s">
        <v>3</v>
      </c>
      <c r="J36" s="24">
        <f>5.426</f>
        <v>5.4260000000000002</v>
      </c>
    </row>
    <row r="37" spans="7:26" s="24" customFormat="1" hidden="1" x14ac:dyDescent="0.25">
      <c r="I37" s="24" t="s">
        <v>1</v>
      </c>
    </row>
    <row r="38" spans="7:26" s="24" customFormat="1" hidden="1" x14ac:dyDescent="0.25">
      <c r="I38" s="24" t="s">
        <v>4</v>
      </c>
      <c r="J38" s="24">
        <f>39.67</f>
        <v>39.67</v>
      </c>
    </row>
    <row r="39" spans="7:26" s="24" customFormat="1" hidden="1" x14ac:dyDescent="0.25">
      <c r="H39" s="24">
        <v>5</v>
      </c>
      <c r="I39" s="24" t="s">
        <v>3</v>
      </c>
      <c r="J39" s="24">
        <f>5.84</f>
        <v>5.84</v>
      </c>
    </row>
    <row r="40" spans="7:26" s="24" customFormat="1" hidden="1" x14ac:dyDescent="0.25">
      <c r="I40" s="24" t="s">
        <v>1</v>
      </c>
    </row>
    <row r="41" spans="7:26" s="24" customFormat="1" hidden="1" x14ac:dyDescent="0.25">
      <c r="I41" s="24" t="s">
        <v>4</v>
      </c>
      <c r="J41" s="24">
        <f>34.498</f>
        <v>34.497999999999998</v>
      </c>
    </row>
    <row r="42" spans="7:26" s="24" customFormat="1" hidden="1" x14ac:dyDescent="0.25">
      <c r="H42" s="24">
        <v>5.5</v>
      </c>
      <c r="I42" s="24" t="s">
        <v>3</v>
      </c>
      <c r="J42" s="24">
        <f>6.242</f>
        <v>6.242</v>
      </c>
    </row>
    <row r="43" spans="7:26" s="24" customFormat="1" hidden="1" x14ac:dyDescent="0.25">
      <c r="I43" s="24" t="s">
        <v>1</v>
      </c>
    </row>
    <row r="44" spans="7:26" s="24" customFormat="1" hidden="1" x14ac:dyDescent="0.25">
      <c r="I44" s="24" t="s">
        <v>4</v>
      </c>
      <c r="J44" s="24">
        <f>34.531</f>
        <v>34.530999999999999</v>
      </c>
    </row>
    <row r="45" spans="7:26" s="24" customFormat="1" hidden="1" x14ac:dyDescent="0.25">
      <c r="G45" s="24">
        <v>85</v>
      </c>
      <c r="H45" s="24">
        <v>4.5</v>
      </c>
      <c r="I45" s="24" t="s">
        <v>3</v>
      </c>
      <c r="J45" s="24">
        <f>5.454</f>
        <v>5.4539999999999997</v>
      </c>
    </row>
    <row r="46" spans="7:26" s="24" customFormat="1" hidden="1" x14ac:dyDescent="0.25">
      <c r="I46" s="24" t="s">
        <v>1</v>
      </c>
    </row>
    <row r="47" spans="7:26" s="24" customFormat="1" hidden="1" x14ac:dyDescent="0.25">
      <c r="I47" s="24" t="s">
        <v>4</v>
      </c>
      <c r="J47" s="24">
        <f>42.287</f>
        <v>42.286999999999999</v>
      </c>
    </row>
    <row r="48" spans="7:26" s="24" customFormat="1" hidden="1" x14ac:dyDescent="0.25">
      <c r="H48" s="24">
        <v>5</v>
      </c>
      <c r="I48" s="24" t="s">
        <v>3</v>
      </c>
      <c r="J48" s="24">
        <f>5.851</f>
        <v>5.851</v>
      </c>
    </row>
    <row r="49" spans="7:10" s="24" customFormat="1" hidden="1" x14ac:dyDescent="0.25">
      <c r="I49" s="24" t="s">
        <v>1</v>
      </c>
    </row>
    <row r="50" spans="7:10" s="24" customFormat="1" hidden="1" x14ac:dyDescent="0.25">
      <c r="I50" s="24" t="s">
        <v>4</v>
      </c>
      <c r="J50" s="24">
        <f>39.834</f>
        <v>39.834000000000003</v>
      </c>
    </row>
    <row r="51" spans="7:10" s="24" customFormat="1" hidden="1" x14ac:dyDescent="0.25">
      <c r="H51" s="24">
        <v>5.5</v>
      </c>
      <c r="I51" s="24" t="s">
        <v>3</v>
      </c>
      <c r="J51" s="24">
        <f>6.277</f>
        <v>6.2770000000000001</v>
      </c>
    </row>
    <row r="52" spans="7:10" s="24" customFormat="1" hidden="1" x14ac:dyDescent="0.25">
      <c r="I52" s="24" t="s">
        <v>1</v>
      </c>
    </row>
    <row r="53" spans="7:10" s="24" customFormat="1" hidden="1" x14ac:dyDescent="0.25">
      <c r="I53" s="24" t="s">
        <v>4</v>
      </c>
      <c r="J53" s="24">
        <f>36.799</f>
        <v>36.798999999999999</v>
      </c>
    </row>
    <row r="54" spans="7:10" s="24" customFormat="1" hidden="1" x14ac:dyDescent="0.25">
      <c r="G54" s="24">
        <v>105</v>
      </c>
      <c r="H54" s="24">
        <v>4.5</v>
      </c>
      <c r="I54" s="24" t="s">
        <v>3</v>
      </c>
      <c r="J54" s="24">
        <f>5.493</f>
        <v>5.4930000000000003</v>
      </c>
    </row>
    <row r="55" spans="7:10" s="24" customFormat="1" hidden="1" x14ac:dyDescent="0.25">
      <c r="I55" s="24" t="s">
        <v>1</v>
      </c>
    </row>
    <row r="56" spans="7:10" s="24" customFormat="1" hidden="1" x14ac:dyDescent="0.25">
      <c r="I56" s="24" t="s">
        <v>4</v>
      </c>
      <c r="J56" s="24">
        <f>42.862</f>
        <v>42.862000000000002</v>
      </c>
    </row>
    <row r="57" spans="7:10" s="24" customFormat="1" hidden="1" x14ac:dyDescent="0.25">
      <c r="H57" s="24">
        <v>5</v>
      </c>
      <c r="I57" s="24" t="s">
        <v>3</v>
      </c>
      <c r="J57" s="24">
        <f>5.886</f>
        <v>5.8860000000000001</v>
      </c>
    </row>
    <row r="58" spans="7:10" s="24" customFormat="1" hidden="1" x14ac:dyDescent="0.25">
      <c r="I58" s="24" t="s">
        <v>1</v>
      </c>
    </row>
    <row r="59" spans="7:10" s="24" customFormat="1" hidden="1" x14ac:dyDescent="0.25">
      <c r="I59" s="24" t="s">
        <v>4</v>
      </c>
      <c r="J59" s="24">
        <f>43.335</f>
        <v>43.335000000000001</v>
      </c>
    </row>
    <row r="60" spans="7:10" s="24" customFormat="1" hidden="1" x14ac:dyDescent="0.25">
      <c r="H60" s="24">
        <v>5.5</v>
      </c>
      <c r="I60" s="24" t="s">
        <v>3</v>
      </c>
      <c r="J60" s="24">
        <f>6.312</f>
        <v>6.3120000000000003</v>
      </c>
    </row>
    <row r="61" spans="7:10" s="24" customFormat="1" hidden="1" x14ac:dyDescent="0.25">
      <c r="I61" s="24" t="s">
        <v>1</v>
      </c>
    </row>
    <row r="62" spans="7:10" s="24" customFormat="1" hidden="1" x14ac:dyDescent="0.25">
      <c r="I62" s="24" t="s">
        <v>4</v>
      </c>
      <c r="J62" s="24">
        <f>37</f>
        <v>37</v>
      </c>
    </row>
    <row r="63" spans="7:10" s="24" customFormat="1" hidden="1" x14ac:dyDescent="0.25">
      <c r="G63" s="24">
        <v>150</v>
      </c>
      <c r="H63" s="24">
        <v>4.5</v>
      </c>
      <c r="I63" s="24" t="s">
        <v>3</v>
      </c>
      <c r="J63" s="24">
        <f>5.618</f>
        <v>5.6180000000000003</v>
      </c>
    </row>
    <row r="64" spans="7:10" s="24" customFormat="1" hidden="1" x14ac:dyDescent="0.25">
      <c r="I64" s="24" t="s">
        <v>1</v>
      </c>
    </row>
    <row r="65" spans="8:10" s="24" customFormat="1" hidden="1" x14ac:dyDescent="0.25">
      <c r="I65" s="24" t="s">
        <v>4</v>
      </c>
      <c r="J65" s="24">
        <f>34.463</f>
        <v>34.463000000000001</v>
      </c>
    </row>
    <row r="66" spans="8:10" s="24" customFormat="1" hidden="1" x14ac:dyDescent="0.25">
      <c r="H66" s="24">
        <v>5</v>
      </c>
      <c r="I66" s="24" t="s">
        <v>3</v>
      </c>
      <c r="J66" s="24">
        <f>6.003</f>
        <v>6.0030000000000001</v>
      </c>
    </row>
    <row r="67" spans="8:10" s="24" customFormat="1" hidden="1" x14ac:dyDescent="0.25">
      <c r="I67" s="24" t="s">
        <v>1</v>
      </c>
    </row>
    <row r="68" spans="8:10" s="24" customFormat="1" hidden="1" x14ac:dyDescent="0.25">
      <c r="I68" s="24" t="s">
        <v>4</v>
      </c>
      <c r="J68" s="24">
        <f>47.201</f>
        <v>47.201000000000001</v>
      </c>
    </row>
    <row r="69" spans="8:10" s="24" customFormat="1" hidden="1" x14ac:dyDescent="0.25">
      <c r="H69" s="24">
        <v>5.5</v>
      </c>
      <c r="I69" s="24" t="s">
        <v>3</v>
      </c>
      <c r="J69" s="24">
        <v>6.45</v>
      </c>
    </row>
    <row r="70" spans="8:10" s="24" customFormat="1" hidden="1" x14ac:dyDescent="0.25">
      <c r="I70" s="24" t="s">
        <v>1</v>
      </c>
    </row>
    <row r="71" spans="8:10" s="24" customFormat="1" hidden="1" x14ac:dyDescent="0.25">
      <c r="I71" s="24" t="s">
        <v>4</v>
      </c>
      <c r="J71" s="24">
        <f>46.869</f>
        <v>46.869</v>
      </c>
    </row>
    <row r="72" spans="8:10" s="24" customFormat="1" hidden="1" x14ac:dyDescent="0.25"/>
    <row r="73" spans="8:10" s="24" customFormat="1" x14ac:dyDescent="0.25"/>
    <row r="85" spans="4:4" x14ac:dyDescent="0.25">
      <c r="D85" t="s">
        <v>61</v>
      </c>
    </row>
  </sheetData>
  <sheetProtection algorithmName="SHA-512" hashValue="c+eV9uBZUIoHSzI80WgNizKJSdmkoOD3JPmqLj7wQkUxPeD3Lq3PqNI53TyPsKqhdO1fmRE7KwN+ZJzYre/QdQ==" saltValue="hQsar4scDED6BLsy37gMaA==" spinCount="100000" sheet="1" objects="1" scenarios="1"/>
  <mergeCells count="9">
    <mergeCell ref="V27:Z27"/>
    <mergeCell ref="AA27:AE27"/>
    <mergeCell ref="AF27:AJ27"/>
    <mergeCell ref="V26:AJ26"/>
    <mergeCell ref="B7:D7"/>
    <mergeCell ref="B15:E15"/>
    <mergeCell ref="N26:O26"/>
    <mergeCell ref="P26:Q26"/>
    <mergeCell ref="R26:S26"/>
  </mergeCells>
  <conditionalFormatting sqref="V31">
    <cfRule type="expression" dxfId="23" priority="3">
      <formula>$V$31=TRUE</formula>
    </cfRule>
  </conditionalFormatting>
  <conditionalFormatting sqref="AB31">
    <cfRule type="expression" dxfId="22" priority="2">
      <formula>$AB$31=TRUE</formula>
    </cfRule>
  </conditionalFormatting>
  <conditionalFormatting sqref="AG31">
    <cfRule type="expression" dxfId="21" priority="1">
      <formula>$AG$31=TRUE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06F3CB73AF6B478E7943C3878F38C1" ma:contentTypeVersion="8" ma:contentTypeDescription="Create a new document." ma:contentTypeScope="" ma:versionID="2adc4913688f24c6b8804f18638180b6">
  <xsd:schema xmlns:xsd="http://www.w3.org/2001/XMLSchema" xmlns:xs="http://www.w3.org/2001/XMLSchema" xmlns:p="http://schemas.microsoft.com/office/2006/metadata/properties" xmlns:ns2="c90102c6-3607-4c7b-a693-725dd9334289" targetNamespace="http://schemas.microsoft.com/office/2006/metadata/properties" ma:root="true" ma:fieldsID="67203f6bec615421447162ed19848eae" ns2:_="">
    <xsd:import namespace="c90102c6-3607-4c7b-a693-725dd933428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02c6-3607-4c7b-a693-725dd9334289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D621C960-9315-4A31-ADD1-70016EAB2D42}">
  <ds:schemaRefs>
    <ds:schemaRef ds:uri="c90102c6-3607-4c7b-a693-725dd9334289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B2D6D1-D5DB-4D4D-9B19-AF9C23F7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102c6-3607-4c7b-a693-725dd93342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BD63D7-D835-4D77-98D1-F74ED7328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34</vt:i4>
      </vt:variant>
    </vt:vector>
  </HeadingPairs>
  <TitlesOfParts>
    <vt:vector size="36" baseType="lpstr">
      <vt:lpstr>USER INPUT</vt:lpstr>
      <vt:lpstr>POWER TRANSFER</vt:lpstr>
      <vt:lpstr>CDIV1</vt:lpstr>
      <vt:lpstr>CDIV2</vt:lpstr>
      <vt:lpstr>CLOAD</vt:lpstr>
      <vt:lpstr>CTOTAL</vt:lpstr>
      <vt:lpstr>IAUX</vt:lpstr>
      <vt:lpstr>IGT</vt:lpstr>
      <vt:lpstr>IOUT_MAX</vt:lpstr>
      <vt:lpstr>MAX_COEFF0</vt:lpstr>
      <vt:lpstr>MAX_COEFF1</vt:lpstr>
      <vt:lpstr>MAX_COEFF2</vt:lpstr>
      <vt:lpstr>MAX_COEFF3</vt:lpstr>
      <vt:lpstr>MID_COEFF0</vt:lpstr>
      <vt:lpstr>MID_COEFF1</vt:lpstr>
      <vt:lpstr>MID_COEFF2</vt:lpstr>
      <vt:lpstr>MID_COEFF3</vt:lpstr>
      <vt:lpstr>MIN_COEFF0</vt:lpstr>
      <vt:lpstr>MIN_COEFF1</vt:lpstr>
      <vt:lpstr>MIN_COEFF2</vt:lpstr>
      <vt:lpstr>MIN_COEFF3</vt:lpstr>
      <vt:lpstr>n</vt:lpstr>
      <vt:lpstr>PMAX</vt:lpstr>
      <vt:lpstr>QTOTAL</vt:lpstr>
      <vt:lpstr>RLIMIT</vt:lpstr>
      <vt:lpstr>tGT</vt:lpstr>
      <vt:lpstr>USER_TA</vt:lpstr>
      <vt:lpstr>VDDH</vt:lpstr>
      <vt:lpstr>VDDH_UV_F</vt:lpstr>
      <vt:lpstr>VDDH_UV_R</vt:lpstr>
      <vt:lpstr>VDDHdroop</vt:lpstr>
      <vt:lpstr>VDDM</vt:lpstr>
      <vt:lpstr>VDDM_UV_F</vt:lpstr>
      <vt:lpstr>VDDM_UV_R</vt:lpstr>
      <vt:lpstr>VDDP_INPUT</vt:lpstr>
      <vt:lpstr>VGT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Tilden Chen</dc:creator>
  <cp:lastModifiedBy>Tilden Chen</cp:lastModifiedBy>
  <dcterms:created xsi:type="dcterms:W3CDTF">2024-10-02T19:11:30Z</dcterms:created>
  <dcterms:modified xsi:type="dcterms:W3CDTF">2024-11-22T21:56:15Z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0x010100F806F3CB73AF6B478E7943C3878F38C1</vt:lpwstr>
  </property>
</Properties>
</file>