
<file path=[Content_Types].xml><?xml version="1.0" encoding="utf-8"?>
<Types xmlns="http://schemas.openxmlformats.org/package/2006/content-types">
  <Default Extension="bin" ContentType="application/vnd.openxmlformats-officedocument.spreadsheetml.printerSettings"/>
  <Default Extension="emf" ContentType="image/x-emf"/>
  <Default Extension="gif" ContentType="image/gif"/>
  <Default Extension="jpeg" ContentType="image/jpeg"/>
  <Default Extension="png" ContentType="image/png"/>
  <Default Extension="rels" ContentType="application/vnd.openxmlformats-package.relationships+xml"/>
  <Default Extension="vml" ContentType="application/vnd.openxmlformats-officedocument.vmlDrawing"/>
  <Default Extension="vsdx" ContentType="application/vnd.ms-visio.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omments1.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drawings/drawing2.xml" ContentType="application/vnd.openxmlformats-officedocument.drawing+xml"/>
  <Override PartName="/xl/charts/chart3.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drawings/drawing4.xml" ContentType="application/vnd.openxmlformats-officedocument.drawing+xml"/>
  <Override PartName="/xl/comments2.xml" ContentType="application/vnd.openxmlformats-officedocument.spreadsheetml.comments+xml"/>
  <Override PartName="/xl/charts/chart4.xml" ContentType="application/vnd.openxmlformats-officedocument.drawingml.chart+xml"/>
  <Override PartName="/xl/charts/style3.xml" ContentType="application/vnd.ms-office.chartstyle+xml"/>
  <Override PartName="/xl/charts/colors3.xml" ContentType="application/vnd.ms-office.chartcolorstyle+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codeName="ThisWorkbook"/>
  <mc:AlternateContent xmlns:mc="http://schemas.openxmlformats.org/markup-compatibility/2006">
    <mc:Choice Requires="x15">
      <x15ac:absPath xmlns:x15ac="http://schemas.microsoft.com/office/spreadsheetml/2010/11/ac" url="C:\Users\a0492295\Documents\BCS\Review &amp; Program &amp; Papers\APP note\LSD FET selection guide\"/>
    </mc:Choice>
  </mc:AlternateContent>
  <xr:revisionPtr revIDLastSave="0" documentId="13_ncr:1_{41C02E0A-CFA5-4429-87EE-FC5B4F8CB1D5}" xr6:coauthVersionLast="47" xr6:coauthVersionMax="47" xr10:uidLastSave="{00000000-0000-0000-0000-000000000000}"/>
  <workbookProtection workbookAlgorithmName="SHA-512" workbookHashValue="/2jOdsYVZ4LYncKiaAVpG1cXeL2nD8HmotrA69q3g2xoUoKpu6I5inB8I/+SOHe/j6g3p944PAvjXtdEnbQ5yw==" workbookSaltValue="BGg7lvp+V0khjBJY2tzjDA==" workbookSpinCount="100000" lockStructure="1"/>
  <bookViews>
    <workbookView xWindow="-14805" yWindow="-16320" windowWidth="29040" windowHeight="15720" xr2:uid="{00000000-000D-0000-FFFF-FFFF00000000}"/>
  </bookViews>
  <sheets>
    <sheet name="User's_Page" sheetId="1" r:id="rId1"/>
    <sheet name="Loop_Response" sheetId="3" state="hidden" r:id="rId2"/>
    <sheet name="Switching_Time" sheetId="6" state="hidden" r:id="rId3"/>
    <sheet name="Efficiency" sheetId="4" state="hidden" r:id="rId4"/>
    <sheet name="Variable_List" sheetId="2" state="hidden" r:id="rId5"/>
    <sheet name="Important Notice and Disclaimer" sheetId="5" r:id="rId6"/>
  </sheets>
  <definedNames>
    <definedName name="A_EA">'User''s_Page'!$G$60</definedName>
    <definedName name="A_PS">'User''s_Page'!$G$50</definedName>
    <definedName name="C_c">'User''s_Page'!$G$84</definedName>
    <definedName name="C_ff">'User''s_Page'!$G$75</definedName>
    <definedName name="C_HS_oss">Efficiency!$B$67</definedName>
    <definedName name="C_LS_oss">Efficiency!$B$66</definedName>
    <definedName name="C_p">'User''s_Page'!$G$85</definedName>
    <definedName name="Cin_act">'User''s_Page'!$G$40</definedName>
    <definedName name="Cin_cal_min">'User''s_Page'!$G$39</definedName>
    <definedName name="Ciss_0V">'User''s_Page'!$G$108</definedName>
    <definedName name="Ciss_Vout">'User''s_Page'!$G$109</definedName>
    <definedName name="Coss_0V">'User''s_Page'!$G$110</definedName>
    <definedName name="Coss_Vout">'User''s_Page'!$G$111</definedName>
    <definedName name="Cout">'User''s_Page'!$G$47</definedName>
    <definedName name="Cout_cal_min">'User''s_Page'!$G$30</definedName>
    <definedName name="Cout_elec">'User''s_Page'!$G$33</definedName>
    <definedName name="Cout_MLCC">'User''s_Page'!$G$31</definedName>
    <definedName name="Crss_0V">'User''s_Page'!$G$112</definedName>
    <definedName name="Crss_Vout">'User''s_Page'!$G$113</definedName>
    <definedName name="D">'User''s_Page'!$G$49</definedName>
    <definedName name="D_1">'User''s_Page'!$P$6</definedName>
    <definedName name="D_2">'User''s_Page'!$P$7</definedName>
    <definedName name="delta_iout">'User''s_Page'!#REF!</definedName>
    <definedName name="device_name">Variable_List!$D$2</definedName>
    <definedName name="duty_max">'User''s_Page'!$G$16</definedName>
    <definedName name="duty_min">'User''s_Page'!$G$14</definedName>
    <definedName name="duty_nom">'User''s_Page'!$G$15</definedName>
    <definedName name="efficiency">'User''s_Page'!$G$10</definedName>
    <definedName name="efficiency_cal">Efficiency!$B$23</definedName>
    <definedName name="f">'User''s_Page'!$G$11</definedName>
    <definedName name="fc">Loop_Response!$E$16</definedName>
    <definedName name="fc_set">'User''s_Page'!$G$80</definedName>
    <definedName name="G_EA">'User''s_Page'!$G$57</definedName>
    <definedName name="GM">Loop_Response!$E$18</definedName>
    <definedName name="icin_rms">'User''s_Page'!$G$41</definedName>
    <definedName name="icout_rms">'User''s_Page'!$G$35</definedName>
    <definedName name="Iin_max">'User''s_Page'!$P$13</definedName>
    <definedName name="iin_nom">'User''s_Page'!$G$20</definedName>
    <definedName name="iin_v2">'User''s_Page'!$P$10</definedName>
    <definedName name="iin_vin_max">'User''s_Page'!$P$11</definedName>
    <definedName name="iL_act_max">'User''s_Page'!$P$12</definedName>
    <definedName name="iL_p2p_1">'User''s_Page'!$P$8</definedName>
    <definedName name="iL_p2p_2">'User''s_Page'!$P$9</definedName>
    <definedName name="iL_p2p_act_max">'User''s_Page'!$P$17</definedName>
    <definedName name="iL_p2p_act_min">'User''s_Page'!$P$15</definedName>
    <definedName name="iL_p2p_act_nom">'User''s_Page'!$P$16</definedName>
    <definedName name="iL_p2p_cal">'User''s_Page'!$G$22</definedName>
    <definedName name="iL_p2p_ratio">'User''s_Page'!$G$21</definedName>
    <definedName name="IL_Peak_to_Peak">'User''s_Page'!$G$27</definedName>
    <definedName name="iL_rms_act_nom">'User''s_Page'!$P$18</definedName>
    <definedName name="ilimit_nom">'User''s_Page'!$G$12</definedName>
    <definedName name="iout_actual_max">'User''s_Page'!$G$9</definedName>
    <definedName name="iout_cal_max">'User''s_Page'!$G$17</definedName>
    <definedName name="IQ_in">Efficiency!$B$104</definedName>
    <definedName name="IQ_out">Efficiency!$B$105</definedName>
    <definedName name="IUVLO">'User''s_Page'!$G$92</definedName>
    <definedName name="K_R">Efficiency!$B$36</definedName>
    <definedName name="L">'User''s_Page'!$G$24</definedName>
    <definedName name="L_cal">'User''s_Page'!$G$23</definedName>
    <definedName name="LS_FET_off">Switching_Time!$C$31</definedName>
    <definedName name="LS_FET_ON">Switching_Time!$C$33</definedName>
    <definedName name="p_comp">'User''s_Page'!$G$63</definedName>
    <definedName name="p_EA">'User''s_Page'!$G$61</definedName>
    <definedName name="p_esr">'User''s_Page'!$G$71</definedName>
    <definedName name="p_ff">'User''s_Page'!$G$77</definedName>
    <definedName name="p_large">'User''s_Page'!$G$53</definedName>
    <definedName name="P_loss_act_inductor_AC">'User''s_Page'!$G$125</definedName>
    <definedName name="P_loss_diode_rr">Efficiency!$B$99</definedName>
    <definedName name="P_loss_fb_res">Efficiency!$B$112</definedName>
    <definedName name="P_loss_FET_dead">Efficiency!$B$93</definedName>
    <definedName name="P_loss_FET_driving">Efficiency!$B$63</definedName>
    <definedName name="P_loss_FET_out">Efficiency!$B$72</definedName>
    <definedName name="P_loss_FET_Rdson">Efficiency!$B$41</definedName>
    <definedName name="P_loss_HS_dead">Efficiency!$B$91</definedName>
    <definedName name="P_loss_HS_driving">Efficiency!$B$62</definedName>
    <definedName name="P_loss_HS_out">Efficiency!$B$71</definedName>
    <definedName name="P_loss_HS_Rdson">Efficiency!$B$40</definedName>
    <definedName name="P_loss_IC_total">'User''s_Page'!$F$106</definedName>
    <definedName name="P_loss_inductor_AC">Efficiency!$B$29</definedName>
    <definedName name="P_loss_inductor_DC">Efficiency!$B$30</definedName>
    <definedName name="P_loss_inductor_total">Efficiency!$B$31</definedName>
    <definedName name="P_loss_LS_dead">Efficiency!#REF!</definedName>
    <definedName name="P_loss_LS_driving">Efficiency!$B$61</definedName>
    <definedName name="P_loss_LS_FET">'User''s_Page'!$G$126</definedName>
    <definedName name="P_loss_LS_off">Efficiency!$B$52</definedName>
    <definedName name="P_loss_LS_on">Efficiency!$B$51</definedName>
    <definedName name="P_loss_LS_out">Efficiency!$B$70</definedName>
    <definedName name="P_loss_LS_Rdson">Efficiency!$B$39</definedName>
    <definedName name="P_loss_LS_switching">Efficiency!$B$53</definedName>
    <definedName name="P_loss_quiescent">Efficiency!$B$106</definedName>
    <definedName name="P_loss_total">Efficiency!$B$22</definedName>
    <definedName name="P_loss_VCC">Efficiency!$B$81</definedName>
    <definedName name="p_small">'User''s_Page'!$G$52</definedName>
    <definedName name="PM">Loop_Response!$E$17</definedName>
    <definedName name="Q_HS_gate">Efficiency!$B$57</definedName>
    <definedName name="Q_LS_gate">Efficiency!$B$56</definedName>
    <definedName name="Qg_total">'User''s_Page'!$G$105</definedName>
    <definedName name="Qrr">Efficiency!$B$96</definedName>
    <definedName name="R_c">'User''s_Page'!$G$83</definedName>
    <definedName name="R_EA">'User''s_Page'!$G$58</definedName>
    <definedName name="R_FB">'User''s_Page'!$G$74</definedName>
    <definedName name="R_FT">'User''s_Page'!$G$73</definedName>
    <definedName name="R_HS_dson">Efficiency!$B$35</definedName>
    <definedName name="R_L_DCR">'User''s_Page'!$G$25</definedName>
    <definedName name="R_LS_dson">Efficiency!$B$34</definedName>
    <definedName name="R_pulldown_fast">Switching_Time!$C$17</definedName>
    <definedName name="R_pulldown_slow">Switching_Time!$C$15</definedName>
    <definedName name="R_pullup_fast">Switching_Time!$C$16</definedName>
    <definedName name="R_pullup_slow">Switching_Time!$C$14</definedName>
    <definedName name="R_theta_JA">'User''s_Page'!$G$119</definedName>
    <definedName name="Resr_elec">'User''s_Page'!$G$34</definedName>
    <definedName name="Resr_MLCC">'User''s_Page'!$G$32</definedName>
    <definedName name="RG">'User''s_Page'!$G$106</definedName>
    <definedName name="RG_PCB">'User''s_Page'!$G$107</definedName>
    <definedName name="rilim">'User''s_Page'!$G$13</definedName>
    <definedName name="RL_dc">'User''s_Page'!$G$25</definedName>
    <definedName name="RLS_dson">'User''s_Page'!$G$104</definedName>
    <definedName name="Rout">'User''s_Page'!$G$46</definedName>
    <definedName name="Rsense">'User''s_Page'!$G$59</definedName>
    <definedName name="RUVB">'User''s_Page'!$G$99</definedName>
    <definedName name="RUVT">'User''s_Page'!$G$97</definedName>
    <definedName name="Switching_Frequency">'User''s_Page'!$G$13</definedName>
    <definedName name="tau_HS_on_dead">Efficiency!$B$85</definedName>
    <definedName name="tau_LS_on_dead">Efficiency!$B$84</definedName>
    <definedName name="tau_off">Efficiency!$B$45</definedName>
    <definedName name="tau_on">Efficiency!$B$44</definedName>
    <definedName name="temp_rise">'User''s_Page'!#REF!</definedName>
    <definedName name="toff_LS">Switching_Time!$C$31</definedName>
    <definedName name="toff_LS_GATE">Switching_Time!$C$30</definedName>
    <definedName name="ton_LS">Switching_Time!$C$37</definedName>
    <definedName name="v_1">'User''s_Page'!$P$4</definedName>
    <definedName name="v_2">'User''s_Page'!$P$5</definedName>
    <definedName name="V_CC">Efficiency!$B$78</definedName>
    <definedName name="V_D_HS">Efficiency!$B$46</definedName>
    <definedName name="V_D_LS">Efficiency!$B$86</definedName>
    <definedName name="V_DD">Efficiency!$B$77</definedName>
    <definedName name="V_HS_gate">Efficiency!$B$59</definedName>
    <definedName name="V_LS_gate">Efficiency!$B$58</definedName>
    <definedName name="Vgs_th">'User''s_Page'!$G$115</definedName>
    <definedName name="vin_max">'User''s_Page'!$G$7</definedName>
    <definedName name="vin_min">'User''s_Page'!$G$5</definedName>
    <definedName name="vin_nom">'User''s_Page'!$G$6</definedName>
    <definedName name="vin_p2p_max">'User''s_Page'!$G$38</definedName>
    <definedName name="Vin_Ripple">'User''s_Page'!$G$42</definedName>
    <definedName name="Vmiller">'User''s_Page'!$G$116</definedName>
    <definedName name="vout">'User''s_Page'!$G$8</definedName>
    <definedName name="vout_p2p_max">'User''s_Page'!$G$29</definedName>
    <definedName name="vout_under_shoot">'User''s_Page'!#REF!</definedName>
    <definedName name="vref">'User''s_Page'!$G$56</definedName>
    <definedName name="VUVLO_OFF">'User''s_Page'!$G$95</definedName>
    <definedName name="VUVLO_ON">'User''s_Page'!$G$94</definedName>
    <definedName name="VUVLO_RISE">'User''s_Page'!$G$93</definedName>
    <definedName name="z_comp">'User''s_Page'!$G$62</definedName>
    <definedName name="z_esr_1">'User''s_Page'!$G$69</definedName>
    <definedName name="z_esr_2">'User''s_Page'!$G$70</definedName>
    <definedName name="z_ff">'User''s_Page'!$G$76</definedName>
    <definedName name="z_RHP">'User''s_Page'!$G$51</definedName>
  </definedNames>
  <calcPr calcId="191029"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00" i="1" l="1"/>
  <c r="K98" i="1"/>
  <c r="G1" i="1" l="1"/>
  <c r="G13" i="1" l="1"/>
  <c r="B66" i="4"/>
  <c r="C13" i="6"/>
  <c r="C23" i="6"/>
  <c r="C22" i="6"/>
  <c r="C21" i="6"/>
  <c r="C20" i="6"/>
  <c r="C19" i="6"/>
  <c r="C18" i="6"/>
  <c r="C35" i="6"/>
  <c r="C28" i="6"/>
  <c r="C12" i="6"/>
  <c r="K26" i="1" l="1"/>
  <c r="B105" i="4"/>
  <c r="B104" i="4"/>
  <c r="B56" i="4"/>
  <c r="K24" i="1"/>
  <c r="P14" i="1"/>
  <c r="P13" i="1"/>
  <c r="G20" i="1"/>
  <c r="G22" i="1" s="1"/>
  <c r="L23" i="1" l="1"/>
  <c r="L25" i="1"/>
  <c r="C29" i="6" l="1"/>
  <c r="C31" i="6" s="1"/>
  <c r="B34" i="4" l="1"/>
  <c r="B28" i="4"/>
  <c r="G101" i="1" l="1"/>
  <c r="G100" i="1"/>
  <c r="G98" i="1"/>
  <c r="G96" i="1"/>
  <c r="G69" i="1" l="1"/>
  <c r="G73" i="1"/>
  <c r="B5" i="5" l="1"/>
  <c r="P11" i="1" l="1"/>
  <c r="P5" i="1"/>
  <c r="P4" i="1"/>
  <c r="P6" i="1" l="1"/>
  <c r="P8" i="1" s="1"/>
  <c r="P10" i="1"/>
  <c r="P7" i="1"/>
  <c r="P9" i="1" s="1"/>
  <c r="B71" i="4"/>
  <c r="B70" i="4"/>
  <c r="G71" i="1"/>
  <c r="G35" i="1" l="1"/>
  <c r="G16" i="1"/>
  <c r="G49" i="1" s="1"/>
  <c r="G15" i="1"/>
  <c r="K23" i="1" s="1"/>
  <c r="K25" i="1" s="1"/>
  <c r="G14" i="1"/>
  <c r="P17" i="1" s="1"/>
  <c r="B110" i="4"/>
  <c r="B109" i="4"/>
  <c r="P15" i="1" l="1"/>
  <c r="P12" i="1" s="1"/>
  <c r="G17" i="1"/>
  <c r="G23" i="1"/>
  <c r="P16" i="1"/>
  <c r="G30" i="1"/>
  <c r="L26" i="1" l="1"/>
  <c r="B29" i="4"/>
  <c r="P18" i="1"/>
  <c r="B37" i="4" s="1"/>
  <c r="L22" i="1"/>
  <c r="L24" i="1"/>
  <c r="B91" i="4"/>
  <c r="B112" i="4"/>
  <c r="B21" i="4" s="1"/>
  <c r="B111" i="4"/>
  <c r="B102" i="4"/>
  <c r="B103" i="4"/>
  <c r="B99" i="4"/>
  <c r="B19" i="4" s="1"/>
  <c r="B87" i="4"/>
  <c r="B79" i="4"/>
  <c r="B77" i="4"/>
  <c r="B75" i="4"/>
  <c r="B80" i="4"/>
  <c r="B76" i="4"/>
  <c r="G124" i="1" l="1"/>
  <c r="B30" i="4"/>
  <c r="B26" i="4"/>
  <c r="B39" i="4"/>
  <c r="B40" i="4"/>
  <c r="B106" i="4"/>
  <c r="B20" i="4" s="1"/>
  <c r="B97" i="4"/>
  <c r="B98" i="4"/>
  <c r="B90" i="4"/>
  <c r="B31" i="4" l="1"/>
  <c r="G122" i="1"/>
  <c r="B69" i="4"/>
  <c r="B68" i="4"/>
  <c r="B60" i="4"/>
  <c r="B50" i="4"/>
  <c r="B47" i="4"/>
  <c r="B72" i="4" l="1"/>
  <c r="B16" i="4" s="1"/>
  <c r="B8" i="4" l="1"/>
  <c r="B7" i="4"/>
  <c r="B6" i="4"/>
  <c r="I404" i="3" l="1"/>
  <c r="I405" i="3"/>
  <c r="I406" i="3"/>
  <c r="I407" i="3"/>
  <c r="I408" i="3"/>
  <c r="I409" i="3"/>
  <c r="I410" i="3"/>
  <c r="I411" i="3"/>
  <c r="I412" i="3"/>
  <c r="I413" i="3"/>
  <c r="I414" i="3"/>
  <c r="I415" i="3"/>
  <c r="I416" i="3"/>
  <c r="I417" i="3"/>
  <c r="I418" i="3"/>
  <c r="I419" i="3"/>
  <c r="I420" i="3"/>
  <c r="I421" i="3"/>
  <c r="I422" i="3"/>
  <c r="I423" i="3"/>
  <c r="I424" i="3"/>
  <c r="I425" i="3"/>
  <c r="I426" i="3"/>
  <c r="I427" i="3"/>
  <c r="I428" i="3"/>
  <c r="I429" i="3"/>
  <c r="I430" i="3"/>
  <c r="I431" i="3"/>
  <c r="I432" i="3"/>
  <c r="I433" i="3"/>
  <c r="I434" i="3"/>
  <c r="I435" i="3"/>
  <c r="I436" i="3"/>
  <c r="I437" i="3"/>
  <c r="I438" i="3"/>
  <c r="I439" i="3"/>
  <c r="I440" i="3"/>
  <c r="I441" i="3"/>
  <c r="I442" i="3"/>
  <c r="I443" i="3"/>
  <c r="I444" i="3"/>
  <c r="I445" i="3"/>
  <c r="I446" i="3"/>
  <c r="I447" i="3"/>
  <c r="I448" i="3"/>
  <c r="I449" i="3"/>
  <c r="I450" i="3"/>
  <c r="I451" i="3"/>
  <c r="I452" i="3"/>
  <c r="I453" i="3"/>
  <c r="I454" i="3"/>
  <c r="I455" i="3"/>
  <c r="I456" i="3"/>
  <c r="I457" i="3"/>
  <c r="I458" i="3"/>
  <c r="I459" i="3"/>
  <c r="I460" i="3"/>
  <c r="I461" i="3"/>
  <c r="I462" i="3"/>
  <c r="I463" i="3"/>
  <c r="I464" i="3"/>
  <c r="I465" i="3"/>
  <c r="I466" i="3"/>
  <c r="I467" i="3"/>
  <c r="I468" i="3"/>
  <c r="I469" i="3"/>
  <c r="I470" i="3"/>
  <c r="I471" i="3"/>
  <c r="I472" i="3"/>
  <c r="I473" i="3"/>
  <c r="I474" i="3"/>
  <c r="I475" i="3"/>
  <c r="I476" i="3"/>
  <c r="I477" i="3"/>
  <c r="I478" i="3"/>
  <c r="I479" i="3"/>
  <c r="I480" i="3"/>
  <c r="I481" i="3"/>
  <c r="I482" i="3"/>
  <c r="I483" i="3"/>
  <c r="I484" i="3"/>
  <c r="I485" i="3"/>
  <c r="I486" i="3"/>
  <c r="I487" i="3"/>
  <c r="I488" i="3"/>
  <c r="I489" i="3"/>
  <c r="I490" i="3"/>
  <c r="I491" i="3"/>
  <c r="I492" i="3"/>
  <c r="I493" i="3"/>
  <c r="I494" i="3"/>
  <c r="I495" i="3"/>
  <c r="I496" i="3"/>
  <c r="I497" i="3"/>
  <c r="I498" i="3"/>
  <c r="I499" i="3"/>
  <c r="I500" i="3"/>
  <c r="I501" i="3"/>
  <c r="I502" i="3"/>
  <c r="I503" i="3"/>
  <c r="G63" i="1"/>
  <c r="Z446" i="3" s="1"/>
  <c r="G77" i="1"/>
  <c r="G76" i="1"/>
  <c r="I304" i="3"/>
  <c r="I305" i="3"/>
  <c r="I306" i="3"/>
  <c r="I307" i="3"/>
  <c r="I308" i="3"/>
  <c r="I309" i="3"/>
  <c r="I310" i="3"/>
  <c r="I311" i="3"/>
  <c r="I312" i="3"/>
  <c r="I313" i="3"/>
  <c r="I314" i="3"/>
  <c r="I315" i="3"/>
  <c r="I316" i="3"/>
  <c r="I317" i="3"/>
  <c r="I318" i="3"/>
  <c r="I319" i="3"/>
  <c r="I320" i="3"/>
  <c r="I321" i="3"/>
  <c r="I322" i="3"/>
  <c r="I323" i="3"/>
  <c r="I324" i="3"/>
  <c r="I325" i="3"/>
  <c r="I326" i="3"/>
  <c r="I327" i="3"/>
  <c r="I328" i="3"/>
  <c r="I329" i="3"/>
  <c r="I330" i="3"/>
  <c r="I331" i="3"/>
  <c r="I332" i="3"/>
  <c r="I333" i="3"/>
  <c r="I334" i="3"/>
  <c r="I335" i="3"/>
  <c r="I336" i="3"/>
  <c r="I337" i="3"/>
  <c r="I338" i="3"/>
  <c r="I339" i="3"/>
  <c r="I340" i="3"/>
  <c r="I341" i="3"/>
  <c r="I342" i="3"/>
  <c r="I343" i="3"/>
  <c r="I344" i="3"/>
  <c r="I345" i="3"/>
  <c r="I346" i="3"/>
  <c r="I347" i="3"/>
  <c r="I348" i="3"/>
  <c r="I349" i="3"/>
  <c r="I350" i="3"/>
  <c r="I351" i="3"/>
  <c r="I352" i="3"/>
  <c r="I353" i="3"/>
  <c r="I354" i="3"/>
  <c r="I355" i="3"/>
  <c r="I356" i="3"/>
  <c r="I357" i="3"/>
  <c r="I358" i="3"/>
  <c r="I359" i="3"/>
  <c r="I360" i="3"/>
  <c r="I361" i="3"/>
  <c r="I362" i="3"/>
  <c r="I363" i="3"/>
  <c r="I364" i="3"/>
  <c r="I365" i="3"/>
  <c r="I366" i="3"/>
  <c r="I367" i="3"/>
  <c r="I368" i="3"/>
  <c r="I369" i="3"/>
  <c r="I370" i="3"/>
  <c r="I371" i="3"/>
  <c r="I372" i="3"/>
  <c r="I373" i="3"/>
  <c r="I374" i="3"/>
  <c r="I375" i="3"/>
  <c r="I376" i="3"/>
  <c r="I377" i="3"/>
  <c r="I378" i="3"/>
  <c r="I379" i="3"/>
  <c r="I380" i="3"/>
  <c r="I381" i="3"/>
  <c r="I382" i="3"/>
  <c r="I383" i="3"/>
  <c r="I384" i="3"/>
  <c r="I385" i="3"/>
  <c r="I386" i="3"/>
  <c r="I387" i="3"/>
  <c r="I388" i="3"/>
  <c r="I389" i="3"/>
  <c r="I390" i="3"/>
  <c r="I391" i="3"/>
  <c r="I392" i="3"/>
  <c r="I393" i="3"/>
  <c r="I394" i="3"/>
  <c r="I395" i="3"/>
  <c r="I396" i="3"/>
  <c r="I397" i="3"/>
  <c r="I398" i="3"/>
  <c r="I399" i="3"/>
  <c r="I400" i="3"/>
  <c r="I401" i="3"/>
  <c r="I402" i="3"/>
  <c r="I403" i="3"/>
  <c r="I4" i="3"/>
  <c r="I5" i="3"/>
  <c r="I6" i="3"/>
  <c r="I7" i="3"/>
  <c r="I8" i="3"/>
  <c r="I9" i="3"/>
  <c r="I10" i="3"/>
  <c r="I11" i="3"/>
  <c r="I12" i="3"/>
  <c r="I13" i="3"/>
  <c r="I14" i="3"/>
  <c r="I15" i="3"/>
  <c r="I16" i="3"/>
  <c r="I17" i="3"/>
  <c r="I18" i="3"/>
  <c r="I19" i="3"/>
  <c r="I20" i="3"/>
  <c r="I21" i="3"/>
  <c r="I22" i="3"/>
  <c r="I23" i="3"/>
  <c r="I24" i="3"/>
  <c r="I25" i="3"/>
  <c r="I26" i="3"/>
  <c r="I27" i="3"/>
  <c r="I28" i="3"/>
  <c r="I29" i="3"/>
  <c r="I30" i="3"/>
  <c r="I31" i="3"/>
  <c r="I32" i="3"/>
  <c r="I33" i="3"/>
  <c r="I34" i="3"/>
  <c r="I35" i="3"/>
  <c r="I36" i="3"/>
  <c r="I37" i="3"/>
  <c r="I38" i="3"/>
  <c r="I39" i="3"/>
  <c r="I40" i="3"/>
  <c r="I41" i="3"/>
  <c r="I42" i="3"/>
  <c r="I43" i="3"/>
  <c r="I44" i="3"/>
  <c r="I45" i="3"/>
  <c r="I46" i="3"/>
  <c r="I47" i="3"/>
  <c r="I48" i="3"/>
  <c r="I49" i="3"/>
  <c r="I50" i="3"/>
  <c r="I51" i="3"/>
  <c r="I52" i="3"/>
  <c r="I53" i="3"/>
  <c r="I54" i="3"/>
  <c r="I55" i="3"/>
  <c r="I56" i="3"/>
  <c r="I57" i="3"/>
  <c r="I58" i="3"/>
  <c r="I59" i="3"/>
  <c r="I60" i="3"/>
  <c r="I61" i="3"/>
  <c r="I62" i="3"/>
  <c r="I63" i="3"/>
  <c r="I64" i="3"/>
  <c r="I65" i="3"/>
  <c r="I66" i="3"/>
  <c r="I67" i="3"/>
  <c r="I68" i="3"/>
  <c r="I69" i="3"/>
  <c r="I70" i="3"/>
  <c r="I71" i="3"/>
  <c r="I72" i="3"/>
  <c r="I73" i="3"/>
  <c r="I74" i="3"/>
  <c r="I75" i="3"/>
  <c r="I76" i="3"/>
  <c r="I77" i="3"/>
  <c r="I78" i="3"/>
  <c r="I79" i="3"/>
  <c r="I80" i="3"/>
  <c r="I81" i="3"/>
  <c r="I82" i="3"/>
  <c r="I83" i="3"/>
  <c r="I84" i="3"/>
  <c r="I85" i="3"/>
  <c r="I86" i="3"/>
  <c r="I87" i="3"/>
  <c r="I88" i="3"/>
  <c r="I89" i="3"/>
  <c r="I90" i="3"/>
  <c r="I91" i="3"/>
  <c r="I92" i="3"/>
  <c r="I93" i="3"/>
  <c r="I94" i="3"/>
  <c r="I95" i="3"/>
  <c r="I96" i="3"/>
  <c r="I97" i="3"/>
  <c r="I98" i="3"/>
  <c r="I99" i="3"/>
  <c r="I100" i="3"/>
  <c r="I101" i="3"/>
  <c r="I102" i="3"/>
  <c r="I103" i="3"/>
  <c r="I104" i="3"/>
  <c r="I105" i="3"/>
  <c r="I106" i="3"/>
  <c r="I107" i="3"/>
  <c r="I108" i="3"/>
  <c r="I109" i="3"/>
  <c r="I110" i="3"/>
  <c r="I111" i="3"/>
  <c r="I112" i="3"/>
  <c r="I113" i="3"/>
  <c r="I114" i="3"/>
  <c r="I115" i="3"/>
  <c r="I116" i="3"/>
  <c r="I117" i="3"/>
  <c r="I118" i="3"/>
  <c r="I119" i="3"/>
  <c r="I120" i="3"/>
  <c r="I121" i="3"/>
  <c r="I122" i="3"/>
  <c r="I123" i="3"/>
  <c r="I124" i="3"/>
  <c r="I125" i="3"/>
  <c r="I126" i="3"/>
  <c r="I127" i="3"/>
  <c r="I128" i="3"/>
  <c r="I129" i="3"/>
  <c r="I130" i="3"/>
  <c r="I131" i="3"/>
  <c r="I132" i="3"/>
  <c r="I133" i="3"/>
  <c r="I134" i="3"/>
  <c r="I135" i="3"/>
  <c r="I136" i="3"/>
  <c r="I137" i="3"/>
  <c r="I138" i="3"/>
  <c r="I139" i="3"/>
  <c r="I140" i="3"/>
  <c r="I141" i="3"/>
  <c r="I142" i="3"/>
  <c r="I143" i="3"/>
  <c r="I144" i="3"/>
  <c r="I145" i="3"/>
  <c r="I146" i="3"/>
  <c r="I147" i="3"/>
  <c r="I148" i="3"/>
  <c r="I149" i="3"/>
  <c r="I150" i="3"/>
  <c r="I151" i="3"/>
  <c r="I152" i="3"/>
  <c r="I153" i="3"/>
  <c r="I154" i="3"/>
  <c r="I155" i="3"/>
  <c r="I156" i="3"/>
  <c r="I157" i="3"/>
  <c r="I158" i="3"/>
  <c r="I159" i="3"/>
  <c r="I160" i="3"/>
  <c r="I161" i="3"/>
  <c r="I162" i="3"/>
  <c r="I163" i="3"/>
  <c r="I164" i="3"/>
  <c r="I165" i="3"/>
  <c r="I166" i="3"/>
  <c r="I167" i="3"/>
  <c r="I168" i="3"/>
  <c r="I169" i="3"/>
  <c r="I170" i="3"/>
  <c r="I171" i="3"/>
  <c r="I172" i="3"/>
  <c r="I173" i="3"/>
  <c r="I174" i="3"/>
  <c r="I175" i="3"/>
  <c r="I176" i="3"/>
  <c r="I177" i="3"/>
  <c r="I178" i="3"/>
  <c r="I179" i="3"/>
  <c r="I180" i="3"/>
  <c r="I181" i="3"/>
  <c r="I182" i="3"/>
  <c r="I183" i="3"/>
  <c r="I184" i="3"/>
  <c r="I185" i="3"/>
  <c r="I186" i="3"/>
  <c r="I187" i="3"/>
  <c r="I188" i="3"/>
  <c r="I189" i="3"/>
  <c r="I190" i="3"/>
  <c r="I191" i="3"/>
  <c r="I192" i="3"/>
  <c r="I193" i="3"/>
  <c r="I194" i="3"/>
  <c r="I195" i="3"/>
  <c r="I196" i="3"/>
  <c r="I197" i="3"/>
  <c r="I198" i="3"/>
  <c r="I199" i="3"/>
  <c r="I200" i="3"/>
  <c r="I201" i="3"/>
  <c r="I202" i="3"/>
  <c r="I203" i="3"/>
  <c r="I204" i="3"/>
  <c r="I205" i="3"/>
  <c r="I206" i="3"/>
  <c r="I207" i="3"/>
  <c r="I208" i="3"/>
  <c r="I209" i="3"/>
  <c r="I210" i="3"/>
  <c r="I211" i="3"/>
  <c r="I212" i="3"/>
  <c r="I213" i="3"/>
  <c r="I214" i="3"/>
  <c r="I215" i="3"/>
  <c r="I216" i="3"/>
  <c r="I217" i="3"/>
  <c r="I218" i="3"/>
  <c r="I219" i="3"/>
  <c r="I220" i="3"/>
  <c r="I221" i="3"/>
  <c r="I222" i="3"/>
  <c r="I223" i="3"/>
  <c r="I224" i="3"/>
  <c r="I225" i="3"/>
  <c r="I226" i="3"/>
  <c r="I227" i="3"/>
  <c r="I228" i="3"/>
  <c r="I229" i="3"/>
  <c r="I230" i="3"/>
  <c r="I231" i="3"/>
  <c r="I232" i="3"/>
  <c r="I233" i="3"/>
  <c r="I234" i="3"/>
  <c r="I235" i="3"/>
  <c r="I236" i="3"/>
  <c r="I237" i="3"/>
  <c r="I238" i="3"/>
  <c r="I239" i="3"/>
  <c r="I240" i="3"/>
  <c r="I241" i="3"/>
  <c r="I242" i="3"/>
  <c r="I243" i="3"/>
  <c r="I244" i="3"/>
  <c r="I245" i="3"/>
  <c r="I246" i="3"/>
  <c r="I247" i="3"/>
  <c r="I248" i="3"/>
  <c r="I249" i="3"/>
  <c r="I250" i="3"/>
  <c r="I251" i="3"/>
  <c r="I252" i="3"/>
  <c r="I253" i="3"/>
  <c r="I254" i="3"/>
  <c r="I255" i="3"/>
  <c r="I256" i="3"/>
  <c r="I257" i="3"/>
  <c r="I258" i="3"/>
  <c r="I259" i="3"/>
  <c r="I260" i="3"/>
  <c r="I261" i="3"/>
  <c r="I262" i="3"/>
  <c r="I263" i="3"/>
  <c r="I264" i="3"/>
  <c r="I265" i="3"/>
  <c r="I266" i="3"/>
  <c r="I267" i="3"/>
  <c r="I268" i="3"/>
  <c r="I269" i="3"/>
  <c r="I270" i="3"/>
  <c r="I271" i="3"/>
  <c r="I272" i="3"/>
  <c r="I273" i="3"/>
  <c r="I274" i="3"/>
  <c r="I275" i="3"/>
  <c r="I276" i="3"/>
  <c r="I277" i="3"/>
  <c r="I278" i="3"/>
  <c r="I279" i="3"/>
  <c r="I280" i="3"/>
  <c r="I281" i="3"/>
  <c r="I282" i="3"/>
  <c r="I283" i="3"/>
  <c r="I284" i="3"/>
  <c r="I285" i="3"/>
  <c r="I286" i="3"/>
  <c r="I287" i="3"/>
  <c r="I288" i="3"/>
  <c r="I289" i="3"/>
  <c r="I290" i="3"/>
  <c r="I291" i="3"/>
  <c r="I292" i="3"/>
  <c r="I293" i="3"/>
  <c r="I294" i="3"/>
  <c r="I295" i="3"/>
  <c r="I296" i="3"/>
  <c r="I297" i="3"/>
  <c r="I298" i="3"/>
  <c r="I299" i="3"/>
  <c r="I300" i="3"/>
  <c r="I301" i="3"/>
  <c r="I302" i="3"/>
  <c r="I303" i="3"/>
  <c r="I3" i="3"/>
  <c r="G70" i="1"/>
  <c r="G68" i="1"/>
  <c r="G66" i="1"/>
  <c r="G67" i="1"/>
  <c r="G65" i="1"/>
  <c r="G61" i="1"/>
  <c r="G62" i="1"/>
  <c r="Y417" i="3" s="1"/>
  <c r="G60" i="1"/>
  <c r="U405" i="3" s="1"/>
  <c r="G55" i="1"/>
  <c r="G48" i="1"/>
  <c r="G47" i="1"/>
  <c r="G46" i="1"/>
  <c r="G45" i="1"/>
  <c r="W426" i="3" l="1"/>
  <c r="AF408" i="3"/>
  <c r="AD256" i="3"/>
  <c r="AH256" i="3"/>
  <c r="AI256" i="3"/>
  <c r="AE256" i="3"/>
  <c r="AE216" i="3"/>
  <c r="AH216" i="3"/>
  <c r="AD216" i="3"/>
  <c r="AI216" i="3"/>
  <c r="AD200" i="3"/>
  <c r="AE200" i="3"/>
  <c r="AI200" i="3"/>
  <c r="AH200" i="3"/>
  <c r="AD192" i="3"/>
  <c r="AI192" i="3"/>
  <c r="AH192" i="3"/>
  <c r="AE192" i="3"/>
  <c r="AD184" i="3"/>
  <c r="AH184" i="3"/>
  <c r="AE184" i="3"/>
  <c r="AI184" i="3"/>
  <c r="AE176" i="3"/>
  <c r="AD176" i="3"/>
  <c r="AI176" i="3"/>
  <c r="AH176" i="3"/>
  <c r="AE168" i="3"/>
  <c r="AD168" i="3"/>
  <c r="AH168" i="3"/>
  <c r="AI168" i="3"/>
  <c r="AE160" i="3"/>
  <c r="AD160" i="3"/>
  <c r="AH160" i="3"/>
  <c r="AI160" i="3"/>
  <c r="AI152" i="3"/>
  <c r="AE152" i="3"/>
  <c r="AD152" i="3"/>
  <c r="AH152" i="3"/>
  <c r="AH144" i="3"/>
  <c r="AE144" i="3"/>
  <c r="AD144" i="3"/>
  <c r="AI144" i="3"/>
  <c r="AD136" i="3"/>
  <c r="AE136" i="3"/>
  <c r="AH136" i="3"/>
  <c r="AI136" i="3"/>
  <c r="AD128" i="3"/>
  <c r="AI128" i="3"/>
  <c r="AE128" i="3"/>
  <c r="AH128" i="3"/>
  <c r="AD120" i="3"/>
  <c r="AI120" i="3"/>
  <c r="AH120" i="3"/>
  <c r="AE120" i="3"/>
  <c r="AE112" i="3"/>
  <c r="AD112" i="3"/>
  <c r="AH112" i="3"/>
  <c r="AI112" i="3"/>
  <c r="AE104" i="3"/>
  <c r="AD104" i="3"/>
  <c r="AH104" i="3"/>
  <c r="AI104" i="3"/>
  <c r="AE96" i="3"/>
  <c r="AD96" i="3"/>
  <c r="AH96" i="3"/>
  <c r="AI96" i="3"/>
  <c r="AE88" i="3"/>
  <c r="AD88" i="3"/>
  <c r="AI88" i="3"/>
  <c r="AH88" i="3"/>
  <c r="AH80" i="3"/>
  <c r="AE80" i="3"/>
  <c r="AD80" i="3"/>
  <c r="AI80" i="3"/>
  <c r="AD72" i="3"/>
  <c r="AE72" i="3"/>
  <c r="AI72" i="3"/>
  <c r="AH72" i="3"/>
  <c r="AD64" i="3"/>
  <c r="AE64" i="3"/>
  <c r="AH64" i="3"/>
  <c r="AI64" i="3"/>
  <c r="AD56" i="3"/>
  <c r="AI56" i="3"/>
  <c r="AH56" i="3"/>
  <c r="AE56" i="3"/>
  <c r="AE48" i="3"/>
  <c r="AD48" i="3"/>
  <c r="AH48" i="3"/>
  <c r="AI48" i="3"/>
  <c r="AE40" i="3"/>
  <c r="AD40" i="3"/>
  <c r="AI40" i="3"/>
  <c r="AH40" i="3"/>
  <c r="AE32" i="3"/>
  <c r="AD32" i="3"/>
  <c r="AH32" i="3"/>
  <c r="AI32" i="3"/>
  <c r="AI24" i="3"/>
  <c r="AE24" i="3"/>
  <c r="AD24" i="3"/>
  <c r="AH24" i="3"/>
  <c r="AE16" i="3"/>
  <c r="AD16" i="3"/>
  <c r="AH16" i="3"/>
  <c r="AI16" i="3"/>
  <c r="AE8" i="3"/>
  <c r="AD8" i="3"/>
  <c r="AH8" i="3"/>
  <c r="AI8" i="3"/>
  <c r="AE400" i="3"/>
  <c r="AD400" i="3"/>
  <c r="AH400" i="3"/>
  <c r="AI400" i="3"/>
  <c r="AD392" i="3"/>
  <c r="AE392" i="3"/>
  <c r="AH392" i="3"/>
  <c r="AI392" i="3"/>
  <c r="AE384" i="3"/>
  <c r="AD384" i="3"/>
  <c r="AH384" i="3"/>
  <c r="AI384" i="3"/>
  <c r="AD376" i="3"/>
  <c r="AE376" i="3"/>
  <c r="AH376" i="3"/>
  <c r="AI376" i="3"/>
  <c r="AD368" i="3"/>
  <c r="AE368" i="3"/>
  <c r="AH368" i="3"/>
  <c r="AI368" i="3"/>
  <c r="AD360" i="3"/>
  <c r="AE360" i="3"/>
  <c r="AH360" i="3"/>
  <c r="AI360" i="3"/>
  <c r="AH352" i="3"/>
  <c r="AD352" i="3"/>
  <c r="AE352" i="3"/>
  <c r="AI352" i="3"/>
  <c r="AD344" i="3"/>
  <c r="AE344" i="3"/>
  <c r="AH344" i="3"/>
  <c r="AI344" i="3"/>
  <c r="AH336" i="3"/>
  <c r="AD336" i="3"/>
  <c r="AE336" i="3"/>
  <c r="AI336" i="3"/>
  <c r="AD328" i="3"/>
  <c r="AE328" i="3"/>
  <c r="AH328" i="3"/>
  <c r="AI328" i="3"/>
  <c r="AD320" i="3"/>
  <c r="AI320" i="3"/>
  <c r="AE320" i="3"/>
  <c r="AH320" i="3"/>
  <c r="AD312" i="3"/>
  <c r="AH312" i="3"/>
  <c r="AE312" i="3"/>
  <c r="AI312" i="3"/>
  <c r="AD304" i="3"/>
  <c r="AI304" i="3"/>
  <c r="AE304" i="3"/>
  <c r="AH304" i="3"/>
  <c r="AE499" i="3"/>
  <c r="AD499" i="3"/>
  <c r="AH499" i="3"/>
  <c r="AI499" i="3"/>
  <c r="AD491" i="3"/>
  <c r="AE491" i="3"/>
  <c r="AH491" i="3"/>
  <c r="AI491" i="3"/>
  <c r="AD483" i="3"/>
  <c r="AE483" i="3"/>
  <c r="AH483" i="3"/>
  <c r="AI483" i="3"/>
  <c r="AE475" i="3"/>
  <c r="AD475" i="3"/>
  <c r="AI475" i="3"/>
  <c r="AH475" i="3"/>
  <c r="AD467" i="3"/>
  <c r="AE467" i="3"/>
  <c r="AH467" i="3"/>
  <c r="AI467" i="3"/>
  <c r="AE459" i="3"/>
  <c r="AD459" i="3"/>
  <c r="AH459" i="3"/>
  <c r="AI459" i="3"/>
  <c r="AE451" i="3"/>
  <c r="AD451" i="3"/>
  <c r="AH451" i="3"/>
  <c r="AI451" i="3"/>
  <c r="AD443" i="3"/>
  <c r="AE443" i="3"/>
  <c r="AH443" i="3"/>
  <c r="AI443" i="3"/>
  <c r="AD435" i="3"/>
  <c r="AE435" i="3"/>
  <c r="AH435" i="3"/>
  <c r="AI435" i="3"/>
  <c r="AD427" i="3"/>
  <c r="AE427" i="3"/>
  <c r="AH427" i="3"/>
  <c r="AI427" i="3"/>
  <c r="AD419" i="3"/>
  <c r="AE419" i="3"/>
  <c r="AH419" i="3"/>
  <c r="AI419" i="3"/>
  <c r="AE411" i="3"/>
  <c r="AD411" i="3"/>
  <c r="AH411" i="3"/>
  <c r="AI411" i="3"/>
  <c r="AD280" i="3"/>
  <c r="AH280" i="3"/>
  <c r="AE280" i="3"/>
  <c r="AI280" i="3"/>
  <c r="AD248" i="3"/>
  <c r="AH248" i="3"/>
  <c r="AE248" i="3"/>
  <c r="AI248" i="3"/>
  <c r="AD295" i="3"/>
  <c r="AE295" i="3"/>
  <c r="AI295" i="3"/>
  <c r="AH295" i="3"/>
  <c r="AE263" i="3"/>
  <c r="AD263" i="3"/>
  <c r="AI263" i="3"/>
  <c r="AH263" i="3"/>
  <c r="AE255" i="3"/>
  <c r="AD255" i="3"/>
  <c r="AH255" i="3"/>
  <c r="AI255" i="3"/>
  <c r="AD247" i="3"/>
  <c r="AE247" i="3"/>
  <c r="AI247" i="3"/>
  <c r="AH247" i="3"/>
  <c r="AE239" i="3"/>
  <c r="AD239" i="3"/>
  <c r="AI239" i="3"/>
  <c r="AH239" i="3"/>
  <c r="AD231" i="3"/>
  <c r="AE231" i="3"/>
  <c r="AH231" i="3"/>
  <c r="AI231" i="3"/>
  <c r="AD223" i="3"/>
  <c r="AE223" i="3"/>
  <c r="AH223" i="3"/>
  <c r="AI223" i="3"/>
  <c r="AD215" i="3"/>
  <c r="AE215" i="3"/>
  <c r="AH215" i="3"/>
  <c r="AI215" i="3"/>
  <c r="AD207" i="3"/>
  <c r="AE207" i="3"/>
  <c r="AH207" i="3"/>
  <c r="AI207" i="3"/>
  <c r="AD199" i="3"/>
  <c r="AE199" i="3"/>
  <c r="AI199" i="3"/>
  <c r="AH199" i="3"/>
  <c r="AE191" i="3"/>
  <c r="AD191" i="3"/>
  <c r="AI191" i="3"/>
  <c r="AH191" i="3"/>
  <c r="AE183" i="3"/>
  <c r="AD183" i="3"/>
  <c r="AH183" i="3"/>
  <c r="AI183" i="3"/>
  <c r="AD175" i="3"/>
  <c r="AE175" i="3"/>
  <c r="AH175" i="3"/>
  <c r="AI175" i="3"/>
  <c r="AD167" i="3"/>
  <c r="AE167" i="3"/>
  <c r="AI167" i="3"/>
  <c r="AH167" i="3"/>
  <c r="AE159" i="3"/>
  <c r="AD159" i="3"/>
  <c r="AI159" i="3"/>
  <c r="AH159" i="3"/>
  <c r="AD151" i="3"/>
  <c r="AE151" i="3"/>
  <c r="AI151" i="3"/>
  <c r="AH151" i="3"/>
  <c r="AD143" i="3"/>
  <c r="AE143" i="3"/>
  <c r="AI143" i="3"/>
  <c r="AH143" i="3"/>
  <c r="AD135" i="3"/>
  <c r="AE135" i="3"/>
  <c r="AH135" i="3"/>
  <c r="AI135" i="3"/>
  <c r="AD127" i="3"/>
  <c r="AE127" i="3"/>
  <c r="AI127" i="3"/>
  <c r="AH127" i="3"/>
  <c r="AD119" i="3"/>
  <c r="AE119" i="3"/>
  <c r="AH119" i="3"/>
  <c r="AI119" i="3"/>
  <c r="AE111" i="3"/>
  <c r="AD111" i="3"/>
  <c r="AH111" i="3"/>
  <c r="AI111" i="3"/>
  <c r="AD103" i="3"/>
  <c r="AE103" i="3"/>
  <c r="AI103" i="3"/>
  <c r="AH103" i="3"/>
  <c r="AE95" i="3"/>
  <c r="AD95" i="3"/>
  <c r="AI95" i="3"/>
  <c r="AH95" i="3"/>
  <c r="AD87" i="3"/>
  <c r="AE87" i="3"/>
  <c r="AI87" i="3"/>
  <c r="AH87" i="3"/>
  <c r="AD79" i="3"/>
  <c r="AE79" i="3"/>
  <c r="AH79" i="3"/>
  <c r="AI79" i="3"/>
  <c r="AE71" i="3"/>
  <c r="AD71" i="3"/>
  <c r="AI71" i="3"/>
  <c r="AH71" i="3"/>
  <c r="AD63" i="3"/>
  <c r="AE63" i="3"/>
  <c r="AI63" i="3"/>
  <c r="AH63" i="3"/>
  <c r="AD55" i="3"/>
  <c r="AE55" i="3"/>
  <c r="AH55" i="3"/>
  <c r="AI55" i="3"/>
  <c r="AD47" i="3"/>
  <c r="AE47" i="3"/>
  <c r="AH47" i="3"/>
  <c r="AI47" i="3"/>
  <c r="AD39" i="3"/>
  <c r="AE39" i="3"/>
  <c r="AI39" i="3"/>
  <c r="AH39" i="3"/>
  <c r="AI31" i="3"/>
  <c r="AD31" i="3"/>
  <c r="AE31" i="3"/>
  <c r="AH31" i="3"/>
  <c r="AD23" i="3"/>
  <c r="AE23" i="3"/>
  <c r="AI23" i="3"/>
  <c r="AH23" i="3"/>
  <c r="AD15" i="3"/>
  <c r="AE15" i="3"/>
  <c r="AI15" i="3"/>
  <c r="AH15" i="3"/>
  <c r="AD7" i="3"/>
  <c r="AE7" i="3"/>
  <c r="AH7" i="3"/>
  <c r="AI7" i="3"/>
  <c r="AD399" i="3"/>
  <c r="AE399" i="3"/>
  <c r="AI399" i="3"/>
  <c r="AH399" i="3"/>
  <c r="AE391" i="3"/>
  <c r="AD391" i="3"/>
  <c r="AH391" i="3"/>
  <c r="AI391" i="3"/>
  <c r="AE383" i="3"/>
  <c r="AD383" i="3"/>
  <c r="AI383" i="3"/>
  <c r="AH383" i="3"/>
  <c r="AE375" i="3"/>
  <c r="AD375" i="3"/>
  <c r="AI375" i="3"/>
  <c r="AH375" i="3"/>
  <c r="AE367" i="3"/>
  <c r="AD367" i="3"/>
  <c r="AI367" i="3"/>
  <c r="AH367" i="3"/>
  <c r="AD359" i="3"/>
  <c r="AE359" i="3"/>
  <c r="AH359" i="3"/>
  <c r="AI359" i="3"/>
  <c r="AD351" i="3"/>
  <c r="AE351" i="3"/>
  <c r="AH351" i="3"/>
  <c r="AI351" i="3"/>
  <c r="AD343" i="3"/>
  <c r="AE343" i="3"/>
  <c r="AH343" i="3"/>
  <c r="AI343" i="3"/>
  <c r="AD335" i="3"/>
  <c r="AE335" i="3"/>
  <c r="AH335" i="3"/>
  <c r="AI335" i="3"/>
  <c r="AE327" i="3"/>
  <c r="AD327" i="3"/>
  <c r="AI327" i="3"/>
  <c r="AH327" i="3"/>
  <c r="AD319" i="3"/>
  <c r="AE319" i="3"/>
  <c r="AI319" i="3"/>
  <c r="AH319" i="3"/>
  <c r="AE311" i="3"/>
  <c r="AD311" i="3"/>
  <c r="AH311" i="3"/>
  <c r="AI311" i="3"/>
  <c r="AE498" i="3"/>
  <c r="AD498" i="3"/>
  <c r="AH498" i="3"/>
  <c r="AI498" i="3"/>
  <c r="AE490" i="3"/>
  <c r="AD490" i="3"/>
  <c r="AH490" i="3"/>
  <c r="AI490" i="3"/>
  <c r="AE482" i="3"/>
  <c r="AD482" i="3"/>
  <c r="AH482" i="3"/>
  <c r="AI482" i="3"/>
  <c r="AD474" i="3"/>
  <c r="AE474" i="3"/>
  <c r="AH474" i="3"/>
  <c r="AI474" i="3"/>
  <c r="AE466" i="3"/>
  <c r="AD466" i="3"/>
  <c r="AI466" i="3"/>
  <c r="AH466" i="3"/>
  <c r="AE458" i="3"/>
  <c r="AD458" i="3"/>
  <c r="AH458" i="3"/>
  <c r="AI458" i="3"/>
  <c r="AD450" i="3"/>
  <c r="AE450" i="3"/>
  <c r="AH450" i="3"/>
  <c r="AI450" i="3"/>
  <c r="AD442" i="3"/>
  <c r="AE442" i="3"/>
  <c r="AH442" i="3"/>
  <c r="AI442" i="3"/>
  <c r="AD434" i="3"/>
  <c r="AE434" i="3"/>
  <c r="AH434" i="3"/>
  <c r="AI434" i="3"/>
  <c r="AE426" i="3"/>
  <c r="AD426" i="3"/>
  <c r="AH426" i="3"/>
  <c r="AI426" i="3"/>
  <c r="AD418" i="3"/>
  <c r="AE418" i="3"/>
  <c r="AH418" i="3"/>
  <c r="AI418" i="3"/>
  <c r="AD410" i="3"/>
  <c r="AE410" i="3"/>
  <c r="AH410" i="3"/>
  <c r="AI410" i="3"/>
  <c r="AD272" i="3"/>
  <c r="AH272" i="3"/>
  <c r="AI272" i="3"/>
  <c r="AE272" i="3"/>
  <c r="AI208" i="3"/>
  <c r="AE208" i="3"/>
  <c r="AH208" i="3"/>
  <c r="AD208" i="3"/>
  <c r="AD262" i="3"/>
  <c r="AE262" i="3"/>
  <c r="AI262" i="3"/>
  <c r="AH262" i="3"/>
  <c r="AE246" i="3"/>
  <c r="AD246" i="3"/>
  <c r="AH246" i="3"/>
  <c r="AI246" i="3"/>
  <c r="AD238" i="3"/>
  <c r="AE238" i="3"/>
  <c r="AH238" i="3"/>
  <c r="AI238" i="3"/>
  <c r="AH230" i="3"/>
  <c r="AD230" i="3"/>
  <c r="AE230" i="3"/>
  <c r="AI230" i="3"/>
  <c r="AE222" i="3"/>
  <c r="AD222" i="3"/>
  <c r="AI222" i="3"/>
  <c r="AH222" i="3"/>
  <c r="AD214" i="3"/>
  <c r="AE214" i="3"/>
  <c r="AI214" i="3"/>
  <c r="AH214" i="3"/>
  <c r="AD206" i="3"/>
  <c r="AE206" i="3"/>
  <c r="AI206" i="3"/>
  <c r="AH206" i="3"/>
  <c r="AE198" i="3"/>
  <c r="AD198" i="3"/>
  <c r="AH198" i="3"/>
  <c r="AI198" i="3"/>
  <c r="AD190" i="3"/>
  <c r="AE190" i="3"/>
  <c r="AH190" i="3"/>
  <c r="AI190" i="3"/>
  <c r="AD182" i="3"/>
  <c r="AE182" i="3"/>
  <c r="AI182" i="3"/>
  <c r="AH182" i="3"/>
  <c r="AD174" i="3"/>
  <c r="AE174" i="3"/>
  <c r="AH174" i="3"/>
  <c r="AI174" i="3"/>
  <c r="AD166" i="3"/>
  <c r="AE166" i="3"/>
  <c r="AI166" i="3"/>
  <c r="AH166" i="3"/>
  <c r="AE158" i="3"/>
  <c r="AD158" i="3"/>
  <c r="AH158" i="3"/>
  <c r="AI158" i="3"/>
  <c r="AE150" i="3"/>
  <c r="AD150" i="3"/>
  <c r="AI150" i="3"/>
  <c r="AH150" i="3"/>
  <c r="AD142" i="3"/>
  <c r="AE142" i="3"/>
  <c r="AI142" i="3"/>
  <c r="AH142" i="3"/>
  <c r="AD134" i="3"/>
  <c r="AE134" i="3"/>
  <c r="AH134" i="3"/>
  <c r="AI134" i="3"/>
  <c r="AD126" i="3"/>
  <c r="AH126" i="3"/>
  <c r="AE126" i="3"/>
  <c r="AI126" i="3"/>
  <c r="AD118" i="3"/>
  <c r="AE118" i="3"/>
  <c r="AI118" i="3"/>
  <c r="AH118" i="3"/>
  <c r="AD110" i="3"/>
  <c r="AE110" i="3"/>
  <c r="AH110" i="3"/>
  <c r="AI110" i="3"/>
  <c r="AD102" i="3"/>
  <c r="AI102" i="3"/>
  <c r="AE102" i="3"/>
  <c r="AH102" i="3"/>
  <c r="AD94" i="3"/>
  <c r="AE94" i="3"/>
  <c r="AI94" i="3"/>
  <c r="AH94" i="3"/>
  <c r="AD86" i="3"/>
  <c r="AE86" i="3"/>
  <c r="AH86" i="3"/>
  <c r="AI86" i="3"/>
  <c r="AD78" i="3"/>
  <c r="AE78" i="3"/>
  <c r="AI78" i="3"/>
  <c r="AH78" i="3"/>
  <c r="AD70" i="3"/>
  <c r="AE70" i="3"/>
  <c r="AI70" i="3"/>
  <c r="AH70" i="3"/>
  <c r="AD62" i="3"/>
  <c r="AE62" i="3"/>
  <c r="AI62" i="3"/>
  <c r="AH62" i="3"/>
  <c r="AD54" i="3"/>
  <c r="AE54" i="3"/>
  <c r="AH54" i="3"/>
  <c r="AI54" i="3"/>
  <c r="AD46" i="3"/>
  <c r="AE46" i="3"/>
  <c r="AI46" i="3"/>
  <c r="AH46" i="3"/>
  <c r="AD38" i="3"/>
  <c r="AE38" i="3"/>
  <c r="AH38" i="3"/>
  <c r="AI38" i="3"/>
  <c r="AE30" i="3"/>
  <c r="AD30" i="3"/>
  <c r="AH30" i="3"/>
  <c r="AI30" i="3"/>
  <c r="AE22" i="3"/>
  <c r="AD22" i="3"/>
  <c r="AH22" i="3"/>
  <c r="AI22" i="3"/>
  <c r="AD14" i="3"/>
  <c r="AE14" i="3"/>
  <c r="AI14" i="3"/>
  <c r="AH14" i="3"/>
  <c r="AD6" i="3"/>
  <c r="AE6" i="3"/>
  <c r="AH6" i="3"/>
  <c r="AI6" i="3"/>
  <c r="AD398" i="3"/>
  <c r="AE398" i="3"/>
  <c r="AH398" i="3"/>
  <c r="AI398" i="3"/>
  <c r="AD390" i="3"/>
  <c r="AE390" i="3"/>
  <c r="AH390" i="3"/>
  <c r="AI390" i="3"/>
  <c r="AD382" i="3"/>
  <c r="AE382" i="3"/>
  <c r="AH382" i="3"/>
  <c r="AI382" i="3"/>
  <c r="AE374" i="3"/>
  <c r="AD374" i="3"/>
  <c r="AI374" i="3"/>
  <c r="AH374" i="3"/>
  <c r="AE366" i="3"/>
  <c r="AD366" i="3"/>
  <c r="AI366" i="3"/>
  <c r="AH366" i="3"/>
  <c r="AD358" i="3"/>
  <c r="AE358" i="3"/>
  <c r="AI358" i="3"/>
  <c r="AH358" i="3"/>
  <c r="AD350" i="3"/>
  <c r="AE350" i="3"/>
  <c r="AI350" i="3"/>
  <c r="AH350" i="3"/>
  <c r="AE342" i="3"/>
  <c r="AD342" i="3"/>
  <c r="AI342" i="3"/>
  <c r="AH342" i="3"/>
  <c r="AD334" i="3"/>
  <c r="AE334" i="3"/>
  <c r="AI334" i="3"/>
  <c r="AH334" i="3"/>
  <c r="AD326" i="3"/>
  <c r="AE326" i="3"/>
  <c r="AI326" i="3"/>
  <c r="AH326" i="3"/>
  <c r="AD318" i="3"/>
  <c r="AH318" i="3"/>
  <c r="AE318" i="3"/>
  <c r="AI318" i="3"/>
  <c r="AE310" i="3"/>
  <c r="AD310" i="3"/>
  <c r="AH310" i="3"/>
  <c r="AI310" i="3"/>
  <c r="AD497" i="3"/>
  <c r="AE497" i="3"/>
  <c r="AI497" i="3"/>
  <c r="AH497" i="3"/>
  <c r="AD489" i="3"/>
  <c r="AE489" i="3"/>
  <c r="AI489" i="3"/>
  <c r="AH489" i="3"/>
  <c r="AD481" i="3"/>
  <c r="AE481" i="3"/>
  <c r="AI481" i="3"/>
  <c r="AH481" i="3"/>
  <c r="AD473" i="3"/>
  <c r="AE473" i="3"/>
  <c r="AH473" i="3"/>
  <c r="AI473" i="3"/>
  <c r="AE465" i="3"/>
  <c r="AD465" i="3"/>
  <c r="AI465" i="3"/>
  <c r="AH465" i="3"/>
  <c r="AE457" i="3"/>
  <c r="AD457" i="3"/>
  <c r="AI457" i="3"/>
  <c r="AH457" i="3"/>
  <c r="AD449" i="3"/>
  <c r="AE449" i="3"/>
  <c r="AH449" i="3"/>
  <c r="AI449" i="3"/>
  <c r="AD441" i="3"/>
  <c r="AE441" i="3"/>
  <c r="AI441" i="3"/>
  <c r="AH441" i="3"/>
  <c r="AD433" i="3"/>
  <c r="AE433" i="3"/>
  <c r="AI433" i="3"/>
  <c r="AH433" i="3"/>
  <c r="AD425" i="3"/>
  <c r="AE425" i="3"/>
  <c r="AH425" i="3"/>
  <c r="AI425" i="3"/>
  <c r="AD417" i="3"/>
  <c r="AE417" i="3"/>
  <c r="AI417" i="3"/>
  <c r="AH417" i="3"/>
  <c r="AD409" i="3"/>
  <c r="AE409" i="3"/>
  <c r="AI409" i="3"/>
  <c r="AH409" i="3"/>
  <c r="AD3" i="3"/>
  <c r="AI3" i="3"/>
  <c r="AE3" i="3"/>
  <c r="AH3" i="3"/>
  <c r="AD264" i="3"/>
  <c r="AE264" i="3"/>
  <c r="AH264" i="3"/>
  <c r="AI264" i="3"/>
  <c r="AD240" i="3"/>
  <c r="AE240" i="3"/>
  <c r="AI240" i="3"/>
  <c r="AH240" i="3"/>
  <c r="AD303" i="3"/>
  <c r="AE303" i="3"/>
  <c r="AH303" i="3"/>
  <c r="AI303" i="3"/>
  <c r="AE302" i="3"/>
  <c r="AD302" i="3"/>
  <c r="AH302" i="3"/>
  <c r="AI302" i="3"/>
  <c r="AE301" i="3"/>
  <c r="AD301" i="3"/>
  <c r="AH301" i="3"/>
  <c r="AI301" i="3"/>
  <c r="AD245" i="3"/>
  <c r="AE245" i="3"/>
  <c r="AH245" i="3"/>
  <c r="AI245" i="3"/>
  <c r="AD213" i="3"/>
  <c r="AE213" i="3"/>
  <c r="AH213" i="3"/>
  <c r="AI213" i="3"/>
  <c r="AD205" i="3"/>
  <c r="AE205" i="3"/>
  <c r="AH205" i="3"/>
  <c r="AI205" i="3"/>
  <c r="AD197" i="3"/>
  <c r="AH197" i="3"/>
  <c r="AE197" i="3"/>
  <c r="AI197" i="3"/>
  <c r="AD189" i="3"/>
  <c r="AE189" i="3"/>
  <c r="AI189" i="3"/>
  <c r="AH189" i="3"/>
  <c r="AE181" i="3"/>
  <c r="AD181" i="3"/>
  <c r="AH181" i="3"/>
  <c r="AI181" i="3"/>
  <c r="AE173" i="3"/>
  <c r="AD173" i="3"/>
  <c r="AI173" i="3"/>
  <c r="AH173" i="3"/>
  <c r="AD165" i="3"/>
  <c r="AE165" i="3"/>
  <c r="AI165" i="3"/>
  <c r="AH165" i="3"/>
  <c r="AD157" i="3"/>
  <c r="AH157" i="3"/>
  <c r="AE157" i="3"/>
  <c r="AI157" i="3"/>
  <c r="AD149" i="3"/>
  <c r="AE149" i="3"/>
  <c r="AH149" i="3"/>
  <c r="AI149" i="3"/>
  <c r="AE141" i="3"/>
  <c r="AD141" i="3"/>
  <c r="AI141" i="3"/>
  <c r="AH141" i="3"/>
  <c r="AD133" i="3"/>
  <c r="AE133" i="3"/>
  <c r="AI133" i="3"/>
  <c r="AH133" i="3"/>
  <c r="AD125" i="3"/>
  <c r="AE125" i="3"/>
  <c r="AI125" i="3"/>
  <c r="AH125" i="3"/>
  <c r="AD117" i="3"/>
  <c r="AE117" i="3"/>
  <c r="AH117" i="3"/>
  <c r="AI117" i="3"/>
  <c r="AD109" i="3"/>
  <c r="AE109" i="3"/>
  <c r="AI109" i="3"/>
  <c r="AH109" i="3"/>
  <c r="AD101" i="3"/>
  <c r="AE101" i="3"/>
  <c r="AH101" i="3"/>
  <c r="AI101" i="3"/>
  <c r="AD93" i="3"/>
  <c r="AE93" i="3"/>
  <c r="AH93" i="3"/>
  <c r="AI93" i="3"/>
  <c r="AD85" i="3"/>
  <c r="AE85" i="3"/>
  <c r="AI85" i="3"/>
  <c r="AH85" i="3"/>
  <c r="AE77" i="3"/>
  <c r="AD77" i="3"/>
  <c r="AI77" i="3"/>
  <c r="AH77" i="3"/>
  <c r="AD69" i="3"/>
  <c r="AE69" i="3"/>
  <c r="AI69" i="3"/>
  <c r="AH69" i="3"/>
  <c r="AD61" i="3"/>
  <c r="AE61" i="3"/>
  <c r="AH61" i="3"/>
  <c r="AI61" i="3"/>
  <c r="AD53" i="3"/>
  <c r="AE53" i="3"/>
  <c r="AH53" i="3"/>
  <c r="AI53" i="3"/>
  <c r="AE45" i="3"/>
  <c r="AD45" i="3"/>
  <c r="AI45" i="3"/>
  <c r="AH45" i="3"/>
  <c r="AE37" i="3"/>
  <c r="AD37" i="3"/>
  <c r="AH37" i="3"/>
  <c r="AI37" i="3"/>
  <c r="AD29" i="3"/>
  <c r="AE29" i="3"/>
  <c r="AH29" i="3"/>
  <c r="AI29" i="3"/>
  <c r="AD21" i="3"/>
  <c r="AE21" i="3"/>
  <c r="AH21" i="3"/>
  <c r="AI21" i="3"/>
  <c r="AE13" i="3"/>
  <c r="AD13" i="3"/>
  <c r="AH13" i="3"/>
  <c r="AI13" i="3"/>
  <c r="AD5" i="3"/>
  <c r="AE5" i="3"/>
  <c r="AH5" i="3"/>
  <c r="AI5" i="3"/>
  <c r="AD397" i="3"/>
  <c r="AH397" i="3"/>
  <c r="AE397" i="3"/>
  <c r="AI397" i="3"/>
  <c r="AE389" i="3"/>
  <c r="AD389" i="3"/>
  <c r="AH389" i="3"/>
  <c r="AI389" i="3"/>
  <c r="AH381" i="3"/>
  <c r="AE381" i="3"/>
  <c r="AD381" i="3"/>
  <c r="AI381" i="3"/>
  <c r="AE373" i="3"/>
  <c r="AD373" i="3"/>
  <c r="AH373" i="3"/>
  <c r="AI373" i="3"/>
  <c r="AE365" i="3"/>
  <c r="AD365" i="3"/>
  <c r="AH365" i="3"/>
  <c r="AI365" i="3"/>
  <c r="AD357" i="3"/>
  <c r="AI357" i="3"/>
  <c r="AH357" i="3"/>
  <c r="AE357" i="3"/>
  <c r="AD349" i="3"/>
  <c r="AI349" i="3"/>
  <c r="AH349" i="3"/>
  <c r="AE349" i="3"/>
  <c r="AD341" i="3"/>
  <c r="AH341" i="3"/>
  <c r="AE341" i="3"/>
  <c r="AI341" i="3"/>
  <c r="AE333" i="3"/>
  <c r="AD333" i="3"/>
  <c r="AH333" i="3"/>
  <c r="AI333" i="3"/>
  <c r="AE325" i="3"/>
  <c r="AD325" i="3"/>
  <c r="AH325" i="3"/>
  <c r="AI325" i="3"/>
  <c r="AD317" i="3"/>
  <c r="AE317" i="3"/>
  <c r="AI317" i="3"/>
  <c r="AH317" i="3"/>
  <c r="AE309" i="3"/>
  <c r="AD309" i="3"/>
  <c r="AH309" i="3"/>
  <c r="AI309" i="3"/>
  <c r="AH496" i="3"/>
  <c r="AD496" i="3"/>
  <c r="AE496" i="3"/>
  <c r="AI496" i="3"/>
  <c r="AD488" i="3"/>
  <c r="AE488" i="3"/>
  <c r="AH488" i="3"/>
  <c r="AI488" i="3"/>
  <c r="AE480" i="3"/>
  <c r="AH480" i="3"/>
  <c r="AD480" i="3"/>
  <c r="AI480" i="3"/>
  <c r="AE472" i="3"/>
  <c r="AD472" i="3"/>
  <c r="AH472" i="3"/>
  <c r="AI472" i="3"/>
  <c r="AD464" i="3"/>
  <c r="AH464" i="3"/>
  <c r="AE464" i="3"/>
  <c r="AI464" i="3"/>
  <c r="AD456" i="3"/>
  <c r="AE456" i="3"/>
  <c r="AH456" i="3"/>
  <c r="AI456" i="3"/>
  <c r="AD448" i="3"/>
  <c r="AE448" i="3"/>
  <c r="AI448" i="3"/>
  <c r="AH448" i="3"/>
  <c r="AD440" i="3"/>
  <c r="AI440" i="3"/>
  <c r="AE440" i="3"/>
  <c r="AH440" i="3"/>
  <c r="AD432" i="3"/>
  <c r="AH432" i="3"/>
  <c r="AE432" i="3"/>
  <c r="AI432" i="3"/>
  <c r="AD424" i="3"/>
  <c r="AH424" i="3"/>
  <c r="AE424" i="3"/>
  <c r="AI424" i="3"/>
  <c r="AD416" i="3"/>
  <c r="AE416" i="3"/>
  <c r="AH416" i="3"/>
  <c r="AI416" i="3"/>
  <c r="AE408" i="3"/>
  <c r="AD408" i="3"/>
  <c r="AH408" i="3"/>
  <c r="AI408" i="3"/>
  <c r="AD296" i="3"/>
  <c r="AE296" i="3"/>
  <c r="AI296" i="3"/>
  <c r="AH296" i="3"/>
  <c r="AD224" i="3"/>
  <c r="AE224" i="3"/>
  <c r="AH224" i="3"/>
  <c r="AI224" i="3"/>
  <c r="AE287" i="3"/>
  <c r="AD287" i="3"/>
  <c r="AI287" i="3"/>
  <c r="AH287" i="3"/>
  <c r="AD254" i="3"/>
  <c r="AE254" i="3"/>
  <c r="AH254" i="3"/>
  <c r="AI254" i="3"/>
  <c r="AD269" i="3"/>
  <c r="AE269" i="3"/>
  <c r="AH269" i="3"/>
  <c r="AI269" i="3"/>
  <c r="AD244" i="3"/>
  <c r="AE244" i="3"/>
  <c r="AI244" i="3"/>
  <c r="AH244" i="3"/>
  <c r="AD196" i="3"/>
  <c r="AE196" i="3"/>
  <c r="AI196" i="3"/>
  <c r="AH196" i="3"/>
  <c r="AD164" i="3"/>
  <c r="AE164" i="3"/>
  <c r="AI164" i="3"/>
  <c r="AH164" i="3"/>
  <c r="AD140" i="3"/>
  <c r="AE140" i="3"/>
  <c r="AH140" i="3"/>
  <c r="AI140" i="3"/>
  <c r="AD132" i="3"/>
  <c r="AE132" i="3"/>
  <c r="AI132" i="3"/>
  <c r="AH132" i="3"/>
  <c r="AD100" i="3"/>
  <c r="AE100" i="3"/>
  <c r="AI100" i="3"/>
  <c r="AH100" i="3"/>
  <c r="AD92" i="3"/>
  <c r="AE92" i="3"/>
  <c r="AH92" i="3"/>
  <c r="AI92" i="3"/>
  <c r="AD84" i="3"/>
  <c r="AE84" i="3"/>
  <c r="AH84" i="3"/>
  <c r="AI84" i="3"/>
  <c r="AD76" i="3"/>
  <c r="AE76" i="3"/>
  <c r="AH76" i="3"/>
  <c r="AI76" i="3"/>
  <c r="AD68" i="3"/>
  <c r="AE68" i="3"/>
  <c r="AI68" i="3"/>
  <c r="AH68" i="3"/>
  <c r="AD60" i="3"/>
  <c r="AE60" i="3"/>
  <c r="AI60" i="3"/>
  <c r="AH60" i="3"/>
  <c r="AD52" i="3"/>
  <c r="AE52" i="3"/>
  <c r="AH52" i="3"/>
  <c r="AI52" i="3"/>
  <c r="AD44" i="3"/>
  <c r="AE44" i="3"/>
  <c r="AH44" i="3"/>
  <c r="AI44" i="3"/>
  <c r="AD36" i="3"/>
  <c r="AE36" i="3"/>
  <c r="AI36" i="3"/>
  <c r="AH36" i="3"/>
  <c r="AD28" i="3"/>
  <c r="AE28" i="3"/>
  <c r="AH28" i="3"/>
  <c r="AI28" i="3"/>
  <c r="AD20" i="3"/>
  <c r="AE20" i="3"/>
  <c r="AH20" i="3"/>
  <c r="AI20" i="3"/>
  <c r="AD12" i="3"/>
  <c r="AE12" i="3"/>
  <c r="AH12" i="3"/>
  <c r="AI12" i="3"/>
  <c r="AD4" i="3"/>
  <c r="AE4" i="3"/>
  <c r="AI4" i="3"/>
  <c r="AH4" i="3"/>
  <c r="AD396" i="3"/>
  <c r="AH396" i="3"/>
  <c r="AE396" i="3"/>
  <c r="AI396" i="3"/>
  <c r="AD388" i="3"/>
  <c r="AE388" i="3"/>
  <c r="AH388" i="3"/>
  <c r="AI388" i="3"/>
  <c r="AD380" i="3"/>
  <c r="AE380" i="3"/>
  <c r="AH380" i="3"/>
  <c r="AI380" i="3"/>
  <c r="AD372" i="3"/>
  <c r="AH372" i="3"/>
  <c r="AE372" i="3"/>
  <c r="AI372" i="3"/>
  <c r="AD364" i="3"/>
  <c r="AE364" i="3"/>
  <c r="AH364" i="3"/>
  <c r="AI364" i="3"/>
  <c r="AD356" i="3"/>
  <c r="AH356" i="3"/>
  <c r="AE356" i="3"/>
  <c r="AI356" i="3"/>
  <c r="AD348" i="3"/>
  <c r="AH348" i="3"/>
  <c r="AE348" i="3"/>
  <c r="AI348" i="3"/>
  <c r="AD340" i="3"/>
  <c r="AE340" i="3"/>
  <c r="AH340" i="3"/>
  <c r="AI340" i="3"/>
  <c r="AD332" i="3"/>
  <c r="AE332" i="3"/>
  <c r="AH332" i="3"/>
  <c r="AI332" i="3"/>
  <c r="AD324" i="3"/>
  <c r="AE324" i="3"/>
  <c r="AH324" i="3"/>
  <c r="AI324" i="3"/>
  <c r="AD316" i="3"/>
  <c r="AE316" i="3"/>
  <c r="AH316" i="3"/>
  <c r="AI316" i="3"/>
  <c r="AD308" i="3"/>
  <c r="AE308" i="3"/>
  <c r="AI308" i="3"/>
  <c r="AH308" i="3"/>
  <c r="AE503" i="3"/>
  <c r="AD503" i="3"/>
  <c r="AI503" i="3"/>
  <c r="AH503" i="3"/>
  <c r="AD495" i="3"/>
  <c r="AE495" i="3"/>
  <c r="AI495" i="3"/>
  <c r="AH495" i="3"/>
  <c r="AD487" i="3"/>
  <c r="AE487" i="3"/>
  <c r="AI487" i="3"/>
  <c r="AH487" i="3"/>
  <c r="AD479" i="3"/>
  <c r="AE479" i="3"/>
  <c r="AH479" i="3"/>
  <c r="AI479" i="3"/>
  <c r="AD471" i="3"/>
  <c r="AE471" i="3"/>
  <c r="AI471" i="3"/>
  <c r="AH471" i="3"/>
  <c r="AE463" i="3"/>
  <c r="AD463" i="3"/>
  <c r="AH463" i="3"/>
  <c r="AI463" i="3"/>
  <c r="AE455" i="3"/>
  <c r="AD455" i="3"/>
  <c r="AH455" i="3"/>
  <c r="AI455" i="3"/>
  <c r="AD447" i="3"/>
  <c r="AE447" i="3"/>
  <c r="AH447" i="3"/>
  <c r="AI447" i="3"/>
  <c r="AE439" i="3"/>
  <c r="AD439" i="3"/>
  <c r="AI439" i="3"/>
  <c r="AH439" i="3"/>
  <c r="AE431" i="3"/>
  <c r="AD431" i="3"/>
  <c r="AI431" i="3"/>
  <c r="AH431" i="3"/>
  <c r="AD423" i="3"/>
  <c r="AE423" i="3"/>
  <c r="AI423" i="3"/>
  <c r="AH423" i="3"/>
  <c r="AD415" i="3"/>
  <c r="AE415" i="3"/>
  <c r="AH415" i="3"/>
  <c r="AI415" i="3"/>
  <c r="AD407" i="3"/>
  <c r="AE407" i="3"/>
  <c r="AI407" i="3"/>
  <c r="AH407" i="3"/>
  <c r="AD286" i="3"/>
  <c r="AE286" i="3"/>
  <c r="AI286" i="3"/>
  <c r="AH286" i="3"/>
  <c r="AD293" i="3"/>
  <c r="AE293" i="3"/>
  <c r="AH293" i="3"/>
  <c r="AI293" i="3"/>
  <c r="AD253" i="3"/>
  <c r="AE253" i="3"/>
  <c r="AH253" i="3"/>
  <c r="AI253" i="3"/>
  <c r="AD229" i="3"/>
  <c r="AE229" i="3"/>
  <c r="AH229" i="3"/>
  <c r="AI229" i="3"/>
  <c r="AD300" i="3"/>
  <c r="AE300" i="3"/>
  <c r="AI300" i="3"/>
  <c r="AH300" i="3"/>
  <c r="AD268" i="3"/>
  <c r="AE268" i="3"/>
  <c r="AI268" i="3"/>
  <c r="AH268" i="3"/>
  <c r="AD252" i="3"/>
  <c r="AH252" i="3"/>
  <c r="AE252" i="3"/>
  <c r="AI252" i="3"/>
  <c r="AD228" i="3"/>
  <c r="AE228" i="3"/>
  <c r="AI228" i="3"/>
  <c r="AH228" i="3"/>
  <c r="AD204" i="3"/>
  <c r="AE204" i="3"/>
  <c r="AH204" i="3"/>
  <c r="AI204" i="3"/>
  <c r="AD172" i="3"/>
  <c r="AH172" i="3"/>
  <c r="AE172" i="3"/>
  <c r="AI172" i="3"/>
  <c r="AD148" i="3"/>
  <c r="AE148" i="3"/>
  <c r="AH148" i="3"/>
  <c r="AI148" i="3"/>
  <c r="AD124" i="3"/>
  <c r="AE124" i="3"/>
  <c r="AI124" i="3"/>
  <c r="AH124" i="3"/>
  <c r="AD299" i="3"/>
  <c r="AE299" i="3"/>
  <c r="AH299" i="3"/>
  <c r="AI299" i="3"/>
  <c r="AD291" i="3"/>
  <c r="AE291" i="3"/>
  <c r="AH291" i="3"/>
  <c r="AI291" i="3"/>
  <c r="AD283" i="3"/>
  <c r="AE283" i="3"/>
  <c r="AI283" i="3"/>
  <c r="AH283" i="3"/>
  <c r="AD275" i="3"/>
  <c r="AE275" i="3"/>
  <c r="AI275" i="3"/>
  <c r="AH275" i="3"/>
  <c r="AD267" i="3"/>
  <c r="AE267" i="3"/>
  <c r="AI267" i="3"/>
  <c r="AH267" i="3"/>
  <c r="AD259" i="3"/>
  <c r="AE259" i="3"/>
  <c r="AI259" i="3"/>
  <c r="AH259" i="3"/>
  <c r="AD251" i="3"/>
  <c r="AE251" i="3"/>
  <c r="AI251" i="3"/>
  <c r="AH251" i="3"/>
  <c r="AD243" i="3"/>
  <c r="AE243" i="3"/>
  <c r="AH243" i="3"/>
  <c r="AI243" i="3"/>
  <c r="AD235" i="3"/>
  <c r="AE235" i="3"/>
  <c r="AH235" i="3"/>
  <c r="AI235" i="3"/>
  <c r="AD227" i="3"/>
  <c r="AE227" i="3"/>
  <c r="AH227" i="3"/>
  <c r="AI227" i="3"/>
  <c r="AD219" i="3"/>
  <c r="AE219" i="3"/>
  <c r="AI219" i="3"/>
  <c r="AH219" i="3"/>
  <c r="AD211" i="3"/>
  <c r="AE211" i="3"/>
  <c r="AI211" i="3"/>
  <c r="AH211" i="3"/>
  <c r="AD203" i="3"/>
  <c r="AE203" i="3"/>
  <c r="AI203" i="3"/>
  <c r="AH203" i="3"/>
  <c r="AD195" i="3"/>
  <c r="AE195" i="3"/>
  <c r="AI195" i="3"/>
  <c r="AH195" i="3"/>
  <c r="AE187" i="3"/>
  <c r="AD187" i="3"/>
  <c r="AI187" i="3"/>
  <c r="AH187" i="3"/>
  <c r="AE179" i="3"/>
  <c r="AD179" i="3"/>
  <c r="AI179" i="3"/>
  <c r="AH179" i="3"/>
  <c r="AD171" i="3"/>
  <c r="AH171" i="3"/>
  <c r="AE171" i="3"/>
  <c r="AI171" i="3"/>
  <c r="AD163" i="3"/>
  <c r="AH163" i="3"/>
  <c r="AE163" i="3"/>
  <c r="AI163" i="3"/>
  <c r="AD155" i="3"/>
  <c r="AE155" i="3"/>
  <c r="AH155" i="3"/>
  <c r="AI155" i="3"/>
  <c r="AD147" i="3"/>
  <c r="AE147" i="3"/>
  <c r="AH147" i="3"/>
  <c r="AI147" i="3"/>
  <c r="AD139" i="3"/>
  <c r="AE139" i="3"/>
  <c r="AI139" i="3"/>
  <c r="AH139" i="3"/>
  <c r="AD131" i="3"/>
  <c r="AE131" i="3"/>
  <c r="AI131" i="3"/>
  <c r="AH131" i="3"/>
  <c r="AD123" i="3"/>
  <c r="AE123" i="3"/>
  <c r="AI123" i="3"/>
  <c r="AH123" i="3"/>
  <c r="AD115" i="3"/>
  <c r="AE115" i="3"/>
  <c r="AI115" i="3"/>
  <c r="AH115" i="3"/>
  <c r="AD107" i="3"/>
  <c r="AE107" i="3"/>
  <c r="AH107" i="3"/>
  <c r="AI107" i="3"/>
  <c r="AD99" i="3"/>
  <c r="AH99" i="3"/>
  <c r="AE99" i="3"/>
  <c r="AI99" i="3"/>
  <c r="AE91" i="3"/>
  <c r="AD91" i="3"/>
  <c r="AI91" i="3"/>
  <c r="AH91" i="3"/>
  <c r="AD83" i="3"/>
  <c r="AE83" i="3"/>
  <c r="AH83" i="3"/>
  <c r="AI83" i="3"/>
  <c r="AH75" i="3"/>
  <c r="AD75" i="3"/>
  <c r="AE75" i="3"/>
  <c r="AI75" i="3"/>
  <c r="AE67" i="3"/>
  <c r="AD67" i="3"/>
  <c r="AH67" i="3"/>
  <c r="AI67" i="3"/>
  <c r="AE59" i="3"/>
  <c r="AD59" i="3"/>
  <c r="AI59" i="3"/>
  <c r="AH59" i="3"/>
  <c r="AE51" i="3"/>
  <c r="AD51" i="3"/>
  <c r="AI51" i="3"/>
  <c r="AH51" i="3"/>
  <c r="AD43" i="3"/>
  <c r="AH43" i="3"/>
  <c r="AE43" i="3"/>
  <c r="AI43" i="3"/>
  <c r="AD35" i="3"/>
  <c r="AE35" i="3"/>
  <c r="AI35" i="3"/>
  <c r="AH35" i="3"/>
  <c r="AD27" i="3"/>
  <c r="AE27" i="3"/>
  <c r="AI27" i="3"/>
  <c r="AH27" i="3"/>
  <c r="AD19" i="3"/>
  <c r="AE19" i="3"/>
  <c r="AH19" i="3"/>
  <c r="AI19" i="3"/>
  <c r="AD11" i="3"/>
  <c r="AE11" i="3"/>
  <c r="AH11" i="3"/>
  <c r="AI11" i="3"/>
  <c r="AE403" i="3"/>
  <c r="AD403" i="3"/>
  <c r="AI403" i="3"/>
  <c r="AH403" i="3"/>
  <c r="AE395" i="3"/>
  <c r="AD395" i="3"/>
  <c r="AH395" i="3"/>
  <c r="AI395" i="3"/>
  <c r="AD387" i="3"/>
  <c r="AH387" i="3"/>
  <c r="AE387" i="3"/>
  <c r="AI387" i="3"/>
  <c r="AD379" i="3"/>
  <c r="AE379" i="3"/>
  <c r="AI379" i="3"/>
  <c r="AH379" i="3"/>
  <c r="AE371" i="3"/>
  <c r="AD371" i="3"/>
  <c r="AH371" i="3"/>
  <c r="AI371" i="3"/>
  <c r="AD363" i="3"/>
  <c r="AH363" i="3"/>
  <c r="AE363" i="3"/>
  <c r="AI363" i="3"/>
  <c r="AD355" i="3"/>
  <c r="AH355" i="3"/>
  <c r="AE355" i="3"/>
  <c r="AI355" i="3"/>
  <c r="AD347" i="3"/>
  <c r="AE347" i="3"/>
  <c r="AH347" i="3"/>
  <c r="AI347" i="3"/>
  <c r="AD339" i="3"/>
  <c r="AE339" i="3"/>
  <c r="AH339" i="3"/>
  <c r="AI339" i="3"/>
  <c r="AD331" i="3"/>
  <c r="AE331" i="3"/>
  <c r="AH331" i="3"/>
  <c r="AI331" i="3"/>
  <c r="AD323" i="3"/>
  <c r="AE323" i="3"/>
  <c r="AH323" i="3"/>
  <c r="AI323" i="3"/>
  <c r="AD315" i="3"/>
  <c r="AE315" i="3"/>
  <c r="AH315" i="3"/>
  <c r="AI315" i="3"/>
  <c r="AD307" i="3"/>
  <c r="AE307" i="3"/>
  <c r="AH307" i="3"/>
  <c r="AI307" i="3"/>
  <c r="AD502" i="3"/>
  <c r="AE502" i="3"/>
  <c r="AI502" i="3"/>
  <c r="AH502" i="3"/>
  <c r="AD494" i="3"/>
  <c r="AI494" i="3"/>
  <c r="AE494" i="3"/>
  <c r="AH494" i="3"/>
  <c r="AD486" i="3"/>
  <c r="AE486" i="3"/>
  <c r="AI486" i="3"/>
  <c r="AH486" i="3"/>
  <c r="AD478" i="3"/>
  <c r="AE478" i="3"/>
  <c r="AI478" i="3"/>
  <c r="AH478" i="3"/>
  <c r="AD470" i="3"/>
  <c r="AE470" i="3"/>
  <c r="AH470" i="3"/>
  <c r="AI470" i="3"/>
  <c r="AD462" i="3"/>
  <c r="AE462" i="3"/>
  <c r="AH462" i="3"/>
  <c r="AI462" i="3"/>
  <c r="AD454" i="3"/>
  <c r="AE454" i="3"/>
  <c r="AH454" i="3"/>
  <c r="AI454" i="3"/>
  <c r="AD446" i="3"/>
  <c r="AE446" i="3"/>
  <c r="AH446" i="3"/>
  <c r="AI446" i="3"/>
  <c r="AD438" i="3"/>
  <c r="AE438" i="3"/>
  <c r="AH438" i="3"/>
  <c r="AI438" i="3"/>
  <c r="AI430" i="3"/>
  <c r="AD430" i="3"/>
  <c r="AE430" i="3"/>
  <c r="AH430" i="3"/>
  <c r="AD422" i="3"/>
  <c r="AE422" i="3"/>
  <c r="AI422" i="3"/>
  <c r="AH422" i="3"/>
  <c r="AD414" i="3"/>
  <c r="AE414" i="3"/>
  <c r="AI414" i="3"/>
  <c r="AH414" i="3"/>
  <c r="AD406" i="3"/>
  <c r="AE406" i="3"/>
  <c r="AH406" i="3"/>
  <c r="AI406" i="3"/>
  <c r="AD271" i="3"/>
  <c r="AE271" i="3"/>
  <c r="AI271" i="3"/>
  <c r="AH271" i="3"/>
  <c r="AD294" i="3"/>
  <c r="AH294" i="3"/>
  <c r="AI294" i="3"/>
  <c r="AE294" i="3"/>
  <c r="AE270" i="3"/>
  <c r="AD270" i="3"/>
  <c r="AH270" i="3"/>
  <c r="AI270" i="3"/>
  <c r="AD277" i="3"/>
  <c r="AE277" i="3"/>
  <c r="AH277" i="3"/>
  <c r="AI277" i="3"/>
  <c r="AE221" i="3"/>
  <c r="AD221" i="3"/>
  <c r="AI221" i="3"/>
  <c r="AH221" i="3"/>
  <c r="AD292" i="3"/>
  <c r="AH292" i="3"/>
  <c r="AE292" i="3"/>
  <c r="AI292" i="3"/>
  <c r="AD284" i="3"/>
  <c r="AE284" i="3"/>
  <c r="AH284" i="3"/>
  <c r="AI284" i="3"/>
  <c r="AD260" i="3"/>
  <c r="AE260" i="3"/>
  <c r="AH260" i="3"/>
  <c r="AI260" i="3"/>
  <c r="AD236" i="3"/>
  <c r="AE236" i="3"/>
  <c r="AH236" i="3"/>
  <c r="AI236" i="3"/>
  <c r="AD212" i="3"/>
  <c r="AE212" i="3"/>
  <c r="AH212" i="3"/>
  <c r="AI212" i="3"/>
  <c r="AD188" i="3"/>
  <c r="AE188" i="3"/>
  <c r="AI188" i="3"/>
  <c r="AH188" i="3"/>
  <c r="AD180" i="3"/>
  <c r="AE180" i="3"/>
  <c r="AI180" i="3"/>
  <c r="AH180" i="3"/>
  <c r="AD156" i="3"/>
  <c r="AE156" i="3"/>
  <c r="AH156" i="3"/>
  <c r="AI156" i="3"/>
  <c r="AD116" i="3"/>
  <c r="AE116" i="3"/>
  <c r="AI116" i="3"/>
  <c r="AH116" i="3"/>
  <c r="AD290" i="3"/>
  <c r="AH290" i="3"/>
  <c r="AE290" i="3"/>
  <c r="AI290" i="3"/>
  <c r="AD282" i="3"/>
  <c r="AE282" i="3"/>
  <c r="AH282" i="3"/>
  <c r="AI282" i="3"/>
  <c r="AD274" i="3"/>
  <c r="AE274" i="3"/>
  <c r="AH274" i="3"/>
  <c r="AI274" i="3"/>
  <c r="AD266" i="3"/>
  <c r="AH266" i="3"/>
  <c r="AE266" i="3"/>
  <c r="AI266" i="3"/>
  <c r="AD258" i="3"/>
  <c r="AE258" i="3"/>
  <c r="AH258" i="3"/>
  <c r="AI258" i="3"/>
  <c r="AH250" i="3"/>
  <c r="AD250" i="3"/>
  <c r="AI250" i="3"/>
  <c r="AE250" i="3"/>
  <c r="AD242" i="3"/>
  <c r="AE242" i="3"/>
  <c r="AH242" i="3"/>
  <c r="AI242" i="3"/>
  <c r="AD234" i="3"/>
  <c r="AH234" i="3"/>
  <c r="AE234" i="3"/>
  <c r="AI234" i="3"/>
  <c r="AD226" i="3"/>
  <c r="AH226" i="3"/>
  <c r="AE226" i="3"/>
  <c r="AI226" i="3"/>
  <c r="AD218" i="3"/>
  <c r="AH218" i="3"/>
  <c r="AI218" i="3"/>
  <c r="AE218" i="3"/>
  <c r="AD210" i="3"/>
  <c r="AE210" i="3"/>
  <c r="AI210" i="3"/>
  <c r="AH210" i="3"/>
  <c r="AD202" i="3"/>
  <c r="AH202" i="3"/>
  <c r="AE202" i="3"/>
  <c r="AI202" i="3"/>
  <c r="AD194" i="3"/>
  <c r="AE194" i="3"/>
  <c r="AH194" i="3"/>
  <c r="AI194" i="3"/>
  <c r="AD186" i="3"/>
  <c r="AI186" i="3"/>
  <c r="AE186" i="3"/>
  <c r="AH186" i="3"/>
  <c r="AD178" i="3"/>
  <c r="AE178" i="3"/>
  <c r="AH178" i="3"/>
  <c r="AI178" i="3"/>
  <c r="AD170" i="3"/>
  <c r="AI170" i="3"/>
  <c r="AE170" i="3"/>
  <c r="AH170" i="3"/>
  <c r="AD162" i="3"/>
  <c r="AE162" i="3"/>
  <c r="AH162" i="3"/>
  <c r="AI162" i="3"/>
  <c r="AD154" i="3"/>
  <c r="AE154" i="3"/>
  <c r="AH154" i="3"/>
  <c r="AI154" i="3"/>
  <c r="AD146" i="3"/>
  <c r="AE146" i="3"/>
  <c r="AI146" i="3"/>
  <c r="AH146" i="3"/>
  <c r="AD138" i="3"/>
  <c r="AH138" i="3"/>
  <c r="AI138" i="3"/>
  <c r="AE138" i="3"/>
  <c r="AD130" i="3"/>
  <c r="AE130" i="3"/>
  <c r="AH130" i="3"/>
  <c r="AI130" i="3"/>
  <c r="AD122" i="3"/>
  <c r="AE122" i="3"/>
  <c r="AH122" i="3"/>
  <c r="AI122" i="3"/>
  <c r="AD114" i="3"/>
  <c r="AE114" i="3"/>
  <c r="AI114" i="3"/>
  <c r="AH114" i="3"/>
  <c r="AD106" i="3"/>
  <c r="AE106" i="3"/>
  <c r="AI106" i="3"/>
  <c r="AH106" i="3"/>
  <c r="AD98" i="3"/>
  <c r="AH98" i="3"/>
  <c r="AE98" i="3"/>
  <c r="AI98" i="3"/>
  <c r="AD90" i="3"/>
  <c r="AH90" i="3"/>
  <c r="AE90" i="3"/>
  <c r="AI90" i="3"/>
  <c r="AD82" i="3"/>
  <c r="AE82" i="3"/>
  <c r="AI82" i="3"/>
  <c r="AH82" i="3"/>
  <c r="AD74" i="3"/>
  <c r="AI74" i="3"/>
  <c r="AE74" i="3"/>
  <c r="AH74" i="3"/>
  <c r="AD66" i="3"/>
  <c r="AE66" i="3"/>
  <c r="AH66" i="3"/>
  <c r="AI66" i="3"/>
  <c r="AD58" i="3"/>
  <c r="AE58" i="3"/>
  <c r="AI58" i="3"/>
  <c r="AH58" i="3"/>
  <c r="AD50" i="3"/>
  <c r="AE50" i="3"/>
  <c r="AI50" i="3"/>
  <c r="AH50" i="3"/>
  <c r="AD42" i="3"/>
  <c r="AE42" i="3"/>
  <c r="AI42" i="3"/>
  <c r="AH42" i="3"/>
  <c r="AD34" i="3"/>
  <c r="AE34" i="3"/>
  <c r="AH34" i="3"/>
  <c r="AI34" i="3"/>
  <c r="AD26" i="3"/>
  <c r="AE26" i="3"/>
  <c r="AI26" i="3"/>
  <c r="AH26" i="3"/>
  <c r="AD18" i="3"/>
  <c r="AE18" i="3"/>
  <c r="AH18" i="3"/>
  <c r="AI18" i="3"/>
  <c r="AD10" i="3"/>
  <c r="AE10" i="3"/>
  <c r="AH10" i="3"/>
  <c r="AI10" i="3"/>
  <c r="AD402" i="3"/>
  <c r="AI402" i="3"/>
  <c r="AH402" i="3"/>
  <c r="AE402" i="3"/>
  <c r="AD394" i="3"/>
  <c r="AH394" i="3"/>
  <c r="AE394" i="3"/>
  <c r="AI394" i="3"/>
  <c r="AD386" i="3"/>
  <c r="AE386" i="3"/>
  <c r="AH386" i="3"/>
  <c r="AI386" i="3"/>
  <c r="AD378" i="3"/>
  <c r="AE378" i="3"/>
  <c r="AH378" i="3"/>
  <c r="AI378" i="3"/>
  <c r="AD370" i="3"/>
  <c r="AE370" i="3"/>
  <c r="AH370" i="3"/>
  <c r="AI370" i="3"/>
  <c r="AD362" i="3"/>
  <c r="AE362" i="3"/>
  <c r="AH362" i="3"/>
  <c r="AI362" i="3"/>
  <c r="AD354" i="3"/>
  <c r="AE354" i="3"/>
  <c r="AH354" i="3"/>
  <c r="AI354" i="3"/>
  <c r="AD346" i="3"/>
  <c r="AI346" i="3"/>
  <c r="AH346" i="3"/>
  <c r="AE346" i="3"/>
  <c r="AD338" i="3"/>
  <c r="AE338" i="3"/>
  <c r="AH338" i="3"/>
  <c r="AI338" i="3"/>
  <c r="AD330" i="3"/>
  <c r="AH330" i="3"/>
  <c r="AE330" i="3"/>
  <c r="AI330" i="3"/>
  <c r="AD322" i="3"/>
  <c r="AE322" i="3"/>
  <c r="AH322" i="3"/>
  <c r="AI322" i="3"/>
  <c r="AD314" i="3"/>
  <c r="AH314" i="3"/>
  <c r="AI314" i="3"/>
  <c r="AE314" i="3"/>
  <c r="AD306" i="3"/>
  <c r="AE306" i="3"/>
  <c r="AI306" i="3"/>
  <c r="AH306" i="3"/>
  <c r="AD501" i="3"/>
  <c r="AH501" i="3"/>
  <c r="AE501" i="3"/>
  <c r="AI501" i="3"/>
  <c r="AD493" i="3"/>
  <c r="AE493" i="3"/>
  <c r="AH493" i="3"/>
  <c r="AI493" i="3"/>
  <c r="AD485" i="3"/>
  <c r="AH485" i="3"/>
  <c r="AE485" i="3"/>
  <c r="AI485" i="3"/>
  <c r="AD477" i="3"/>
  <c r="AH477" i="3"/>
  <c r="AI477" i="3"/>
  <c r="AE477" i="3"/>
  <c r="AD469" i="3"/>
  <c r="AH469" i="3"/>
  <c r="AE469" i="3"/>
  <c r="AI469" i="3"/>
  <c r="AD461" i="3"/>
  <c r="AH461" i="3"/>
  <c r="AE461" i="3"/>
  <c r="AI461" i="3"/>
  <c r="AD453" i="3"/>
  <c r="AH453" i="3"/>
  <c r="AI453" i="3"/>
  <c r="AE453" i="3"/>
  <c r="AD445" i="3"/>
  <c r="AE445" i="3"/>
  <c r="AH445" i="3"/>
  <c r="AI445" i="3"/>
  <c r="AD437" i="3"/>
  <c r="AE437" i="3"/>
  <c r="AH437" i="3"/>
  <c r="AI437" i="3"/>
  <c r="AD429" i="3"/>
  <c r="AH429" i="3"/>
  <c r="AE429" i="3"/>
  <c r="AI429" i="3"/>
  <c r="AD421" i="3"/>
  <c r="AE421" i="3"/>
  <c r="AH421" i="3"/>
  <c r="AI421" i="3"/>
  <c r="AD413" i="3"/>
  <c r="AH413" i="3"/>
  <c r="AE413" i="3"/>
  <c r="AI413" i="3"/>
  <c r="AD405" i="3"/>
  <c r="AE405" i="3"/>
  <c r="AH405" i="3"/>
  <c r="AI405" i="3"/>
  <c r="AD288" i="3"/>
  <c r="AH288" i="3"/>
  <c r="AE288" i="3"/>
  <c r="AI288" i="3"/>
  <c r="AD232" i="3"/>
  <c r="AE232" i="3"/>
  <c r="AH232" i="3"/>
  <c r="AI232" i="3"/>
  <c r="AD279" i="3"/>
  <c r="AE279" i="3"/>
  <c r="AH279" i="3"/>
  <c r="AI279" i="3"/>
  <c r="AD278" i="3"/>
  <c r="AE278" i="3"/>
  <c r="AI278" i="3"/>
  <c r="AH278" i="3"/>
  <c r="AE285" i="3"/>
  <c r="AD285" i="3"/>
  <c r="AI285" i="3"/>
  <c r="AH285" i="3"/>
  <c r="AD261" i="3"/>
  <c r="AE261" i="3"/>
  <c r="AH261" i="3"/>
  <c r="AI261" i="3"/>
  <c r="AE237" i="3"/>
  <c r="AD237" i="3"/>
  <c r="AH237" i="3"/>
  <c r="AI237" i="3"/>
  <c r="AD276" i="3"/>
  <c r="AE276" i="3"/>
  <c r="AH276" i="3"/>
  <c r="AI276" i="3"/>
  <c r="AD220" i="3"/>
  <c r="AE220" i="3"/>
  <c r="AH220" i="3"/>
  <c r="AI220" i="3"/>
  <c r="AD108" i="3"/>
  <c r="AH108" i="3"/>
  <c r="AE108" i="3"/>
  <c r="AI108" i="3"/>
  <c r="AD298" i="3"/>
  <c r="AH298" i="3"/>
  <c r="AI298" i="3"/>
  <c r="AE298" i="3"/>
  <c r="AD297" i="3"/>
  <c r="AE297" i="3"/>
  <c r="AI297" i="3"/>
  <c r="AH297" i="3"/>
  <c r="AD289" i="3"/>
  <c r="AE289" i="3"/>
  <c r="AH289" i="3"/>
  <c r="AI289" i="3"/>
  <c r="AD281" i="3"/>
  <c r="AH281" i="3"/>
  <c r="AE281" i="3"/>
  <c r="AI281" i="3"/>
  <c r="AD273" i="3"/>
  <c r="AH273" i="3"/>
  <c r="AE273" i="3"/>
  <c r="AI273" i="3"/>
  <c r="AD265" i="3"/>
  <c r="AE265" i="3"/>
  <c r="AI265" i="3"/>
  <c r="AH265" i="3"/>
  <c r="AD257" i="3"/>
  <c r="AE257" i="3"/>
  <c r="AI257" i="3"/>
  <c r="AH257" i="3"/>
  <c r="AD249" i="3"/>
  <c r="AE249" i="3"/>
  <c r="AH249" i="3"/>
  <c r="AI249" i="3"/>
  <c r="AD241" i="3"/>
  <c r="AE241" i="3"/>
  <c r="AI241" i="3"/>
  <c r="AH241" i="3"/>
  <c r="AD233" i="3"/>
  <c r="AE233" i="3"/>
  <c r="AH233" i="3"/>
  <c r="AI233" i="3"/>
  <c r="AD225" i="3"/>
  <c r="AE225" i="3"/>
  <c r="AH225" i="3"/>
  <c r="AI225" i="3"/>
  <c r="AD217" i="3"/>
  <c r="AE217" i="3"/>
  <c r="AI217" i="3"/>
  <c r="AH217" i="3"/>
  <c r="AD209" i="3"/>
  <c r="AH209" i="3"/>
  <c r="AE209" i="3"/>
  <c r="AI209" i="3"/>
  <c r="AD201" i="3"/>
  <c r="AE201" i="3"/>
  <c r="AI201" i="3"/>
  <c r="AH201" i="3"/>
  <c r="AE193" i="3"/>
  <c r="AD193" i="3"/>
  <c r="AI193" i="3"/>
  <c r="AH193" i="3"/>
  <c r="AE185" i="3"/>
  <c r="AH185" i="3"/>
  <c r="AD185" i="3"/>
  <c r="AI185" i="3"/>
  <c r="AE177" i="3"/>
  <c r="AI177" i="3"/>
  <c r="AD177" i="3"/>
  <c r="AH177" i="3"/>
  <c r="AE169" i="3"/>
  <c r="AD169" i="3"/>
  <c r="AH169" i="3"/>
  <c r="AI169" i="3"/>
  <c r="AE161" i="3"/>
  <c r="AD161" i="3"/>
  <c r="AI161" i="3"/>
  <c r="AH161" i="3"/>
  <c r="AD153" i="3"/>
  <c r="AI153" i="3"/>
  <c r="AE153" i="3"/>
  <c r="AH153" i="3"/>
  <c r="AD145" i="3"/>
  <c r="AI145" i="3"/>
  <c r="AE145" i="3"/>
  <c r="AH145" i="3"/>
  <c r="AD137" i="3"/>
  <c r="AE137" i="3"/>
  <c r="AH137" i="3"/>
  <c r="AI137" i="3"/>
  <c r="AH129" i="3"/>
  <c r="AE129" i="3"/>
  <c r="AD129" i="3"/>
  <c r="AI129" i="3"/>
  <c r="AE121" i="3"/>
  <c r="AD121" i="3"/>
  <c r="AH121" i="3"/>
  <c r="AI121" i="3"/>
  <c r="AE113" i="3"/>
  <c r="AH113" i="3"/>
  <c r="AD113" i="3"/>
  <c r="AI113" i="3"/>
  <c r="AE105" i="3"/>
  <c r="AD105" i="3"/>
  <c r="AH105" i="3"/>
  <c r="AI105" i="3"/>
  <c r="AE97" i="3"/>
  <c r="AD97" i="3"/>
  <c r="AI97" i="3"/>
  <c r="AH97" i="3"/>
  <c r="AD89" i="3"/>
  <c r="AE89" i="3"/>
  <c r="AI89" i="3"/>
  <c r="AH89" i="3"/>
  <c r="AD81" i="3"/>
  <c r="AE81" i="3"/>
  <c r="AH81" i="3"/>
  <c r="AI81" i="3"/>
  <c r="AD73" i="3"/>
  <c r="AE73" i="3"/>
  <c r="AI73" i="3"/>
  <c r="AH73" i="3"/>
  <c r="AE65" i="3"/>
  <c r="AD65" i="3"/>
  <c r="AH65" i="3"/>
  <c r="AI65" i="3"/>
  <c r="AH57" i="3"/>
  <c r="AE57" i="3"/>
  <c r="AD57" i="3"/>
  <c r="AI57" i="3"/>
  <c r="AE49" i="3"/>
  <c r="AD49" i="3"/>
  <c r="AI49" i="3"/>
  <c r="AH49" i="3"/>
  <c r="AE41" i="3"/>
  <c r="AD41" i="3"/>
  <c r="AH41" i="3"/>
  <c r="AI41" i="3"/>
  <c r="AE33" i="3"/>
  <c r="AD33" i="3"/>
  <c r="AI33" i="3"/>
  <c r="AH33" i="3"/>
  <c r="AD25" i="3"/>
  <c r="AH25" i="3"/>
  <c r="AI25" i="3"/>
  <c r="AE25" i="3"/>
  <c r="AD17" i="3"/>
  <c r="AE17" i="3"/>
  <c r="AI17" i="3"/>
  <c r="AH17" i="3"/>
  <c r="AD9" i="3"/>
  <c r="AE9" i="3"/>
  <c r="AI9" i="3"/>
  <c r="AH9" i="3"/>
  <c r="AD401" i="3"/>
  <c r="AE401" i="3"/>
  <c r="AI401" i="3"/>
  <c r="AH401" i="3"/>
  <c r="AE393" i="3"/>
  <c r="AD393" i="3"/>
  <c r="AI393" i="3"/>
  <c r="AH393" i="3"/>
  <c r="AD385" i="3"/>
  <c r="AE385" i="3"/>
  <c r="AI385" i="3"/>
  <c r="AH385" i="3"/>
  <c r="AD377" i="3"/>
  <c r="AE377" i="3"/>
  <c r="AI377" i="3"/>
  <c r="AH377" i="3"/>
  <c r="AD369" i="3"/>
  <c r="AE369" i="3"/>
  <c r="AI369" i="3"/>
  <c r="AH369" i="3"/>
  <c r="AD361" i="3"/>
  <c r="AI361" i="3"/>
  <c r="AE361" i="3"/>
  <c r="AH361" i="3"/>
  <c r="AD353" i="3"/>
  <c r="AE353" i="3"/>
  <c r="AI353" i="3"/>
  <c r="AH353" i="3"/>
  <c r="AD345" i="3"/>
  <c r="AE345" i="3"/>
  <c r="AI345" i="3"/>
  <c r="AH345" i="3"/>
  <c r="AD337" i="3"/>
  <c r="AE337" i="3"/>
  <c r="AI337" i="3"/>
  <c r="AH337" i="3"/>
  <c r="AD329" i="3"/>
  <c r="AE329" i="3"/>
  <c r="AH329" i="3"/>
  <c r="AI329" i="3"/>
  <c r="AD321" i="3"/>
  <c r="AE321" i="3"/>
  <c r="AH321" i="3"/>
  <c r="AI321" i="3"/>
  <c r="AD313" i="3"/>
  <c r="AE313" i="3"/>
  <c r="AH313" i="3"/>
  <c r="AI313" i="3"/>
  <c r="AD305" i="3"/>
  <c r="AE305" i="3"/>
  <c r="AH305" i="3"/>
  <c r="AI305" i="3"/>
  <c r="AD500" i="3"/>
  <c r="AE500" i="3"/>
  <c r="AH500" i="3"/>
  <c r="AI500" i="3"/>
  <c r="AD492" i="3"/>
  <c r="AE492" i="3"/>
  <c r="AH492" i="3"/>
  <c r="AI492" i="3"/>
  <c r="AE484" i="3"/>
  <c r="AD484" i="3"/>
  <c r="AH484" i="3"/>
  <c r="AI484" i="3"/>
  <c r="AE476" i="3"/>
  <c r="AD476" i="3"/>
  <c r="AH476" i="3"/>
  <c r="AI476" i="3"/>
  <c r="AE468" i="3"/>
  <c r="AD468" i="3"/>
  <c r="AH468" i="3"/>
  <c r="AI468" i="3"/>
  <c r="AE460" i="3"/>
  <c r="AH460" i="3"/>
  <c r="AD460" i="3"/>
  <c r="AI460" i="3"/>
  <c r="AE452" i="3"/>
  <c r="AD452" i="3"/>
  <c r="AH452" i="3"/>
  <c r="AI452" i="3"/>
  <c r="AH444" i="3"/>
  <c r="AD444" i="3"/>
  <c r="AE444" i="3"/>
  <c r="AI444" i="3"/>
  <c r="AD436" i="3"/>
  <c r="AE436" i="3"/>
  <c r="AH436" i="3"/>
  <c r="AI436" i="3"/>
  <c r="AD428" i="3"/>
  <c r="AE428" i="3"/>
  <c r="AH428" i="3"/>
  <c r="AI428" i="3"/>
  <c r="AD420" i="3"/>
  <c r="AE420" i="3"/>
  <c r="AH420" i="3"/>
  <c r="AI420" i="3"/>
  <c r="AE412" i="3"/>
  <c r="AD412" i="3"/>
  <c r="AH412" i="3"/>
  <c r="AI412" i="3"/>
  <c r="AE404" i="3"/>
  <c r="AD404" i="3"/>
  <c r="AH404" i="3"/>
  <c r="AI404" i="3"/>
  <c r="E85" i="1"/>
  <c r="E84" i="1"/>
  <c r="E10" i="3"/>
  <c r="AA498" i="3"/>
  <c r="Z503" i="3"/>
  <c r="W264" i="3"/>
  <c r="X256" i="3"/>
  <c r="Y240" i="3"/>
  <c r="Y232" i="3"/>
  <c r="AG216" i="3"/>
  <c r="X200" i="3"/>
  <c r="Y192" i="3"/>
  <c r="W299" i="3"/>
  <c r="V219" i="3"/>
  <c r="AG501" i="3"/>
  <c r="W496" i="3"/>
  <c r="AG493" i="3"/>
  <c r="AG489" i="3"/>
  <c r="X488" i="3"/>
  <c r="V482" i="3"/>
  <c r="V474" i="3"/>
  <c r="AF469" i="3"/>
  <c r="AA468" i="3"/>
  <c r="Y467" i="3"/>
  <c r="X466" i="3"/>
  <c r="Y465" i="3"/>
  <c r="AG463" i="3"/>
  <c r="Y462" i="3"/>
  <c r="AG460" i="3"/>
  <c r="V460" i="3"/>
  <c r="X458" i="3"/>
  <c r="X453" i="3"/>
  <c r="X449" i="3"/>
  <c r="AG447" i="3"/>
  <c r="X446" i="3"/>
  <c r="V444" i="3"/>
  <c r="X441" i="3"/>
  <c r="AG438" i="3"/>
  <c r="X437" i="3"/>
  <c r="W436" i="3"/>
  <c r="Y435" i="3"/>
  <c r="V432" i="3"/>
  <c r="Y424" i="3"/>
  <c r="X421" i="3"/>
  <c r="X417" i="3"/>
  <c r="Y416" i="3"/>
  <c r="AF415" i="3"/>
  <c r="Z412" i="3"/>
  <c r="V410" i="3"/>
  <c r="V279" i="3"/>
  <c r="V271" i="3"/>
  <c r="Y263" i="3"/>
  <c r="AF255" i="3"/>
  <c r="V223" i="3"/>
  <c r="Y207" i="3"/>
  <c r="V297" i="3"/>
  <c r="AF278" i="3"/>
  <c r="V261" i="3"/>
  <c r="W247" i="3"/>
  <c r="AG212" i="3"/>
  <c r="Y503" i="3"/>
  <c r="AF501" i="3"/>
  <c r="V496" i="3"/>
  <c r="AF493" i="3"/>
  <c r="V488" i="3"/>
  <c r="AG484" i="3"/>
  <c r="AG483" i="3"/>
  <c r="AG478" i="3"/>
  <c r="W477" i="3"/>
  <c r="AG469" i="3"/>
  <c r="Y468" i="3"/>
  <c r="V466" i="3"/>
  <c r="X465" i="3"/>
  <c r="X462" i="3"/>
  <c r="AF460" i="3"/>
  <c r="V458" i="3"/>
  <c r="W453" i="3"/>
  <c r="W449" i="3"/>
  <c r="W446" i="3"/>
  <c r="AG444" i="3"/>
  <c r="W441" i="3"/>
  <c r="Y440" i="3"/>
  <c r="V436" i="3"/>
  <c r="X435" i="3"/>
  <c r="AF433" i="3"/>
  <c r="AG432" i="3"/>
  <c r="X424" i="3"/>
  <c r="X416" i="3"/>
  <c r="Y413" i="3"/>
  <c r="Y412" i="3"/>
  <c r="AG407" i="3"/>
  <c r="E8" i="3"/>
  <c r="Y270" i="3"/>
  <c r="Y262" i="3"/>
  <c r="Y254" i="3"/>
  <c r="V182" i="3"/>
  <c r="Y260" i="3"/>
  <c r="AF503" i="3"/>
  <c r="AG500" i="3"/>
  <c r="Y499" i="3"/>
  <c r="Y498" i="3"/>
  <c r="AG496" i="3"/>
  <c r="Z489" i="3"/>
  <c r="Y486" i="3"/>
  <c r="AF484" i="3"/>
  <c r="X483" i="3"/>
  <c r="AF478" i="3"/>
  <c r="Y477" i="3"/>
  <c r="Y475" i="3"/>
  <c r="W473" i="3"/>
  <c r="AG470" i="3"/>
  <c r="X468" i="3"/>
  <c r="W465" i="3"/>
  <c r="Z463" i="3"/>
  <c r="Z459" i="3"/>
  <c r="AG453" i="3"/>
  <c r="V453" i="3"/>
  <c r="Y452" i="3"/>
  <c r="V449" i="3"/>
  <c r="Y448" i="3"/>
  <c r="Y447" i="3"/>
  <c r="V446" i="3"/>
  <c r="AF444" i="3"/>
  <c r="V443" i="3"/>
  <c r="V441" i="3"/>
  <c r="X440" i="3"/>
  <c r="Y438" i="3"/>
  <c r="W435" i="3"/>
  <c r="AF432" i="3"/>
  <c r="AG431" i="3"/>
  <c r="W424" i="3"/>
  <c r="Y420" i="3"/>
  <c r="AA418" i="3"/>
  <c r="W416" i="3"/>
  <c r="AG414" i="3"/>
  <c r="X413" i="3"/>
  <c r="W412" i="3"/>
  <c r="Z411" i="3"/>
  <c r="AF409" i="3"/>
  <c r="Y408" i="3"/>
  <c r="AF407" i="3"/>
  <c r="AG404" i="3"/>
  <c r="E9" i="3"/>
  <c r="V293" i="3"/>
  <c r="X285" i="3"/>
  <c r="W277" i="3"/>
  <c r="V149" i="3"/>
  <c r="W303" i="3"/>
  <c r="AF259" i="3"/>
  <c r="W245" i="3"/>
  <c r="AG236" i="3"/>
  <c r="Y500" i="3"/>
  <c r="W499" i="3"/>
  <c r="X498" i="3"/>
  <c r="AF496" i="3"/>
  <c r="W491" i="3"/>
  <c r="Y489" i="3"/>
  <c r="X486" i="3"/>
  <c r="AA484" i="3"/>
  <c r="Y480" i="3"/>
  <c r="X478" i="3"/>
  <c r="AF470" i="3"/>
  <c r="W468" i="3"/>
  <c r="AG466" i="3"/>
  <c r="V465" i="3"/>
  <c r="Y463" i="3"/>
  <c r="W456" i="3"/>
  <c r="AF453" i="3"/>
  <c r="X452" i="3"/>
  <c r="AG449" i="3"/>
  <c r="X448" i="3"/>
  <c r="V447" i="3"/>
  <c r="AG441" i="3"/>
  <c r="W440" i="3"/>
  <c r="V438" i="3"/>
  <c r="V435" i="3"/>
  <c r="AG427" i="3"/>
  <c r="V424" i="3"/>
  <c r="Y418" i="3"/>
  <c r="V416" i="3"/>
  <c r="Y415" i="3"/>
  <c r="Z414" i="3"/>
  <c r="V413" i="3"/>
  <c r="Y411" i="3"/>
  <c r="X408" i="3"/>
  <c r="AF404" i="3"/>
  <c r="V300" i="3"/>
  <c r="V292" i="3"/>
  <c r="X284" i="3"/>
  <c r="X276" i="3"/>
  <c r="V252" i="3"/>
  <c r="AF220" i="3"/>
  <c r="W204" i="3"/>
  <c r="Y196" i="3"/>
  <c r="Y302" i="3"/>
  <c r="X257" i="3"/>
  <c r="W244" i="3"/>
  <c r="AG235" i="3"/>
  <c r="AG502" i="3"/>
  <c r="Y501" i="3"/>
  <c r="V499" i="3"/>
  <c r="W498" i="3"/>
  <c r="Y493" i="3"/>
  <c r="V489" i="3"/>
  <c r="W486" i="3"/>
  <c r="Y484" i="3"/>
  <c r="X480" i="3"/>
  <c r="V478" i="3"/>
  <c r="AG476" i="3"/>
  <c r="AG474" i="3"/>
  <c r="AG472" i="3"/>
  <c r="AG468" i="3"/>
  <c r="V468" i="3"/>
  <c r="AF466" i="3"/>
  <c r="AG465" i="3"/>
  <c r="V463" i="3"/>
  <c r="AF461" i="3"/>
  <c r="AA460" i="3"/>
  <c r="AG458" i="3"/>
  <c r="V456" i="3"/>
  <c r="W452" i="3"/>
  <c r="AF449" i="3"/>
  <c r="W448" i="3"/>
  <c r="AF441" i="3"/>
  <c r="AG436" i="3"/>
  <c r="AG435" i="3"/>
  <c r="X433" i="3"/>
  <c r="Y430" i="3"/>
  <c r="Y427" i="3"/>
  <c r="AG424" i="3"/>
  <c r="AG419" i="3"/>
  <c r="W418" i="3"/>
  <c r="AG416" i="3"/>
  <c r="X415" i="3"/>
  <c r="Y414" i="3"/>
  <c r="X411" i="3"/>
  <c r="W408" i="3"/>
  <c r="E11" i="3"/>
  <c r="X291" i="3"/>
  <c r="AF283" i="3"/>
  <c r="W251" i="3"/>
  <c r="V227" i="3"/>
  <c r="Y203" i="3"/>
  <c r="AF179" i="3"/>
  <c r="AG171" i="3"/>
  <c r="AF3" i="3"/>
  <c r="Y287" i="3"/>
  <c r="Y502" i="3"/>
  <c r="X501" i="3"/>
  <c r="X493" i="3"/>
  <c r="AG490" i="3"/>
  <c r="V486" i="3"/>
  <c r="X484" i="3"/>
  <c r="AG482" i="3"/>
  <c r="V480" i="3"/>
  <c r="AF476" i="3"/>
  <c r="AF474" i="3"/>
  <c r="Y470" i="3"/>
  <c r="AF468" i="3"/>
  <c r="AF465" i="3"/>
  <c r="Y460" i="3"/>
  <c r="AF458" i="3"/>
  <c r="AG457" i="3"/>
  <c r="V452" i="3"/>
  <c r="AG446" i="3"/>
  <c r="X445" i="3"/>
  <c r="Y444" i="3"/>
  <c r="AG442" i="3"/>
  <c r="AG437" i="3"/>
  <c r="AF435" i="3"/>
  <c r="AG434" i="3"/>
  <c r="V433" i="3"/>
  <c r="Y432" i="3"/>
  <c r="AG430" i="3"/>
  <c r="W427" i="3"/>
  <c r="AF424" i="3"/>
  <c r="AF423" i="3"/>
  <c r="V418" i="3"/>
  <c r="AF416" i="3"/>
  <c r="W415" i="3"/>
  <c r="AG412" i="3"/>
  <c r="W411" i="3"/>
  <c r="V408" i="3"/>
  <c r="X407" i="3"/>
  <c r="Y404" i="3"/>
  <c r="E12" i="3"/>
  <c r="W298" i="3"/>
  <c r="W282" i="3"/>
  <c r="X274" i="3"/>
  <c r="X266" i="3"/>
  <c r="V234" i="3"/>
  <c r="X170" i="3"/>
  <c r="AG300" i="3"/>
  <c r="AF286" i="3"/>
  <c r="V254" i="3"/>
  <c r="V230" i="3"/>
  <c r="W501" i="3"/>
  <c r="AG498" i="3"/>
  <c r="Y496" i="3"/>
  <c r="W493" i="3"/>
  <c r="AG488" i="3"/>
  <c r="AG486" i="3"/>
  <c r="AF482" i="3"/>
  <c r="W479" i="3"/>
  <c r="Y476" i="3"/>
  <c r="Z474" i="3"/>
  <c r="AG471" i="3"/>
  <c r="W470" i="3"/>
  <c r="AA466" i="3"/>
  <c r="AG462" i="3"/>
  <c r="X460" i="3"/>
  <c r="W457" i="3"/>
  <c r="AA453" i="3"/>
  <c r="AG452" i="3"/>
  <c r="AG448" i="3"/>
  <c r="AF446" i="3"/>
  <c r="X444" i="3"/>
  <c r="Z442" i="3"/>
  <c r="AG440" i="3"/>
  <c r="Y439" i="3"/>
  <c r="AF437" i="3"/>
  <c r="Y434" i="3"/>
  <c r="X432" i="3"/>
  <c r="AA429" i="3"/>
  <c r="V415" i="3"/>
  <c r="AG413" i="3"/>
  <c r="AF412" i="3"/>
  <c r="AG411" i="3"/>
  <c r="V411" i="3"/>
  <c r="AG408" i="3"/>
  <c r="V407" i="3"/>
  <c r="X404" i="3"/>
  <c r="E13" i="3"/>
  <c r="V257" i="3"/>
  <c r="Y241" i="3"/>
  <c r="Y283" i="3"/>
  <c r="Y253" i="3"/>
  <c r="V501" i="3"/>
  <c r="AG499" i="3"/>
  <c r="AF498" i="3"/>
  <c r="X496" i="3"/>
  <c r="V493" i="3"/>
  <c r="AF488" i="3"/>
  <c r="AF486" i="3"/>
  <c r="X482" i="3"/>
  <c r="AG477" i="3"/>
  <c r="X476" i="3"/>
  <c r="X474" i="3"/>
  <c r="X470" i="3"/>
  <c r="AG467" i="3"/>
  <c r="Y466" i="3"/>
  <c r="Y464" i="3"/>
  <c r="AF462" i="3"/>
  <c r="W460" i="3"/>
  <c r="Y458" i="3"/>
  <c r="V457" i="3"/>
  <c r="AF454" i="3"/>
  <c r="Y453" i="3"/>
  <c r="AF452" i="3"/>
  <c r="Y449" i="3"/>
  <c r="AF448" i="3"/>
  <c r="W444" i="3"/>
  <c r="Y442" i="3"/>
  <c r="Y441" i="3"/>
  <c r="AF440" i="3"/>
  <c r="Y437" i="3"/>
  <c r="Y436" i="3"/>
  <c r="W432" i="3"/>
  <c r="X429" i="3"/>
  <c r="Y422" i="3"/>
  <c r="AG418" i="3"/>
  <c r="AG415" i="3"/>
  <c r="AF413" i="3"/>
  <c r="AF411" i="3"/>
  <c r="U260" i="3"/>
  <c r="U250" i="3"/>
  <c r="U158" i="3"/>
  <c r="U94" i="3"/>
  <c r="U30" i="3"/>
  <c r="U366" i="3"/>
  <c r="U457" i="3"/>
  <c r="U298" i="3"/>
  <c r="U270" i="3"/>
  <c r="U196" i="3"/>
  <c r="U150" i="3"/>
  <c r="U86" i="3"/>
  <c r="U22" i="3"/>
  <c r="U358" i="3"/>
  <c r="U478" i="3"/>
  <c r="U459" i="3"/>
  <c r="U423" i="3"/>
  <c r="U281" i="3"/>
  <c r="U225" i="3"/>
  <c r="U142" i="3"/>
  <c r="U78" i="3"/>
  <c r="U14" i="3"/>
  <c r="U350" i="3"/>
  <c r="U414" i="3"/>
  <c r="U413" i="3"/>
  <c r="U412" i="3"/>
  <c r="U189" i="3"/>
  <c r="U134" i="3"/>
  <c r="U70" i="3"/>
  <c r="U6" i="3"/>
  <c r="U342" i="3"/>
  <c r="U302" i="3"/>
  <c r="U255" i="3"/>
  <c r="U245" i="3"/>
  <c r="U218" i="3"/>
  <c r="U126" i="3"/>
  <c r="U62" i="3"/>
  <c r="U398" i="3"/>
  <c r="U334" i="3"/>
  <c r="U482" i="3"/>
  <c r="U182" i="3"/>
  <c r="U118" i="3"/>
  <c r="U54" i="3"/>
  <c r="U390" i="3"/>
  <c r="U326" i="3"/>
  <c r="U464" i="3"/>
  <c r="U276" i="3"/>
  <c r="U211" i="3"/>
  <c r="U174" i="3"/>
  <c r="U110" i="3"/>
  <c r="U46" i="3"/>
  <c r="U382" i="3"/>
  <c r="U318" i="3"/>
  <c r="U474" i="3"/>
  <c r="U287" i="3"/>
  <c r="U231" i="3"/>
  <c r="U203" i="3"/>
  <c r="U166" i="3"/>
  <c r="U102" i="3"/>
  <c r="U38" i="3"/>
  <c r="U374" i="3"/>
  <c r="U310" i="3"/>
  <c r="U455" i="3"/>
  <c r="U430" i="3"/>
  <c r="U420" i="3"/>
  <c r="U3" i="3"/>
  <c r="U303" i="3"/>
  <c r="U288" i="3"/>
  <c r="U283" i="3"/>
  <c r="U266" i="3"/>
  <c r="U261" i="3"/>
  <c r="U252" i="3"/>
  <c r="U246" i="3"/>
  <c r="U227" i="3"/>
  <c r="U205" i="3"/>
  <c r="U198" i="3"/>
  <c r="U191" i="3"/>
  <c r="U176" i="3"/>
  <c r="U168" i="3"/>
  <c r="U160" i="3"/>
  <c r="U152" i="3"/>
  <c r="U144" i="3"/>
  <c r="U136" i="3"/>
  <c r="U128" i="3"/>
  <c r="U120" i="3"/>
  <c r="U112" i="3"/>
  <c r="U104" i="3"/>
  <c r="U96" i="3"/>
  <c r="U88" i="3"/>
  <c r="U80" i="3"/>
  <c r="U72" i="3"/>
  <c r="U64" i="3"/>
  <c r="U56" i="3"/>
  <c r="U48" i="3"/>
  <c r="U40" i="3"/>
  <c r="U32" i="3"/>
  <c r="U24" i="3"/>
  <c r="U16" i="3"/>
  <c r="U8" i="3"/>
  <c r="U400" i="3"/>
  <c r="U392" i="3"/>
  <c r="U384" i="3"/>
  <c r="U376" i="3"/>
  <c r="U368" i="3"/>
  <c r="U360" i="3"/>
  <c r="U352" i="3"/>
  <c r="U344" i="3"/>
  <c r="U336" i="3"/>
  <c r="U328" i="3"/>
  <c r="U320" i="3"/>
  <c r="U312" i="3"/>
  <c r="U304" i="3"/>
  <c r="U492" i="3"/>
  <c r="U480" i="3"/>
  <c r="U477" i="3"/>
  <c r="U472" i="3"/>
  <c r="U460" i="3"/>
  <c r="U456" i="3"/>
  <c r="U448" i="3"/>
  <c r="U447" i="3"/>
  <c r="U446" i="3"/>
  <c r="U444" i="3"/>
  <c r="U434" i="3"/>
  <c r="U433" i="3"/>
  <c r="U428" i="3"/>
  <c r="U299" i="3"/>
  <c r="U294" i="3"/>
  <c r="U282" i="3"/>
  <c r="U277" i="3"/>
  <c r="U271" i="3"/>
  <c r="U265" i="3"/>
  <c r="U256" i="3"/>
  <c r="U251" i="3"/>
  <c r="U241" i="3"/>
  <c r="U237" i="3"/>
  <c r="U232" i="3"/>
  <c r="U226" i="3"/>
  <c r="U219" i="3"/>
  <c r="U212" i="3"/>
  <c r="U204" i="3"/>
  <c r="U197" i="3"/>
  <c r="U190" i="3"/>
  <c r="U183" i="3"/>
  <c r="U175" i="3"/>
  <c r="U167" i="3"/>
  <c r="U159" i="3"/>
  <c r="U151" i="3"/>
  <c r="U143" i="3"/>
  <c r="U135" i="3"/>
  <c r="U127" i="3"/>
  <c r="U119" i="3"/>
  <c r="U111" i="3"/>
  <c r="U103" i="3"/>
  <c r="U95" i="3"/>
  <c r="U87" i="3"/>
  <c r="U79" i="3"/>
  <c r="U71" i="3"/>
  <c r="U63" i="3"/>
  <c r="U55" i="3"/>
  <c r="U47" i="3"/>
  <c r="U39" i="3"/>
  <c r="U31" i="3"/>
  <c r="U23" i="3"/>
  <c r="U15" i="3"/>
  <c r="U7" i="3"/>
  <c r="U399" i="3"/>
  <c r="U391" i="3"/>
  <c r="U383" i="3"/>
  <c r="U375" i="3"/>
  <c r="U367" i="3"/>
  <c r="U359" i="3"/>
  <c r="U351" i="3"/>
  <c r="U343" i="3"/>
  <c r="U335" i="3"/>
  <c r="U327" i="3"/>
  <c r="U319" i="3"/>
  <c r="U311" i="3"/>
  <c r="U497" i="3"/>
  <c r="U467" i="3"/>
  <c r="U463" i="3"/>
  <c r="U453" i="3"/>
  <c r="U450" i="3"/>
  <c r="U442" i="3"/>
  <c r="U438" i="3"/>
  <c r="U436" i="3"/>
  <c r="U426" i="3"/>
  <c r="U410" i="3"/>
  <c r="U408" i="3"/>
  <c r="U293" i="3"/>
  <c r="U280" i="3"/>
  <c r="U269" i="3"/>
  <c r="U264" i="3"/>
  <c r="U249" i="3"/>
  <c r="U240" i="3"/>
  <c r="U236" i="3"/>
  <c r="U224" i="3"/>
  <c r="U217" i="3"/>
  <c r="U210" i="3"/>
  <c r="U202" i="3"/>
  <c r="U188" i="3"/>
  <c r="U181" i="3"/>
  <c r="U173" i="3"/>
  <c r="U165" i="3"/>
  <c r="U157" i="3"/>
  <c r="U149" i="3"/>
  <c r="U141" i="3"/>
  <c r="U133" i="3"/>
  <c r="U125" i="3"/>
  <c r="U117" i="3"/>
  <c r="U109" i="3"/>
  <c r="U101" i="3"/>
  <c r="U93" i="3"/>
  <c r="U85" i="3"/>
  <c r="U77" i="3"/>
  <c r="U69" i="3"/>
  <c r="U61" i="3"/>
  <c r="U53" i="3"/>
  <c r="U45" i="3"/>
  <c r="U37" i="3"/>
  <c r="U29" i="3"/>
  <c r="U21" i="3"/>
  <c r="U13" i="3"/>
  <c r="U5" i="3"/>
  <c r="U397" i="3"/>
  <c r="U389" i="3"/>
  <c r="U381" i="3"/>
  <c r="U373" i="3"/>
  <c r="U365" i="3"/>
  <c r="U357" i="3"/>
  <c r="U349" i="3"/>
  <c r="U341" i="3"/>
  <c r="U333" i="3"/>
  <c r="U325" i="3"/>
  <c r="U317" i="3"/>
  <c r="U309" i="3"/>
  <c r="U502" i="3"/>
  <c r="U500" i="3"/>
  <c r="U494" i="3"/>
  <c r="U486" i="3"/>
  <c r="U483" i="3"/>
  <c r="U479" i="3"/>
  <c r="U475" i="3"/>
  <c r="U466" i="3"/>
  <c r="U461" i="3"/>
  <c r="U458" i="3"/>
  <c r="U443" i="3"/>
  <c r="U439" i="3"/>
  <c r="U425" i="3"/>
  <c r="U417" i="3"/>
  <c r="U415" i="3"/>
  <c r="U407" i="3"/>
  <c r="E7" i="3"/>
  <c r="U301" i="3"/>
  <c r="U297" i="3"/>
  <c r="U292" i="3"/>
  <c r="U286" i="3"/>
  <c r="U275" i="3"/>
  <c r="U259" i="3"/>
  <c r="U254" i="3"/>
  <c r="U248" i="3"/>
  <c r="U244" i="3"/>
  <c r="U230" i="3"/>
  <c r="U223" i="3"/>
  <c r="U216" i="3"/>
  <c r="U209" i="3"/>
  <c r="U201" i="3"/>
  <c r="U195" i="3"/>
  <c r="U187" i="3"/>
  <c r="U180" i="3"/>
  <c r="U172" i="3"/>
  <c r="U164" i="3"/>
  <c r="U156" i="3"/>
  <c r="U148" i="3"/>
  <c r="U140" i="3"/>
  <c r="U132" i="3"/>
  <c r="U124" i="3"/>
  <c r="U116" i="3"/>
  <c r="U108" i="3"/>
  <c r="U100" i="3"/>
  <c r="U92" i="3"/>
  <c r="U84" i="3"/>
  <c r="U76" i="3"/>
  <c r="U68" i="3"/>
  <c r="U60" i="3"/>
  <c r="U52" i="3"/>
  <c r="U44" i="3"/>
  <c r="U36" i="3"/>
  <c r="U28" i="3"/>
  <c r="U20" i="3"/>
  <c r="U12" i="3"/>
  <c r="U4" i="3"/>
  <c r="U396" i="3"/>
  <c r="U388" i="3"/>
  <c r="U380" i="3"/>
  <c r="U372" i="3"/>
  <c r="U364" i="3"/>
  <c r="U356" i="3"/>
  <c r="U348" i="3"/>
  <c r="U340" i="3"/>
  <c r="U332" i="3"/>
  <c r="U324" i="3"/>
  <c r="U316" i="3"/>
  <c r="U308" i="3"/>
  <c r="U491" i="3"/>
  <c r="U481" i="3"/>
  <c r="U470" i="3"/>
  <c r="U468" i="3"/>
  <c r="U454" i="3"/>
  <c r="U445" i="3"/>
  <c r="U435" i="3"/>
  <c r="U432" i="3"/>
  <c r="U422" i="3"/>
  <c r="U291" i="3"/>
  <c r="U285" i="3"/>
  <c r="U279" i="3"/>
  <c r="U274" i="3"/>
  <c r="U268" i="3"/>
  <c r="U263" i="3"/>
  <c r="U258" i="3"/>
  <c r="U239" i="3"/>
  <c r="U235" i="3"/>
  <c r="U229" i="3"/>
  <c r="U222" i="3"/>
  <c r="U215" i="3"/>
  <c r="U208" i="3"/>
  <c r="U194" i="3"/>
  <c r="U186" i="3"/>
  <c r="U179" i="3"/>
  <c r="U171" i="3"/>
  <c r="U163" i="3"/>
  <c r="U155" i="3"/>
  <c r="U147" i="3"/>
  <c r="U139" i="3"/>
  <c r="U131" i="3"/>
  <c r="U123" i="3"/>
  <c r="U115" i="3"/>
  <c r="U107" i="3"/>
  <c r="U99" i="3"/>
  <c r="U91" i="3"/>
  <c r="U83" i="3"/>
  <c r="U75" i="3"/>
  <c r="U67" i="3"/>
  <c r="U59" i="3"/>
  <c r="U51" i="3"/>
  <c r="U43" i="3"/>
  <c r="U35" i="3"/>
  <c r="U27" i="3"/>
  <c r="U19" i="3"/>
  <c r="U11" i="3"/>
  <c r="U403" i="3"/>
  <c r="U395" i="3"/>
  <c r="U387" i="3"/>
  <c r="U379" i="3"/>
  <c r="U371" i="3"/>
  <c r="U363" i="3"/>
  <c r="U355" i="3"/>
  <c r="U347" i="3"/>
  <c r="U339" i="3"/>
  <c r="U331" i="3"/>
  <c r="U323" i="3"/>
  <c r="U315" i="3"/>
  <c r="U307" i="3"/>
  <c r="U499" i="3"/>
  <c r="U496" i="3"/>
  <c r="U488" i="3"/>
  <c r="U485" i="3"/>
  <c r="U484" i="3"/>
  <c r="U473" i="3"/>
  <c r="U471" i="3"/>
  <c r="U452" i="3"/>
  <c r="U449" i="3"/>
  <c r="U441" i="3"/>
  <c r="U419" i="3"/>
  <c r="U409" i="3"/>
  <c r="U406" i="3"/>
  <c r="U300" i="3"/>
  <c r="U296" i="3"/>
  <c r="U290" i="3"/>
  <c r="U284" i="3"/>
  <c r="U273" i="3"/>
  <c r="U262" i="3"/>
  <c r="U253" i="3"/>
  <c r="U247" i="3"/>
  <c r="U243" i="3"/>
  <c r="U234" i="3"/>
  <c r="U221" i="3"/>
  <c r="U214" i="3"/>
  <c r="U207" i="3"/>
  <c r="U200" i="3"/>
  <c r="U193" i="3"/>
  <c r="U185" i="3"/>
  <c r="U178" i="3"/>
  <c r="U170" i="3"/>
  <c r="U162" i="3"/>
  <c r="U154" i="3"/>
  <c r="U146" i="3"/>
  <c r="U138" i="3"/>
  <c r="U130" i="3"/>
  <c r="U122" i="3"/>
  <c r="U114" i="3"/>
  <c r="U106" i="3"/>
  <c r="U98" i="3"/>
  <c r="U90" i="3"/>
  <c r="U82" i="3"/>
  <c r="U74" i="3"/>
  <c r="U66" i="3"/>
  <c r="U58" i="3"/>
  <c r="U50" i="3"/>
  <c r="U42" i="3"/>
  <c r="U34" i="3"/>
  <c r="U26" i="3"/>
  <c r="U18" i="3"/>
  <c r="U10" i="3"/>
  <c r="U402" i="3"/>
  <c r="U394" i="3"/>
  <c r="U386" i="3"/>
  <c r="U378" i="3"/>
  <c r="U370" i="3"/>
  <c r="U362" i="3"/>
  <c r="U354" i="3"/>
  <c r="U346" i="3"/>
  <c r="U338" i="3"/>
  <c r="U330" i="3"/>
  <c r="U322" i="3"/>
  <c r="U314" i="3"/>
  <c r="U306" i="3"/>
  <c r="U503" i="3"/>
  <c r="U501" i="3"/>
  <c r="U498" i="3"/>
  <c r="U493" i="3"/>
  <c r="U490" i="3"/>
  <c r="U465" i="3"/>
  <c r="U429" i="3"/>
  <c r="U427" i="3"/>
  <c r="U404" i="3"/>
  <c r="U295" i="3"/>
  <c r="U289" i="3"/>
  <c r="U278" i="3"/>
  <c r="U272" i="3"/>
  <c r="U267" i="3"/>
  <c r="U257" i="3"/>
  <c r="U242" i="3"/>
  <c r="U238" i="3"/>
  <c r="U233" i="3"/>
  <c r="U228" i="3"/>
  <c r="U220" i="3"/>
  <c r="U213" i="3"/>
  <c r="U206" i="3"/>
  <c r="U199" i="3"/>
  <c r="U192" i="3"/>
  <c r="U184" i="3"/>
  <c r="U177" i="3"/>
  <c r="U169" i="3"/>
  <c r="U161" i="3"/>
  <c r="U153" i="3"/>
  <c r="U145" i="3"/>
  <c r="U137" i="3"/>
  <c r="U129" i="3"/>
  <c r="U121" i="3"/>
  <c r="U113" i="3"/>
  <c r="U105" i="3"/>
  <c r="U97" i="3"/>
  <c r="U89" i="3"/>
  <c r="U81" i="3"/>
  <c r="U73" i="3"/>
  <c r="U65" i="3"/>
  <c r="U57" i="3"/>
  <c r="U49" i="3"/>
  <c r="U41" i="3"/>
  <c r="U33" i="3"/>
  <c r="U25" i="3"/>
  <c r="U17" i="3"/>
  <c r="U9" i="3"/>
  <c r="U401" i="3"/>
  <c r="U393" i="3"/>
  <c r="U385" i="3"/>
  <c r="U377" i="3"/>
  <c r="U369" i="3"/>
  <c r="U361" i="3"/>
  <c r="U353" i="3"/>
  <c r="U345" i="3"/>
  <c r="U337" i="3"/>
  <c r="U329" i="3"/>
  <c r="U321" i="3"/>
  <c r="U313" i="3"/>
  <c r="U305" i="3"/>
  <c r="U495" i="3"/>
  <c r="U489" i="3"/>
  <c r="U487" i="3"/>
  <c r="U476" i="3"/>
  <c r="U469" i="3"/>
  <c r="U462" i="3"/>
  <c r="U451" i="3"/>
  <c r="U440" i="3"/>
  <c r="U437" i="3"/>
  <c r="U431" i="3"/>
  <c r="U424" i="3"/>
  <c r="U421" i="3"/>
  <c r="U418" i="3"/>
  <c r="U416" i="3"/>
  <c r="U411" i="3"/>
  <c r="B27" i="4"/>
  <c r="B88" i="4"/>
  <c r="B48" i="4"/>
  <c r="E83" i="1"/>
  <c r="B38" i="4"/>
  <c r="X258" i="3"/>
  <c r="Y258" i="3"/>
  <c r="AG258" i="3"/>
  <c r="AF218" i="3"/>
  <c r="AG218" i="3"/>
  <c r="V218" i="3"/>
  <c r="W218" i="3"/>
  <c r="X218" i="3"/>
  <c r="Y218" i="3"/>
  <c r="X178" i="3"/>
  <c r="Y178" i="3"/>
  <c r="AF178" i="3"/>
  <c r="AG178" i="3"/>
  <c r="W178" i="3"/>
  <c r="V130" i="3"/>
  <c r="W130" i="3"/>
  <c r="AF130" i="3"/>
  <c r="X130" i="3"/>
  <c r="Y130" i="3"/>
  <c r="AG130" i="3"/>
  <c r="AG90" i="3"/>
  <c r="V90" i="3"/>
  <c r="W90" i="3"/>
  <c r="X90" i="3"/>
  <c r="AF90" i="3"/>
  <c r="Y90" i="3"/>
  <c r="AF50" i="3"/>
  <c r="X50" i="3"/>
  <c r="Y50" i="3"/>
  <c r="AG50" i="3"/>
  <c r="W50" i="3"/>
  <c r="V50" i="3"/>
  <c r="AF18" i="3"/>
  <c r="AG18" i="3"/>
  <c r="V18" i="3"/>
  <c r="W18" i="3"/>
  <c r="X18" i="3"/>
  <c r="Y18" i="3"/>
  <c r="W383" i="3"/>
  <c r="Y383" i="3"/>
  <c r="AF383" i="3"/>
  <c r="V383" i="3"/>
  <c r="X383" i="3"/>
  <c r="AG383" i="3"/>
  <c r="Y327" i="3"/>
  <c r="AG327" i="3"/>
  <c r="AF327" i="3"/>
  <c r="W327" i="3"/>
  <c r="X327" i="3"/>
  <c r="V327" i="3"/>
  <c r="AG311" i="3"/>
  <c r="V311" i="3"/>
  <c r="W311" i="3"/>
  <c r="X311" i="3"/>
  <c r="Y311" i="3"/>
  <c r="AF311" i="3"/>
  <c r="X297" i="3"/>
  <c r="AF297" i="3"/>
  <c r="AF281" i="3"/>
  <c r="W281" i="3"/>
  <c r="V265" i="3"/>
  <c r="W265" i="3"/>
  <c r="X265" i="3"/>
  <c r="V249" i="3"/>
  <c r="W249" i="3"/>
  <c r="X249" i="3"/>
  <c r="Y249" i="3"/>
  <c r="AF249" i="3"/>
  <c r="Y233" i="3"/>
  <c r="AF233" i="3"/>
  <c r="AG233" i="3"/>
  <c r="V233" i="3"/>
  <c r="W233" i="3"/>
  <c r="X233" i="3"/>
  <c r="AF217" i="3"/>
  <c r="AG217" i="3"/>
  <c r="V217" i="3"/>
  <c r="W217" i="3"/>
  <c r="X217" i="3"/>
  <c r="Y217" i="3"/>
  <c r="W201" i="3"/>
  <c r="X201" i="3"/>
  <c r="Y201" i="3"/>
  <c r="AF201" i="3"/>
  <c r="V201" i="3"/>
  <c r="AG201" i="3"/>
  <c r="Y185" i="3"/>
  <c r="AF185" i="3"/>
  <c r="AG185" i="3"/>
  <c r="V185" i="3"/>
  <c r="W185" i="3"/>
  <c r="X185" i="3"/>
  <c r="AF177" i="3"/>
  <c r="AG177" i="3"/>
  <c r="V177" i="3"/>
  <c r="W177" i="3"/>
  <c r="X177" i="3"/>
  <c r="Y177" i="3"/>
  <c r="AF169" i="3"/>
  <c r="AG169" i="3"/>
  <c r="V169" i="3"/>
  <c r="W169" i="3"/>
  <c r="X169" i="3"/>
  <c r="Y169" i="3"/>
  <c r="AG161" i="3"/>
  <c r="V161" i="3"/>
  <c r="W161" i="3"/>
  <c r="X161" i="3"/>
  <c r="Y161" i="3"/>
  <c r="AF161" i="3"/>
  <c r="AF153" i="3"/>
  <c r="AG153" i="3"/>
  <c r="V153" i="3"/>
  <c r="W153" i="3"/>
  <c r="X153" i="3"/>
  <c r="Y153" i="3"/>
  <c r="W145" i="3"/>
  <c r="X145" i="3"/>
  <c r="AF145" i="3"/>
  <c r="AG145" i="3"/>
  <c r="Y145" i="3"/>
  <c r="V145" i="3"/>
  <c r="W137" i="3"/>
  <c r="X137" i="3"/>
  <c r="AF137" i="3"/>
  <c r="AG137" i="3"/>
  <c r="Y137" i="3"/>
  <c r="V137" i="3"/>
  <c r="X129" i="3"/>
  <c r="Y129" i="3"/>
  <c r="AG129" i="3"/>
  <c r="V129" i="3"/>
  <c r="AF129" i="3"/>
  <c r="W129" i="3"/>
  <c r="W121" i="3"/>
  <c r="X121" i="3"/>
  <c r="AG121" i="3"/>
  <c r="V121" i="3"/>
  <c r="Y121" i="3"/>
  <c r="AF121" i="3"/>
  <c r="W113" i="3"/>
  <c r="X113" i="3"/>
  <c r="AG113" i="3"/>
  <c r="V113" i="3"/>
  <c r="Y113" i="3"/>
  <c r="AF113" i="3"/>
  <c r="AF105" i="3"/>
  <c r="AG105" i="3"/>
  <c r="X105" i="3"/>
  <c r="Y105" i="3"/>
  <c r="W105" i="3"/>
  <c r="V105" i="3"/>
  <c r="AF97" i="3"/>
  <c r="AG97" i="3"/>
  <c r="V97" i="3"/>
  <c r="W97" i="3"/>
  <c r="X97" i="3"/>
  <c r="Y97" i="3"/>
  <c r="W89" i="3"/>
  <c r="X89" i="3"/>
  <c r="Y89" i="3"/>
  <c r="AG89" i="3"/>
  <c r="V89" i="3"/>
  <c r="AF89" i="3"/>
  <c r="AF81" i="3"/>
  <c r="AG81" i="3"/>
  <c r="X81" i="3"/>
  <c r="Y81" i="3"/>
  <c r="V81" i="3"/>
  <c r="W81" i="3"/>
  <c r="W73" i="3"/>
  <c r="X73" i="3"/>
  <c r="Y73" i="3"/>
  <c r="AG73" i="3"/>
  <c r="V73" i="3"/>
  <c r="AF73" i="3"/>
  <c r="Y65" i="3"/>
  <c r="AF65" i="3"/>
  <c r="AG65" i="3"/>
  <c r="W65" i="3"/>
  <c r="V65" i="3"/>
  <c r="X65" i="3"/>
  <c r="Y57" i="3"/>
  <c r="AF57" i="3"/>
  <c r="AG57" i="3"/>
  <c r="W57" i="3"/>
  <c r="V57" i="3"/>
  <c r="X57" i="3"/>
  <c r="AG49" i="3"/>
  <c r="V49" i="3"/>
  <c r="W49" i="3"/>
  <c r="Y49" i="3"/>
  <c r="X49" i="3"/>
  <c r="AF49" i="3"/>
  <c r="W41" i="3"/>
  <c r="X41" i="3"/>
  <c r="AF41" i="3"/>
  <c r="AG41" i="3"/>
  <c r="V41" i="3"/>
  <c r="Y41" i="3"/>
  <c r="W33" i="3"/>
  <c r="X33" i="3"/>
  <c r="AF33" i="3"/>
  <c r="AG33" i="3"/>
  <c r="V33" i="3"/>
  <c r="Y33" i="3"/>
  <c r="X25" i="3"/>
  <c r="Y25" i="3"/>
  <c r="AG25" i="3"/>
  <c r="V25" i="3"/>
  <c r="W25" i="3"/>
  <c r="AF25" i="3"/>
  <c r="W17" i="3"/>
  <c r="X17" i="3"/>
  <c r="Y17" i="3"/>
  <c r="AG17" i="3"/>
  <c r="V17" i="3"/>
  <c r="AF17" i="3"/>
  <c r="AF9" i="3"/>
  <c r="AG9" i="3"/>
  <c r="V9" i="3"/>
  <c r="W9" i="3"/>
  <c r="X9" i="3"/>
  <c r="Y9" i="3"/>
  <c r="AG3" i="3"/>
  <c r="AF398" i="3"/>
  <c r="AG398" i="3"/>
  <c r="V398" i="3"/>
  <c r="W398" i="3"/>
  <c r="X398" i="3"/>
  <c r="Y398" i="3"/>
  <c r="X390" i="3"/>
  <c r="Y390" i="3"/>
  <c r="AF390" i="3"/>
  <c r="AG390" i="3"/>
  <c r="V390" i="3"/>
  <c r="W390" i="3"/>
  <c r="Y382" i="3"/>
  <c r="AF382" i="3"/>
  <c r="AG382" i="3"/>
  <c r="V382" i="3"/>
  <c r="W382" i="3"/>
  <c r="X382" i="3"/>
  <c r="AF374" i="3"/>
  <c r="AG374" i="3"/>
  <c r="V374" i="3"/>
  <c r="W374" i="3"/>
  <c r="X374" i="3"/>
  <c r="Y374" i="3"/>
  <c r="X366" i="3"/>
  <c r="Y366" i="3"/>
  <c r="AF366" i="3"/>
  <c r="AG366" i="3"/>
  <c r="V366" i="3"/>
  <c r="W366" i="3"/>
  <c r="X358" i="3"/>
  <c r="Y358" i="3"/>
  <c r="W358" i="3"/>
  <c r="AF358" i="3"/>
  <c r="AG358" i="3"/>
  <c r="V358" i="3"/>
  <c r="AF350" i="3"/>
  <c r="AG350" i="3"/>
  <c r="V350" i="3"/>
  <c r="Y350" i="3"/>
  <c r="W350" i="3"/>
  <c r="X350" i="3"/>
  <c r="W342" i="3"/>
  <c r="X342" i="3"/>
  <c r="Y342" i="3"/>
  <c r="AG342" i="3"/>
  <c r="V342" i="3"/>
  <c r="AF342" i="3"/>
  <c r="X334" i="3"/>
  <c r="Y334" i="3"/>
  <c r="AF334" i="3"/>
  <c r="V334" i="3"/>
  <c r="AG334" i="3"/>
  <c r="W334" i="3"/>
  <c r="AF326" i="3"/>
  <c r="AG326" i="3"/>
  <c r="V326" i="3"/>
  <c r="X326" i="3"/>
  <c r="W326" i="3"/>
  <c r="Y326" i="3"/>
  <c r="X318" i="3"/>
  <c r="Y318" i="3"/>
  <c r="AF318" i="3"/>
  <c r="V318" i="3"/>
  <c r="W318" i="3"/>
  <c r="AG318" i="3"/>
  <c r="AG310" i="3"/>
  <c r="X310" i="3"/>
  <c r="Y310" i="3"/>
  <c r="W310" i="3"/>
  <c r="V310" i="3"/>
  <c r="AF310" i="3"/>
  <c r="V303" i="3"/>
  <c r="X302" i="3"/>
  <c r="AF300" i="3"/>
  <c r="V299" i="3"/>
  <c r="AG296" i="3"/>
  <c r="Y294" i="3"/>
  <c r="AF293" i="3"/>
  <c r="X278" i="3"/>
  <c r="W275" i="3"/>
  <c r="AG274" i="3"/>
  <c r="W271" i="3"/>
  <c r="AG267" i="3"/>
  <c r="AG263" i="3"/>
  <c r="X260" i="3"/>
  <c r="AG255" i="3"/>
  <c r="X253" i="3"/>
  <c r="AG252" i="3"/>
  <c r="V244" i="3"/>
  <c r="Y243" i="3"/>
  <c r="AF242" i="3"/>
  <c r="AF239" i="3"/>
  <c r="AG238" i="3"/>
  <c r="X237" i="3"/>
  <c r="AF235" i="3"/>
  <c r="AF187" i="3"/>
  <c r="V298" i="3"/>
  <c r="AG250" i="3"/>
  <c r="V250" i="3"/>
  <c r="W250" i="3"/>
  <c r="V194" i="3"/>
  <c r="W194" i="3"/>
  <c r="X194" i="3"/>
  <c r="Y194" i="3"/>
  <c r="AG194" i="3"/>
  <c r="AG138" i="3"/>
  <c r="V138" i="3"/>
  <c r="W138" i="3"/>
  <c r="X138" i="3"/>
  <c r="Y138" i="3"/>
  <c r="AF138" i="3"/>
  <c r="AG74" i="3"/>
  <c r="V74" i="3"/>
  <c r="W74" i="3"/>
  <c r="X74" i="3"/>
  <c r="Y74" i="3"/>
  <c r="AF74" i="3"/>
  <c r="AG34" i="3"/>
  <c r="V34" i="3"/>
  <c r="AF34" i="3"/>
  <c r="X34" i="3"/>
  <c r="W34" i="3"/>
  <c r="Y34" i="3"/>
  <c r="V391" i="3"/>
  <c r="Y391" i="3"/>
  <c r="AF391" i="3"/>
  <c r="AG391" i="3"/>
  <c r="X391" i="3"/>
  <c r="W391" i="3"/>
  <c r="AG335" i="3"/>
  <c r="V335" i="3"/>
  <c r="W335" i="3"/>
  <c r="Y335" i="3"/>
  <c r="X335" i="3"/>
  <c r="AF335" i="3"/>
  <c r="AF289" i="3"/>
  <c r="W289" i="3"/>
  <c r="AF273" i="3"/>
  <c r="AG273" i="3"/>
  <c r="V273" i="3"/>
  <c r="Y273" i="3"/>
  <c r="AF257" i="3"/>
  <c r="W257" i="3"/>
  <c r="AF241" i="3"/>
  <c r="AG241" i="3"/>
  <c r="X241" i="3"/>
  <c r="AF225" i="3"/>
  <c r="AG225" i="3"/>
  <c r="V225" i="3"/>
  <c r="W225" i="3"/>
  <c r="X225" i="3"/>
  <c r="Y225" i="3"/>
  <c r="AG209" i="3"/>
  <c r="V209" i="3"/>
  <c r="W209" i="3"/>
  <c r="X209" i="3"/>
  <c r="Y209" i="3"/>
  <c r="AF209" i="3"/>
  <c r="X193" i="3"/>
  <c r="Y193" i="3"/>
  <c r="AF193" i="3"/>
  <c r="AG193" i="3"/>
  <c r="V193" i="3"/>
  <c r="W193" i="3"/>
  <c r="AF296" i="3"/>
  <c r="W296" i="3"/>
  <c r="AF288" i="3"/>
  <c r="AG288" i="3"/>
  <c r="V288" i="3"/>
  <c r="Y288" i="3"/>
  <c r="AG280" i="3"/>
  <c r="V280" i="3"/>
  <c r="W280" i="3"/>
  <c r="V272" i="3"/>
  <c r="W272" i="3"/>
  <c r="X272" i="3"/>
  <c r="X264" i="3"/>
  <c r="Y264" i="3"/>
  <c r="AG264" i="3"/>
  <c r="AF256" i="3"/>
  <c r="AG256" i="3"/>
  <c r="V256" i="3"/>
  <c r="Y256" i="3"/>
  <c r="X248" i="3"/>
  <c r="Y248" i="3"/>
  <c r="V248" i="3"/>
  <c r="AF240" i="3"/>
  <c r="AG240" i="3"/>
  <c r="V240" i="3"/>
  <c r="W240" i="3"/>
  <c r="AF232" i="3"/>
  <c r="AG232" i="3"/>
  <c r="V232" i="3"/>
  <c r="W232" i="3"/>
  <c r="X232" i="3"/>
  <c r="AG224" i="3"/>
  <c r="V224" i="3"/>
  <c r="W224" i="3"/>
  <c r="X224" i="3"/>
  <c r="Y224" i="3"/>
  <c r="V216" i="3"/>
  <c r="W216" i="3"/>
  <c r="X216" i="3"/>
  <c r="Y216" i="3"/>
  <c r="W208" i="3"/>
  <c r="X208" i="3"/>
  <c r="Y208" i="3"/>
  <c r="AF208" i="3"/>
  <c r="V208" i="3"/>
  <c r="Y200" i="3"/>
  <c r="AF200" i="3"/>
  <c r="AG200" i="3"/>
  <c r="V200" i="3"/>
  <c r="W200" i="3"/>
  <c r="AF192" i="3"/>
  <c r="AG192" i="3"/>
  <c r="V192" i="3"/>
  <c r="W192" i="3"/>
  <c r="X192" i="3"/>
  <c r="AF184" i="3"/>
  <c r="AG184" i="3"/>
  <c r="V184" i="3"/>
  <c r="W184" i="3"/>
  <c r="X184" i="3"/>
  <c r="Y184" i="3"/>
  <c r="AG176" i="3"/>
  <c r="V176" i="3"/>
  <c r="W176" i="3"/>
  <c r="X176" i="3"/>
  <c r="Y176" i="3"/>
  <c r="AF176" i="3"/>
  <c r="V168" i="3"/>
  <c r="W168" i="3"/>
  <c r="X168" i="3"/>
  <c r="Y168" i="3"/>
  <c r="AF168" i="3"/>
  <c r="AG168" i="3"/>
  <c r="X160" i="3"/>
  <c r="Y160" i="3"/>
  <c r="AF160" i="3"/>
  <c r="AG160" i="3"/>
  <c r="V160" i="3"/>
  <c r="W160" i="3"/>
  <c r="AG152" i="3"/>
  <c r="V152" i="3"/>
  <c r="W152" i="3"/>
  <c r="X152" i="3"/>
  <c r="Y152" i="3"/>
  <c r="AF152" i="3"/>
  <c r="Y144" i="3"/>
  <c r="V144" i="3"/>
  <c r="W144" i="3"/>
  <c r="AF144" i="3"/>
  <c r="AG144" i="3"/>
  <c r="X144" i="3"/>
  <c r="W136" i="3"/>
  <c r="X136" i="3"/>
  <c r="V136" i="3"/>
  <c r="Y136" i="3"/>
  <c r="AF136" i="3"/>
  <c r="AG136" i="3"/>
  <c r="AF128" i="3"/>
  <c r="X128" i="3"/>
  <c r="Y128" i="3"/>
  <c r="V128" i="3"/>
  <c r="W128" i="3"/>
  <c r="AG128" i="3"/>
  <c r="AF120" i="3"/>
  <c r="AG120" i="3"/>
  <c r="Y120" i="3"/>
  <c r="V120" i="3"/>
  <c r="W120" i="3"/>
  <c r="X120" i="3"/>
  <c r="AF112" i="3"/>
  <c r="AG112" i="3"/>
  <c r="Y112" i="3"/>
  <c r="V112" i="3"/>
  <c r="W112" i="3"/>
  <c r="X112" i="3"/>
  <c r="AF104" i="3"/>
  <c r="AG104" i="3"/>
  <c r="V104" i="3"/>
  <c r="W104" i="3"/>
  <c r="X104" i="3"/>
  <c r="Y104" i="3"/>
  <c r="V96" i="3"/>
  <c r="W96" i="3"/>
  <c r="X96" i="3"/>
  <c r="Y96" i="3"/>
  <c r="AF96" i="3"/>
  <c r="AG96" i="3"/>
  <c r="Y88" i="3"/>
  <c r="AF88" i="3"/>
  <c r="W88" i="3"/>
  <c r="X88" i="3"/>
  <c r="AG88" i="3"/>
  <c r="V88" i="3"/>
  <c r="AF80" i="3"/>
  <c r="AG80" i="3"/>
  <c r="V80" i="3"/>
  <c r="W80" i="3"/>
  <c r="X80" i="3"/>
  <c r="Y80" i="3"/>
  <c r="Y72" i="3"/>
  <c r="AF72" i="3"/>
  <c r="AG72" i="3"/>
  <c r="W72" i="3"/>
  <c r="V72" i="3"/>
  <c r="X72" i="3"/>
  <c r="AF64" i="3"/>
  <c r="AG64" i="3"/>
  <c r="V64" i="3"/>
  <c r="W64" i="3"/>
  <c r="Y64" i="3"/>
  <c r="X64" i="3"/>
  <c r="AF56" i="3"/>
  <c r="AG56" i="3"/>
  <c r="V56" i="3"/>
  <c r="W56" i="3"/>
  <c r="Y56" i="3"/>
  <c r="X56" i="3"/>
  <c r="W48" i="3"/>
  <c r="X48" i="3"/>
  <c r="AF48" i="3"/>
  <c r="AG48" i="3"/>
  <c r="V48" i="3"/>
  <c r="Y48" i="3"/>
  <c r="Y40" i="3"/>
  <c r="V40" i="3"/>
  <c r="W40" i="3"/>
  <c r="X40" i="3"/>
  <c r="AF40" i="3"/>
  <c r="AG40" i="3"/>
  <c r="Y32" i="3"/>
  <c r="V32" i="3"/>
  <c r="W32" i="3"/>
  <c r="X32" i="3"/>
  <c r="AF32" i="3"/>
  <c r="AG32" i="3"/>
  <c r="W24" i="3"/>
  <c r="X24" i="3"/>
  <c r="V24" i="3"/>
  <c r="Y24" i="3"/>
  <c r="AF24" i="3"/>
  <c r="AG24" i="3"/>
  <c r="Y16" i="3"/>
  <c r="AF16" i="3"/>
  <c r="AG16" i="3"/>
  <c r="W16" i="3"/>
  <c r="X16" i="3"/>
  <c r="V16" i="3"/>
  <c r="V8" i="3"/>
  <c r="W8" i="3"/>
  <c r="X8" i="3"/>
  <c r="Y8" i="3"/>
  <c r="AF8" i="3"/>
  <c r="AG8" i="3"/>
  <c r="V397" i="3"/>
  <c r="W397" i="3"/>
  <c r="X397" i="3"/>
  <c r="Y397" i="3"/>
  <c r="AF397" i="3"/>
  <c r="AG397" i="3"/>
  <c r="X389" i="3"/>
  <c r="AF389" i="3"/>
  <c r="AG389" i="3"/>
  <c r="V389" i="3"/>
  <c r="W389" i="3"/>
  <c r="Y389" i="3"/>
  <c r="AG381" i="3"/>
  <c r="V381" i="3"/>
  <c r="W381" i="3"/>
  <c r="X381" i="3"/>
  <c r="Y381" i="3"/>
  <c r="AF381" i="3"/>
  <c r="V373" i="3"/>
  <c r="W373" i="3"/>
  <c r="X373" i="3"/>
  <c r="Y373" i="3"/>
  <c r="AF373" i="3"/>
  <c r="AG373" i="3"/>
  <c r="AF365" i="3"/>
  <c r="AG365" i="3"/>
  <c r="V365" i="3"/>
  <c r="W365" i="3"/>
  <c r="X365" i="3"/>
  <c r="Y365" i="3"/>
  <c r="AF357" i="3"/>
  <c r="Y357" i="3"/>
  <c r="V357" i="3"/>
  <c r="W357" i="3"/>
  <c r="AG357" i="3"/>
  <c r="X357" i="3"/>
  <c r="AG349" i="3"/>
  <c r="V349" i="3"/>
  <c r="W349" i="3"/>
  <c r="X349" i="3"/>
  <c r="AF349" i="3"/>
  <c r="Y349" i="3"/>
  <c r="Y341" i="3"/>
  <c r="X341" i="3"/>
  <c r="AF341" i="3"/>
  <c r="AG341" i="3"/>
  <c r="V341" i="3"/>
  <c r="W341" i="3"/>
  <c r="AF333" i="3"/>
  <c r="V333" i="3"/>
  <c r="W333" i="3"/>
  <c r="X333" i="3"/>
  <c r="AG333" i="3"/>
  <c r="Y333" i="3"/>
  <c r="V325" i="3"/>
  <c r="W325" i="3"/>
  <c r="X325" i="3"/>
  <c r="Y325" i="3"/>
  <c r="AF325" i="3"/>
  <c r="AG325" i="3"/>
  <c r="AF317" i="3"/>
  <c r="V317" i="3"/>
  <c r="W317" i="3"/>
  <c r="X317" i="3"/>
  <c r="Y317" i="3"/>
  <c r="AG317" i="3"/>
  <c r="W309" i="3"/>
  <c r="X309" i="3"/>
  <c r="Y309" i="3"/>
  <c r="AF309" i="3"/>
  <c r="V309" i="3"/>
  <c r="AG309" i="3"/>
  <c r="AG303" i="3"/>
  <c r="W302" i="3"/>
  <c r="Y301" i="3"/>
  <c r="AG299" i="3"/>
  <c r="W290" i="3"/>
  <c r="AG289" i="3"/>
  <c r="W286" i="3"/>
  <c r="AG285" i="3"/>
  <c r="AG281" i="3"/>
  <c r="W278" i="3"/>
  <c r="V275" i="3"/>
  <c r="Y274" i="3"/>
  <c r="V268" i="3"/>
  <c r="Y267" i="3"/>
  <c r="V264" i="3"/>
  <c r="AG262" i="3"/>
  <c r="V260" i="3"/>
  <c r="Y259" i="3"/>
  <c r="W256" i="3"/>
  <c r="AG251" i="3"/>
  <c r="W242" i="3"/>
  <c r="W241" i="3"/>
  <c r="X240" i="3"/>
  <c r="X238" i="3"/>
  <c r="W237" i="3"/>
  <c r="W235" i="3"/>
  <c r="AF216" i="3"/>
  <c r="V178" i="3"/>
  <c r="Y166" i="3"/>
  <c r="X282" i="3"/>
  <c r="Y282" i="3"/>
  <c r="AG282" i="3"/>
  <c r="AG202" i="3"/>
  <c r="V202" i="3"/>
  <c r="W202" i="3"/>
  <c r="X202" i="3"/>
  <c r="Y202" i="3"/>
  <c r="AF202" i="3"/>
  <c r="W154" i="3"/>
  <c r="X154" i="3"/>
  <c r="Y154" i="3"/>
  <c r="AF154" i="3"/>
  <c r="AG154" i="3"/>
  <c r="V154" i="3"/>
  <c r="X82" i="3"/>
  <c r="Y82" i="3"/>
  <c r="V82" i="3"/>
  <c r="W82" i="3"/>
  <c r="AF82" i="3"/>
  <c r="AG82" i="3"/>
  <c r="W359" i="3"/>
  <c r="X359" i="3"/>
  <c r="AG359" i="3"/>
  <c r="V359" i="3"/>
  <c r="Y359" i="3"/>
  <c r="AF359" i="3"/>
  <c r="AF290" i="3"/>
  <c r="AF295" i="3"/>
  <c r="AG295" i="3"/>
  <c r="V295" i="3"/>
  <c r="Y295" i="3"/>
  <c r="V287" i="3"/>
  <c r="W287" i="3"/>
  <c r="X287" i="3"/>
  <c r="W279" i="3"/>
  <c r="X279" i="3"/>
  <c r="Y279" i="3"/>
  <c r="AF279" i="3"/>
  <c r="X271" i="3"/>
  <c r="Y271" i="3"/>
  <c r="AG271" i="3"/>
  <c r="AF263" i="3"/>
  <c r="W263" i="3"/>
  <c r="V255" i="3"/>
  <c r="W255" i="3"/>
  <c r="X255" i="3"/>
  <c r="AF247" i="3"/>
  <c r="AG247" i="3"/>
  <c r="V247" i="3"/>
  <c r="Y247" i="3"/>
  <c r="W239" i="3"/>
  <c r="X239" i="3"/>
  <c r="Y239" i="3"/>
  <c r="AG239" i="3"/>
  <c r="V231" i="3"/>
  <c r="W231" i="3"/>
  <c r="X231" i="3"/>
  <c r="Y231" i="3"/>
  <c r="AF231" i="3"/>
  <c r="W223" i="3"/>
  <c r="X223" i="3"/>
  <c r="Y223" i="3"/>
  <c r="AF223" i="3"/>
  <c r="AG223" i="3"/>
  <c r="X215" i="3"/>
  <c r="Y215" i="3"/>
  <c r="AF215" i="3"/>
  <c r="AG215" i="3"/>
  <c r="W215" i="3"/>
  <c r="AF207" i="3"/>
  <c r="AG207" i="3"/>
  <c r="V207" i="3"/>
  <c r="W207" i="3"/>
  <c r="X207" i="3"/>
  <c r="AF199" i="3"/>
  <c r="AG199" i="3"/>
  <c r="V199" i="3"/>
  <c r="W199" i="3"/>
  <c r="X199" i="3"/>
  <c r="AF191" i="3"/>
  <c r="AG191" i="3"/>
  <c r="V191" i="3"/>
  <c r="W191" i="3"/>
  <c r="X191" i="3"/>
  <c r="Y191" i="3"/>
  <c r="AG183" i="3"/>
  <c r="V183" i="3"/>
  <c r="W183" i="3"/>
  <c r="X183" i="3"/>
  <c r="Y183" i="3"/>
  <c r="W175" i="3"/>
  <c r="X175" i="3"/>
  <c r="Y175" i="3"/>
  <c r="AF175" i="3"/>
  <c r="V175" i="3"/>
  <c r="X167" i="3"/>
  <c r="Y167" i="3"/>
  <c r="AF167" i="3"/>
  <c r="AG167" i="3"/>
  <c r="V167" i="3"/>
  <c r="W159" i="3"/>
  <c r="X159" i="3"/>
  <c r="Y159" i="3"/>
  <c r="V159" i="3"/>
  <c r="AF159" i="3"/>
  <c r="AG159" i="3"/>
  <c r="W151" i="3"/>
  <c r="X151" i="3"/>
  <c r="Y151" i="3"/>
  <c r="AF151" i="3"/>
  <c r="AG151" i="3"/>
  <c r="V151" i="3"/>
  <c r="AF143" i="3"/>
  <c r="X143" i="3"/>
  <c r="Y143" i="3"/>
  <c r="V143" i="3"/>
  <c r="W143" i="3"/>
  <c r="AG143" i="3"/>
  <c r="AF135" i="3"/>
  <c r="AG135" i="3"/>
  <c r="Y135" i="3"/>
  <c r="V135" i="3"/>
  <c r="W135" i="3"/>
  <c r="X135" i="3"/>
  <c r="AG127" i="3"/>
  <c r="V127" i="3"/>
  <c r="W127" i="3"/>
  <c r="X127" i="3"/>
  <c r="Y127" i="3"/>
  <c r="AF127" i="3"/>
  <c r="V119" i="3"/>
  <c r="W119" i="3"/>
  <c r="AF119" i="3"/>
  <c r="X119" i="3"/>
  <c r="Y119" i="3"/>
  <c r="AG119" i="3"/>
  <c r="V111" i="3"/>
  <c r="W111" i="3"/>
  <c r="AF111" i="3"/>
  <c r="X111" i="3"/>
  <c r="Y111" i="3"/>
  <c r="AG111" i="3"/>
  <c r="V103" i="3"/>
  <c r="W103" i="3"/>
  <c r="X103" i="3"/>
  <c r="Y103" i="3"/>
  <c r="AF103" i="3"/>
  <c r="AG103" i="3"/>
  <c r="Y95" i="3"/>
  <c r="AF95" i="3"/>
  <c r="W95" i="3"/>
  <c r="X95" i="3"/>
  <c r="V95" i="3"/>
  <c r="AG95" i="3"/>
  <c r="AG87" i="3"/>
  <c r="V87" i="3"/>
  <c r="W87" i="3"/>
  <c r="X87" i="3"/>
  <c r="AF87" i="3"/>
  <c r="Y87" i="3"/>
  <c r="W79" i="3"/>
  <c r="X79" i="3"/>
  <c r="Y79" i="3"/>
  <c r="AG79" i="3"/>
  <c r="V79" i="3"/>
  <c r="AF79" i="3"/>
  <c r="AF71" i="3"/>
  <c r="AG71" i="3"/>
  <c r="V71" i="3"/>
  <c r="W71" i="3"/>
  <c r="Y71" i="3"/>
  <c r="X71" i="3"/>
  <c r="AG63" i="3"/>
  <c r="V63" i="3"/>
  <c r="W63" i="3"/>
  <c r="X63" i="3"/>
  <c r="Y63" i="3"/>
  <c r="AF63" i="3"/>
  <c r="AG55" i="3"/>
  <c r="V55" i="3"/>
  <c r="W55" i="3"/>
  <c r="X55" i="3"/>
  <c r="Y55" i="3"/>
  <c r="AF55" i="3"/>
  <c r="W47" i="3"/>
  <c r="X47" i="3"/>
  <c r="Y47" i="3"/>
  <c r="AF47" i="3"/>
  <c r="AG47" i="3"/>
  <c r="V47" i="3"/>
  <c r="AF39" i="3"/>
  <c r="X39" i="3"/>
  <c r="Y39" i="3"/>
  <c r="AG39" i="3"/>
  <c r="V39" i="3"/>
  <c r="W39" i="3"/>
  <c r="AF31" i="3"/>
  <c r="X31" i="3"/>
  <c r="Y31" i="3"/>
  <c r="AG31" i="3"/>
  <c r="V31" i="3"/>
  <c r="W31" i="3"/>
  <c r="AF23" i="3"/>
  <c r="AG23" i="3"/>
  <c r="Y23" i="3"/>
  <c r="X23" i="3"/>
  <c r="V23" i="3"/>
  <c r="W23" i="3"/>
  <c r="AF15" i="3"/>
  <c r="AG15" i="3"/>
  <c r="V15" i="3"/>
  <c r="W15" i="3"/>
  <c r="Y15" i="3"/>
  <c r="X15" i="3"/>
  <c r="X7" i="3"/>
  <c r="Y7" i="3"/>
  <c r="AF7" i="3"/>
  <c r="V7" i="3"/>
  <c r="W7" i="3"/>
  <c r="AG7" i="3"/>
  <c r="X396" i="3"/>
  <c r="Y396" i="3"/>
  <c r="AF396" i="3"/>
  <c r="V396" i="3"/>
  <c r="W396" i="3"/>
  <c r="AG396" i="3"/>
  <c r="AF388" i="3"/>
  <c r="AG388" i="3"/>
  <c r="V388" i="3"/>
  <c r="W388" i="3"/>
  <c r="X388" i="3"/>
  <c r="Y388" i="3"/>
  <c r="AG380" i="3"/>
  <c r="V380" i="3"/>
  <c r="W380" i="3"/>
  <c r="X380" i="3"/>
  <c r="Y380" i="3"/>
  <c r="AF380" i="3"/>
  <c r="X372" i="3"/>
  <c r="Y372" i="3"/>
  <c r="AF372" i="3"/>
  <c r="AG372" i="3"/>
  <c r="V372" i="3"/>
  <c r="W372" i="3"/>
  <c r="AF364" i="3"/>
  <c r="AG364" i="3"/>
  <c r="V364" i="3"/>
  <c r="W364" i="3"/>
  <c r="X364" i="3"/>
  <c r="Y364" i="3"/>
  <c r="AG356" i="3"/>
  <c r="V356" i="3"/>
  <c r="W356" i="3"/>
  <c r="AF356" i="3"/>
  <c r="X356" i="3"/>
  <c r="Y356" i="3"/>
  <c r="X348" i="3"/>
  <c r="Y348" i="3"/>
  <c r="V348" i="3"/>
  <c r="W348" i="3"/>
  <c r="AF348" i="3"/>
  <c r="AG348" i="3"/>
  <c r="AF340" i="3"/>
  <c r="Y340" i="3"/>
  <c r="AG340" i="3"/>
  <c r="W340" i="3"/>
  <c r="X340" i="3"/>
  <c r="V340" i="3"/>
  <c r="AF332" i="3"/>
  <c r="AG332" i="3"/>
  <c r="V332" i="3"/>
  <c r="X332" i="3"/>
  <c r="W332" i="3"/>
  <c r="Y332" i="3"/>
  <c r="X324" i="3"/>
  <c r="Y324" i="3"/>
  <c r="AF324" i="3"/>
  <c r="AG324" i="3"/>
  <c r="V324" i="3"/>
  <c r="W324" i="3"/>
  <c r="AG316" i="3"/>
  <c r="V316" i="3"/>
  <c r="W316" i="3"/>
  <c r="Y316" i="3"/>
  <c r="AF316" i="3"/>
  <c r="X316" i="3"/>
  <c r="AF308" i="3"/>
  <c r="AG308" i="3"/>
  <c r="V308" i="3"/>
  <c r="W308" i="3"/>
  <c r="X308" i="3"/>
  <c r="Y308" i="3"/>
  <c r="AF303" i="3"/>
  <c r="V302" i="3"/>
  <c r="X301" i="3"/>
  <c r="AF299" i="3"/>
  <c r="AG297" i="3"/>
  <c r="Y296" i="3"/>
  <c r="W293" i="3"/>
  <c r="AG292" i="3"/>
  <c r="V290" i="3"/>
  <c r="Y289" i="3"/>
  <c r="V286" i="3"/>
  <c r="Y285" i="3"/>
  <c r="V282" i="3"/>
  <c r="Y281" i="3"/>
  <c r="AF280" i="3"/>
  <c r="Y277" i="3"/>
  <c r="AF276" i="3"/>
  <c r="X267" i="3"/>
  <c r="X263" i="3"/>
  <c r="AF262" i="3"/>
  <c r="X259" i="3"/>
  <c r="AF251" i="3"/>
  <c r="V241" i="3"/>
  <c r="V239" i="3"/>
  <c r="V238" i="3"/>
  <c r="AG220" i="3"/>
  <c r="X211" i="3"/>
  <c r="AF194" i="3"/>
  <c r="AF274" i="3"/>
  <c r="W274" i="3"/>
  <c r="Y226" i="3"/>
  <c r="AF226" i="3"/>
  <c r="AG226" i="3"/>
  <c r="V226" i="3"/>
  <c r="W226" i="3"/>
  <c r="X226" i="3"/>
  <c r="W186" i="3"/>
  <c r="X186" i="3"/>
  <c r="Y186" i="3"/>
  <c r="AF186" i="3"/>
  <c r="AG186" i="3"/>
  <c r="AG146" i="3"/>
  <c r="V146" i="3"/>
  <c r="W146" i="3"/>
  <c r="X146" i="3"/>
  <c r="Y146" i="3"/>
  <c r="AF146" i="3"/>
  <c r="AF98" i="3"/>
  <c r="AG98" i="3"/>
  <c r="X98" i="3"/>
  <c r="Y98" i="3"/>
  <c r="V98" i="3"/>
  <c r="W98" i="3"/>
  <c r="AG42" i="3"/>
  <c r="V42" i="3"/>
  <c r="AF42" i="3"/>
  <c r="X42" i="3"/>
  <c r="W42" i="3"/>
  <c r="Y42" i="3"/>
  <c r="AF399" i="3"/>
  <c r="AG399" i="3"/>
  <c r="V399" i="3"/>
  <c r="X399" i="3"/>
  <c r="W399" i="3"/>
  <c r="Y399" i="3"/>
  <c r="AF343" i="3"/>
  <c r="AG343" i="3"/>
  <c r="V343" i="3"/>
  <c r="W343" i="3"/>
  <c r="X343" i="3"/>
  <c r="Y343" i="3"/>
  <c r="AG38" i="3"/>
  <c r="V38" i="3"/>
  <c r="AF38" i="3"/>
  <c r="X38" i="3"/>
  <c r="W38" i="3"/>
  <c r="Y38" i="3"/>
  <c r="AG30" i="3"/>
  <c r="V30" i="3"/>
  <c r="AF30" i="3"/>
  <c r="X30" i="3"/>
  <c r="Y30" i="3"/>
  <c r="W30" i="3"/>
  <c r="V22" i="3"/>
  <c r="W22" i="3"/>
  <c r="AF22" i="3"/>
  <c r="AG22" i="3"/>
  <c r="Y22" i="3"/>
  <c r="X22" i="3"/>
  <c r="W14" i="3"/>
  <c r="X14" i="3"/>
  <c r="Y14" i="3"/>
  <c r="AG14" i="3"/>
  <c r="V14" i="3"/>
  <c r="AF14" i="3"/>
  <c r="AF6" i="3"/>
  <c r="AG6" i="3"/>
  <c r="V6" i="3"/>
  <c r="W6" i="3"/>
  <c r="Y6" i="3"/>
  <c r="X6" i="3"/>
  <c r="Y403" i="3"/>
  <c r="AF403" i="3"/>
  <c r="AG403" i="3"/>
  <c r="W403" i="3"/>
  <c r="V403" i="3"/>
  <c r="X403" i="3"/>
  <c r="V395" i="3"/>
  <c r="Y395" i="3"/>
  <c r="AF395" i="3"/>
  <c r="AG395" i="3"/>
  <c r="X395" i="3"/>
  <c r="W395" i="3"/>
  <c r="AF387" i="3"/>
  <c r="V387" i="3"/>
  <c r="W387" i="3"/>
  <c r="X387" i="3"/>
  <c r="Y387" i="3"/>
  <c r="AG387" i="3"/>
  <c r="W379" i="3"/>
  <c r="X379" i="3"/>
  <c r="Y379" i="3"/>
  <c r="AF379" i="3"/>
  <c r="AG379" i="3"/>
  <c r="V379" i="3"/>
  <c r="AF371" i="3"/>
  <c r="AG371" i="3"/>
  <c r="V371" i="3"/>
  <c r="W371" i="3"/>
  <c r="X371" i="3"/>
  <c r="Y371" i="3"/>
  <c r="V363" i="3"/>
  <c r="W363" i="3"/>
  <c r="X363" i="3"/>
  <c r="Y363" i="3"/>
  <c r="AG363" i="3"/>
  <c r="AF363" i="3"/>
  <c r="W355" i="3"/>
  <c r="X355" i="3"/>
  <c r="Y355" i="3"/>
  <c r="V355" i="3"/>
  <c r="AF355" i="3"/>
  <c r="AG355" i="3"/>
  <c r="AF347" i="3"/>
  <c r="AG347" i="3"/>
  <c r="X347" i="3"/>
  <c r="Y347" i="3"/>
  <c r="V347" i="3"/>
  <c r="W347" i="3"/>
  <c r="AF339" i="3"/>
  <c r="V339" i="3"/>
  <c r="W339" i="3"/>
  <c r="X339" i="3"/>
  <c r="Y339" i="3"/>
  <c r="AG339" i="3"/>
  <c r="V331" i="3"/>
  <c r="W331" i="3"/>
  <c r="X331" i="3"/>
  <c r="AF331" i="3"/>
  <c r="AG331" i="3"/>
  <c r="Y331" i="3"/>
  <c r="AF323" i="3"/>
  <c r="V323" i="3"/>
  <c r="AG323" i="3"/>
  <c r="X323" i="3"/>
  <c r="Y323" i="3"/>
  <c r="W323" i="3"/>
  <c r="W315" i="3"/>
  <c r="X315" i="3"/>
  <c r="Y315" i="3"/>
  <c r="V315" i="3"/>
  <c r="AF315" i="3"/>
  <c r="AG315" i="3"/>
  <c r="AF307" i="3"/>
  <c r="V307" i="3"/>
  <c r="W307" i="3"/>
  <c r="X307" i="3"/>
  <c r="Y307" i="3"/>
  <c r="AG307" i="3"/>
  <c r="AG302" i="3"/>
  <c r="W301" i="3"/>
  <c r="Y300" i="3"/>
  <c r="AG298" i="3"/>
  <c r="X296" i="3"/>
  <c r="Y292" i="3"/>
  <c r="X289" i="3"/>
  <c r="X281" i="3"/>
  <c r="V274" i="3"/>
  <c r="X273" i="3"/>
  <c r="AG272" i="3"/>
  <c r="AF269" i="3"/>
  <c r="V267" i="3"/>
  <c r="AG265" i="3"/>
  <c r="V263" i="3"/>
  <c r="AF258" i="3"/>
  <c r="Y255" i="3"/>
  <c r="X251" i="3"/>
  <c r="AF250" i="3"/>
  <c r="AG231" i="3"/>
  <c r="Y199" i="3"/>
  <c r="AG175" i="3"/>
  <c r="AF266" i="3"/>
  <c r="AG266" i="3"/>
  <c r="V266" i="3"/>
  <c r="Y266" i="3"/>
  <c r="AF210" i="3"/>
  <c r="AG210" i="3"/>
  <c r="V210" i="3"/>
  <c r="W210" i="3"/>
  <c r="X210" i="3"/>
  <c r="Y210" i="3"/>
  <c r="AF162" i="3"/>
  <c r="AG162" i="3"/>
  <c r="V162" i="3"/>
  <c r="W162" i="3"/>
  <c r="X162" i="3"/>
  <c r="Y162" i="3"/>
  <c r="X106" i="3"/>
  <c r="Y106" i="3"/>
  <c r="V106" i="3"/>
  <c r="W106" i="3"/>
  <c r="AF106" i="3"/>
  <c r="AG106" i="3"/>
  <c r="AG66" i="3"/>
  <c r="V66" i="3"/>
  <c r="W66" i="3"/>
  <c r="X66" i="3"/>
  <c r="Y66" i="3"/>
  <c r="AF66" i="3"/>
  <c r="V26" i="3"/>
  <c r="W26" i="3"/>
  <c r="AF26" i="3"/>
  <c r="AG26" i="3"/>
  <c r="Y26" i="3"/>
  <c r="X26" i="3"/>
  <c r="V367" i="3"/>
  <c r="W367" i="3"/>
  <c r="X367" i="3"/>
  <c r="Y367" i="3"/>
  <c r="AG367" i="3"/>
  <c r="AF367" i="3"/>
  <c r="V294" i="3"/>
  <c r="W294" i="3"/>
  <c r="X294" i="3"/>
  <c r="AF270" i="3"/>
  <c r="AG270" i="3"/>
  <c r="X270" i="3"/>
  <c r="V246" i="3"/>
  <c r="W246" i="3"/>
  <c r="X246" i="3"/>
  <c r="Y246" i="3"/>
  <c r="AF246" i="3"/>
  <c r="Y222" i="3"/>
  <c r="AF222" i="3"/>
  <c r="AG222" i="3"/>
  <c r="V222" i="3"/>
  <c r="W222" i="3"/>
  <c r="X222" i="3"/>
  <c r="V198" i="3"/>
  <c r="W198" i="3"/>
  <c r="X198" i="3"/>
  <c r="Y198" i="3"/>
  <c r="AG198" i="3"/>
  <c r="Y174" i="3"/>
  <c r="AF174" i="3"/>
  <c r="AG174" i="3"/>
  <c r="V174" i="3"/>
  <c r="W174" i="3"/>
  <c r="AG142" i="3"/>
  <c r="V142" i="3"/>
  <c r="W142" i="3"/>
  <c r="X142" i="3"/>
  <c r="Y142" i="3"/>
  <c r="AF142" i="3"/>
  <c r="W110" i="3"/>
  <c r="X110" i="3"/>
  <c r="Y110" i="3"/>
  <c r="AG110" i="3"/>
  <c r="V110" i="3"/>
  <c r="AF110" i="3"/>
  <c r="W54" i="3"/>
  <c r="V54" i="3"/>
  <c r="X54" i="3"/>
  <c r="Y54" i="3"/>
  <c r="AG54" i="3"/>
  <c r="AF54" i="3"/>
  <c r="X293" i="3"/>
  <c r="Y293" i="3"/>
  <c r="AG293" i="3"/>
  <c r="AF285" i="3"/>
  <c r="W285" i="3"/>
  <c r="AF277" i="3"/>
  <c r="AG277" i="3"/>
  <c r="X277" i="3"/>
  <c r="AG269" i="3"/>
  <c r="V269" i="3"/>
  <c r="W269" i="3"/>
  <c r="X261" i="3"/>
  <c r="Y261" i="3"/>
  <c r="AG261" i="3"/>
  <c r="AG253" i="3"/>
  <c r="V253" i="3"/>
  <c r="W253" i="3"/>
  <c r="X245" i="3"/>
  <c r="Y245" i="3"/>
  <c r="V245" i="3"/>
  <c r="AF237" i="3"/>
  <c r="AG237" i="3"/>
  <c r="V237" i="3"/>
  <c r="Y237" i="3"/>
  <c r="AF229" i="3"/>
  <c r="AG229" i="3"/>
  <c r="V229" i="3"/>
  <c r="W229" i="3"/>
  <c r="X229" i="3"/>
  <c r="Y229" i="3"/>
  <c r="AF221" i="3"/>
  <c r="AG221" i="3"/>
  <c r="V221" i="3"/>
  <c r="W221" i="3"/>
  <c r="X221" i="3"/>
  <c r="Y221" i="3"/>
  <c r="AF213" i="3"/>
  <c r="AG213" i="3"/>
  <c r="V213" i="3"/>
  <c r="W213" i="3"/>
  <c r="X213" i="3"/>
  <c r="Y213" i="3"/>
  <c r="V205" i="3"/>
  <c r="W205" i="3"/>
  <c r="X205" i="3"/>
  <c r="Y205" i="3"/>
  <c r="AF205" i="3"/>
  <c r="AG205" i="3"/>
  <c r="X197" i="3"/>
  <c r="Y197" i="3"/>
  <c r="AF197" i="3"/>
  <c r="AG197" i="3"/>
  <c r="V197" i="3"/>
  <c r="W197" i="3"/>
  <c r="Y189" i="3"/>
  <c r="AF189" i="3"/>
  <c r="AG189" i="3"/>
  <c r="V189" i="3"/>
  <c r="W189" i="3"/>
  <c r="X189" i="3"/>
  <c r="AF181" i="3"/>
  <c r="AG181" i="3"/>
  <c r="V181" i="3"/>
  <c r="W181" i="3"/>
  <c r="X181" i="3"/>
  <c r="Y181" i="3"/>
  <c r="AF173" i="3"/>
  <c r="AG173" i="3"/>
  <c r="V173" i="3"/>
  <c r="W173" i="3"/>
  <c r="X173" i="3"/>
  <c r="Y173" i="3"/>
  <c r="AG165" i="3"/>
  <c r="V165" i="3"/>
  <c r="W165" i="3"/>
  <c r="X165" i="3"/>
  <c r="Y165" i="3"/>
  <c r="AF165" i="3"/>
  <c r="Y157" i="3"/>
  <c r="AF157" i="3"/>
  <c r="AG157" i="3"/>
  <c r="V157" i="3"/>
  <c r="W157" i="3"/>
  <c r="X157" i="3"/>
  <c r="W149" i="3"/>
  <c r="X149" i="3"/>
  <c r="AF149" i="3"/>
  <c r="AG149" i="3"/>
  <c r="Y149" i="3"/>
  <c r="W141" i="3"/>
  <c r="X141" i="3"/>
  <c r="AF141" i="3"/>
  <c r="AG141" i="3"/>
  <c r="Y141" i="3"/>
  <c r="V141" i="3"/>
  <c r="X133" i="3"/>
  <c r="Y133" i="3"/>
  <c r="AG133" i="3"/>
  <c r="V133" i="3"/>
  <c r="AF133" i="3"/>
  <c r="W133" i="3"/>
  <c r="W125" i="3"/>
  <c r="X125" i="3"/>
  <c r="AG125" i="3"/>
  <c r="V125" i="3"/>
  <c r="Y125" i="3"/>
  <c r="AF125" i="3"/>
  <c r="W117" i="3"/>
  <c r="X117" i="3"/>
  <c r="AG117" i="3"/>
  <c r="V117" i="3"/>
  <c r="Y117" i="3"/>
  <c r="AF117" i="3"/>
  <c r="Y109" i="3"/>
  <c r="W109" i="3"/>
  <c r="X109" i="3"/>
  <c r="V109" i="3"/>
  <c r="AF109" i="3"/>
  <c r="AG109" i="3"/>
  <c r="AF101" i="3"/>
  <c r="AG101" i="3"/>
  <c r="V101" i="3"/>
  <c r="Y101" i="3"/>
  <c r="W101" i="3"/>
  <c r="X101" i="3"/>
  <c r="AG93" i="3"/>
  <c r="V93" i="3"/>
  <c r="W93" i="3"/>
  <c r="X93" i="3"/>
  <c r="AF93" i="3"/>
  <c r="Y93" i="3"/>
  <c r="Y85" i="3"/>
  <c r="AF85" i="3"/>
  <c r="W85" i="3"/>
  <c r="X85" i="3"/>
  <c r="V85" i="3"/>
  <c r="AG85" i="3"/>
  <c r="V77" i="3"/>
  <c r="X77" i="3"/>
  <c r="Y77" i="3"/>
  <c r="AF77" i="3"/>
  <c r="W77" i="3"/>
  <c r="AG77" i="3"/>
  <c r="W69" i="3"/>
  <c r="X69" i="3"/>
  <c r="Y69" i="3"/>
  <c r="AG69" i="3"/>
  <c r="V69" i="3"/>
  <c r="AF69" i="3"/>
  <c r="Y61" i="3"/>
  <c r="AF61" i="3"/>
  <c r="AG61" i="3"/>
  <c r="W61" i="3"/>
  <c r="V61" i="3"/>
  <c r="X61" i="3"/>
  <c r="AG53" i="3"/>
  <c r="V53" i="3"/>
  <c r="W53" i="3"/>
  <c r="Y53" i="3"/>
  <c r="X53" i="3"/>
  <c r="AF53" i="3"/>
  <c r="V45" i="3"/>
  <c r="W45" i="3"/>
  <c r="AF45" i="3"/>
  <c r="X45" i="3"/>
  <c r="AG45" i="3"/>
  <c r="Y45" i="3"/>
  <c r="W37" i="3"/>
  <c r="X37" i="3"/>
  <c r="AF37" i="3"/>
  <c r="AG37" i="3"/>
  <c r="V37" i="3"/>
  <c r="Y37" i="3"/>
  <c r="W29" i="3"/>
  <c r="X29" i="3"/>
  <c r="AF29" i="3"/>
  <c r="AG29" i="3"/>
  <c r="V29" i="3"/>
  <c r="Y29" i="3"/>
  <c r="V21" i="3"/>
  <c r="W21" i="3"/>
  <c r="X21" i="3"/>
  <c r="Y21" i="3"/>
  <c r="AF21" i="3"/>
  <c r="AG21" i="3"/>
  <c r="AF13" i="3"/>
  <c r="AG13" i="3"/>
  <c r="V13" i="3"/>
  <c r="X13" i="3"/>
  <c r="Y13" i="3"/>
  <c r="W13" i="3"/>
  <c r="AG5" i="3"/>
  <c r="V5" i="3"/>
  <c r="W5" i="3"/>
  <c r="X5" i="3"/>
  <c r="Y5" i="3"/>
  <c r="AF5" i="3"/>
  <c r="AF402" i="3"/>
  <c r="AG402" i="3"/>
  <c r="V402" i="3"/>
  <c r="W402" i="3"/>
  <c r="Y402" i="3"/>
  <c r="X402" i="3"/>
  <c r="X394" i="3"/>
  <c r="Y394" i="3"/>
  <c r="AF394" i="3"/>
  <c r="AG394" i="3"/>
  <c r="V394" i="3"/>
  <c r="W394" i="3"/>
  <c r="W386" i="3"/>
  <c r="Y386" i="3"/>
  <c r="AF386" i="3"/>
  <c r="V386" i="3"/>
  <c r="X386" i="3"/>
  <c r="AG386" i="3"/>
  <c r="Y378" i="3"/>
  <c r="AF378" i="3"/>
  <c r="AG378" i="3"/>
  <c r="V378" i="3"/>
  <c r="W378" i="3"/>
  <c r="X378" i="3"/>
  <c r="AG370" i="3"/>
  <c r="V370" i="3"/>
  <c r="W370" i="3"/>
  <c r="X370" i="3"/>
  <c r="Y370" i="3"/>
  <c r="AF370" i="3"/>
  <c r="X362" i="3"/>
  <c r="Y362" i="3"/>
  <c r="AF362" i="3"/>
  <c r="AG362" i="3"/>
  <c r="V362" i="3"/>
  <c r="W362" i="3"/>
  <c r="AF354" i="3"/>
  <c r="AG354" i="3"/>
  <c r="Y354" i="3"/>
  <c r="V354" i="3"/>
  <c r="W354" i="3"/>
  <c r="X354" i="3"/>
  <c r="V346" i="3"/>
  <c r="W346" i="3"/>
  <c r="X346" i="3"/>
  <c r="Y346" i="3"/>
  <c r="AF346" i="3"/>
  <c r="AG346" i="3"/>
  <c r="W338" i="3"/>
  <c r="Y338" i="3"/>
  <c r="V338" i="3"/>
  <c r="X338" i="3"/>
  <c r="AG338" i="3"/>
  <c r="AF338" i="3"/>
  <c r="AF330" i="3"/>
  <c r="V330" i="3"/>
  <c r="W330" i="3"/>
  <c r="Y330" i="3"/>
  <c r="AG330" i="3"/>
  <c r="X330" i="3"/>
  <c r="V322" i="3"/>
  <c r="W322" i="3"/>
  <c r="X322" i="3"/>
  <c r="Y322" i="3"/>
  <c r="AF322" i="3"/>
  <c r="AG322" i="3"/>
  <c r="AF314" i="3"/>
  <c r="AG314" i="3"/>
  <c r="W314" i="3"/>
  <c r="V314" i="3"/>
  <c r="X314" i="3"/>
  <c r="Y314" i="3"/>
  <c r="X306" i="3"/>
  <c r="AF306" i="3"/>
  <c r="V306" i="3"/>
  <c r="W306" i="3"/>
  <c r="Y306" i="3"/>
  <c r="AG306" i="3"/>
  <c r="AF302" i="3"/>
  <c r="V301" i="3"/>
  <c r="X300" i="3"/>
  <c r="AF298" i="3"/>
  <c r="V296" i="3"/>
  <c r="X292" i="3"/>
  <c r="V289" i="3"/>
  <c r="X288" i="3"/>
  <c r="AG287" i="3"/>
  <c r="V285" i="3"/>
  <c r="AG283" i="3"/>
  <c r="V281" i="3"/>
  <c r="Y280" i="3"/>
  <c r="V277" i="3"/>
  <c r="Y276" i="3"/>
  <c r="W273" i="3"/>
  <c r="AF272" i="3"/>
  <c r="W270" i="3"/>
  <c r="W266" i="3"/>
  <c r="AF265" i="3"/>
  <c r="AF261" i="3"/>
  <c r="AG249" i="3"/>
  <c r="AG248" i="3"/>
  <c r="AF224" i="3"/>
  <c r="AG179" i="3"/>
  <c r="X242" i="3"/>
  <c r="Y242" i="3"/>
  <c r="V242" i="3"/>
  <c r="X122" i="3"/>
  <c r="Y122" i="3"/>
  <c r="AG122" i="3"/>
  <c r="V122" i="3"/>
  <c r="W122" i="3"/>
  <c r="AF122" i="3"/>
  <c r="Y351" i="3"/>
  <c r="AF351" i="3"/>
  <c r="W351" i="3"/>
  <c r="X351" i="3"/>
  <c r="V351" i="3"/>
  <c r="AG351" i="3"/>
  <c r="Y278" i="3"/>
  <c r="V278" i="3"/>
  <c r="V262" i="3"/>
  <c r="W262" i="3"/>
  <c r="X262" i="3"/>
  <c r="Y238" i="3"/>
  <c r="AF238" i="3"/>
  <c r="W238" i="3"/>
  <c r="AF214" i="3"/>
  <c r="AG214" i="3"/>
  <c r="V214" i="3"/>
  <c r="W214" i="3"/>
  <c r="X214" i="3"/>
  <c r="Y214" i="3"/>
  <c r="V190" i="3"/>
  <c r="W190" i="3"/>
  <c r="X190" i="3"/>
  <c r="Y190" i="3"/>
  <c r="AG190" i="3"/>
  <c r="W158" i="3"/>
  <c r="X158" i="3"/>
  <c r="Y158" i="3"/>
  <c r="AF158" i="3"/>
  <c r="AG158" i="3"/>
  <c r="V158" i="3"/>
  <c r="V134" i="3"/>
  <c r="W134" i="3"/>
  <c r="AF134" i="3"/>
  <c r="X134" i="3"/>
  <c r="Y134" i="3"/>
  <c r="AG134" i="3"/>
  <c r="X118" i="3"/>
  <c r="Y118" i="3"/>
  <c r="AG118" i="3"/>
  <c r="V118" i="3"/>
  <c r="W118" i="3"/>
  <c r="AF118" i="3"/>
  <c r="W62" i="3"/>
  <c r="X62" i="3"/>
  <c r="Y62" i="3"/>
  <c r="AG62" i="3"/>
  <c r="V62" i="3"/>
  <c r="AF62" i="3"/>
  <c r="AF284" i="3"/>
  <c r="AG284" i="3"/>
  <c r="V284" i="3"/>
  <c r="Y284" i="3"/>
  <c r="W252" i="3"/>
  <c r="X252" i="3"/>
  <c r="Y252" i="3"/>
  <c r="AF252" i="3"/>
  <c r="AG228" i="3"/>
  <c r="V228" i="3"/>
  <c r="W228" i="3"/>
  <c r="X228" i="3"/>
  <c r="Y228" i="3"/>
  <c r="W212" i="3"/>
  <c r="X212" i="3"/>
  <c r="Y212" i="3"/>
  <c r="AF212" i="3"/>
  <c r="V212" i="3"/>
  <c r="AF196" i="3"/>
  <c r="AG196" i="3"/>
  <c r="V196" i="3"/>
  <c r="W196" i="3"/>
  <c r="X196" i="3"/>
  <c r="AF180" i="3"/>
  <c r="AG180" i="3"/>
  <c r="V180" i="3"/>
  <c r="W180" i="3"/>
  <c r="X180" i="3"/>
  <c r="Y180" i="3"/>
  <c r="AG172" i="3"/>
  <c r="V172" i="3"/>
  <c r="W172" i="3"/>
  <c r="X172" i="3"/>
  <c r="Y172" i="3"/>
  <c r="AF172" i="3"/>
  <c r="W164" i="3"/>
  <c r="X164" i="3"/>
  <c r="Y164" i="3"/>
  <c r="AF164" i="3"/>
  <c r="V164" i="3"/>
  <c r="AG164" i="3"/>
  <c r="Y148" i="3"/>
  <c r="V148" i="3"/>
  <c r="W148" i="3"/>
  <c r="AF148" i="3"/>
  <c r="AG148" i="3"/>
  <c r="X148" i="3"/>
  <c r="Y140" i="3"/>
  <c r="V140" i="3"/>
  <c r="W140" i="3"/>
  <c r="AF140" i="3"/>
  <c r="AG140" i="3"/>
  <c r="X140" i="3"/>
  <c r="W132" i="3"/>
  <c r="X132" i="3"/>
  <c r="V132" i="3"/>
  <c r="Y132" i="3"/>
  <c r="AF132" i="3"/>
  <c r="AG132" i="3"/>
  <c r="AF124" i="3"/>
  <c r="AG124" i="3"/>
  <c r="Y124" i="3"/>
  <c r="V124" i="3"/>
  <c r="W124" i="3"/>
  <c r="X124" i="3"/>
  <c r="AF116" i="3"/>
  <c r="AG116" i="3"/>
  <c r="Y116" i="3"/>
  <c r="V116" i="3"/>
  <c r="W116" i="3"/>
  <c r="X116" i="3"/>
  <c r="AF108" i="3"/>
  <c r="AG108" i="3"/>
  <c r="V108" i="3"/>
  <c r="Y108" i="3"/>
  <c r="W108" i="3"/>
  <c r="X108" i="3"/>
  <c r="AG100" i="3"/>
  <c r="V100" i="3"/>
  <c r="W100" i="3"/>
  <c r="X100" i="3"/>
  <c r="AF100" i="3"/>
  <c r="Y100" i="3"/>
  <c r="W92" i="3"/>
  <c r="X92" i="3"/>
  <c r="Y92" i="3"/>
  <c r="AG92" i="3"/>
  <c r="V92" i="3"/>
  <c r="AF92" i="3"/>
  <c r="AF84" i="3"/>
  <c r="AG84" i="3"/>
  <c r="V84" i="3"/>
  <c r="Y84" i="3"/>
  <c r="W84" i="3"/>
  <c r="X84" i="3"/>
  <c r="X76" i="3"/>
  <c r="AF76" i="3"/>
  <c r="V76" i="3"/>
  <c r="W76" i="3"/>
  <c r="Y76" i="3"/>
  <c r="AG76" i="3"/>
  <c r="Y68" i="3"/>
  <c r="AF68" i="3"/>
  <c r="AG68" i="3"/>
  <c r="W68" i="3"/>
  <c r="V68" i="3"/>
  <c r="X68" i="3"/>
  <c r="AF60" i="3"/>
  <c r="AG60" i="3"/>
  <c r="V60" i="3"/>
  <c r="W60" i="3"/>
  <c r="Y60" i="3"/>
  <c r="X60" i="3"/>
  <c r="W52" i="3"/>
  <c r="X52" i="3"/>
  <c r="AF52" i="3"/>
  <c r="AG52" i="3"/>
  <c r="V52" i="3"/>
  <c r="Y52" i="3"/>
  <c r="X44" i="3"/>
  <c r="Y44" i="3"/>
  <c r="AG44" i="3"/>
  <c r="V44" i="3"/>
  <c r="W44" i="3"/>
  <c r="AF44" i="3"/>
  <c r="Y36" i="3"/>
  <c r="V36" i="3"/>
  <c r="W36" i="3"/>
  <c r="X36" i="3"/>
  <c r="AF36" i="3"/>
  <c r="AG36" i="3"/>
  <c r="Y28" i="3"/>
  <c r="V28" i="3"/>
  <c r="W28" i="3"/>
  <c r="X28" i="3"/>
  <c r="AF28" i="3"/>
  <c r="AG28" i="3"/>
  <c r="X20" i="3"/>
  <c r="Y20" i="3"/>
  <c r="AF20" i="3"/>
  <c r="V20" i="3"/>
  <c r="W20" i="3"/>
  <c r="AG20" i="3"/>
  <c r="AF12" i="3"/>
  <c r="AG12" i="3"/>
  <c r="V12" i="3"/>
  <c r="W12" i="3"/>
  <c r="X12" i="3"/>
  <c r="Y12" i="3"/>
  <c r="W4" i="3"/>
  <c r="X4" i="3"/>
  <c r="Y4" i="3"/>
  <c r="AG4" i="3"/>
  <c r="V4" i="3"/>
  <c r="AF4" i="3"/>
  <c r="V401" i="3"/>
  <c r="W401" i="3"/>
  <c r="X401" i="3"/>
  <c r="Y401" i="3"/>
  <c r="AF401" i="3"/>
  <c r="AG401" i="3"/>
  <c r="AG393" i="3"/>
  <c r="V393" i="3"/>
  <c r="W393" i="3"/>
  <c r="X393" i="3"/>
  <c r="Y393" i="3"/>
  <c r="AF393" i="3"/>
  <c r="Y385" i="3"/>
  <c r="AF385" i="3"/>
  <c r="AG385" i="3"/>
  <c r="V385" i="3"/>
  <c r="W385" i="3"/>
  <c r="X385" i="3"/>
  <c r="AF377" i="3"/>
  <c r="AG377" i="3"/>
  <c r="V377" i="3"/>
  <c r="W377" i="3"/>
  <c r="X377" i="3"/>
  <c r="Y377" i="3"/>
  <c r="X369" i="3"/>
  <c r="Y369" i="3"/>
  <c r="AF369" i="3"/>
  <c r="AG369" i="3"/>
  <c r="V369" i="3"/>
  <c r="W369" i="3"/>
  <c r="X361" i="3"/>
  <c r="Y361" i="3"/>
  <c r="AF361" i="3"/>
  <c r="AG361" i="3"/>
  <c r="V361" i="3"/>
  <c r="W361" i="3"/>
  <c r="AG353" i="3"/>
  <c r="V353" i="3"/>
  <c r="W353" i="3"/>
  <c r="AF353" i="3"/>
  <c r="Y353" i="3"/>
  <c r="X353" i="3"/>
  <c r="X345" i="3"/>
  <c r="Y345" i="3"/>
  <c r="V345" i="3"/>
  <c r="W345" i="3"/>
  <c r="AF345" i="3"/>
  <c r="AG345" i="3"/>
  <c r="Y337" i="3"/>
  <c r="AF337" i="3"/>
  <c r="AG337" i="3"/>
  <c r="W337" i="3"/>
  <c r="X337" i="3"/>
  <c r="V337" i="3"/>
  <c r="AF329" i="3"/>
  <c r="AG329" i="3"/>
  <c r="V329" i="3"/>
  <c r="X329" i="3"/>
  <c r="W329" i="3"/>
  <c r="Y329" i="3"/>
  <c r="X321" i="3"/>
  <c r="Y321" i="3"/>
  <c r="AF321" i="3"/>
  <c r="V321" i="3"/>
  <c r="W321" i="3"/>
  <c r="AG321" i="3"/>
  <c r="AG313" i="3"/>
  <c r="V313" i="3"/>
  <c r="W313" i="3"/>
  <c r="Y313" i="3"/>
  <c r="X313" i="3"/>
  <c r="AF313" i="3"/>
  <c r="AF305" i="3"/>
  <c r="AG305" i="3"/>
  <c r="V305" i="3"/>
  <c r="X305" i="3"/>
  <c r="Y305" i="3"/>
  <c r="W305" i="3"/>
  <c r="Y303" i="3"/>
  <c r="AG301" i="3"/>
  <c r="W300" i="3"/>
  <c r="Y299" i="3"/>
  <c r="Y297" i="3"/>
  <c r="X295" i="3"/>
  <c r="AG294" i="3"/>
  <c r="W288" i="3"/>
  <c r="AF287" i="3"/>
  <c r="W284" i="3"/>
  <c r="X280" i="3"/>
  <c r="AG279" i="3"/>
  <c r="V270" i="3"/>
  <c r="Y269" i="3"/>
  <c r="W258" i="3"/>
  <c r="AG257" i="3"/>
  <c r="AF253" i="3"/>
  <c r="Y250" i="3"/>
  <c r="AF248" i="3"/>
  <c r="AG246" i="3"/>
  <c r="AG245" i="3"/>
  <c r="V215" i="3"/>
  <c r="AG208" i="3"/>
  <c r="V186" i="3"/>
  <c r="X290" i="3"/>
  <c r="Y290" i="3"/>
  <c r="AG290" i="3"/>
  <c r="W234" i="3"/>
  <c r="Y234" i="3"/>
  <c r="X234" i="3"/>
  <c r="AF234" i="3"/>
  <c r="AG234" i="3"/>
  <c r="Y170" i="3"/>
  <c r="AF170" i="3"/>
  <c r="AG170" i="3"/>
  <c r="V170" i="3"/>
  <c r="W170" i="3"/>
  <c r="X114" i="3"/>
  <c r="Y114" i="3"/>
  <c r="AG114" i="3"/>
  <c r="V114" i="3"/>
  <c r="W114" i="3"/>
  <c r="AF114" i="3"/>
  <c r="W58" i="3"/>
  <c r="X58" i="3"/>
  <c r="Y58" i="3"/>
  <c r="AG58" i="3"/>
  <c r="V58" i="3"/>
  <c r="AF58" i="3"/>
  <c r="Y10" i="3"/>
  <c r="AF10" i="3"/>
  <c r="AG10" i="3"/>
  <c r="W10" i="3"/>
  <c r="X10" i="3"/>
  <c r="V10" i="3"/>
  <c r="Y375" i="3"/>
  <c r="AF375" i="3"/>
  <c r="AG375" i="3"/>
  <c r="V375" i="3"/>
  <c r="W375" i="3"/>
  <c r="X375" i="3"/>
  <c r="AG319" i="3"/>
  <c r="V319" i="3"/>
  <c r="W319" i="3"/>
  <c r="Y319" i="3"/>
  <c r="AF319" i="3"/>
  <c r="X319" i="3"/>
  <c r="X298" i="3"/>
  <c r="AF282" i="3"/>
  <c r="AG242" i="3"/>
  <c r="X286" i="3"/>
  <c r="Y286" i="3"/>
  <c r="AG286" i="3"/>
  <c r="AF254" i="3"/>
  <c r="AG254" i="3"/>
  <c r="X254" i="3"/>
  <c r="X230" i="3"/>
  <c r="Y230" i="3"/>
  <c r="AF230" i="3"/>
  <c r="AG230" i="3"/>
  <c r="W230" i="3"/>
  <c r="AF206" i="3"/>
  <c r="AG206" i="3"/>
  <c r="V206" i="3"/>
  <c r="W206" i="3"/>
  <c r="X206" i="3"/>
  <c r="Y206" i="3"/>
  <c r="W182" i="3"/>
  <c r="X182" i="3"/>
  <c r="Y182" i="3"/>
  <c r="AF182" i="3"/>
  <c r="AG182" i="3"/>
  <c r="AF166" i="3"/>
  <c r="AG166" i="3"/>
  <c r="V166" i="3"/>
  <c r="W166" i="3"/>
  <c r="X166" i="3"/>
  <c r="Y150" i="3"/>
  <c r="AF150" i="3"/>
  <c r="AG150" i="3"/>
  <c r="V150" i="3"/>
  <c r="W150" i="3"/>
  <c r="X150" i="3"/>
  <c r="W126" i="3"/>
  <c r="X126" i="3"/>
  <c r="AF126" i="3"/>
  <c r="AG126" i="3"/>
  <c r="Y126" i="3"/>
  <c r="V126" i="3"/>
  <c r="Y102" i="3"/>
  <c r="AF102" i="3"/>
  <c r="W102" i="3"/>
  <c r="X102" i="3"/>
  <c r="V102" i="3"/>
  <c r="AG102" i="3"/>
  <c r="AF94" i="3"/>
  <c r="AG94" i="3"/>
  <c r="V94" i="3"/>
  <c r="Y94" i="3"/>
  <c r="W94" i="3"/>
  <c r="X94" i="3"/>
  <c r="W86" i="3"/>
  <c r="X86" i="3"/>
  <c r="Y86" i="3"/>
  <c r="AG86" i="3"/>
  <c r="V86" i="3"/>
  <c r="AF86" i="3"/>
  <c r="Y78" i="3"/>
  <c r="AF78" i="3"/>
  <c r="W78" i="3"/>
  <c r="X78" i="3"/>
  <c r="V78" i="3"/>
  <c r="AG78" i="3"/>
  <c r="AG70" i="3"/>
  <c r="V70" i="3"/>
  <c r="W70" i="3"/>
  <c r="X70" i="3"/>
  <c r="Y70" i="3"/>
  <c r="AF70" i="3"/>
  <c r="AF46" i="3"/>
  <c r="AG46" i="3"/>
  <c r="Y46" i="3"/>
  <c r="W46" i="3"/>
  <c r="V46" i="3"/>
  <c r="X46" i="3"/>
  <c r="AF292" i="3"/>
  <c r="W292" i="3"/>
  <c r="AG276" i="3"/>
  <c r="V276" i="3"/>
  <c r="W276" i="3"/>
  <c r="W268" i="3"/>
  <c r="X268" i="3"/>
  <c r="Y268" i="3"/>
  <c r="AF268" i="3"/>
  <c r="AF260" i="3"/>
  <c r="W260" i="3"/>
  <c r="AF244" i="3"/>
  <c r="AG244" i="3"/>
  <c r="X244" i="3"/>
  <c r="V236" i="3"/>
  <c r="W236" i="3"/>
  <c r="X236" i="3"/>
  <c r="Y236" i="3"/>
  <c r="AF236" i="3"/>
  <c r="V220" i="3"/>
  <c r="W220" i="3"/>
  <c r="X220" i="3"/>
  <c r="Y220" i="3"/>
  <c r="X204" i="3"/>
  <c r="Y204" i="3"/>
  <c r="AF204" i="3"/>
  <c r="AG204" i="3"/>
  <c r="V204" i="3"/>
  <c r="AF188" i="3"/>
  <c r="AG188" i="3"/>
  <c r="V188" i="3"/>
  <c r="W188" i="3"/>
  <c r="X188" i="3"/>
  <c r="Y188" i="3"/>
  <c r="AF156" i="3"/>
  <c r="AG156" i="3"/>
  <c r="V156" i="3"/>
  <c r="W156" i="3"/>
  <c r="X156" i="3"/>
  <c r="Y156" i="3"/>
  <c r="AF291" i="3"/>
  <c r="AG291" i="3"/>
  <c r="V291" i="3"/>
  <c r="Y291" i="3"/>
  <c r="V283" i="3"/>
  <c r="W283" i="3"/>
  <c r="X283" i="3"/>
  <c r="X275" i="3"/>
  <c r="Y275" i="3"/>
  <c r="AG275" i="3"/>
  <c r="AF267" i="3"/>
  <c r="W267" i="3"/>
  <c r="AG259" i="3"/>
  <c r="V259" i="3"/>
  <c r="W259" i="3"/>
  <c r="Y251" i="3"/>
  <c r="V251" i="3"/>
  <c r="AG243" i="3"/>
  <c r="V243" i="3"/>
  <c r="W243" i="3"/>
  <c r="X243" i="3"/>
  <c r="X235" i="3"/>
  <c r="Y235" i="3"/>
  <c r="V235" i="3"/>
  <c r="W227" i="3"/>
  <c r="X227" i="3"/>
  <c r="Y227" i="3"/>
  <c r="AF227" i="3"/>
  <c r="AG227" i="3"/>
  <c r="X219" i="3"/>
  <c r="Y219" i="3"/>
  <c r="AF219" i="3"/>
  <c r="AG219" i="3"/>
  <c r="W219" i="3"/>
  <c r="Y211" i="3"/>
  <c r="AF211" i="3"/>
  <c r="AG211" i="3"/>
  <c r="V211" i="3"/>
  <c r="W211" i="3"/>
  <c r="AF203" i="3"/>
  <c r="AG203" i="3"/>
  <c r="V203" i="3"/>
  <c r="W203" i="3"/>
  <c r="X203" i="3"/>
  <c r="AF195" i="3"/>
  <c r="AG195" i="3"/>
  <c r="V195" i="3"/>
  <c r="W195" i="3"/>
  <c r="X195" i="3"/>
  <c r="Y195" i="3"/>
  <c r="AG187" i="3"/>
  <c r="V187" i="3"/>
  <c r="W187" i="3"/>
  <c r="X187" i="3"/>
  <c r="Y187" i="3"/>
  <c r="V179" i="3"/>
  <c r="W179" i="3"/>
  <c r="X179" i="3"/>
  <c r="Y179" i="3"/>
  <c r="W171" i="3"/>
  <c r="X171" i="3"/>
  <c r="Y171" i="3"/>
  <c r="AF171" i="3"/>
  <c r="V171" i="3"/>
  <c r="Y163" i="3"/>
  <c r="AF163" i="3"/>
  <c r="AG163" i="3"/>
  <c r="V163" i="3"/>
  <c r="W163" i="3"/>
  <c r="X163" i="3"/>
  <c r="AG155" i="3"/>
  <c r="V155" i="3"/>
  <c r="W155" i="3"/>
  <c r="X155" i="3"/>
  <c r="Y155" i="3"/>
  <c r="AF155" i="3"/>
  <c r="AF147" i="3"/>
  <c r="X147" i="3"/>
  <c r="Y147" i="3"/>
  <c r="V147" i="3"/>
  <c r="W147" i="3"/>
  <c r="AG147" i="3"/>
  <c r="AF139" i="3"/>
  <c r="X139" i="3"/>
  <c r="Y139" i="3"/>
  <c r="V139" i="3"/>
  <c r="W139" i="3"/>
  <c r="AG139" i="3"/>
  <c r="AF131" i="3"/>
  <c r="AG131" i="3"/>
  <c r="Y131" i="3"/>
  <c r="V131" i="3"/>
  <c r="W131" i="3"/>
  <c r="X131" i="3"/>
  <c r="V123" i="3"/>
  <c r="W123" i="3"/>
  <c r="AF123" i="3"/>
  <c r="X123" i="3"/>
  <c r="Y123" i="3"/>
  <c r="AG123" i="3"/>
  <c r="V115" i="3"/>
  <c r="W115" i="3"/>
  <c r="AF115" i="3"/>
  <c r="X115" i="3"/>
  <c r="Y115" i="3"/>
  <c r="AG115" i="3"/>
  <c r="V107" i="3"/>
  <c r="W107" i="3"/>
  <c r="X107" i="3"/>
  <c r="Y107" i="3"/>
  <c r="AF107" i="3"/>
  <c r="AG107" i="3"/>
  <c r="X99" i="3"/>
  <c r="Y99" i="3"/>
  <c r="V99" i="3"/>
  <c r="W99" i="3"/>
  <c r="AF99" i="3"/>
  <c r="AG99" i="3"/>
  <c r="AF91" i="3"/>
  <c r="AG91" i="3"/>
  <c r="V91" i="3"/>
  <c r="Y91" i="3"/>
  <c r="W91" i="3"/>
  <c r="X91" i="3"/>
  <c r="V83" i="3"/>
  <c r="W83" i="3"/>
  <c r="X83" i="3"/>
  <c r="Y83" i="3"/>
  <c r="AF83" i="3"/>
  <c r="AG83" i="3"/>
  <c r="AG75" i="3"/>
  <c r="V75" i="3"/>
  <c r="W75" i="3"/>
  <c r="Y75" i="3"/>
  <c r="X75" i="3"/>
  <c r="AF75" i="3"/>
  <c r="AF67" i="3"/>
  <c r="AG67" i="3"/>
  <c r="V67" i="3"/>
  <c r="W67" i="3"/>
  <c r="Y67" i="3"/>
  <c r="X67" i="3"/>
  <c r="AG59" i="3"/>
  <c r="V59" i="3"/>
  <c r="W59" i="3"/>
  <c r="X59" i="3"/>
  <c r="Y59" i="3"/>
  <c r="AF59" i="3"/>
  <c r="Y51" i="3"/>
  <c r="V51" i="3"/>
  <c r="W51" i="3"/>
  <c r="X51" i="3"/>
  <c r="AF51" i="3"/>
  <c r="AG51" i="3"/>
  <c r="W43" i="3"/>
  <c r="X43" i="3"/>
  <c r="Y43" i="3"/>
  <c r="AF43" i="3"/>
  <c r="AG43" i="3"/>
  <c r="V43" i="3"/>
  <c r="AF35" i="3"/>
  <c r="X35" i="3"/>
  <c r="Y35" i="3"/>
  <c r="AG35" i="3"/>
  <c r="V35" i="3"/>
  <c r="W35" i="3"/>
  <c r="AF27" i="3"/>
  <c r="X27" i="3"/>
  <c r="Y27" i="3"/>
  <c r="AG27" i="3"/>
  <c r="V27" i="3"/>
  <c r="W27" i="3"/>
  <c r="AF19" i="3"/>
  <c r="AG19" i="3"/>
  <c r="V19" i="3"/>
  <c r="X19" i="3"/>
  <c r="W19" i="3"/>
  <c r="Y19" i="3"/>
  <c r="V11" i="3"/>
  <c r="W11" i="3"/>
  <c r="X11" i="3"/>
  <c r="Y11" i="3"/>
  <c r="AF11" i="3"/>
  <c r="AG11" i="3"/>
  <c r="X400" i="3"/>
  <c r="Y400" i="3"/>
  <c r="AF400" i="3"/>
  <c r="V400" i="3"/>
  <c r="W400" i="3"/>
  <c r="AG400" i="3"/>
  <c r="AF392" i="3"/>
  <c r="W392" i="3"/>
  <c r="V392" i="3"/>
  <c r="X392" i="3"/>
  <c r="Y392" i="3"/>
  <c r="AG392" i="3"/>
  <c r="AG384" i="3"/>
  <c r="V384" i="3"/>
  <c r="W384" i="3"/>
  <c r="X384" i="3"/>
  <c r="Y384" i="3"/>
  <c r="AF384" i="3"/>
  <c r="V376" i="3"/>
  <c r="W376" i="3"/>
  <c r="X376" i="3"/>
  <c r="Y376" i="3"/>
  <c r="AF376" i="3"/>
  <c r="AG376" i="3"/>
  <c r="AF368" i="3"/>
  <c r="AG368" i="3"/>
  <c r="V368" i="3"/>
  <c r="W368" i="3"/>
  <c r="X368" i="3"/>
  <c r="Y368" i="3"/>
  <c r="AG360" i="3"/>
  <c r="X360" i="3"/>
  <c r="Y360" i="3"/>
  <c r="AF360" i="3"/>
  <c r="V360" i="3"/>
  <c r="W360" i="3"/>
  <c r="W352" i="3"/>
  <c r="X352" i="3"/>
  <c r="Y352" i="3"/>
  <c r="AG352" i="3"/>
  <c r="V352" i="3"/>
  <c r="AF352" i="3"/>
  <c r="AF344" i="3"/>
  <c r="AG344" i="3"/>
  <c r="X344" i="3"/>
  <c r="Y344" i="3"/>
  <c r="V344" i="3"/>
  <c r="W344" i="3"/>
  <c r="AF336" i="3"/>
  <c r="AG336" i="3"/>
  <c r="V336" i="3"/>
  <c r="W336" i="3"/>
  <c r="X336" i="3"/>
  <c r="Y336" i="3"/>
  <c r="W328" i="3"/>
  <c r="X328" i="3"/>
  <c r="Y328" i="3"/>
  <c r="AF328" i="3"/>
  <c r="AG328" i="3"/>
  <c r="V328" i="3"/>
  <c r="AF320" i="3"/>
  <c r="AG320" i="3"/>
  <c r="W320" i="3"/>
  <c r="X320" i="3"/>
  <c r="Y320" i="3"/>
  <c r="V320" i="3"/>
  <c r="X312" i="3"/>
  <c r="Y312" i="3"/>
  <c r="AF312" i="3"/>
  <c r="V312" i="3"/>
  <c r="AG312" i="3"/>
  <c r="W312" i="3"/>
  <c r="AF304" i="3"/>
  <c r="V304" i="3"/>
  <c r="W304" i="3"/>
  <c r="X304" i="3"/>
  <c r="AG304" i="3"/>
  <c r="Y304" i="3"/>
  <c r="X303" i="3"/>
  <c r="AF301" i="3"/>
  <c r="X299" i="3"/>
  <c r="Y298" i="3"/>
  <c r="W297" i="3"/>
  <c r="W295" i="3"/>
  <c r="AF294" i="3"/>
  <c r="W291" i="3"/>
  <c r="AG278" i="3"/>
  <c r="AF275" i="3"/>
  <c r="Y272" i="3"/>
  <c r="AF271" i="3"/>
  <c r="X269" i="3"/>
  <c r="AG268" i="3"/>
  <c r="Y265" i="3"/>
  <c r="AF264" i="3"/>
  <c r="W261" i="3"/>
  <c r="AG260" i="3"/>
  <c r="V258" i="3"/>
  <c r="Y257" i="3"/>
  <c r="W254" i="3"/>
  <c r="X250" i="3"/>
  <c r="W248" i="3"/>
  <c r="X247" i="3"/>
  <c r="AF245" i="3"/>
  <c r="Y244" i="3"/>
  <c r="AF243" i="3"/>
  <c r="AF228" i="3"/>
  <c r="AF198" i="3"/>
  <c r="AF190" i="3"/>
  <c r="AF183" i="3"/>
  <c r="X174" i="3"/>
  <c r="W167" i="3"/>
  <c r="V455" i="3"/>
  <c r="Y455" i="3"/>
  <c r="AG455" i="3"/>
  <c r="Z495" i="3"/>
  <c r="AG495" i="3"/>
  <c r="Y481" i="3"/>
  <c r="AG481" i="3"/>
  <c r="AA481" i="3"/>
  <c r="AM169" i="3"/>
  <c r="X425" i="3"/>
  <c r="Y425" i="3"/>
  <c r="Z425" i="3"/>
  <c r="AA58" i="3"/>
  <c r="W490" i="3"/>
  <c r="Y490" i="3"/>
  <c r="V490" i="3"/>
  <c r="X490" i="3"/>
  <c r="AF490" i="3"/>
  <c r="V481" i="3"/>
  <c r="AF473" i="3"/>
  <c r="AG473" i="3"/>
  <c r="V473" i="3"/>
  <c r="X473" i="3"/>
  <c r="AA473" i="3"/>
  <c r="X450" i="3"/>
  <c r="AF450" i="3"/>
  <c r="AG450" i="3"/>
  <c r="Y485" i="3"/>
  <c r="W485" i="3"/>
  <c r="X491" i="3"/>
  <c r="AF491" i="3"/>
  <c r="AG491" i="3"/>
  <c r="AF487" i="3"/>
  <c r="AG487" i="3"/>
  <c r="W482" i="3"/>
  <c r="Y482" i="3"/>
  <c r="V475" i="3"/>
  <c r="Y405" i="3"/>
  <c r="AA405" i="3"/>
  <c r="AF405" i="3"/>
  <c r="AG405" i="3"/>
  <c r="V405" i="3"/>
  <c r="AG497" i="3"/>
  <c r="AA492" i="3"/>
  <c r="Z479" i="3"/>
  <c r="AG479" i="3"/>
  <c r="AG461" i="3"/>
  <c r="W461" i="3"/>
  <c r="X461" i="3"/>
  <c r="Y461" i="3"/>
  <c r="W443" i="3"/>
  <c r="X443" i="3"/>
  <c r="Y443" i="3"/>
  <c r="AF443" i="3"/>
  <c r="V469" i="3"/>
  <c r="X469" i="3"/>
  <c r="Y469" i="3"/>
  <c r="AG451" i="3"/>
  <c r="AG439" i="3"/>
  <c r="V439" i="3"/>
  <c r="V431" i="3"/>
  <c r="W431" i="3"/>
  <c r="X431" i="3"/>
  <c r="Y431" i="3"/>
  <c r="AF431" i="3"/>
  <c r="AF497" i="3"/>
  <c r="Y491" i="3"/>
  <c r="W478" i="3"/>
  <c r="Y478" i="3"/>
  <c r="AG475" i="3"/>
  <c r="Y426" i="3"/>
  <c r="AA426" i="3"/>
  <c r="AG426" i="3"/>
  <c r="V426" i="3"/>
  <c r="Y421" i="3"/>
  <c r="AF421" i="3"/>
  <c r="AG421" i="3"/>
  <c r="V421" i="3"/>
  <c r="V419" i="3"/>
  <c r="W419" i="3"/>
  <c r="X419" i="3"/>
  <c r="Y419" i="3"/>
  <c r="AF419" i="3"/>
  <c r="Y497" i="3"/>
  <c r="W469" i="3"/>
  <c r="AG464" i="3"/>
  <c r="V464" i="3"/>
  <c r="V461" i="3"/>
  <c r="V423" i="3"/>
  <c r="AG423" i="3"/>
  <c r="W423" i="3"/>
  <c r="X423" i="3"/>
  <c r="Y423" i="3"/>
  <c r="Z423" i="3"/>
  <c r="W410" i="3"/>
  <c r="Y410" i="3"/>
  <c r="AG410" i="3"/>
  <c r="AG406" i="3"/>
  <c r="Y406" i="3"/>
  <c r="Z406" i="3"/>
  <c r="X497" i="3"/>
  <c r="Y494" i="3"/>
  <c r="AA494" i="3"/>
  <c r="AG494" i="3"/>
  <c r="W487" i="3"/>
  <c r="W483" i="3"/>
  <c r="Y483" i="3"/>
  <c r="AF483" i="3"/>
  <c r="Y479" i="3"/>
  <c r="V471" i="3"/>
  <c r="W471" i="3"/>
  <c r="Z471" i="3"/>
  <c r="AG443" i="3"/>
  <c r="X405" i="3"/>
  <c r="AF457" i="3"/>
  <c r="AG456" i="3"/>
  <c r="X454" i="3"/>
  <c r="W433" i="3"/>
  <c r="Y429" i="3"/>
  <c r="V427" i="3"/>
  <c r="AG409" i="3"/>
  <c r="V429" i="3"/>
  <c r="Y428" i="3"/>
  <c r="AF427" i="3"/>
  <c r="Y407" i="3"/>
  <c r="Y457" i="3"/>
  <c r="AA456" i="3"/>
  <c r="X428" i="3"/>
  <c r="Y409" i="3"/>
  <c r="X457" i="3"/>
  <c r="Y456" i="3"/>
  <c r="AG429" i="3"/>
  <c r="W407" i="3"/>
  <c r="AO79" i="3"/>
  <c r="AF429" i="3"/>
  <c r="W404" i="3"/>
  <c r="X427" i="3"/>
  <c r="AN483" i="3"/>
  <c r="AO410" i="3"/>
  <c r="AO462" i="3"/>
  <c r="AO426" i="3"/>
  <c r="AO446" i="3"/>
  <c r="AO436" i="3"/>
  <c r="AN484" i="3"/>
  <c r="AO447" i="3"/>
  <c r="AN433" i="3"/>
  <c r="AO427" i="3"/>
  <c r="AL405" i="3"/>
  <c r="AO490" i="3"/>
  <c r="AO485" i="3"/>
  <c r="AO450" i="3"/>
  <c r="AN428" i="3"/>
  <c r="AO419" i="3"/>
  <c r="AO460" i="3"/>
  <c r="AO491" i="3"/>
  <c r="AO438" i="3"/>
  <c r="AO502" i="3"/>
  <c r="AO439" i="3"/>
  <c r="AL468" i="3"/>
  <c r="AL461" i="3"/>
  <c r="AL457" i="3"/>
  <c r="AM441" i="3"/>
  <c r="AM423" i="3"/>
  <c r="AL413" i="3"/>
  <c r="AO499" i="3"/>
  <c r="AO494" i="3"/>
  <c r="AN491" i="3"/>
  <c r="AN490" i="3"/>
  <c r="AO486" i="3"/>
  <c r="AM483" i="3"/>
  <c r="AO477" i="3"/>
  <c r="AO465" i="3"/>
  <c r="AN462" i="3"/>
  <c r="AN460" i="3"/>
  <c r="AN450" i="3"/>
  <c r="AL447" i="3"/>
  <c r="AN446" i="3"/>
  <c r="AL444" i="3"/>
  <c r="AL443" i="3"/>
  <c r="AL441" i="3"/>
  <c r="AL439" i="3"/>
  <c r="AL438" i="3"/>
  <c r="AM436" i="3"/>
  <c r="AO434" i="3"/>
  <c r="AM433" i="3"/>
  <c r="AN427" i="3"/>
  <c r="AM426" i="3"/>
  <c r="AO425" i="3"/>
  <c r="AL423" i="3"/>
  <c r="AO421" i="3"/>
  <c r="AO420" i="3"/>
  <c r="AN419" i="3"/>
  <c r="AO418" i="3"/>
  <c r="AL411" i="3"/>
  <c r="AM410" i="3"/>
  <c r="AQ410" i="3" s="1"/>
  <c r="AO404" i="3"/>
  <c r="AO501" i="3"/>
  <c r="AM499" i="3"/>
  <c r="AM491" i="3"/>
  <c r="AM490" i="3"/>
  <c r="AN486" i="3"/>
  <c r="AO482" i="3"/>
  <c r="AO481" i="3"/>
  <c r="AO473" i="3"/>
  <c r="AO471" i="3"/>
  <c r="AO469" i="3"/>
  <c r="AN465" i="3"/>
  <c r="AM460" i="3"/>
  <c r="AO453" i="3"/>
  <c r="AM446" i="3"/>
  <c r="AL436" i="3"/>
  <c r="AL433" i="3"/>
  <c r="AM427" i="3"/>
  <c r="AL426" i="3"/>
  <c r="AN425" i="3"/>
  <c r="AN421" i="3"/>
  <c r="AM419" i="3"/>
  <c r="AQ419" i="3" s="1"/>
  <c r="AM418" i="3"/>
  <c r="AO416" i="3"/>
  <c r="AL410" i="3"/>
  <c r="AN404" i="3"/>
  <c r="AN501" i="3"/>
  <c r="AL499" i="3"/>
  <c r="AO496" i="3"/>
  <c r="AO495" i="3"/>
  <c r="AL490" i="3"/>
  <c r="AM486" i="3"/>
  <c r="AN482" i="3"/>
  <c r="AL481" i="3"/>
  <c r="AO478" i="3"/>
  <c r="AN475" i="3"/>
  <c r="AN473" i="3"/>
  <c r="AN469" i="3"/>
  <c r="AM465" i="3"/>
  <c r="AO463" i="3"/>
  <c r="AL460" i="3"/>
  <c r="AO456" i="3"/>
  <c r="AN454" i="3"/>
  <c r="AN453" i="3"/>
  <c r="AO451" i="3"/>
  <c r="AO442" i="3"/>
  <c r="AO432" i="3"/>
  <c r="AO431" i="3"/>
  <c r="AL427" i="3"/>
  <c r="AL421" i="3"/>
  <c r="AL419" i="3"/>
  <c r="AL418" i="3"/>
  <c r="AO417" i="3"/>
  <c r="AN416" i="3"/>
  <c r="AO414" i="3"/>
  <c r="AM404" i="3"/>
  <c r="AM501" i="3"/>
  <c r="AN496" i="3"/>
  <c r="AO493" i="3"/>
  <c r="AL486" i="3"/>
  <c r="AM482" i="3"/>
  <c r="AN478" i="3"/>
  <c r="AL475" i="3"/>
  <c r="AM473" i="3"/>
  <c r="AM469" i="3"/>
  <c r="AL465" i="3"/>
  <c r="AL463" i="3"/>
  <c r="AO458" i="3"/>
  <c r="AM456" i="3"/>
  <c r="AM453" i="3"/>
  <c r="AQ453" i="3" s="1"/>
  <c r="AO449" i="3"/>
  <c r="AO448" i="3"/>
  <c r="AO437" i="3"/>
  <c r="AO435" i="3"/>
  <c r="AN432" i="3"/>
  <c r="AN431" i="3"/>
  <c r="AO424" i="3"/>
  <c r="AM416" i="3"/>
  <c r="AO415" i="3"/>
  <c r="AO408" i="3"/>
  <c r="AM443" i="3"/>
  <c r="AL429" i="3"/>
  <c r="AL501" i="3"/>
  <c r="AP501" i="3" s="1"/>
  <c r="AO498" i="3"/>
  <c r="AO497" i="3"/>
  <c r="AM496" i="3"/>
  <c r="AN493" i="3"/>
  <c r="AL482" i="3"/>
  <c r="AM478" i="3"/>
  <c r="AO476" i="3"/>
  <c r="AL473" i="3"/>
  <c r="AL469" i="3"/>
  <c r="AO468" i="3"/>
  <c r="AO464" i="3"/>
  <c r="AO461" i="3"/>
  <c r="AN458" i="3"/>
  <c r="AO457" i="3"/>
  <c r="AL456" i="3"/>
  <c r="AL453" i="3"/>
  <c r="AO452" i="3"/>
  <c r="AN449" i="3"/>
  <c r="AN448" i="3"/>
  <c r="AN437" i="3"/>
  <c r="AN435" i="3"/>
  <c r="AM432" i="3"/>
  <c r="AM431" i="3"/>
  <c r="AN424" i="3"/>
  <c r="AL416" i="3"/>
  <c r="AN415" i="3"/>
  <c r="AN408" i="3"/>
  <c r="AO407" i="3"/>
  <c r="AO405" i="3"/>
  <c r="AL480" i="3"/>
  <c r="AL466" i="3"/>
  <c r="AL455" i="3"/>
  <c r="AM444" i="3"/>
  <c r="AM440" i="3"/>
  <c r="AM411" i="3"/>
  <c r="AL407" i="3"/>
  <c r="AN498" i="3"/>
  <c r="AN497" i="3"/>
  <c r="AL496" i="3"/>
  <c r="AP496" i="3" s="1"/>
  <c r="AM493" i="3"/>
  <c r="AO479" i="3"/>
  <c r="AL478" i="3"/>
  <c r="AN476" i="3"/>
  <c r="AM470" i="3"/>
  <c r="AN468" i="3"/>
  <c r="AO466" i="3"/>
  <c r="AL464" i="3"/>
  <c r="AN461" i="3"/>
  <c r="AL458" i="3"/>
  <c r="AN457" i="3"/>
  <c r="AN452" i="3"/>
  <c r="AM449" i="3"/>
  <c r="AQ449" i="3" s="1"/>
  <c r="AM448" i="3"/>
  <c r="AQ448" i="3" s="1"/>
  <c r="AO444" i="3"/>
  <c r="AO443" i="3"/>
  <c r="AO441" i="3"/>
  <c r="AO440" i="3"/>
  <c r="AM435" i="3"/>
  <c r="AL432" i="3"/>
  <c r="AL431" i="3"/>
  <c r="AO429" i="3"/>
  <c r="AM424" i="3"/>
  <c r="AO423" i="3"/>
  <c r="AM415" i="3"/>
  <c r="AO413" i="3"/>
  <c r="AO412" i="3"/>
  <c r="AO411" i="3"/>
  <c r="AM408" i="3"/>
  <c r="AN407" i="3"/>
  <c r="AN405" i="3"/>
  <c r="AP405" i="3" s="1"/>
  <c r="AL452" i="3"/>
  <c r="AO500" i="3"/>
  <c r="AM498" i="3"/>
  <c r="AL493" i="3"/>
  <c r="AO484" i="3"/>
  <c r="AO483" i="3"/>
  <c r="AM479" i="3"/>
  <c r="AN474" i="3"/>
  <c r="AM468" i="3"/>
  <c r="AN466" i="3"/>
  <c r="AM461" i="3"/>
  <c r="AM457" i="3"/>
  <c r="AO455" i="3"/>
  <c r="AM452" i="3"/>
  <c r="AL449" i="3"/>
  <c r="AL448" i="3"/>
  <c r="AN444" i="3"/>
  <c r="AN443" i="3"/>
  <c r="AN441" i="3"/>
  <c r="AN440" i="3"/>
  <c r="AL435" i="3"/>
  <c r="AN429" i="3"/>
  <c r="AO428" i="3"/>
  <c r="AL424" i="3"/>
  <c r="AN423" i="3"/>
  <c r="AL415" i="3"/>
  <c r="AN413" i="3"/>
  <c r="AM412" i="3"/>
  <c r="AQ412" i="3" s="1"/>
  <c r="AN411" i="3"/>
  <c r="AL408" i="3"/>
  <c r="AM407" i="3"/>
  <c r="AM405" i="3"/>
  <c r="AA502" i="3"/>
  <c r="Z498" i="3"/>
  <c r="AA497" i="3"/>
  <c r="Z494" i="3"/>
  <c r="AA493" i="3"/>
  <c r="Z492" i="3"/>
  <c r="AA488" i="3"/>
  <c r="Z484" i="3"/>
  <c r="Z481" i="3"/>
  <c r="Z473" i="3"/>
  <c r="Z468" i="3"/>
  <c r="AA467" i="3"/>
  <c r="Z466" i="3"/>
  <c r="AA464" i="3"/>
  <c r="Z460" i="3"/>
  <c r="Z456" i="3"/>
  <c r="AA455" i="3"/>
  <c r="Z453" i="3"/>
  <c r="Z429" i="3"/>
  <c r="AA427" i="3"/>
  <c r="Z426" i="3"/>
  <c r="AA421" i="3"/>
  <c r="AA419" i="3"/>
  <c r="Z418" i="3"/>
  <c r="AA416" i="3"/>
  <c r="Z405" i="3"/>
  <c r="Z502" i="3"/>
  <c r="AA501" i="3"/>
  <c r="Z497" i="3"/>
  <c r="Z493" i="3"/>
  <c r="Z488" i="3"/>
  <c r="AA487" i="3"/>
  <c r="AA478" i="3"/>
  <c r="AA475" i="3"/>
  <c r="Z467" i="3"/>
  <c r="Z464" i="3"/>
  <c r="AA457" i="3"/>
  <c r="Z455" i="3"/>
  <c r="AA449" i="3"/>
  <c r="Z427" i="3"/>
  <c r="Z421" i="3"/>
  <c r="Z419" i="3"/>
  <c r="Z416" i="3"/>
  <c r="AA404" i="3"/>
  <c r="Z392" i="3"/>
  <c r="Z501" i="3"/>
  <c r="AA500" i="3"/>
  <c r="AA490" i="3"/>
  <c r="Z487" i="3"/>
  <c r="AA485" i="3"/>
  <c r="AA482" i="3"/>
  <c r="AA480" i="3"/>
  <c r="Z478" i="3"/>
  <c r="AA476" i="3"/>
  <c r="Z475" i="3"/>
  <c r="Z457" i="3"/>
  <c r="AA452" i="3"/>
  <c r="AA451" i="3"/>
  <c r="Z449" i="3"/>
  <c r="AA448" i="3"/>
  <c r="AA445" i="3"/>
  <c r="AA440" i="3"/>
  <c r="AA437" i="3"/>
  <c r="Z404" i="3"/>
  <c r="Z360" i="3"/>
  <c r="Z500" i="3"/>
  <c r="Z490" i="3"/>
  <c r="AA486" i="3"/>
  <c r="Z485" i="3"/>
  <c r="AA483" i="3"/>
  <c r="Z482" i="3"/>
  <c r="Z480" i="3"/>
  <c r="AA477" i="3"/>
  <c r="Z476" i="3"/>
  <c r="AA470" i="3"/>
  <c r="AA469" i="3"/>
  <c r="AA461" i="3"/>
  <c r="AA458" i="3"/>
  <c r="AA454" i="3"/>
  <c r="Z452" i="3"/>
  <c r="Z451" i="3"/>
  <c r="Z448" i="3"/>
  <c r="Z445" i="3"/>
  <c r="AA441" i="3"/>
  <c r="Z440" i="3"/>
  <c r="Z437" i="3"/>
  <c r="AA435" i="3"/>
  <c r="AA434" i="3"/>
  <c r="AA433" i="3"/>
  <c r="AA432" i="3"/>
  <c r="AA430" i="3"/>
  <c r="AA424" i="3"/>
  <c r="AA415" i="3"/>
  <c r="Z356" i="3"/>
  <c r="AA499" i="3"/>
  <c r="Z486" i="3"/>
  <c r="Z483" i="3"/>
  <c r="Z477" i="3"/>
  <c r="AA472" i="3"/>
  <c r="Z470" i="3"/>
  <c r="Z469" i="3"/>
  <c r="AA462" i="3"/>
  <c r="Z461" i="3"/>
  <c r="Z458" i="3"/>
  <c r="Z454" i="3"/>
  <c r="AA450" i="3"/>
  <c r="AA447" i="3"/>
  <c r="Z441" i="3"/>
  <c r="AA439" i="3"/>
  <c r="AA438" i="3"/>
  <c r="AA436" i="3"/>
  <c r="Z435" i="3"/>
  <c r="Z434" i="3"/>
  <c r="Z433" i="3"/>
  <c r="Z432" i="3"/>
  <c r="AA431" i="3"/>
  <c r="Z430" i="3"/>
  <c r="Z424" i="3"/>
  <c r="AA417" i="3"/>
  <c r="Z415" i="3"/>
  <c r="AA408" i="3"/>
  <c r="AA250" i="3"/>
  <c r="Z499" i="3"/>
  <c r="AA496" i="3"/>
  <c r="AA491" i="3"/>
  <c r="Z472" i="3"/>
  <c r="AA465" i="3"/>
  <c r="Z462" i="3"/>
  <c r="Z450" i="3"/>
  <c r="Z447" i="3"/>
  <c r="AA444" i="3"/>
  <c r="AA443" i="3"/>
  <c r="Z439" i="3"/>
  <c r="Z438" i="3"/>
  <c r="Z436" i="3"/>
  <c r="Z431" i="3"/>
  <c r="AA428" i="3"/>
  <c r="AA422" i="3"/>
  <c r="AA420" i="3"/>
  <c r="Z417" i="3"/>
  <c r="AA413" i="3"/>
  <c r="AA410" i="3"/>
  <c r="AA409" i="3"/>
  <c r="Z408" i="3"/>
  <c r="AA407" i="3"/>
  <c r="AA503" i="3"/>
  <c r="Z496" i="3"/>
  <c r="AA495" i="3"/>
  <c r="Z491" i="3"/>
  <c r="AA489" i="3"/>
  <c r="AA479" i="3"/>
  <c r="AA474" i="3"/>
  <c r="AA471" i="3"/>
  <c r="Z465" i="3"/>
  <c r="AA463" i="3"/>
  <c r="AA459" i="3"/>
  <c r="AA446" i="3"/>
  <c r="Z444" i="3"/>
  <c r="Z443" i="3"/>
  <c r="AA442" i="3"/>
  <c r="Z428" i="3"/>
  <c r="AA425" i="3"/>
  <c r="AA423" i="3"/>
  <c r="Z422" i="3"/>
  <c r="Z420" i="3"/>
  <c r="AA414" i="3"/>
  <c r="Z413" i="3"/>
  <c r="AA412" i="3"/>
  <c r="AA411" i="3"/>
  <c r="Z410" i="3"/>
  <c r="Z409" i="3"/>
  <c r="Z407" i="3"/>
  <c r="AA406" i="3"/>
  <c r="X503" i="3"/>
  <c r="AO503" i="3"/>
  <c r="Y495" i="3"/>
  <c r="AN503" i="3"/>
  <c r="AG503" i="3"/>
  <c r="V500" i="3"/>
  <c r="AL500" i="3"/>
  <c r="W500" i="3"/>
  <c r="AM500" i="3"/>
  <c r="X500" i="3"/>
  <c r="AF500" i="3"/>
  <c r="AN500" i="3"/>
  <c r="AG492" i="3"/>
  <c r="V492" i="3"/>
  <c r="AL492" i="3"/>
  <c r="W492" i="3"/>
  <c r="AM492" i="3"/>
  <c r="AO492" i="3"/>
  <c r="X492" i="3"/>
  <c r="AF492" i="3"/>
  <c r="AN492" i="3"/>
  <c r="Y492" i="3"/>
  <c r="V459" i="3"/>
  <c r="AL459" i="3"/>
  <c r="W459" i="3"/>
  <c r="AM459" i="3"/>
  <c r="X459" i="3"/>
  <c r="AF459" i="3"/>
  <c r="AN459" i="3"/>
  <c r="AO459" i="3"/>
  <c r="Y459" i="3"/>
  <c r="AG459" i="3"/>
  <c r="V503" i="3"/>
  <c r="AL503" i="3"/>
  <c r="W503" i="3"/>
  <c r="AM503" i="3"/>
  <c r="X495" i="3"/>
  <c r="AN495" i="3"/>
  <c r="V495" i="3"/>
  <c r="AL495" i="3"/>
  <c r="AF495" i="3"/>
  <c r="W495" i="3"/>
  <c r="AM495" i="3"/>
  <c r="AL498" i="3"/>
  <c r="V498" i="3"/>
  <c r="W489" i="3"/>
  <c r="AM489" i="3"/>
  <c r="X489" i="3"/>
  <c r="AF489" i="3"/>
  <c r="AN489" i="3"/>
  <c r="AM485" i="3"/>
  <c r="AG480" i="3"/>
  <c r="X472" i="3"/>
  <c r="AF472" i="3"/>
  <c r="AN472" i="3"/>
  <c r="W472" i="3"/>
  <c r="Y472" i="3"/>
  <c r="AL472" i="3"/>
  <c r="AO472" i="3"/>
  <c r="W480" i="3"/>
  <c r="AM480" i="3"/>
  <c r="AO488" i="3"/>
  <c r="AO487" i="3"/>
  <c r="V485" i="3"/>
  <c r="AL485" i="3"/>
  <c r="X485" i="3"/>
  <c r="AF485" i="3"/>
  <c r="AN485" i="3"/>
  <c r="AF480" i="3"/>
  <c r="AN502" i="3"/>
  <c r="AF502" i="3"/>
  <c r="X502" i="3"/>
  <c r="AM497" i="3"/>
  <c r="W497" i="3"/>
  <c r="AN494" i="3"/>
  <c r="AF494" i="3"/>
  <c r="X494" i="3"/>
  <c r="V491" i="3"/>
  <c r="AN488" i="3"/>
  <c r="AN487" i="3"/>
  <c r="V472" i="3"/>
  <c r="AM502" i="3"/>
  <c r="W502" i="3"/>
  <c r="AN499" i="3"/>
  <c r="AF499" i="3"/>
  <c r="X499" i="3"/>
  <c r="AL497" i="3"/>
  <c r="V497" i="3"/>
  <c r="AM494" i="3"/>
  <c r="W494" i="3"/>
  <c r="AL491" i="3"/>
  <c r="AO489" i="3"/>
  <c r="AL488" i="3"/>
  <c r="AM487" i="3"/>
  <c r="AG485" i="3"/>
  <c r="W481" i="3"/>
  <c r="AM481" i="3"/>
  <c r="X481" i="3"/>
  <c r="AF481" i="3"/>
  <c r="AN481" i="3"/>
  <c r="V479" i="3"/>
  <c r="AL479" i="3"/>
  <c r="X479" i="3"/>
  <c r="AF479" i="3"/>
  <c r="AN479" i="3"/>
  <c r="AM477" i="3"/>
  <c r="W475" i="3"/>
  <c r="AM475" i="3"/>
  <c r="AO475" i="3"/>
  <c r="AF475" i="3"/>
  <c r="X475" i="3"/>
  <c r="W474" i="3"/>
  <c r="AM474" i="3"/>
  <c r="Y474" i="3"/>
  <c r="AL474" i="3"/>
  <c r="AO474" i="3"/>
  <c r="AM472" i="3"/>
  <c r="W488" i="3"/>
  <c r="AM488" i="3"/>
  <c r="V487" i="3"/>
  <c r="AL487" i="3"/>
  <c r="AL502" i="3"/>
  <c r="V502" i="3"/>
  <c r="AL494" i="3"/>
  <c r="V494" i="3"/>
  <c r="AL489" i="3"/>
  <c r="Y487" i="3"/>
  <c r="AO480" i="3"/>
  <c r="V477" i="3"/>
  <c r="AL477" i="3"/>
  <c r="X477" i="3"/>
  <c r="AF477" i="3"/>
  <c r="AN477" i="3"/>
  <c r="Y488" i="3"/>
  <c r="X487" i="3"/>
  <c r="AN480" i="3"/>
  <c r="V451" i="3"/>
  <c r="AL451" i="3"/>
  <c r="W451" i="3"/>
  <c r="AM451" i="3"/>
  <c r="X451" i="3"/>
  <c r="AF451" i="3"/>
  <c r="AN451" i="3"/>
  <c r="Y451" i="3"/>
  <c r="AL483" i="3"/>
  <c r="V483" i="3"/>
  <c r="Y473" i="3"/>
  <c r="Y471" i="3"/>
  <c r="W463" i="3"/>
  <c r="AM463" i="3"/>
  <c r="X463" i="3"/>
  <c r="AF463" i="3"/>
  <c r="AN463" i="3"/>
  <c r="V462" i="3"/>
  <c r="AL462" i="3"/>
  <c r="W462" i="3"/>
  <c r="AM462" i="3"/>
  <c r="Y454" i="3"/>
  <c r="X471" i="3"/>
  <c r="AF471" i="3"/>
  <c r="AN471" i="3"/>
  <c r="V470" i="3"/>
  <c r="AL470" i="3"/>
  <c r="V467" i="3"/>
  <c r="AL467" i="3"/>
  <c r="W467" i="3"/>
  <c r="AM467" i="3"/>
  <c r="X467" i="3"/>
  <c r="AF467" i="3"/>
  <c r="AN467" i="3"/>
  <c r="AO454" i="3"/>
  <c r="V445" i="3"/>
  <c r="AL445" i="3"/>
  <c r="W445" i="3"/>
  <c r="AM445" i="3"/>
  <c r="Y445" i="3"/>
  <c r="AN445" i="3"/>
  <c r="AO445" i="3"/>
  <c r="AF445" i="3"/>
  <c r="AG445" i="3"/>
  <c r="AM484" i="3"/>
  <c r="W484" i="3"/>
  <c r="AM476" i="3"/>
  <c r="W476" i="3"/>
  <c r="AM471" i="3"/>
  <c r="AO470" i="3"/>
  <c r="AO467" i="3"/>
  <c r="AG454" i="3"/>
  <c r="AL484" i="3"/>
  <c r="V484" i="3"/>
  <c r="AL476" i="3"/>
  <c r="V476" i="3"/>
  <c r="AL471" i="3"/>
  <c r="AN470" i="3"/>
  <c r="V454" i="3"/>
  <c r="AL454" i="3"/>
  <c r="W454" i="3"/>
  <c r="AM454" i="3"/>
  <c r="AN464" i="3"/>
  <c r="AF464" i="3"/>
  <c r="X464" i="3"/>
  <c r="AN456" i="3"/>
  <c r="AF456" i="3"/>
  <c r="X456" i="3"/>
  <c r="V450" i="3"/>
  <c r="AL450" i="3"/>
  <c r="W450" i="3"/>
  <c r="AM450" i="3"/>
  <c r="AM464" i="3"/>
  <c r="W464" i="3"/>
  <c r="AM466" i="3"/>
  <c r="W466" i="3"/>
  <c r="AM458" i="3"/>
  <c r="W458" i="3"/>
  <c r="AN455" i="3"/>
  <c r="AF455" i="3"/>
  <c r="X455" i="3"/>
  <c r="AL446" i="3"/>
  <c r="V422" i="3"/>
  <c r="AL422" i="3"/>
  <c r="W422" i="3"/>
  <c r="AM422" i="3"/>
  <c r="X422" i="3"/>
  <c r="AF422" i="3"/>
  <c r="AN422" i="3"/>
  <c r="AG422" i="3"/>
  <c r="AO422" i="3"/>
  <c r="AM455" i="3"/>
  <c r="W455" i="3"/>
  <c r="Y450" i="3"/>
  <c r="V448" i="3"/>
  <c r="Y446" i="3"/>
  <c r="V442" i="3"/>
  <c r="AL442" i="3"/>
  <c r="W442" i="3"/>
  <c r="AM442" i="3"/>
  <c r="X442" i="3"/>
  <c r="AF442" i="3"/>
  <c r="AN442" i="3"/>
  <c r="V434" i="3"/>
  <c r="AL434" i="3"/>
  <c r="W434" i="3"/>
  <c r="AM434" i="3"/>
  <c r="X434" i="3"/>
  <c r="AF434" i="3"/>
  <c r="AN434" i="3"/>
  <c r="V420" i="3"/>
  <c r="AL420" i="3"/>
  <c r="AF420" i="3"/>
  <c r="AG420" i="3"/>
  <c r="W420" i="3"/>
  <c r="AM420" i="3"/>
  <c r="X420" i="3"/>
  <c r="AN420" i="3"/>
  <c r="AL440" i="3"/>
  <c r="V440" i="3"/>
  <c r="AM437" i="3"/>
  <c r="W437" i="3"/>
  <c r="AO430" i="3"/>
  <c r="AM428" i="3"/>
  <c r="W428" i="3"/>
  <c r="AG425" i="3"/>
  <c r="AN417" i="3"/>
  <c r="V409" i="3"/>
  <c r="AL409" i="3"/>
  <c r="W409" i="3"/>
  <c r="AM409" i="3"/>
  <c r="AN447" i="3"/>
  <c r="AF447" i="3"/>
  <c r="X447" i="3"/>
  <c r="AN439" i="3"/>
  <c r="AF439" i="3"/>
  <c r="X439" i="3"/>
  <c r="AL437" i="3"/>
  <c r="V437" i="3"/>
  <c r="AG428" i="3"/>
  <c r="AF425" i="3"/>
  <c r="V414" i="3"/>
  <c r="AL414" i="3"/>
  <c r="W414" i="3"/>
  <c r="AM414" i="3"/>
  <c r="X414" i="3"/>
  <c r="AF414" i="3"/>
  <c r="AN414" i="3"/>
  <c r="V412" i="3"/>
  <c r="AL412" i="3"/>
  <c r="AO409" i="3"/>
  <c r="X409" i="3"/>
  <c r="AM447" i="3"/>
  <c r="W447" i="3"/>
  <c r="AM439" i="3"/>
  <c r="W439" i="3"/>
  <c r="AN436" i="3"/>
  <c r="AF436" i="3"/>
  <c r="X436" i="3"/>
  <c r="AO433" i="3"/>
  <c r="AG433" i="3"/>
  <c r="Y433" i="3"/>
  <c r="AF428" i="3"/>
  <c r="AG417" i="3"/>
  <c r="AN412" i="3"/>
  <c r="X412" i="3"/>
  <c r="AN409" i="3"/>
  <c r="AF417" i="3"/>
  <c r="V406" i="3"/>
  <c r="AL406" i="3"/>
  <c r="W406" i="3"/>
  <c r="AM406" i="3"/>
  <c r="X406" i="3"/>
  <c r="AF406" i="3"/>
  <c r="AN406" i="3"/>
  <c r="AN438" i="3"/>
  <c r="AF438" i="3"/>
  <c r="X438" i="3"/>
  <c r="V425" i="3"/>
  <c r="AL425" i="3"/>
  <c r="W425" i="3"/>
  <c r="AM425" i="3"/>
  <c r="AM438" i="3"/>
  <c r="W438" i="3"/>
  <c r="AO406" i="3"/>
  <c r="V430" i="3"/>
  <c r="AL430" i="3"/>
  <c r="W430" i="3"/>
  <c r="AM430" i="3"/>
  <c r="X430" i="3"/>
  <c r="AF430" i="3"/>
  <c r="AN430" i="3"/>
  <c r="V428" i="3"/>
  <c r="AL428" i="3"/>
  <c r="V417" i="3"/>
  <c r="AL417" i="3"/>
  <c r="W417" i="3"/>
  <c r="AM417" i="3"/>
  <c r="AL404" i="3"/>
  <c r="V404" i="3"/>
  <c r="AM429" i="3"/>
  <c r="W429" i="3"/>
  <c r="AN426" i="3"/>
  <c r="AF426" i="3"/>
  <c r="X426" i="3"/>
  <c r="AM421" i="3"/>
  <c r="W421" i="3"/>
  <c r="AN418" i="3"/>
  <c r="AF418" i="3"/>
  <c r="X418" i="3"/>
  <c r="AM413" i="3"/>
  <c r="W413" i="3"/>
  <c r="AN410" i="3"/>
  <c r="AF410" i="3"/>
  <c r="X410" i="3"/>
  <c r="W405" i="3"/>
  <c r="Z352" i="3"/>
  <c r="Z396" i="3"/>
  <c r="AA282" i="3"/>
  <c r="Z388" i="3"/>
  <c r="AA218" i="3"/>
  <c r="Z384" i="3"/>
  <c r="AA186" i="3"/>
  <c r="Z364" i="3"/>
  <c r="AA26" i="3"/>
  <c r="Z380" i="3"/>
  <c r="Z348" i="3"/>
  <c r="AA154" i="3"/>
  <c r="Z376" i="3"/>
  <c r="Z344" i="3"/>
  <c r="AA122" i="3"/>
  <c r="AA3" i="3"/>
  <c r="Z372" i="3"/>
  <c r="AA337" i="3"/>
  <c r="AA90" i="3"/>
  <c r="Z400" i="3"/>
  <c r="Z368" i="3"/>
  <c r="AA314" i="3"/>
  <c r="Z4" i="3"/>
  <c r="Z8" i="3"/>
  <c r="Z12" i="3"/>
  <c r="Z16" i="3"/>
  <c r="Z20" i="3"/>
  <c r="Z24" i="3"/>
  <c r="Z28" i="3"/>
  <c r="Z32" i="3"/>
  <c r="Z36" i="3"/>
  <c r="Z40" i="3"/>
  <c r="Z44" i="3"/>
  <c r="Z48" i="3"/>
  <c r="Z52" i="3"/>
  <c r="Z56" i="3"/>
  <c r="Z60" i="3"/>
  <c r="Z64" i="3"/>
  <c r="Z68" i="3"/>
  <c r="Z72" i="3"/>
  <c r="Z76" i="3"/>
  <c r="Z80" i="3"/>
  <c r="Z84" i="3"/>
  <c r="Z88" i="3"/>
  <c r="Z92" i="3"/>
  <c r="Z96" i="3"/>
  <c r="Z100" i="3"/>
  <c r="Z104" i="3"/>
  <c r="Z108" i="3"/>
  <c r="Z112" i="3"/>
  <c r="Z116" i="3"/>
  <c r="Z120" i="3"/>
  <c r="Z124" i="3"/>
  <c r="Z128" i="3"/>
  <c r="Z132" i="3"/>
  <c r="Z136" i="3"/>
  <c r="Z140" i="3"/>
  <c r="Z144" i="3"/>
  <c r="Z148" i="3"/>
  <c r="Z152" i="3"/>
  <c r="Z156" i="3"/>
  <c r="Z160" i="3"/>
  <c r="Z164" i="3"/>
  <c r="Z168" i="3"/>
  <c r="Z172" i="3"/>
  <c r="Z176" i="3"/>
  <c r="Z180" i="3"/>
  <c r="Z184" i="3"/>
  <c r="Z188" i="3"/>
  <c r="Z192" i="3"/>
  <c r="Z196" i="3"/>
  <c r="Z200" i="3"/>
  <c r="Z204" i="3"/>
  <c r="Z208" i="3"/>
  <c r="Z212" i="3"/>
  <c r="Z216" i="3"/>
  <c r="Z220" i="3"/>
  <c r="Z224" i="3"/>
  <c r="Z228" i="3"/>
  <c r="Z232" i="3"/>
  <c r="Z236" i="3"/>
  <c r="Z240" i="3"/>
  <c r="Z244" i="3"/>
  <c r="Z248" i="3"/>
  <c r="Z252" i="3"/>
  <c r="Z256" i="3"/>
  <c r="Z260" i="3"/>
  <c r="Z264" i="3"/>
  <c r="Z268" i="3"/>
  <c r="Z272" i="3"/>
  <c r="Z276" i="3"/>
  <c r="Z280" i="3"/>
  <c r="Z284" i="3"/>
  <c r="Z288" i="3"/>
  <c r="Z292" i="3"/>
  <c r="Z296" i="3"/>
  <c r="Z300" i="3"/>
  <c r="Z304" i="3"/>
  <c r="Z308" i="3"/>
  <c r="Z312" i="3"/>
  <c r="Z316" i="3"/>
  <c r="Z320" i="3"/>
  <c r="Z324" i="3"/>
  <c r="Z328" i="3"/>
  <c r="Z332" i="3"/>
  <c r="Z336" i="3"/>
  <c r="Z340" i="3"/>
  <c r="AA4" i="3"/>
  <c r="AA8" i="3"/>
  <c r="AA12" i="3"/>
  <c r="AA16" i="3"/>
  <c r="AA20" i="3"/>
  <c r="AA24" i="3"/>
  <c r="AA28" i="3"/>
  <c r="AA32" i="3"/>
  <c r="AA36" i="3"/>
  <c r="AA40" i="3"/>
  <c r="AA44" i="3"/>
  <c r="AA48" i="3"/>
  <c r="AA52" i="3"/>
  <c r="AA56" i="3"/>
  <c r="AA60" i="3"/>
  <c r="AA64" i="3"/>
  <c r="AA68" i="3"/>
  <c r="AA72" i="3"/>
  <c r="AA76" i="3"/>
  <c r="AA80" i="3"/>
  <c r="AA84" i="3"/>
  <c r="AA88" i="3"/>
  <c r="AA92" i="3"/>
  <c r="AA96" i="3"/>
  <c r="AA100" i="3"/>
  <c r="AA104" i="3"/>
  <c r="AA108" i="3"/>
  <c r="AA112" i="3"/>
  <c r="AA116" i="3"/>
  <c r="AA120" i="3"/>
  <c r="AA124" i="3"/>
  <c r="AA128" i="3"/>
  <c r="AA132" i="3"/>
  <c r="AA136" i="3"/>
  <c r="AA140" i="3"/>
  <c r="AA144" i="3"/>
  <c r="AA148" i="3"/>
  <c r="AA152" i="3"/>
  <c r="AA156" i="3"/>
  <c r="AA160" i="3"/>
  <c r="AA164" i="3"/>
  <c r="AA168" i="3"/>
  <c r="AA172" i="3"/>
  <c r="AA176" i="3"/>
  <c r="AA180" i="3"/>
  <c r="AA184" i="3"/>
  <c r="AA188" i="3"/>
  <c r="AA192" i="3"/>
  <c r="AA196" i="3"/>
  <c r="AA200" i="3"/>
  <c r="AA204" i="3"/>
  <c r="AA208" i="3"/>
  <c r="AA212" i="3"/>
  <c r="AA216" i="3"/>
  <c r="AA220" i="3"/>
  <c r="AA224" i="3"/>
  <c r="AA228" i="3"/>
  <c r="AA232" i="3"/>
  <c r="AA236" i="3"/>
  <c r="AA240" i="3"/>
  <c r="AA244" i="3"/>
  <c r="AA248" i="3"/>
  <c r="AA252" i="3"/>
  <c r="AA256" i="3"/>
  <c r="AA260" i="3"/>
  <c r="AA264" i="3"/>
  <c r="AA268" i="3"/>
  <c r="AA272" i="3"/>
  <c r="AA276" i="3"/>
  <c r="AA280" i="3"/>
  <c r="AA284" i="3"/>
  <c r="AA288" i="3"/>
  <c r="AA292" i="3"/>
  <c r="AA296" i="3"/>
  <c r="AA300" i="3"/>
  <c r="AA304" i="3"/>
  <c r="AA308" i="3"/>
  <c r="AA312" i="3"/>
  <c r="AA316" i="3"/>
  <c r="AA320" i="3"/>
  <c r="AA324" i="3"/>
  <c r="AA328" i="3"/>
  <c r="AA332" i="3"/>
  <c r="Z5" i="3"/>
  <c r="Z9" i="3"/>
  <c r="Z13" i="3"/>
  <c r="Z17" i="3"/>
  <c r="Z21" i="3"/>
  <c r="Z25" i="3"/>
  <c r="Z29" i="3"/>
  <c r="Z33" i="3"/>
  <c r="Z37" i="3"/>
  <c r="Z41" i="3"/>
  <c r="Z45" i="3"/>
  <c r="Z49" i="3"/>
  <c r="Z53" i="3"/>
  <c r="Z57" i="3"/>
  <c r="Z61" i="3"/>
  <c r="Z65" i="3"/>
  <c r="Z69" i="3"/>
  <c r="Z73" i="3"/>
  <c r="Z77" i="3"/>
  <c r="Z81" i="3"/>
  <c r="Z85" i="3"/>
  <c r="Z89" i="3"/>
  <c r="Z93" i="3"/>
  <c r="Z97" i="3"/>
  <c r="Z101" i="3"/>
  <c r="Z105" i="3"/>
  <c r="Z109" i="3"/>
  <c r="Z113" i="3"/>
  <c r="Z117" i="3"/>
  <c r="Z121" i="3"/>
  <c r="Z125" i="3"/>
  <c r="Z129" i="3"/>
  <c r="Z133" i="3"/>
  <c r="Z137" i="3"/>
  <c r="Z141" i="3"/>
  <c r="Z145" i="3"/>
  <c r="Z149" i="3"/>
  <c r="Z153" i="3"/>
  <c r="Z157" i="3"/>
  <c r="Z161" i="3"/>
  <c r="Z165" i="3"/>
  <c r="Z169" i="3"/>
  <c r="Z173" i="3"/>
  <c r="Z177" i="3"/>
  <c r="Z181" i="3"/>
  <c r="Z185" i="3"/>
  <c r="Z189" i="3"/>
  <c r="Z193" i="3"/>
  <c r="Z197" i="3"/>
  <c r="Z201" i="3"/>
  <c r="Z205" i="3"/>
  <c r="Z209" i="3"/>
  <c r="Z213" i="3"/>
  <c r="Z217" i="3"/>
  <c r="Z221" i="3"/>
  <c r="Z225" i="3"/>
  <c r="Z229" i="3"/>
  <c r="Z233" i="3"/>
  <c r="Z237" i="3"/>
  <c r="Z241" i="3"/>
  <c r="Z245" i="3"/>
  <c r="Z249" i="3"/>
  <c r="Z253" i="3"/>
  <c r="Z257" i="3"/>
  <c r="Z261" i="3"/>
  <c r="Z265" i="3"/>
  <c r="Z269" i="3"/>
  <c r="Z273" i="3"/>
  <c r="Z277" i="3"/>
  <c r="Z281" i="3"/>
  <c r="Z285" i="3"/>
  <c r="Z289" i="3"/>
  <c r="Z293" i="3"/>
  <c r="Z297" i="3"/>
  <c r="Z301" i="3"/>
  <c r="Z305" i="3"/>
  <c r="Z309" i="3"/>
  <c r="Z313" i="3"/>
  <c r="Z317" i="3"/>
  <c r="Z321" i="3"/>
  <c r="Z325" i="3"/>
  <c r="Z329" i="3"/>
  <c r="Z333" i="3"/>
  <c r="Z337" i="3"/>
  <c r="Z341" i="3"/>
  <c r="AA5" i="3"/>
  <c r="AA9" i="3"/>
  <c r="AA13" i="3"/>
  <c r="AA17" i="3"/>
  <c r="AA21" i="3"/>
  <c r="AA25" i="3"/>
  <c r="AA29" i="3"/>
  <c r="AA33" i="3"/>
  <c r="AA37" i="3"/>
  <c r="AA41" i="3"/>
  <c r="AA45" i="3"/>
  <c r="AA49" i="3"/>
  <c r="AA53" i="3"/>
  <c r="AA57" i="3"/>
  <c r="AA61" i="3"/>
  <c r="AA65" i="3"/>
  <c r="AA69" i="3"/>
  <c r="AA73" i="3"/>
  <c r="AA77" i="3"/>
  <c r="AA81" i="3"/>
  <c r="AA85" i="3"/>
  <c r="AA89" i="3"/>
  <c r="AA93" i="3"/>
  <c r="AA97" i="3"/>
  <c r="AA101" i="3"/>
  <c r="AA105" i="3"/>
  <c r="AA109" i="3"/>
  <c r="AA113" i="3"/>
  <c r="AA117" i="3"/>
  <c r="AA121" i="3"/>
  <c r="AA125" i="3"/>
  <c r="AA129" i="3"/>
  <c r="AA133" i="3"/>
  <c r="AA137" i="3"/>
  <c r="AA141" i="3"/>
  <c r="AA145" i="3"/>
  <c r="AA149" i="3"/>
  <c r="AA153" i="3"/>
  <c r="AA157" i="3"/>
  <c r="AA161" i="3"/>
  <c r="AA165" i="3"/>
  <c r="AA169" i="3"/>
  <c r="AA173" i="3"/>
  <c r="AA177" i="3"/>
  <c r="AA181" i="3"/>
  <c r="AA185" i="3"/>
  <c r="AA189" i="3"/>
  <c r="AA193" i="3"/>
  <c r="AA197" i="3"/>
  <c r="AA201" i="3"/>
  <c r="AA205" i="3"/>
  <c r="AA209" i="3"/>
  <c r="AA213" i="3"/>
  <c r="AA217" i="3"/>
  <c r="AA221" i="3"/>
  <c r="AA225" i="3"/>
  <c r="AA229" i="3"/>
  <c r="AA233" i="3"/>
  <c r="AA237" i="3"/>
  <c r="AA241" i="3"/>
  <c r="AA245" i="3"/>
  <c r="AA249" i="3"/>
  <c r="AA253" i="3"/>
  <c r="AA257" i="3"/>
  <c r="AA261" i="3"/>
  <c r="AA265" i="3"/>
  <c r="AA269" i="3"/>
  <c r="AA273" i="3"/>
  <c r="AA277" i="3"/>
  <c r="AA281" i="3"/>
  <c r="AA285" i="3"/>
  <c r="AA289" i="3"/>
  <c r="AA293" i="3"/>
  <c r="AA297" i="3"/>
  <c r="AA301" i="3"/>
  <c r="AA305" i="3"/>
  <c r="AA309" i="3"/>
  <c r="AA313" i="3"/>
  <c r="AA317" i="3"/>
  <c r="AA321" i="3"/>
  <c r="AA325" i="3"/>
  <c r="AA329" i="3"/>
  <c r="Z6" i="3"/>
  <c r="Z10" i="3"/>
  <c r="Z14" i="3"/>
  <c r="Z18" i="3"/>
  <c r="Z22" i="3"/>
  <c r="Z26" i="3"/>
  <c r="Z30" i="3"/>
  <c r="Z34" i="3"/>
  <c r="Z38" i="3"/>
  <c r="Z42" i="3"/>
  <c r="Z46" i="3"/>
  <c r="Z50" i="3"/>
  <c r="Z54" i="3"/>
  <c r="Z58" i="3"/>
  <c r="Z62" i="3"/>
  <c r="Z66" i="3"/>
  <c r="Z70" i="3"/>
  <c r="Z74" i="3"/>
  <c r="Z78" i="3"/>
  <c r="Z82" i="3"/>
  <c r="Z86" i="3"/>
  <c r="Z90" i="3"/>
  <c r="Z94" i="3"/>
  <c r="Z98" i="3"/>
  <c r="Z102" i="3"/>
  <c r="Z106" i="3"/>
  <c r="Z110" i="3"/>
  <c r="Z114" i="3"/>
  <c r="Z118" i="3"/>
  <c r="Z122" i="3"/>
  <c r="Z126" i="3"/>
  <c r="Z130" i="3"/>
  <c r="Z134" i="3"/>
  <c r="Z138" i="3"/>
  <c r="Z142" i="3"/>
  <c r="Z146" i="3"/>
  <c r="Z150" i="3"/>
  <c r="Z154" i="3"/>
  <c r="Z158" i="3"/>
  <c r="Z162" i="3"/>
  <c r="Z166" i="3"/>
  <c r="Z170" i="3"/>
  <c r="Z174" i="3"/>
  <c r="Z178" i="3"/>
  <c r="Z182" i="3"/>
  <c r="Z186" i="3"/>
  <c r="Z190" i="3"/>
  <c r="Z194" i="3"/>
  <c r="Z198" i="3"/>
  <c r="Z202" i="3"/>
  <c r="Z206" i="3"/>
  <c r="Z210" i="3"/>
  <c r="Z214" i="3"/>
  <c r="Z218" i="3"/>
  <c r="Z222" i="3"/>
  <c r="Z226" i="3"/>
  <c r="Z230" i="3"/>
  <c r="Z234" i="3"/>
  <c r="Z238" i="3"/>
  <c r="Z242" i="3"/>
  <c r="Z246" i="3"/>
  <c r="Z250" i="3"/>
  <c r="Z254" i="3"/>
  <c r="Z258" i="3"/>
  <c r="Z262" i="3"/>
  <c r="Z266" i="3"/>
  <c r="Z270" i="3"/>
  <c r="Z274" i="3"/>
  <c r="Z278" i="3"/>
  <c r="Z282" i="3"/>
  <c r="Z286" i="3"/>
  <c r="Z290" i="3"/>
  <c r="Z294" i="3"/>
  <c r="Z298" i="3"/>
  <c r="Z302" i="3"/>
  <c r="Z306" i="3"/>
  <c r="Z310" i="3"/>
  <c r="Z314" i="3"/>
  <c r="Z318" i="3"/>
  <c r="Z322" i="3"/>
  <c r="Z326" i="3"/>
  <c r="Z330" i="3"/>
  <c r="Z334" i="3"/>
  <c r="Z338" i="3"/>
  <c r="Z342" i="3"/>
  <c r="Z7" i="3"/>
  <c r="Z11" i="3"/>
  <c r="Z15" i="3"/>
  <c r="Z19" i="3"/>
  <c r="Z23" i="3"/>
  <c r="Z27" i="3"/>
  <c r="Z31" i="3"/>
  <c r="Z35" i="3"/>
  <c r="Z39" i="3"/>
  <c r="Z43" i="3"/>
  <c r="Z47" i="3"/>
  <c r="Z51" i="3"/>
  <c r="Z55" i="3"/>
  <c r="Z59" i="3"/>
  <c r="Z63" i="3"/>
  <c r="Z67" i="3"/>
  <c r="Z71" i="3"/>
  <c r="Z75" i="3"/>
  <c r="Z79" i="3"/>
  <c r="Z83" i="3"/>
  <c r="Z87" i="3"/>
  <c r="Z91" i="3"/>
  <c r="Z95" i="3"/>
  <c r="Z99" i="3"/>
  <c r="Z103" i="3"/>
  <c r="Z107" i="3"/>
  <c r="Z111" i="3"/>
  <c r="Z115" i="3"/>
  <c r="Z119" i="3"/>
  <c r="Z123" i="3"/>
  <c r="Z127" i="3"/>
  <c r="Z131" i="3"/>
  <c r="Z135" i="3"/>
  <c r="Z139" i="3"/>
  <c r="Z143" i="3"/>
  <c r="Z147" i="3"/>
  <c r="Z151" i="3"/>
  <c r="Z155" i="3"/>
  <c r="Z159" i="3"/>
  <c r="Z163" i="3"/>
  <c r="Z167" i="3"/>
  <c r="Z171" i="3"/>
  <c r="Z175" i="3"/>
  <c r="Z179" i="3"/>
  <c r="Z183" i="3"/>
  <c r="Z187" i="3"/>
  <c r="Z191" i="3"/>
  <c r="Z195" i="3"/>
  <c r="Z199" i="3"/>
  <c r="Z203" i="3"/>
  <c r="Z207" i="3"/>
  <c r="Z211" i="3"/>
  <c r="Z215" i="3"/>
  <c r="Z219" i="3"/>
  <c r="Z223" i="3"/>
  <c r="Z227" i="3"/>
  <c r="Z231" i="3"/>
  <c r="Z235" i="3"/>
  <c r="Z239" i="3"/>
  <c r="Z243" i="3"/>
  <c r="Z247" i="3"/>
  <c r="Z251" i="3"/>
  <c r="Z255" i="3"/>
  <c r="Z259" i="3"/>
  <c r="Z263" i="3"/>
  <c r="Z267" i="3"/>
  <c r="Z271" i="3"/>
  <c r="Z275" i="3"/>
  <c r="Z279" i="3"/>
  <c r="Z283" i="3"/>
  <c r="Z287" i="3"/>
  <c r="Z291" i="3"/>
  <c r="Z295" i="3"/>
  <c r="Z299" i="3"/>
  <c r="Z303" i="3"/>
  <c r="Z307" i="3"/>
  <c r="Z311" i="3"/>
  <c r="Z315" i="3"/>
  <c r="Z319" i="3"/>
  <c r="Z323" i="3"/>
  <c r="Z327" i="3"/>
  <c r="Z331" i="3"/>
  <c r="Z335" i="3"/>
  <c r="AA7" i="3"/>
  <c r="AA11" i="3"/>
  <c r="AA15" i="3"/>
  <c r="AA19" i="3"/>
  <c r="AA23" i="3"/>
  <c r="AA27" i="3"/>
  <c r="AA31" i="3"/>
  <c r="AA35" i="3"/>
  <c r="AA39" i="3"/>
  <c r="AA43" i="3"/>
  <c r="AA47" i="3"/>
  <c r="AA51" i="3"/>
  <c r="AA55" i="3"/>
  <c r="AA59" i="3"/>
  <c r="AA63" i="3"/>
  <c r="AA67" i="3"/>
  <c r="AA71" i="3"/>
  <c r="AA75" i="3"/>
  <c r="AA79" i="3"/>
  <c r="AA83" i="3"/>
  <c r="AA87" i="3"/>
  <c r="AA91" i="3"/>
  <c r="AA95" i="3"/>
  <c r="AA99" i="3"/>
  <c r="AA103" i="3"/>
  <c r="AA107" i="3"/>
  <c r="AA111" i="3"/>
  <c r="AA115" i="3"/>
  <c r="AA119" i="3"/>
  <c r="AA123" i="3"/>
  <c r="AA127" i="3"/>
  <c r="AA131" i="3"/>
  <c r="AA135" i="3"/>
  <c r="AA139" i="3"/>
  <c r="AA143" i="3"/>
  <c r="AA147" i="3"/>
  <c r="AA151" i="3"/>
  <c r="AA155" i="3"/>
  <c r="AA159" i="3"/>
  <c r="AA163" i="3"/>
  <c r="AA167" i="3"/>
  <c r="AA171" i="3"/>
  <c r="AA175" i="3"/>
  <c r="AA179" i="3"/>
  <c r="AA183" i="3"/>
  <c r="AA187" i="3"/>
  <c r="AA191" i="3"/>
  <c r="AA195" i="3"/>
  <c r="AA199" i="3"/>
  <c r="AA203" i="3"/>
  <c r="AA207" i="3"/>
  <c r="AA211" i="3"/>
  <c r="AA215" i="3"/>
  <c r="AA219" i="3"/>
  <c r="AA223" i="3"/>
  <c r="AA227" i="3"/>
  <c r="AA231" i="3"/>
  <c r="AA235" i="3"/>
  <c r="AA239" i="3"/>
  <c r="AA243" i="3"/>
  <c r="AA247" i="3"/>
  <c r="AA251" i="3"/>
  <c r="AA255" i="3"/>
  <c r="AA259" i="3"/>
  <c r="AA263" i="3"/>
  <c r="AA267" i="3"/>
  <c r="AA271" i="3"/>
  <c r="AA275" i="3"/>
  <c r="AA279" i="3"/>
  <c r="AA283" i="3"/>
  <c r="AA287" i="3"/>
  <c r="AA291" i="3"/>
  <c r="AA295" i="3"/>
  <c r="AA299" i="3"/>
  <c r="AA303" i="3"/>
  <c r="AA307" i="3"/>
  <c r="AA311" i="3"/>
  <c r="AA315" i="3"/>
  <c r="AA319" i="3"/>
  <c r="AA323" i="3"/>
  <c r="AA327" i="3"/>
  <c r="AA331" i="3"/>
  <c r="AA335" i="3"/>
  <c r="AA339" i="3"/>
  <c r="Z401" i="3"/>
  <c r="Z397" i="3"/>
  <c r="Z393" i="3"/>
  <c r="Z389" i="3"/>
  <c r="Z385" i="3"/>
  <c r="Z381" i="3"/>
  <c r="Z377" i="3"/>
  <c r="Z373" i="3"/>
  <c r="Z369" i="3"/>
  <c r="Z365" i="3"/>
  <c r="Z361" i="3"/>
  <c r="Z357" i="3"/>
  <c r="Z353" i="3"/>
  <c r="Z349" i="3"/>
  <c r="Z345" i="3"/>
  <c r="Z339" i="3"/>
  <c r="AA322" i="3"/>
  <c r="AA290" i="3"/>
  <c r="AA258" i="3"/>
  <c r="AA226" i="3"/>
  <c r="AA194" i="3"/>
  <c r="AA162" i="3"/>
  <c r="AA130" i="3"/>
  <c r="AA98" i="3"/>
  <c r="AA66" i="3"/>
  <c r="AA34" i="3"/>
  <c r="Z3" i="3"/>
  <c r="AA400" i="3"/>
  <c r="AA396" i="3"/>
  <c r="AA392" i="3"/>
  <c r="AA388" i="3"/>
  <c r="AA384" i="3"/>
  <c r="AA380" i="3"/>
  <c r="AA376" i="3"/>
  <c r="AA372" i="3"/>
  <c r="AA368" i="3"/>
  <c r="AA364" i="3"/>
  <c r="AA360" i="3"/>
  <c r="AA356" i="3"/>
  <c r="AA352" i="3"/>
  <c r="AA348" i="3"/>
  <c r="AA344" i="3"/>
  <c r="AA338" i="3"/>
  <c r="AA318" i="3"/>
  <c r="AA286" i="3"/>
  <c r="AA254" i="3"/>
  <c r="AA222" i="3"/>
  <c r="AA190" i="3"/>
  <c r="AA158" i="3"/>
  <c r="AA126" i="3"/>
  <c r="AA94" i="3"/>
  <c r="AA62" i="3"/>
  <c r="AA30" i="3"/>
  <c r="AA403" i="3"/>
  <c r="AA399" i="3"/>
  <c r="AA395" i="3"/>
  <c r="AA391" i="3"/>
  <c r="AA387" i="3"/>
  <c r="AA383" i="3"/>
  <c r="AA379" i="3"/>
  <c r="AA375" i="3"/>
  <c r="AA371" i="3"/>
  <c r="AA367" i="3"/>
  <c r="AA363" i="3"/>
  <c r="AA359" i="3"/>
  <c r="AA355" i="3"/>
  <c r="AA351" i="3"/>
  <c r="AA347" i="3"/>
  <c r="AA343" i="3"/>
  <c r="AA336" i="3"/>
  <c r="AA310" i="3"/>
  <c r="AA278" i="3"/>
  <c r="AA246" i="3"/>
  <c r="AA214" i="3"/>
  <c r="AA182" i="3"/>
  <c r="AA150" i="3"/>
  <c r="AA118" i="3"/>
  <c r="AA86" i="3"/>
  <c r="AA54" i="3"/>
  <c r="AA22" i="3"/>
  <c r="Z403" i="3"/>
  <c r="Z399" i="3"/>
  <c r="Z395" i="3"/>
  <c r="Z391" i="3"/>
  <c r="Z387" i="3"/>
  <c r="Z383" i="3"/>
  <c r="Z379" i="3"/>
  <c r="Z375" i="3"/>
  <c r="Z371" i="3"/>
  <c r="Z367" i="3"/>
  <c r="Z363" i="3"/>
  <c r="Z359" i="3"/>
  <c r="Z355" i="3"/>
  <c r="Z351" i="3"/>
  <c r="Z347" i="3"/>
  <c r="Z343" i="3"/>
  <c r="AA334" i="3"/>
  <c r="AA306" i="3"/>
  <c r="AA274" i="3"/>
  <c r="AA242" i="3"/>
  <c r="AA210" i="3"/>
  <c r="AA178" i="3"/>
  <c r="AA146" i="3"/>
  <c r="AA114" i="3"/>
  <c r="AA82" i="3"/>
  <c r="AA50" i="3"/>
  <c r="AA18" i="3"/>
  <c r="AA402" i="3"/>
  <c r="AA398" i="3"/>
  <c r="AA394" i="3"/>
  <c r="AA390" i="3"/>
  <c r="AA386" i="3"/>
  <c r="AA382" i="3"/>
  <c r="AA378" i="3"/>
  <c r="AA374" i="3"/>
  <c r="AA370" i="3"/>
  <c r="AA366" i="3"/>
  <c r="AA362" i="3"/>
  <c r="AA358" i="3"/>
  <c r="AA354" i="3"/>
  <c r="AA350" i="3"/>
  <c r="AA346" i="3"/>
  <c r="AA342" i="3"/>
  <c r="AA333" i="3"/>
  <c r="AA302" i="3"/>
  <c r="AA270" i="3"/>
  <c r="AA238" i="3"/>
  <c r="AA206" i="3"/>
  <c r="AA174" i="3"/>
  <c r="AA142" i="3"/>
  <c r="AA110" i="3"/>
  <c r="AA78" i="3"/>
  <c r="AA46" i="3"/>
  <c r="AA14" i="3"/>
  <c r="Z402" i="3"/>
  <c r="Z398" i="3"/>
  <c r="Z394" i="3"/>
  <c r="Z390" i="3"/>
  <c r="Z386" i="3"/>
  <c r="Z382" i="3"/>
  <c r="Z378" i="3"/>
  <c r="Z374" i="3"/>
  <c r="Z370" i="3"/>
  <c r="Z366" i="3"/>
  <c r="Z362" i="3"/>
  <c r="Z358" i="3"/>
  <c r="Z354" i="3"/>
  <c r="Z350" i="3"/>
  <c r="Z346" i="3"/>
  <c r="AA341" i="3"/>
  <c r="AA330" i="3"/>
  <c r="AA298" i="3"/>
  <c r="AA266" i="3"/>
  <c r="AA234" i="3"/>
  <c r="AA202" i="3"/>
  <c r="AA170" i="3"/>
  <c r="AA138" i="3"/>
  <c r="AA106" i="3"/>
  <c r="AA74" i="3"/>
  <c r="AA42" i="3"/>
  <c r="AA10" i="3"/>
  <c r="AA401" i="3"/>
  <c r="AA397" i="3"/>
  <c r="AA393" i="3"/>
  <c r="AA389" i="3"/>
  <c r="AA385" i="3"/>
  <c r="AA381" i="3"/>
  <c r="AA377" i="3"/>
  <c r="AA373" i="3"/>
  <c r="AA369" i="3"/>
  <c r="AA365" i="3"/>
  <c r="AA361" i="3"/>
  <c r="AA357" i="3"/>
  <c r="AA353" i="3"/>
  <c r="AA349" i="3"/>
  <c r="AA345" i="3"/>
  <c r="AA340" i="3"/>
  <c r="AA326" i="3"/>
  <c r="AA294" i="3"/>
  <c r="AA262" i="3"/>
  <c r="AA230" i="3"/>
  <c r="AA198" i="3"/>
  <c r="AA166" i="3"/>
  <c r="AA134" i="3"/>
  <c r="AA102" i="3"/>
  <c r="AA70" i="3"/>
  <c r="AA38" i="3"/>
  <c r="AA6" i="3"/>
  <c r="AO380" i="3"/>
  <c r="AO400" i="3"/>
  <c r="AO384" i="3"/>
  <c r="AO368" i="3"/>
  <c r="AO352" i="3"/>
  <c r="AO336" i="3"/>
  <c r="AO320" i="3"/>
  <c r="AN271" i="3"/>
  <c r="AO398" i="3"/>
  <c r="AO382" i="3"/>
  <c r="AO366" i="3"/>
  <c r="AO350" i="3"/>
  <c r="AO334" i="3"/>
  <c r="AO318" i="3"/>
  <c r="AN255" i="3"/>
  <c r="AO316" i="3"/>
  <c r="AO394" i="3"/>
  <c r="AO378" i="3"/>
  <c r="AO362" i="3"/>
  <c r="AO346" i="3"/>
  <c r="AO330" i="3"/>
  <c r="AO314" i="3"/>
  <c r="AN223" i="3"/>
  <c r="AN239" i="3"/>
  <c r="AO392" i="3"/>
  <c r="AO376" i="3"/>
  <c r="AO360" i="3"/>
  <c r="AO344" i="3"/>
  <c r="AO328" i="3"/>
  <c r="AN311" i="3"/>
  <c r="AN207" i="3"/>
  <c r="AO348" i="3"/>
  <c r="AO390" i="3"/>
  <c r="AO374" i="3"/>
  <c r="AO358" i="3"/>
  <c r="AO342" i="3"/>
  <c r="AO326" i="3"/>
  <c r="AN307" i="3"/>
  <c r="AN191" i="3"/>
  <c r="AO332" i="3"/>
  <c r="AL3" i="3"/>
  <c r="AO388" i="3"/>
  <c r="AO372" i="3"/>
  <c r="AO356" i="3"/>
  <c r="AO340" i="3"/>
  <c r="AO324" i="3"/>
  <c r="AL303" i="3"/>
  <c r="AN175" i="3"/>
  <c r="AO396" i="3"/>
  <c r="AO364" i="3"/>
  <c r="AO402" i="3"/>
  <c r="AO386" i="3"/>
  <c r="AO370" i="3"/>
  <c r="AO354" i="3"/>
  <c r="AO338" i="3"/>
  <c r="AO322" i="3"/>
  <c r="AN287" i="3"/>
  <c r="AO127" i="3"/>
  <c r="AM3" i="3"/>
  <c r="AN402" i="3"/>
  <c r="AN400" i="3"/>
  <c r="AN398" i="3"/>
  <c r="AN396" i="3"/>
  <c r="AN394" i="3"/>
  <c r="AN392" i="3"/>
  <c r="AN390" i="3"/>
  <c r="AN388" i="3"/>
  <c r="AN386" i="3"/>
  <c r="AN384" i="3"/>
  <c r="AN382" i="3"/>
  <c r="AN380" i="3"/>
  <c r="AN378" i="3"/>
  <c r="AN376" i="3"/>
  <c r="AN374" i="3"/>
  <c r="AN372" i="3"/>
  <c r="AN370" i="3"/>
  <c r="AN368" i="3"/>
  <c r="AN366" i="3"/>
  <c r="AN364" i="3"/>
  <c r="AN362" i="3"/>
  <c r="AN360" i="3"/>
  <c r="AN358" i="3"/>
  <c r="AN356" i="3"/>
  <c r="AN354" i="3"/>
  <c r="AN352" i="3"/>
  <c r="AN350" i="3"/>
  <c r="AN348" i="3"/>
  <c r="AN346" i="3"/>
  <c r="AN344" i="3"/>
  <c r="AN342" i="3"/>
  <c r="AN340" i="3"/>
  <c r="AN338" i="3"/>
  <c r="AN336" i="3"/>
  <c r="AN334" i="3"/>
  <c r="AN332" i="3"/>
  <c r="AN330" i="3"/>
  <c r="AN328" i="3"/>
  <c r="AN326" i="3"/>
  <c r="AN324" i="3"/>
  <c r="AN322" i="3"/>
  <c r="AN320" i="3"/>
  <c r="AN318" i="3"/>
  <c r="AN316" i="3"/>
  <c r="AN314" i="3"/>
  <c r="AM311" i="3"/>
  <c r="AM307" i="3"/>
  <c r="AN301" i="3"/>
  <c r="AN285" i="3"/>
  <c r="AN269" i="3"/>
  <c r="AN253" i="3"/>
  <c r="AN237" i="3"/>
  <c r="AN221" i="3"/>
  <c r="AN205" i="3"/>
  <c r="AN189" i="3"/>
  <c r="AM173" i="3"/>
  <c r="AO111" i="3"/>
  <c r="AN3" i="3"/>
  <c r="AM402" i="3"/>
  <c r="AM400" i="3"/>
  <c r="AM398" i="3"/>
  <c r="AM396" i="3"/>
  <c r="AQ396" i="3" s="1"/>
  <c r="AM394" i="3"/>
  <c r="AM392" i="3"/>
  <c r="AM390" i="3"/>
  <c r="AM388" i="3"/>
  <c r="AM386" i="3"/>
  <c r="AM384" i="3"/>
  <c r="AM382" i="3"/>
  <c r="AM380" i="3"/>
  <c r="AQ380" i="3" s="1"/>
  <c r="AM378" i="3"/>
  <c r="AM376" i="3"/>
  <c r="AM374" i="3"/>
  <c r="AM372" i="3"/>
  <c r="AM370" i="3"/>
  <c r="AM368" i="3"/>
  <c r="AM366" i="3"/>
  <c r="AM364" i="3"/>
  <c r="AM362" i="3"/>
  <c r="AM360" i="3"/>
  <c r="AM358" i="3"/>
  <c r="AM356" i="3"/>
  <c r="AM354" i="3"/>
  <c r="AM352" i="3"/>
  <c r="AM350" i="3"/>
  <c r="AM348" i="3"/>
  <c r="AM346" i="3"/>
  <c r="AM344" i="3"/>
  <c r="AM342" i="3"/>
  <c r="AQ342" i="3" s="1"/>
  <c r="AM340" i="3"/>
  <c r="AM338" i="3"/>
  <c r="AM336" i="3"/>
  <c r="AM334" i="3"/>
  <c r="AM332" i="3"/>
  <c r="AM330" i="3"/>
  <c r="AM328" i="3"/>
  <c r="AM326" i="3"/>
  <c r="AM324" i="3"/>
  <c r="AM322" i="3"/>
  <c r="AM320" i="3"/>
  <c r="AM318" i="3"/>
  <c r="AM316" i="3"/>
  <c r="AM314" i="3"/>
  <c r="AL311" i="3"/>
  <c r="AL307" i="3"/>
  <c r="AN299" i="3"/>
  <c r="AN283" i="3"/>
  <c r="AN267" i="3"/>
  <c r="AN251" i="3"/>
  <c r="AN235" i="3"/>
  <c r="AN219" i="3"/>
  <c r="AN203" i="3"/>
  <c r="AN187" i="3"/>
  <c r="AO95" i="3"/>
  <c r="AL4" i="3"/>
  <c r="AL6" i="3"/>
  <c r="AL8" i="3"/>
  <c r="AL10" i="3"/>
  <c r="AL12" i="3"/>
  <c r="AL14" i="3"/>
  <c r="AL16" i="3"/>
  <c r="AL18" i="3"/>
  <c r="AL20" i="3"/>
  <c r="AL22" i="3"/>
  <c r="AL24" i="3"/>
  <c r="AL26" i="3"/>
  <c r="AL28" i="3"/>
  <c r="AL30" i="3"/>
  <c r="AL32" i="3"/>
  <c r="AL34" i="3"/>
  <c r="AL36" i="3"/>
  <c r="AL38" i="3"/>
  <c r="AL40" i="3"/>
  <c r="AL42" i="3"/>
  <c r="AL44" i="3"/>
  <c r="AL46" i="3"/>
  <c r="AL48" i="3"/>
  <c r="AL50" i="3"/>
  <c r="AL52" i="3"/>
  <c r="AL54" i="3"/>
  <c r="AL56" i="3"/>
  <c r="AL58" i="3"/>
  <c r="AL60" i="3"/>
  <c r="AL62" i="3"/>
  <c r="AL64" i="3"/>
  <c r="AL66" i="3"/>
  <c r="AL68" i="3"/>
  <c r="AL70" i="3"/>
  <c r="AL72" i="3"/>
  <c r="AL74" i="3"/>
  <c r="AL76" i="3"/>
  <c r="AL78" i="3"/>
  <c r="AL80" i="3"/>
  <c r="AL82" i="3"/>
  <c r="AL84" i="3"/>
  <c r="AL86" i="3"/>
  <c r="AL88" i="3"/>
  <c r="AL90" i="3"/>
  <c r="AL92" i="3"/>
  <c r="AL94" i="3"/>
  <c r="AL96" i="3"/>
  <c r="AL98" i="3"/>
  <c r="AL100" i="3"/>
  <c r="AL102" i="3"/>
  <c r="AL104" i="3"/>
  <c r="AL106" i="3"/>
  <c r="AL108" i="3"/>
  <c r="AL110" i="3"/>
  <c r="AL112" i="3"/>
  <c r="AL114" i="3"/>
  <c r="AL116" i="3"/>
  <c r="AL118" i="3"/>
  <c r="AL120" i="3"/>
  <c r="AL122" i="3"/>
  <c r="AL124" i="3"/>
  <c r="AL126" i="3"/>
  <c r="AL128" i="3"/>
  <c r="AL130" i="3"/>
  <c r="AL132" i="3"/>
  <c r="AL134" i="3"/>
  <c r="AL136" i="3"/>
  <c r="AL138" i="3"/>
  <c r="AL140" i="3"/>
  <c r="AL142" i="3"/>
  <c r="AL144" i="3"/>
  <c r="AL146" i="3"/>
  <c r="AL148" i="3"/>
  <c r="AL150" i="3"/>
  <c r="AL152" i="3"/>
  <c r="AL154" i="3"/>
  <c r="AL156" i="3"/>
  <c r="AL158" i="3"/>
  <c r="AL160" i="3"/>
  <c r="AL162" i="3"/>
  <c r="AL164" i="3"/>
  <c r="AL166" i="3"/>
  <c r="AM4" i="3"/>
  <c r="AM6" i="3"/>
  <c r="AM8" i="3"/>
  <c r="AM10" i="3"/>
  <c r="AM12" i="3"/>
  <c r="AM14" i="3"/>
  <c r="AM16" i="3"/>
  <c r="AM18" i="3"/>
  <c r="AM20" i="3"/>
  <c r="AM22" i="3"/>
  <c r="AM24" i="3"/>
  <c r="AM26" i="3"/>
  <c r="AM28" i="3"/>
  <c r="AM30" i="3"/>
  <c r="AM32" i="3"/>
  <c r="AM34" i="3"/>
  <c r="AM36" i="3"/>
  <c r="AM38" i="3"/>
  <c r="AM40" i="3"/>
  <c r="AM42" i="3"/>
  <c r="AM44" i="3"/>
  <c r="AM46" i="3"/>
  <c r="AM48" i="3"/>
  <c r="AM50" i="3"/>
  <c r="AM52" i="3"/>
  <c r="AM54" i="3"/>
  <c r="AM56" i="3"/>
  <c r="AM58" i="3"/>
  <c r="AM60" i="3"/>
  <c r="AM62" i="3"/>
  <c r="AM64" i="3"/>
  <c r="AM66" i="3"/>
  <c r="AM68" i="3"/>
  <c r="AM70" i="3"/>
  <c r="AM72" i="3"/>
  <c r="AM74" i="3"/>
  <c r="AM76" i="3"/>
  <c r="AM78" i="3"/>
  <c r="AM80" i="3"/>
  <c r="AM82" i="3"/>
  <c r="AM84" i="3"/>
  <c r="AM86" i="3"/>
  <c r="AM88" i="3"/>
  <c r="AM90" i="3"/>
  <c r="AM92" i="3"/>
  <c r="AM94" i="3"/>
  <c r="AM96" i="3"/>
  <c r="AM98" i="3"/>
  <c r="AM100" i="3"/>
  <c r="AM102" i="3"/>
  <c r="AM104" i="3"/>
  <c r="AM106" i="3"/>
  <c r="AM108" i="3"/>
  <c r="AM110" i="3"/>
  <c r="AM112" i="3"/>
  <c r="AM114" i="3"/>
  <c r="AM116" i="3"/>
  <c r="AM118" i="3"/>
  <c r="AM120" i="3"/>
  <c r="AM122" i="3"/>
  <c r="AM124" i="3"/>
  <c r="AM126" i="3"/>
  <c r="AM128" i="3"/>
  <c r="AM130" i="3"/>
  <c r="AM132" i="3"/>
  <c r="AM134" i="3"/>
  <c r="AM136" i="3"/>
  <c r="AM138" i="3"/>
  <c r="AM140" i="3"/>
  <c r="AM142" i="3"/>
  <c r="AM144" i="3"/>
  <c r="AM146" i="3"/>
  <c r="AM148" i="3"/>
  <c r="AM150" i="3"/>
  <c r="AM152" i="3"/>
  <c r="AM154" i="3"/>
  <c r="AM156" i="3"/>
  <c r="AM158" i="3"/>
  <c r="AM160" i="3"/>
  <c r="AM162" i="3"/>
  <c r="AM164" i="3"/>
  <c r="AM166" i="3"/>
  <c r="AM168" i="3"/>
  <c r="AM170" i="3"/>
  <c r="AM172" i="3"/>
  <c r="AL5" i="3"/>
  <c r="AL7" i="3"/>
  <c r="AL9" i="3"/>
  <c r="AL11" i="3"/>
  <c r="AL13" i="3"/>
  <c r="AL15" i="3"/>
  <c r="AL17" i="3"/>
  <c r="AL19" i="3"/>
  <c r="AL21" i="3"/>
  <c r="AL23" i="3"/>
  <c r="AL25" i="3"/>
  <c r="AL27" i="3"/>
  <c r="AL29" i="3"/>
  <c r="AL31" i="3"/>
  <c r="AL33" i="3"/>
  <c r="AL35" i="3"/>
  <c r="AL37" i="3"/>
  <c r="AL39" i="3"/>
  <c r="AL41" i="3"/>
  <c r="AL43" i="3"/>
  <c r="AL45" i="3"/>
  <c r="AL47" i="3"/>
  <c r="AL49" i="3"/>
  <c r="AL51" i="3"/>
  <c r="AL53" i="3"/>
  <c r="AL55" i="3"/>
  <c r="AL57" i="3"/>
  <c r="AL59" i="3"/>
  <c r="AL61" i="3"/>
  <c r="AL63" i="3"/>
  <c r="AL65" i="3"/>
  <c r="AL67" i="3"/>
  <c r="AL69" i="3"/>
  <c r="AL71" i="3"/>
  <c r="AL73" i="3"/>
  <c r="AL75" i="3"/>
  <c r="AL77" i="3"/>
  <c r="AL79" i="3"/>
  <c r="AL81" i="3"/>
  <c r="AL83" i="3"/>
  <c r="AL85" i="3"/>
  <c r="AL87" i="3"/>
  <c r="AL89" i="3"/>
  <c r="AL91" i="3"/>
  <c r="AL93" i="3"/>
  <c r="AL95" i="3"/>
  <c r="AL97" i="3"/>
  <c r="AL99" i="3"/>
  <c r="AL101" i="3"/>
  <c r="AL103" i="3"/>
  <c r="AL105" i="3"/>
  <c r="AL107" i="3"/>
  <c r="AL109" i="3"/>
  <c r="AL111" i="3"/>
  <c r="AL113" i="3"/>
  <c r="AL115" i="3"/>
  <c r="AL117" i="3"/>
  <c r="AL119" i="3"/>
  <c r="AL121" i="3"/>
  <c r="AL123" i="3"/>
  <c r="AL125" i="3"/>
  <c r="AL127" i="3"/>
  <c r="AL129" i="3"/>
  <c r="AL131" i="3"/>
  <c r="AL133" i="3"/>
  <c r="AL135" i="3"/>
  <c r="AL137" i="3"/>
  <c r="AM5" i="3"/>
  <c r="AM7" i="3"/>
  <c r="AM9" i="3"/>
  <c r="AM11" i="3"/>
  <c r="AM13" i="3"/>
  <c r="AM15" i="3"/>
  <c r="AM17" i="3"/>
  <c r="AM19" i="3"/>
  <c r="AM21" i="3"/>
  <c r="AM23" i="3"/>
  <c r="AM25" i="3"/>
  <c r="AM27" i="3"/>
  <c r="AM29" i="3"/>
  <c r="AM31" i="3"/>
  <c r="AM33" i="3"/>
  <c r="AM35" i="3"/>
  <c r="AM37" i="3"/>
  <c r="AM39" i="3"/>
  <c r="AM41" i="3"/>
  <c r="AM43" i="3"/>
  <c r="AM45" i="3"/>
  <c r="AM47" i="3"/>
  <c r="AM49" i="3"/>
  <c r="AM51" i="3"/>
  <c r="AM53" i="3"/>
  <c r="AM55" i="3"/>
  <c r="AM57" i="3"/>
  <c r="AM59" i="3"/>
  <c r="AM61" i="3"/>
  <c r="AM63" i="3"/>
  <c r="AM65" i="3"/>
  <c r="AM67" i="3"/>
  <c r="AM69" i="3"/>
  <c r="AM71" i="3"/>
  <c r="AM73" i="3"/>
  <c r="AM75" i="3"/>
  <c r="AM77" i="3"/>
  <c r="AM79" i="3"/>
  <c r="AM81" i="3"/>
  <c r="AM83" i="3"/>
  <c r="AM85" i="3"/>
  <c r="AM87" i="3"/>
  <c r="AM89" i="3"/>
  <c r="AM91" i="3"/>
  <c r="AM93" i="3"/>
  <c r="AM95" i="3"/>
  <c r="AM97" i="3"/>
  <c r="AM99" i="3"/>
  <c r="AM101" i="3"/>
  <c r="AM103" i="3"/>
  <c r="AM105" i="3"/>
  <c r="AM107" i="3"/>
  <c r="AM109" i="3"/>
  <c r="AM111" i="3"/>
  <c r="AM113" i="3"/>
  <c r="AM115" i="3"/>
  <c r="AM117" i="3"/>
  <c r="AM119" i="3"/>
  <c r="AM121" i="3"/>
  <c r="AM123" i="3"/>
  <c r="AM125" i="3"/>
  <c r="AM127" i="3"/>
  <c r="AM129" i="3"/>
  <c r="AM131" i="3"/>
  <c r="AM133" i="3"/>
  <c r="AM135" i="3"/>
  <c r="AM137" i="3"/>
  <c r="AM139" i="3"/>
  <c r="AM141" i="3"/>
  <c r="AM143" i="3"/>
  <c r="AM145" i="3"/>
  <c r="AM147" i="3"/>
  <c r="AL151" i="3"/>
  <c r="AM161" i="3"/>
  <c r="AL167" i="3"/>
  <c r="AL171" i="3"/>
  <c r="AM174" i="3"/>
  <c r="AM176" i="3"/>
  <c r="AM178" i="3"/>
  <c r="AM180" i="3"/>
  <c r="AM182" i="3"/>
  <c r="AM184" i="3"/>
  <c r="AM186" i="3"/>
  <c r="AM188" i="3"/>
  <c r="AM190" i="3"/>
  <c r="AM192" i="3"/>
  <c r="AM194" i="3"/>
  <c r="AM196" i="3"/>
  <c r="AM198" i="3"/>
  <c r="AM200" i="3"/>
  <c r="AM202" i="3"/>
  <c r="AM204" i="3"/>
  <c r="AM206" i="3"/>
  <c r="AM208" i="3"/>
  <c r="AM210" i="3"/>
  <c r="AM212" i="3"/>
  <c r="AM214" i="3"/>
  <c r="AM216" i="3"/>
  <c r="AM218" i="3"/>
  <c r="AM220" i="3"/>
  <c r="AM222" i="3"/>
  <c r="AM224" i="3"/>
  <c r="AM226" i="3"/>
  <c r="AM228" i="3"/>
  <c r="AM230" i="3"/>
  <c r="AM232" i="3"/>
  <c r="AM234" i="3"/>
  <c r="AM236" i="3"/>
  <c r="AM238" i="3"/>
  <c r="AM240" i="3"/>
  <c r="AM242" i="3"/>
  <c r="AM244" i="3"/>
  <c r="AM246" i="3"/>
  <c r="AM248" i="3"/>
  <c r="AM250" i="3"/>
  <c r="AM252" i="3"/>
  <c r="AM254" i="3"/>
  <c r="AM256" i="3"/>
  <c r="AM258" i="3"/>
  <c r="AM260" i="3"/>
  <c r="AM262" i="3"/>
  <c r="AM264" i="3"/>
  <c r="AM266" i="3"/>
  <c r="AM268" i="3"/>
  <c r="AM270" i="3"/>
  <c r="AM272" i="3"/>
  <c r="AM274" i="3"/>
  <c r="AM276" i="3"/>
  <c r="AM278" i="3"/>
  <c r="AM280" i="3"/>
  <c r="AM282" i="3"/>
  <c r="AM284" i="3"/>
  <c r="AM286" i="3"/>
  <c r="AM288" i="3"/>
  <c r="AM290" i="3"/>
  <c r="AM292" i="3"/>
  <c r="AM294" i="3"/>
  <c r="AM296" i="3"/>
  <c r="AM298" i="3"/>
  <c r="AM300" i="3"/>
  <c r="AM302" i="3"/>
  <c r="AM304" i="3"/>
  <c r="AL145" i="3"/>
  <c r="AM151" i="3"/>
  <c r="AL157" i="3"/>
  <c r="AM167" i="3"/>
  <c r="AM171" i="3"/>
  <c r="AM157" i="3"/>
  <c r="AL163" i="3"/>
  <c r="AL139" i="3"/>
  <c r="AL147" i="3"/>
  <c r="AL153" i="3"/>
  <c r="AM163" i="3"/>
  <c r="AL168" i="3"/>
  <c r="AL172" i="3"/>
  <c r="AL175" i="3"/>
  <c r="AL177" i="3"/>
  <c r="AL179" i="3"/>
  <c r="AL181" i="3"/>
  <c r="AL183" i="3"/>
  <c r="AL185" i="3"/>
  <c r="AL187" i="3"/>
  <c r="AL189" i="3"/>
  <c r="AL191" i="3"/>
  <c r="AL193" i="3"/>
  <c r="AL195" i="3"/>
  <c r="AL197" i="3"/>
  <c r="AL199" i="3"/>
  <c r="AL201" i="3"/>
  <c r="AL203" i="3"/>
  <c r="AL205" i="3"/>
  <c r="AL207" i="3"/>
  <c r="AL209" i="3"/>
  <c r="AL211" i="3"/>
  <c r="AL213" i="3"/>
  <c r="AL215" i="3"/>
  <c r="AL217" i="3"/>
  <c r="AL219" i="3"/>
  <c r="AL221" i="3"/>
  <c r="AL223" i="3"/>
  <c r="AL225" i="3"/>
  <c r="AL227" i="3"/>
  <c r="AL229" i="3"/>
  <c r="AL231" i="3"/>
  <c r="AL233" i="3"/>
  <c r="AL235" i="3"/>
  <c r="AL237" i="3"/>
  <c r="AL239" i="3"/>
  <c r="AL241" i="3"/>
  <c r="AL243" i="3"/>
  <c r="AL245" i="3"/>
  <c r="AL247" i="3"/>
  <c r="AL249" i="3"/>
  <c r="AL251" i="3"/>
  <c r="AL253" i="3"/>
  <c r="AL255" i="3"/>
  <c r="AL257" i="3"/>
  <c r="AL259" i="3"/>
  <c r="AL261" i="3"/>
  <c r="AL263" i="3"/>
  <c r="AL265" i="3"/>
  <c r="AL267" i="3"/>
  <c r="AL269" i="3"/>
  <c r="AL271" i="3"/>
  <c r="AL273" i="3"/>
  <c r="AL275" i="3"/>
  <c r="AL277" i="3"/>
  <c r="AL279" i="3"/>
  <c r="AL281" i="3"/>
  <c r="AL283" i="3"/>
  <c r="AL285" i="3"/>
  <c r="AL287" i="3"/>
  <c r="AL289" i="3"/>
  <c r="AL291" i="3"/>
  <c r="AL293" i="3"/>
  <c r="AL295" i="3"/>
  <c r="AL297" i="3"/>
  <c r="AL299" i="3"/>
  <c r="AL301" i="3"/>
  <c r="AM153" i="3"/>
  <c r="AL159" i="3"/>
  <c r="AL169" i="3"/>
  <c r="AL173" i="3"/>
  <c r="AM175" i="3"/>
  <c r="AM177" i="3"/>
  <c r="AM179" i="3"/>
  <c r="AM181" i="3"/>
  <c r="AM183" i="3"/>
  <c r="AM185" i="3"/>
  <c r="AM187" i="3"/>
  <c r="AM189" i="3"/>
  <c r="AM191" i="3"/>
  <c r="AM193" i="3"/>
  <c r="AM195" i="3"/>
  <c r="AM197" i="3"/>
  <c r="AM199" i="3"/>
  <c r="AM201" i="3"/>
  <c r="AM203" i="3"/>
  <c r="AM205" i="3"/>
  <c r="AM207" i="3"/>
  <c r="AM209" i="3"/>
  <c r="AM211" i="3"/>
  <c r="AM213" i="3"/>
  <c r="AM215" i="3"/>
  <c r="AM217" i="3"/>
  <c r="AM219" i="3"/>
  <c r="AM221" i="3"/>
  <c r="AM223" i="3"/>
  <c r="AM225" i="3"/>
  <c r="AM227" i="3"/>
  <c r="AM229" i="3"/>
  <c r="AM231" i="3"/>
  <c r="AM233" i="3"/>
  <c r="AM235" i="3"/>
  <c r="AM237" i="3"/>
  <c r="AM239" i="3"/>
  <c r="AM241" i="3"/>
  <c r="AM243" i="3"/>
  <c r="AM245" i="3"/>
  <c r="AM247" i="3"/>
  <c r="AM249" i="3"/>
  <c r="AM251" i="3"/>
  <c r="AM253" i="3"/>
  <c r="AM255" i="3"/>
  <c r="AM257" i="3"/>
  <c r="AM259" i="3"/>
  <c r="AM261" i="3"/>
  <c r="AM263" i="3"/>
  <c r="AM265" i="3"/>
  <c r="AM267" i="3"/>
  <c r="AM269" i="3"/>
  <c r="AM271" i="3"/>
  <c r="AM273" i="3"/>
  <c r="AM275" i="3"/>
  <c r="AM277" i="3"/>
  <c r="AM279" i="3"/>
  <c r="AM281" i="3"/>
  <c r="AM283" i="3"/>
  <c r="AM285" i="3"/>
  <c r="AM287" i="3"/>
  <c r="AM289" i="3"/>
  <c r="AM291" i="3"/>
  <c r="AM293" i="3"/>
  <c r="AM295" i="3"/>
  <c r="AM297" i="3"/>
  <c r="AM299" i="3"/>
  <c r="AM301" i="3"/>
  <c r="AM303" i="3"/>
  <c r="AM149" i="3"/>
  <c r="AL155" i="3"/>
  <c r="AM165" i="3"/>
  <c r="AL143" i="3"/>
  <c r="AM155" i="3"/>
  <c r="AL161" i="3"/>
  <c r="AL170" i="3"/>
  <c r="AL174" i="3"/>
  <c r="AL176" i="3"/>
  <c r="AL178" i="3"/>
  <c r="AL180" i="3"/>
  <c r="AL182" i="3"/>
  <c r="AL184" i="3"/>
  <c r="AL186" i="3"/>
  <c r="AL188" i="3"/>
  <c r="AL190" i="3"/>
  <c r="AL192" i="3"/>
  <c r="AL194" i="3"/>
  <c r="AL196" i="3"/>
  <c r="AL198" i="3"/>
  <c r="AL200" i="3"/>
  <c r="AL202" i="3"/>
  <c r="AL204" i="3"/>
  <c r="AL206" i="3"/>
  <c r="AL208" i="3"/>
  <c r="AL210" i="3"/>
  <c r="AL212" i="3"/>
  <c r="AL214" i="3"/>
  <c r="AL216" i="3"/>
  <c r="AL218" i="3"/>
  <c r="AL220" i="3"/>
  <c r="AL222" i="3"/>
  <c r="AL224" i="3"/>
  <c r="AL226" i="3"/>
  <c r="AL228" i="3"/>
  <c r="AL230" i="3"/>
  <c r="AL232" i="3"/>
  <c r="AL234" i="3"/>
  <c r="AL236" i="3"/>
  <c r="AL238" i="3"/>
  <c r="AL240" i="3"/>
  <c r="AL242" i="3"/>
  <c r="AL244" i="3"/>
  <c r="AL246" i="3"/>
  <c r="AL248" i="3"/>
  <c r="AL250" i="3"/>
  <c r="AL252" i="3"/>
  <c r="AL254" i="3"/>
  <c r="AL256" i="3"/>
  <c r="AL258" i="3"/>
  <c r="AL260" i="3"/>
  <c r="AL262" i="3"/>
  <c r="AL264" i="3"/>
  <c r="AL266" i="3"/>
  <c r="AL268" i="3"/>
  <c r="AL270" i="3"/>
  <c r="AL272" i="3"/>
  <c r="AL274" i="3"/>
  <c r="AL276" i="3"/>
  <c r="AL278" i="3"/>
  <c r="AL280" i="3"/>
  <c r="AL282" i="3"/>
  <c r="AL284" i="3"/>
  <c r="AL286" i="3"/>
  <c r="AL288" i="3"/>
  <c r="AL290" i="3"/>
  <c r="AL292" i="3"/>
  <c r="AL294" i="3"/>
  <c r="AL296" i="3"/>
  <c r="AL298" i="3"/>
  <c r="AL300" i="3"/>
  <c r="AL302" i="3"/>
  <c r="AL304" i="3"/>
  <c r="AL306" i="3"/>
  <c r="AL308" i="3"/>
  <c r="AL310" i="3"/>
  <c r="AL312" i="3"/>
  <c r="AO3" i="3"/>
  <c r="AL402" i="3"/>
  <c r="AL400" i="3"/>
  <c r="AL398" i="3"/>
  <c r="AL396" i="3"/>
  <c r="AL394" i="3"/>
  <c r="AL392" i="3"/>
  <c r="AL390" i="3"/>
  <c r="AL388" i="3"/>
  <c r="AL386" i="3"/>
  <c r="AL384" i="3"/>
  <c r="AL382" i="3"/>
  <c r="AL380" i="3"/>
  <c r="AL378" i="3"/>
  <c r="AL376" i="3"/>
  <c r="AL374" i="3"/>
  <c r="AL372" i="3"/>
  <c r="AL370" i="3"/>
  <c r="AL368" i="3"/>
  <c r="AL366" i="3"/>
  <c r="AL364" i="3"/>
  <c r="AL362" i="3"/>
  <c r="AL360" i="3"/>
  <c r="AL358" i="3"/>
  <c r="AL356" i="3"/>
  <c r="AL354" i="3"/>
  <c r="AL352" i="3"/>
  <c r="AL350" i="3"/>
  <c r="AL348" i="3"/>
  <c r="AL346" i="3"/>
  <c r="AL344" i="3"/>
  <c r="AL342" i="3"/>
  <c r="AL340" i="3"/>
  <c r="AL338" i="3"/>
  <c r="AL336" i="3"/>
  <c r="AL334" i="3"/>
  <c r="AL332" i="3"/>
  <c r="AL330" i="3"/>
  <c r="AL328" i="3"/>
  <c r="AL326" i="3"/>
  <c r="AL324" i="3"/>
  <c r="AL322" i="3"/>
  <c r="AL320" i="3"/>
  <c r="AL318" i="3"/>
  <c r="AL316" i="3"/>
  <c r="AL314" i="3"/>
  <c r="AM310" i="3"/>
  <c r="AM306" i="3"/>
  <c r="AN297" i="3"/>
  <c r="AN281" i="3"/>
  <c r="AN265" i="3"/>
  <c r="AN249" i="3"/>
  <c r="AN233" i="3"/>
  <c r="AN217" i="3"/>
  <c r="AN201" i="3"/>
  <c r="AN185" i="3"/>
  <c r="AL165" i="3"/>
  <c r="AN4" i="3"/>
  <c r="AN6" i="3"/>
  <c r="AN8" i="3"/>
  <c r="AN10" i="3"/>
  <c r="AN12" i="3"/>
  <c r="AN14" i="3"/>
  <c r="AN16" i="3"/>
  <c r="AN18" i="3"/>
  <c r="AN20" i="3"/>
  <c r="AN22" i="3"/>
  <c r="AN24" i="3"/>
  <c r="AN26" i="3"/>
  <c r="AP26" i="3" s="1"/>
  <c r="AN28" i="3"/>
  <c r="AN30" i="3"/>
  <c r="AN32" i="3"/>
  <c r="AN34" i="3"/>
  <c r="AN36" i="3"/>
  <c r="AN38" i="3"/>
  <c r="AN40" i="3"/>
  <c r="AN42" i="3"/>
  <c r="AN44" i="3"/>
  <c r="AN46" i="3"/>
  <c r="AN48" i="3"/>
  <c r="AN50" i="3"/>
  <c r="AN52" i="3"/>
  <c r="AN54" i="3"/>
  <c r="AN56" i="3"/>
  <c r="AN58" i="3"/>
  <c r="AN60" i="3"/>
  <c r="AN62" i="3"/>
  <c r="AN64" i="3"/>
  <c r="AN66" i="3"/>
  <c r="AN68" i="3"/>
  <c r="AN70" i="3"/>
  <c r="AN72" i="3"/>
  <c r="AN74" i="3"/>
  <c r="AN76" i="3"/>
  <c r="AN78" i="3"/>
  <c r="AN80" i="3"/>
  <c r="AN82" i="3"/>
  <c r="AN84" i="3"/>
  <c r="AN86" i="3"/>
  <c r="AN88" i="3"/>
  <c r="AN90" i="3"/>
  <c r="AN92" i="3"/>
  <c r="AN94" i="3"/>
  <c r="AN96" i="3"/>
  <c r="AN98" i="3"/>
  <c r="AN100" i="3"/>
  <c r="AN102" i="3"/>
  <c r="AN104" i="3"/>
  <c r="AN106" i="3"/>
  <c r="AN108" i="3"/>
  <c r="AN110" i="3"/>
  <c r="AN112" i="3"/>
  <c r="AN114" i="3"/>
  <c r="AN116" i="3"/>
  <c r="AN118" i="3"/>
  <c r="AN120" i="3"/>
  <c r="AN122" i="3"/>
  <c r="AP122" i="3" s="1"/>
  <c r="AN124" i="3"/>
  <c r="AP124" i="3" s="1"/>
  <c r="AN126" i="3"/>
  <c r="AN128" i="3"/>
  <c r="AN130" i="3"/>
  <c r="AN132" i="3"/>
  <c r="AN134" i="3"/>
  <c r="AN136" i="3"/>
  <c r="AN138" i="3"/>
  <c r="AN140" i="3"/>
  <c r="AN142" i="3"/>
  <c r="AN144" i="3"/>
  <c r="AN146" i="3"/>
  <c r="AP146" i="3" s="1"/>
  <c r="AN148" i="3"/>
  <c r="AN150" i="3"/>
  <c r="AN152" i="3"/>
  <c r="AN154" i="3"/>
  <c r="AN156" i="3"/>
  <c r="AN158" i="3"/>
  <c r="AN160" i="3"/>
  <c r="AN162" i="3"/>
  <c r="AP162" i="3" s="1"/>
  <c r="AN164" i="3"/>
  <c r="AN166" i="3"/>
  <c r="AN168" i="3"/>
  <c r="AN170" i="3"/>
  <c r="AN172" i="3"/>
  <c r="AO4" i="3"/>
  <c r="AO6" i="3"/>
  <c r="AO8" i="3"/>
  <c r="AO10" i="3"/>
  <c r="AO12" i="3"/>
  <c r="AO14" i="3"/>
  <c r="AO16" i="3"/>
  <c r="AO18" i="3"/>
  <c r="AO20" i="3"/>
  <c r="AO22" i="3"/>
  <c r="AO24" i="3"/>
  <c r="AO26" i="3"/>
  <c r="AO28" i="3"/>
  <c r="AO30" i="3"/>
  <c r="AO32" i="3"/>
  <c r="AO34" i="3"/>
  <c r="AO36" i="3"/>
  <c r="AO38" i="3"/>
  <c r="AO40" i="3"/>
  <c r="AO42" i="3"/>
  <c r="AO44" i="3"/>
  <c r="AO46" i="3"/>
  <c r="AO48" i="3"/>
  <c r="AO50" i="3"/>
  <c r="AO52" i="3"/>
  <c r="AO54" i="3"/>
  <c r="AO56" i="3"/>
  <c r="AO58" i="3"/>
  <c r="AO60" i="3"/>
  <c r="AO62" i="3"/>
  <c r="AO64" i="3"/>
  <c r="AO66" i="3"/>
  <c r="AO68" i="3"/>
  <c r="AO70" i="3"/>
  <c r="AO72" i="3"/>
  <c r="AO74" i="3"/>
  <c r="AO76" i="3"/>
  <c r="AO78" i="3"/>
  <c r="AO80" i="3"/>
  <c r="AO82" i="3"/>
  <c r="AO84" i="3"/>
  <c r="AO86" i="3"/>
  <c r="AO88" i="3"/>
  <c r="AO90" i="3"/>
  <c r="AO92" i="3"/>
  <c r="AO94" i="3"/>
  <c r="AO96" i="3"/>
  <c r="AO98" i="3"/>
  <c r="AO100" i="3"/>
  <c r="AO102" i="3"/>
  <c r="AO104" i="3"/>
  <c r="AO106" i="3"/>
  <c r="AO108" i="3"/>
  <c r="AO110" i="3"/>
  <c r="AO112" i="3"/>
  <c r="AO114" i="3"/>
  <c r="AO116" i="3"/>
  <c r="AO118" i="3"/>
  <c r="AO120" i="3"/>
  <c r="AO122" i="3"/>
  <c r="AO124" i="3"/>
  <c r="AO126" i="3"/>
  <c r="AO128" i="3"/>
  <c r="AO130" i="3"/>
  <c r="AO132" i="3"/>
  <c r="AO134" i="3"/>
  <c r="AO136" i="3"/>
  <c r="AO138" i="3"/>
  <c r="AO140" i="3"/>
  <c r="AO142" i="3"/>
  <c r="AO144" i="3"/>
  <c r="AO146" i="3"/>
  <c r="AO148" i="3"/>
  <c r="AO150" i="3"/>
  <c r="AO152" i="3"/>
  <c r="AO154" i="3"/>
  <c r="AO156" i="3"/>
  <c r="AO158" i="3"/>
  <c r="AO160" i="3"/>
  <c r="AO162" i="3"/>
  <c r="AO164" i="3"/>
  <c r="AO166" i="3"/>
  <c r="AO168" i="3"/>
  <c r="AO170" i="3"/>
  <c r="AO172" i="3"/>
  <c r="AN5" i="3"/>
  <c r="AN7" i="3"/>
  <c r="AN9" i="3"/>
  <c r="AN11" i="3"/>
  <c r="AN13" i="3"/>
  <c r="AN15" i="3"/>
  <c r="AN17" i="3"/>
  <c r="AN19" i="3"/>
  <c r="AN21" i="3"/>
  <c r="AN23" i="3"/>
  <c r="AN25" i="3"/>
  <c r="AN27" i="3"/>
  <c r="AN29" i="3"/>
  <c r="AN31" i="3"/>
  <c r="AN33" i="3"/>
  <c r="AN35" i="3"/>
  <c r="AN37" i="3"/>
  <c r="AN39" i="3"/>
  <c r="AN41" i="3"/>
  <c r="AN43" i="3"/>
  <c r="AN45" i="3"/>
  <c r="AN47" i="3"/>
  <c r="AN49" i="3"/>
  <c r="AN51" i="3"/>
  <c r="AN53" i="3"/>
  <c r="AN55" i="3"/>
  <c r="AN57" i="3"/>
  <c r="AN59" i="3"/>
  <c r="AN61" i="3"/>
  <c r="AN63" i="3"/>
  <c r="AN65" i="3"/>
  <c r="AN67" i="3"/>
  <c r="AN69" i="3"/>
  <c r="AN71" i="3"/>
  <c r="AN73" i="3"/>
  <c r="AN75" i="3"/>
  <c r="AN77" i="3"/>
  <c r="AN79" i="3"/>
  <c r="AN81" i="3"/>
  <c r="AN83" i="3"/>
  <c r="AN85" i="3"/>
  <c r="AN87" i="3"/>
  <c r="AN89" i="3"/>
  <c r="AN91" i="3"/>
  <c r="AN93" i="3"/>
  <c r="AN95" i="3"/>
  <c r="AN97" i="3"/>
  <c r="AN99" i="3"/>
  <c r="AN101" i="3"/>
  <c r="AN103" i="3"/>
  <c r="AN105" i="3"/>
  <c r="AN107" i="3"/>
  <c r="AN109" i="3"/>
  <c r="AN111" i="3"/>
  <c r="AN113" i="3"/>
  <c r="AN115" i="3"/>
  <c r="AN117" i="3"/>
  <c r="AN119" i="3"/>
  <c r="AN121" i="3"/>
  <c r="AN123" i="3"/>
  <c r="AN125" i="3"/>
  <c r="AN127" i="3"/>
  <c r="AN129" i="3"/>
  <c r="AN131" i="3"/>
  <c r="AN133" i="3"/>
  <c r="AN135" i="3"/>
  <c r="AN137" i="3"/>
  <c r="AN139" i="3"/>
  <c r="AN141" i="3"/>
  <c r="AN143" i="3"/>
  <c r="AN145" i="3"/>
  <c r="AN147" i="3"/>
  <c r="AN149" i="3"/>
  <c r="AN151" i="3"/>
  <c r="AN153" i="3"/>
  <c r="AN155" i="3"/>
  <c r="AN157" i="3"/>
  <c r="AN159" i="3"/>
  <c r="AN161" i="3"/>
  <c r="AN163" i="3"/>
  <c r="AN165" i="3"/>
  <c r="AN167" i="3"/>
  <c r="AN169" i="3"/>
  <c r="AN171" i="3"/>
  <c r="AN173" i="3"/>
  <c r="AO5" i="3"/>
  <c r="AO21" i="3"/>
  <c r="AO37" i="3"/>
  <c r="AO53" i="3"/>
  <c r="AO69" i="3"/>
  <c r="AO85" i="3"/>
  <c r="AO101" i="3"/>
  <c r="AO117" i="3"/>
  <c r="AO133" i="3"/>
  <c r="AO143" i="3"/>
  <c r="AO155" i="3"/>
  <c r="AO7" i="3"/>
  <c r="AO23" i="3"/>
  <c r="AO39" i="3"/>
  <c r="AO55" i="3"/>
  <c r="AO71" i="3"/>
  <c r="AO87" i="3"/>
  <c r="AO103" i="3"/>
  <c r="AO119" i="3"/>
  <c r="AO135" i="3"/>
  <c r="AO161" i="3"/>
  <c r="AQ161" i="3" s="1"/>
  <c r="AN174" i="3"/>
  <c r="AN176" i="3"/>
  <c r="AN178" i="3"/>
  <c r="AN180" i="3"/>
  <c r="AN182" i="3"/>
  <c r="AN184" i="3"/>
  <c r="AN186" i="3"/>
  <c r="AN188" i="3"/>
  <c r="AN190" i="3"/>
  <c r="AN192" i="3"/>
  <c r="AN194" i="3"/>
  <c r="AN196" i="3"/>
  <c r="AN198" i="3"/>
  <c r="AN200" i="3"/>
  <c r="AN202" i="3"/>
  <c r="AN204" i="3"/>
  <c r="AN206" i="3"/>
  <c r="AN208" i="3"/>
  <c r="AN210" i="3"/>
  <c r="AN212" i="3"/>
  <c r="AN214" i="3"/>
  <c r="AN216" i="3"/>
  <c r="AN218" i="3"/>
  <c r="AN220" i="3"/>
  <c r="AN222" i="3"/>
  <c r="AN224" i="3"/>
  <c r="AN226" i="3"/>
  <c r="AN228" i="3"/>
  <c r="AN230" i="3"/>
  <c r="AN232" i="3"/>
  <c r="AN234" i="3"/>
  <c r="AN236" i="3"/>
  <c r="AN238" i="3"/>
  <c r="AN240" i="3"/>
  <c r="AN242" i="3"/>
  <c r="AN244" i="3"/>
  <c r="AN246" i="3"/>
  <c r="AN248" i="3"/>
  <c r="AN250" i="3"/>
  <c r="AN252" i="3"/>
  <c r="AN254" i="3"/>
  <c r="AN256" i="3"/>
  <c r="AN258" i="3"/>
  <c r="AN260" i="3"/>
  <c r="AN262" i="3"/>
  <c r="AN264" i="3"/>
  <c r="AN266" i="3"/>
  <c r="AN268" i="3"/>
  <c r="AN270" i="3"/>
  <c r="AN272" i="3"/>
  <c r="AN274" i="3"/>
  <c r="AN276" i="3"/>
  <c r="AN278" i="3"/>
  <c r="AN280" i="3"/>
  <c r="AN282" i="3"/>
  <c r="AN284" i="3"/>
  <c r="AN286" i="3"/>
  <c r="AN288" i="3"/>
  <c r="AN290" i="3"/>
  <c r="AN292" i="3"/>
  <c r="AN294" i="3"/>
  <c r="AN296" i="3"/>
  <c r="AN298" i="3"/>
  <c r="AN300" i="3"/>
  <c r="AN302" i="3"/>
  <c r="AN304" i="3"/>
  <c r="AN306" i="3"/>
  <c r="AN308" i="3"/>
  <c r="AN310" i="3"/>
  <c r="AN312" i="3"/>
  <c r="AO9" i="3"/>
  <c r="AO25" i="3"/>
  <c r="AO41" i="3"/>
  <c r="AO57" i="3"/>
  <c r="AO73" i="3"/>
  <c r="AO89" i="3"/>
  <c r="AO105" i="3"/>
  <c r="AO121" i="3"/>
  <c r="AO137" i="3"/>
  <c r="AO145" i="3"/>
  <c r="AO151" i="3"/>
  <c r="AO167" i="3"/>
  <c r="AO171" i="3"/>
  <c r="AO174" i="3"/>
  <c r="AO176" i="3"/>
  <c r="AO178" i="3"/>
  <c r="AO180" i="3"/>
  <c r="AO182" i="3"/>
  <c r="AO184" i="3"/>
  <c r="AO186" i="3"/>
  <c r="AO188" i="3"/>
  <c r="AO190" i="3"/>
  <c r="AO192" i="3"/>
  <c r="AO194" i="3"/>
  <c r="AO196" i="3"/>
  <c r="AO198" i="3"/>
  <c r="AO200" i="3"/>
  <c r="AO202" i="3"/>
  <c r="AO204" i="3"/>
  <c r="AO206" i="3"/>
  <c r="AO208" i="3"/>
  <c r="AO210" i="3"/>
  <c r="AO212" i="3"/>
  <c r="AO214" i="3"/>
  <c r="AO216" i="3"/>
  <c r="AO218" i="3"/>
  <c r="AO220" i="3"/>
  <c r="AO222" i="3"/>
  <c r="AO224" i="3"/>
  <c r="AO226" i="3"/>
  <c r="AO228" i="3"/>
  <c r="AO230" i="3"/>
  <c r="AO232" i="3"/>
  <c r="AO234" i="3"/>
  <c r="AO236" i="3"/>
  <c r="AO238" i="3"/>
  <c r="AO240" i="3"/>
  <c r="AO242" i="3"/>
  <c r="AO244" i="3"/>
  <c r="AO246" i="3"/>
  <c r="AO248" i="3"/>
  <c r="AO250" i="3"/>
  <c r="AO252" i="3"/>
  <c r="AO254" i="3"/>
  <c r="AO256" i="3"/>
  <c r="AO258" i="3"/>
  <c r="AO260" i="3"/>
  <c r="AO262" i="3"/>
  <c r="AO264" i="3"/>
  <c r="AO266" i="3"/>
  <c r="AO268" i="3"/>
  <c r="AO270" i="3"/>
  <c r="AO272" i="3"/>
  <c r="AO274" i="3"/>
  <c r="AO276" i="3"/>
  <c r="AO278" i="3"/>
  <c r="AO280" i="3"/>
  <c r="AO282" i="3"/>
  <c r="AO284" i="3"/>
  <c r="AO286" i="3"/>
  <c r="AO288" i="3"/>
  <c r="AO290" i="3"/>
  <c r="AO292" i="3"/>
  <c r="AO294" i="3"/>
  <c r="AO296" i="3"/>
  <c r="AO298" i="3"/>
  <c r="AO300" i="3"/>
  <c r="AO302" i="3"/>
  <c r="AO304" i="3"/>
  <c r="AO306" i="3"/>
  <c r="AO308" i="3"/>
  <c r="AO310" i="3"/>
  <c r="AO312" i="3"/>
  <c r="AO11" i="3"/>
  <c r="AO27" i="3"/>
  <c r="AO43" i="3"/>
  <c r="AO59" i="3"/>
  <c r="AO75" i="3"/>
  <c r="AO91" i="3"/>
  <c r="AO107" i="3"/>
  <c r="AO123" i="3"/>
  <c r="AO157" i="3"/>
  <c r="AO13" i="3"/>
  <c r="AO29" i="3"/>
  <c r="AO45" i="3"/>
  <c r="AO61" i="3"/>
  <c r="AO77" i="3"/>
  <c r="AO93" i="3"/>
  <c r="AO109" i="3"/>
  <c r="AO125" i="3"/>
  <c r="AO139" i="3"/>
  <c r="AO147" i="3"/>
  <c r="AO163" i="3"/>
  <c r="AO17" i="3"/>
  <c r="AO33" i="3"/>
  <c r="AO49" i="3"/>
  <c r="AO65" i="3"/>
  <c r="AO81" i="3"/>
  <c r="AO97" i="3"/>
  <c r="AO113" i="3"/>
  <c r="AO129" i="3"/>
  <c r="AO141" i="3"/>
  <c r="AO159" i="3"/>
  <c r="AO169" i="3"/>
  <c r="AO173" i="3"/>
  <c r="AO175" i="3"/>
  <c r="AO177" i="3"/>
  <c r="AO179" i="3"/>
  <c r="AO181" i="3"/>
  <c r="AO183" i="3"/>
  <c r="AO185" i="3"/>
  <c r="AO187" i="3"/>
  <c r="AO189" i="3"/>
  <c r="AO191" i="3"/>
  <c r="AO193" i="3"/>
  <c r="AO195" i="3"/>
  <c r="AO197" i="3"/>
  <c r="AO199" i="3"/>
  <c r="AO201" i="3"/>
  <c r="AO203" i="3"/>
  <c r="AO205" i="3"/>
  <c r="AO207" i="3"/>
  <c r="AO209" i="3"/>
  <c r="AO211" i="3"/>
  <c r="AO213" i="3"/>
  <c r="AO215" i="3"/>
  <c r="AO217" i="3"/>
  <c r="AO219" i="3"/>
  <c r="AO221" i="3"/>
  <c r="AO223" i="3"/>
  <c r="AO225" i="3"/>
  <c r="AO227" i="3"/>
  <c r="AO229" i="3"/>
  <c r="AO231" i="3"/>
  <c r="AO233" i="3"/>
  <c r="AO235" i="3"/>
  <c r="AO237" i="3"/>
  <c r="AO239" i="3"/>
  <c r="AO241" i="3"/>
  <c r="AO243" i="3"/>
  <c r="AO245" i="3"/>
  <c r="AO247" i="3"/>
  <c r="AO249" i="3"/>
  <c r="AO251" i="3"/>
  <c r="AO253" i="3"/>
  <c r="AO255" i="3"/>
  <c r="AO257" i="3"/>
  <c r="AO259" i="3"/>
  <c r="AO261" i="3"/>
  <c r="AO263" i="3"/>
  <c r="AO265" i="3"/>
  <c r="AO267" i="3"/>
  <c r="AO269" i="3"/>
  <c r="AO271" i="3"/>
  <c r="AO273" i="3"/>
  <c r="AO275" i="3"/>
  <c r="AO277" i="3"/>
  <c r="AO279" i="3"/>
  <c r="AO281" i="3"/>
  <c r="AO283" i="3"/>
  <c r="AO285" i="3"/>
  <c r="AO287" i="3"/>
  <c r="AO289" i="3"/>
  <c r="AO291" i="3"/>
  <c r="AO293" i="3"/>
  <c r="AO295" i="3"/>
  <c r="AO297" i="3"/>
  <c r="AO299" i="3"/>
  <c r="AO301" i="3"/>
  <c r="AO303" i="3"/>
  <c r="AO305" i="3"/>
  <c r="AO307" i="3"/>
  <c r="AO309" i="3"/>
  <c r="AO311" i="3"/>
  <c r="AO313" i="3"/>
  <c r="AO19" i="3"/>
  <c r="AO35" i="3"/>
  <c r="AO51" i="3"/>
  <c r="AO67" i="3"/>
  <c r="AO83" i="3"/>
  <c r="AO99" i="3"/>
  <c r="AO115" i="3"/>
  <c r="AO131" i="3"/>
  <c r="AO149" i="3"/>
  <c r="AO165" i="3"/>
  <c r="AO403" i="3"/>
  <c r="AO401" i="3"/>
  <c r="AO399" i="3"/>
  <c r="AO397" i="3"/>
  <c r="AO395" i="3"/>
  <c r="AO393" i="3"/>
  <c r="AO391" i="3"/>
  <c r="AO389" i="3"/>
  <c r="AO387" i="3"/>
  <c r="AO385" i="3"/>
  <c r="AO383" i="3"/>
  <c r="AO381" i="3"/>
  <c r="AO379" i="3"/>
  <c r="AO377" i="3"/>
  <c r="AO375" i="3"/>
  <c r="AO373" i="3"/>
  <c r="AO371" i="3"/>
  <c r="AO369" i="3"/>
  <c r="AO367" i="3"/>
  <c r="AO365" i="3"/>
  <c r="AO363" i="3"/>
  <c r="AO361" i="3"/>
  <c r="AO359" i="3"/>
  <c r="AO357" i="3"/>
  <c r="AO355" i="3"/>
  <c r="AO353" i="3"/>
  <c r="AO351" i="3"/>
  <c r="AO349" i="3"/>
  <c r="AO347" i="3"/>
  <c r="AO345" i="3"/>
  <c r="AO343" i="3"/>
  <c r="AO341" i="3"/>
  <c r="AO339" i="3"/>
  <c r="AO337" i="3"/>
  <c r="AO335" i="3"/>
  <c r="AO333" i="3"/>
  <c r="AO331" i="3"/>
  <c r="AO329" i="3"/>
  <c r="AO327" i="3"/>
  <c r="AO325" i="3"/>
  <c r="AO323" i="3"/>
  <c r="AO321" i="3"/>
  <c r="AO319" i="3"/>
  <c r="AO317" i="3"/>
  <c r="AO315" i="3"/>
  <c r="AN313" i="3"/>
  <c r="AN309" i="3"/>
  <c r="AN305" i="3"/>
  <c r="AN295" i="3"/>
  <c r="AN279" i="3"/>
  <c r="AN263" i="3"/>
  <c r="AN247" i="3"/>
  <c r="AN231" i="3"/>
  <c r="AN215" i="3"/>
  <c r="AN199" i="3"/>
  <c r="AN183" i="3"/>
  <c r="AM159" i="3"/>
  <c r="AO63" i="3"/>
  <c r="AN403" i="3"/>
  <c r="AN401" i="3"/>
  <c r="AN399" i="3"/>
  <c r="AN397" i="3"/>
  <c r="AN395" i="3"/>
  <c r="AN393" i="3"/>
  <c r="AN391" i="3"/>
  <c r="AN389" i="3"/>
  <c r="AN387" i="3"/>
  <c r="AN385" i="3"/>
  <c r="AN383" i="3"/>
  <c r="AN381" i="3"/>
  <c r="AN379" i="3"/>
  <c r="AN377" i="3"/>
  <c r="AN375" i="3"/>
  <c r="AN373" i="3"/>
  <c r="AN371" i="3"/>
  <c r="AN369" i="3"/>
  <c r="AN367" i="3"/>
  <c r="AN365" i="3"/>
  <c r="AN363" i="3"/>
  <c r="AN361" i="3"/>
  <c r="AN359" i="3"/>
  <c r="AN357" i="3"/>
  <c r="AN355" i="3"/>
  <c r="AN353" i="3"/>
  <c r="AN351" i="3"/>
  <c r="AN349" i="3"/>
  <c r="AN347" i="3"/>
  <c r="AN345" i="3"/>
  <c r="AN343" i="3"/>
  <c r="AN341" i="3"/>
  <c r="AN339" i="3"/>
  <c r="AN337" i="3"/>
  <c r="AN335" i="3"/>
  <c r="AN333" i="3"/>
  <c r="AN331" i="3"/>
  <c r="AN329" i="3"/>
  <c r="AN327" i="3"/>
  <c r="AN325" i="3"/>
  <c r="AN323" i="3"/>
  <c r="AN321" i="3"/>
  <c r="AN319" i="3"/>
  <c r="AN317" i="3"/>
  <c r="AN315" i="3"/>
  <c r="AM313" i="3"/>
  <c r="AM309" i="3"/>
  <c r="AM305" i="3"/>
  <c r="AN293" i="3"/>
  <c r="AN277" i="3"/>
  <c r="AN261" i="3"/>
  <c r="AN245" i="3"/>
  <c r="AN229" i="3"/>
  <c r="AN213" i="3"/>
  <c r="AN197" i="3"/>
  <c r="AN181" i="3"/>
  <c r="AO153" i="3"/>
  <c r="AO47" i="3"/>
  <c r="AM403" i="3"/>
  <c r="AM401" i="3"/>
  <c r="AM399" i="3"/>
  <c r="AM397" i="3"/>
  <c r="AM395" i="3"/>
  <c r="AM393" i="3"/>
  <c r="AM391" i="3"/>
  <c r="AM389" i="3"/>
  <c r="AM387" i="3"/>
  <c r="AM385" i="3"/>
  <c r="AM383" i="3"/>
  <c r="AM381" i="3"/>
  <c r="AM379" i="3"/>
  <c r="AM377" i="3"/>
  <c r="AM375" i="3"/>
  <c r="AM373" i="3"/>
  <c r="AM371" i="3"/>
  <c r="AM369" i="3"/>
  <c r="AM367" i="3"/>
  <c r="AM365" i="3"/>
  <c r="AM363" i="3"/>
  <c r="AM361" i="3"/>
  <c r="AM359" i="3"/>
  <c r="AM357" i="3"/>
  <c r="AM355" i="3"/>
  <c r="AM353" i="3"/>
  <c r="AM351" i="3"/>
  <c r="AM349" i="3"/>
  <c r="AM347" i="3"/>
  <c r="AM345" i="3"/>
  <c r="AM343" i="3"/>
  <c r="AM341" i="3"/>
  <c r="AM339" i="3"/>
  <c r="AM337" i="3"/>
  <c r="AM335" i="3"/>
  <c r="AM333" i="3"/>
  <c r="AM331" i="3"/>
  <c r="AM329" i="3"/>
  <c r="AM327" i="3"/>
  <c r="AM325" i="3"/>
  <c r="AM323" i="3"/>
  <c r="AM321" i="3"/>
  <c r="AM319" i="3"/>
  <c r="AM317" i="3"/>
  <c r="AM315" i="3"/>
  <c r="AL313" i="3"/>
  <c r="AL309" i="3"/>
  <c r="AL305" i="3"/>
  <c r="AN291" i="3"/>
  <c r="AN275" i="3"/>
  <c r="AN259" i="3"/>
  <c r="AN243" i="3"/>
  <c r="AN227" i="3"/>
  <c r="AN211" i="3"/>
  <c r="AN195" i="3"/>
  <c r="AN179" i="3"/>
  <c r="AL149" i="3"/>
  <c r="AO31" i="3"/>
  <c r="AL403" i="3"/>
  <c r="AL401" i="3"/>
  <c r="AL399" i="3"/>
  <c r="AL397" i="3"/>
  <c r="AL395" i="3"/>
  <c r="AL393" i="3"/>
  <c r="AL391" i="3"/>
  <c r="AL389" i="3"/>
  <c r="AL387" i="3"/>
  <c r="AL385" i="3"/>
  <c r="AL383" i="3"/>
  <c r="AL381" i="3"/>
  <c r="AL379" i="3"/>
  <c r="AL377" i="3"/>
  <c r="AL375" i="3"/>
  <c r="AL373" i="3"/>
  <c r="AL371" i="3"/>
  <c r="AL369" i="3"/>
  <c r="AL367" i="3"/>
  <c r="AL365" i="3"/>
  <c r="AL363" i="3"/>
  <c r="AL361" i="3"/>
  <c r="AL359" i="3"/>
  <c r="AL357" i="3"/>
  <c r="AL355" i="3"/>
  <c r="AL353" i="3"/>
  <c r="AL351" i="3"/>
  <c r="AL349" i="3"/>
  <c r="AL347" i="3"/>
  <c r="AL345" i="3"/>
  <c r="AL343" i="3"/>
  <c r="AL341" i="3"/>
  <c r="AL339" i="3"/>
  <c r="AL337" i="3"/>
  <c r="AL335" i="3"/>
  <c r="AL333" i="3"/>
  <c r="AL331" i="3"/>
  <c r="AL329" i="3"/>
  <c r="AL327" i="3"/>
  <c r="AL325" i="3"/>
  <c r="AL323" i="3"/>
  <c r="AL321" i="3"/>
  <c r="AL319" i="3"/>
  <c r="AL317" i="3"/>
  <c r="AL315" i="3"/>
  <c r="AM312" i="3"/>
  <c r="AM308" i="3"/>
  <c r="AN303" i="3"/>
  <c r="AN289" i="3"/>
  <c r="AN273" i="3"/>
  <c r="AN257" i="3"/>
  <c r="AN241" i="3"/>
  <c r="AN225" i="3"/>
  <c r="AN209" i="3"/>
  <c r="AN193" i="3"/>
  <c r="AN177" i="3"/>
  <c r="AL141" i="3"/>
  <c r="AO15" i="3"/>
  <c r="E14" i="3"/>
  <c r="E15" i="3"/>
  <c r="V3" i="3"/>
  <c r="Y3" i="3"/>
  <c r="W3" i="3"/>
  <c r="X3" i="3"/>
  <c r="G39" i="1"/>
  <c r="AK483" i="3" l="1"/>
  <c r="AK453" i="3"/>
  <c r="AK466" i="3"/>
  <c r="AJ272" i="3"/>
  <c r="AJ68" i="3"/>
  <c r="AJ464" i="3"/>
  <c r="AJ376" i="3"/>
  <c r="AK234" i="3"/>
  <c r="AJ143" i="3"/>
  <c r="AJ466" i="3"/>
  <c r="AQ436" i="3"/>
  <c r="AJ496" i="3"/>
  <c r="AK347" i="3"/>
  <c r="AK481" i="3"/>
  <c r="AJ424" i="3"/>
  <c r="AK241" i="3"/>
  <c r="AJ432" i="3"/>
  <c r="AJ301" i="3"/>
  <c r="AJ415" i="3"/>
  <c r="AJ435" i="3"/>
  <c r="AK482" i="3"/>
  <c r="AJ501" i="3"/>
  <c r="AK441" i="3"/>
  <c r="AJ57" i="3"/>
  <c r="AJ436" i="3"/>
  <c r="AJ293" i="3"/>
  <c r="AJ339" i="3"/>
  <c r="AJ389" i="3"/>
  <c r="AK440" i="3"/>
  <c r="AK494" i="3"/>
  <c r="AJ242" i="3"/>
  <c r="AK33" i="3"/>
  <c r="AJ65" i="3"/>
  <c r="AK407" i="3"/>
  <c r="AK414" i="3"/>
  <c r="AK410" i="3"/>
  <c r="AJ188" i="3"/>
  <c r="AK468" i="3"/>
  <c r="AJ476" i="3"/>
  <c r="AK412" i="3"/>
  <c r="AJ441" i="3"/>
  <c r="AK264" i="3"/>
  <c r="AJ440" i="3"/>
  <c r="AK424" i="3"/>
  <c r="AQ360" i="3"/>
  <c r="AB486" i="3"/>
  <c r="AQ493" i="3"/>
  <c r="AB383" i="3"/>
  <c r="AB441" i="3"/>
  <c r="AB444" i="3"/>
  <c r="G51" i="1"/>
  <c r="M392" i="3" s="1"/>
  <c r="AB344" i="3"/>
  <c r="AB480" i="3"/>
  <c r="AB311" i="3"/>
  <c r="AC452" i="3"/>
  <c r="AB135" i="3"/>
  <c r="AC224" i="3"/>
  <c r="AB16" i="3"/>
  <c r="AB233" i="3"/>
  <c r="AB68" i="3"/>
  <c r="AC477" i="3"/>
  <c r="AB384" i="3"/>
  <c r="AB366" i="3"/>
  <c r="AB391" i="3"/>
  <c r="AB318" i="3"/>
  <c r="AB218" i="3"/>
  <c r="AC82" i="3"/>
  <c r="AB49" i="3"/>
  <c r="AC132" i="3"/>
  <c r="AB362" i="3"/>
  <c r="AC265" i="3"/>
  <c r="AB354" i="3"/>
  <c r="AB386" i="3"/>
  <c r="AB25" i="3"/>
  <c r="AC154" i="3"/>
  <c r="AC449" i="3"/>
  <c r="AC129" i="3"/>
  <c r="G52" i="1"/>
  <c r="O349" i="3" s="1"/>
  <c r="AB278" i="3"/>
  <c r="AC285" i="3"/>
  <c r="AC60" i="3"/>
  <c r="AC367" i="3"/>
  <c r="AC207" i="3"/>
  <c r="AB283" i="3"/>
  <c r="AB110" i="3"/>
  <c r="AB200" i="3"/>
  <c r="AC362" i="3"/>
  <c r="AB4" i="3"/>
  <c r="AC121" i="3"/>
  <c r="AB251" i="3"/>
  <c r="AB302" i="3"/>
  <c r="AB297" i="3"/>
  <c r="AB478" i="3"/>
  <c r="AB466" i="3"/>
  <c r="AB496" i="3"/>
  <c r="AB416" i="3"/>
  <c r="AB382" i="3"/>
  <c r="AB34" i="3"/>
  <c r="AB453" i="3"/>
  <c r="AB153" i="3"/>
  <c r="AB435" i="3"/>
  <c r="AC151" i="3"/>
  <c r="AC87" i="3"/>
  <c r="AC23" i="3"/>
  <c r="AC375" i="3"/>
  <c r="AB230" i="3"/>
  <c r="AB161" i="3"/>
  <c r="AB160" i="3"/>
  <c r="AB465" i="3"/>
  <c r="AC18" i="3"/>
  <c r="AC383" i="3"/>
  <c r="AB254" i="3"/>
  <c r="AC165" i="3"/>
  <c r="AB390" i="3"/>
  <c r="AC192" i="3"/>
  <c r="AB452" i="3"/>
  <c r="AB209" i="3"/>
  <c r="AC499" i="3"/>
  <c r="AB460" i="3"/>
  <c r="AB178" i="3"/>
  <c r="AB45" i="3"/>
  <c r="AB358" i="3"/>
  <c r="AC34" i="3"/>
  <c r="AB263" i="3"/>
  <c r="AB227" i="3"/>
  <c r="AB144" i="3"/>
  <c r="AC42" i="3"/>
  <c r="AC298" i="3"/>
  <c r="AB373" i="3"/>
  <c r="AC216" i="3"/>
  <c r="AC166" i="3"/>
  <c r="AC390" i="3"/>
  <c r="AC111" i="3"/>
  <c r="AB40" i="3"/>
  <c r="AB415" i="3"/>
  <c r="AC353" i="3"/>
  <c r="AC178" i="3"/>
  <c r="AB74" i="3"/>
  <c r="AC145" i="3"/>
  <c r="AC81" i="3"/>
  <c r="AC465" i="3"/>
  <c r="AB378" i="3"/>
  <c r="AB211" i="3"/>
  <c r="AB463" i="3"/>
  <c r="AB424" i="3"/>
  <c r="AB493" i="3"/>
  <c r="AC226" i="3"/>
  <c r="AC233" i="3"/>
  <c r="AC264" i="3"/>
  <c r="AC146" i="3"/>
  <c r="AB315" i="3"/>
  <c r="AB151" i="3"/>
  <c r="AC101" i="3"/>
  <c r="AB281" i="3"/>
  <c r="AB21" i="3"/>
  <c r="AP423" i="3"/>
  <c r="AJ109" i="3"/>
  <c r="AK370" i="3"/>
  <c r="AK161" i="3"/>
  <c r="AK248" i="3"/>
  <c r="AK32" i="3"/>
  <c r="AJ129" i="3"/>
  <c r="AJ448" i="3"/>
  <c r="AK268" i="3"/>
  <c r="AK265" i="3"/>
  <c r="AJ300" i="3"/>
  <c r="AK61" i="3"/>
  <c r="AK150" i="3"/>
  <c r="AK220" i="3"/>
  <c r="AK337" i="3"/>
  <c r="AJ493" i="3"/>
  <c r="AK448" i="3"/>
  <c r="AJ469" i="3"/>
  <c r="AJ307" i="3"/>
  <c r="AJ468" i="3"/>
  <c r="AK452" i="3"/>
  <c r="AK496" i="3"/>
  <c r="AJ405" i="3"/>
  <c r="AK203" i="3"/>
  <c r="AK36" i="3"/>
  <c r="AK213" i="3"/>
  <c r="AK340" i="3"/>
  <c r="AJ127" i="3"/>
  <c r="AJ33" i="3"/>
  <c r="AK201" i="3"/>
  <c r="AB123" i="3"/>
  <c r="AB270" i="3"/>
  <c r="AC245" i="3"/>
  <c r="AC117" i="3"/>
  <c r="AB329" i="3"/>
  <c r="AK472" i="3"/>
  <c r="AP490" i="3"/>
  <c r="AJ423" i="3"/>
  <c r="AJ114" i="3"/>
  <c r="AJ76" i="3"/>
  <c r="AK132" i="3"/>
  <c r="AC158" i="3"/>
  <c r="AJ122" i="3"/>
  <c r="AJ330" i="3"/>
  <c r="AC221" i="3"/>
  <c r="AK307" i="3"/>
  <c r="AJ379" i="3"/>
  <c r="AK364" i="3"/>
  <c r="AK15" i="3"/>
  <c r="AK285" i="3"/>
  <c r="AC209" i="3"/>
  <c r="AJ89" i="3"/>
  <c r="AJ201" i="3"/>
  <c r="AJ416" i="3"/>
  <c r="AK486" i="3"/>
  <c r="AJ460" i="3"/>
  <c r="AK493" i="3"/>
  <c r="AC270" i="3"/>
  <c r="AB266" i="3"/>
  <c r="AB260" i="3"/>
  <c r="AJ478" i="3"/>
  <c r="AC259" i="3"/>
  <c r="AC163" i="3"/>
  <c r="AB124" i="3"/>
  <c r="AC110" i="3"/>
  <c r="AB393" i="3"/>
  <c r="AB24" i="3"/>
  <c r="AJ254" i="3"/>
  <c r="AJ180" i="3"/>
  <c r="AK29" i="3"/>
  <c r="AK299" i="3"/>
  <c r="AK316" i="3"/>
  <c r="AK332" i="3"/>
  <c r="AJ56" i="3"/>
  <c r="AJ184" i="3"/>
  <c r="AK244" i="3"/>
  <c r="AK249" i="3"/>
  <c r="AK228" i="3"/>
  <c r="AK229" i="3"/>
  <c r="AJ323" i="3"/>
  <c r="AK30" i="3"/>
  <c r="AJ151" i="3"/>
  <c r="AK183" i="3"/>
  <c r="AK64" i="3"/>
  <c r="AJ256" i="3"/>
  <c r="AJ233" i="3"/>
  <c r="AK311" i="3"/>
  <c r="AK411" i="3"/>
  <c r="AK216" i="3"/>
  <c r="AB431" i="3"/>
  <c r="AK479" i="3"/>
  <c r="AB215" i="3"/>
  <c r="AB202" i="3"/>
  <c r="AC113" i="3"/>
  <c r="AB293" i="3"/>
  <c r="AC240" i="3"/>
  <c r="AC144" i="3"/>
  <c r="AB292" i="3"/>
  <c r="AJ458" i="3"/>
  <c r="AJ252" i="3"/>
  <c r="AK73" i="3"/>
  <c r="AC370" i="3"/>
  <c r="AB303" i="3"/>
  <c r="AB79" i="3"/>
  <c r="AB66" i="3"/>
  <c r="AC329" i="3"/>
  <c r="AC137" i="3"/>
  <c r="AC73" i="3"/>
  <c r="AB157" i="3"/>
  <c r="AC136" i="3"/>
  <c r="AB316" i="3"/>
  <c r="AB156" i="3"/>
  <c r="AJ3" i="3"/>
  <c r="AC94" i="3"/>
  <c r="AB107" i="3"/>
  <c r="AB11" i="3"/>
  <c r="AB62" i="3"/>
  <c r="AB249" i="3"/>
  <c r="AB121" i="3"/>
  <c r="AC196" i="3"/>
  <c r="AC4" i="3"/>
  <c r="AB388" i="3"/>
  <c r="AJ410" i="3"/>
  <c r="AK477" i="3"/>
  <c r="AB407" i="3"/>
  <c r="AJ461" i="3"/>
  <c r="AC50" i="3"/>
  <c r="AC306" i="3"/>
  <c r="AB327" i="3"/>
  <c r="AB103" i="3"/>
  <c r="AB7" i="3"/>
  <c r="AB90" i="3"/>
  <c r="AC225" i="3"/>
  <c r="AB341" i="3"/>
  <c r="AB277" i="3"/>
  <c r="AB116" i="3"/>
  <c r="AC444" i="3"/>
  <c r="AB449" i="3"/>
  <c r="AB371" i="3"/>
  <c r="AC348" i="3"/>
  <c r="AC322" i="3"/>
  <c r="AB401" i="3"/>
  <c r="AC215" i="3"/>
  <c r="AB35" i="3"/>
  <c r="AB342" i="3"/>
  <c r="AB86" i="3"/>
  <c r="AB241" i="3"/>
  <c r="AB17" i="3"/>
  <c r="AC284" i="3"/>
  <c r="AC252" i="3"/>
  <c r="AB208" i="3"/>
  <c r="AB380" i="3"/>
  <c r="AC386" i="3"/>
  <c r="AB287" i="3"/>
  <c r="AB255" i="3"/>
  <c r="AB274" i="3"/>
  <c r="AB210" i="3"/>
  <c r="AC152" i="3"/>
  <c r="AB352" i="3"/>
  <c r="AK471" i="3"/>
  <c r="AC408" i="3"/>
  <c r="AK393" i="3"/>
  <c r="AK76" i="3"/>
  <c r="AK108" i="3"/>
  <c r="AJ297" i="3"/>
  <c r="AJ324" i="3"/>
  <c r="AK415" i="3"/>
  <c r="AJ210" i="3"/>
  <c r="AP210" i="3"/>
  <c r="AC28" i="3"/>
  <c r="AJ284" i="3"/>
  <c r="AB394" i="3"/>
  <c r="AK125" i="3"/>
  <c r="AK198" i="3"/>
  <c r="AB323" i="3"/>
  <c r="AK339" i="3"/>
  <c r="AK308" i="3"/>
  <c r="AB356" i="3"/>
  <c r="AB396" i="3"/>
  <c r="AK202" i="3"/>
  <c r="AB389" i="3"/>
  <c r="AK40" i="3"/>
  <c r="AJ48" i="3"/>
  <c r="AJ136" i="3"/>
  <c r="AK194" i="3"/>
  <c r="AJ88" i="3"/>
  <c r="AJ74" i="3"/>
  <c r="AB446" i="3"/>
  <c r="AK367" i="3"/>
  <c r="AK288" i="3"/>
  <c r="AJ372" i="3"/>
  <c r="AB370" i="3"/>
  <c r="AB402" i="3"/>
  <c r="AC239" i="3"/>
  <c r="AC47" i="3"/>
  <c r="AB142" i="3"/>
  <c r="AB421" i="3"/>
  <c r="AK501" i="3"/>
  <c r="AK237" i="3"/>
  <c r="AC106" i="3"/>
  <c r="AB325" i="3"/>
  <c r="AK253" i="3"/>
  <c r="AC242" i="3"/>
  <c r="AB207" i="3"/>
  <c r="AB226" i="3"/>
  <c r="AC72" i="3"/>
  <c r="AC8" i="3"/>
  <c r="AC410" i="3"/>
  <c r="AK280" i="3"/>
  <c r="AJ384" i="3"/>
  <c r="AC162" i="3"/>
  <c r="AB183" i="3"/>
  <c r="AC273" i="3"/>
  <c r="AB261" i="3"/>
  <c r="AB101" i="3"/>
  <c r="AB225" i="3"/>
  <c r="AC31" i="3"/>
  <c r="AB286" i="3"/>
  <c r="AB222" i="3"/>
  <c r="AB190" i="3"/>
  <c r="AB152" i="3"/>
  <c r="AJ246" i="3"/>
  <c r="AB140" i="3"/>
  <c r="AB36" i="3"/>
  <c r="AB447" i="3"/>
  <c r="AC422" i="3"/>
  <c r="AC355" i="3"/>
  <c r="AB199" i="3"/>
  <c r="AB250" i="3"/>
  <c r="AB309" i="3"/>
  <c r="AC128" i="3"/>
  <c r="AK180" i="3"/>
  <c r="AJ444" i="3"/>
  <c r="AC22" i="3"/>
  <c r="AC217" i="3"/>
  <c r="AC74" i="3"/>
  <c r="AC244" i="3"/>
  <c r="AC116" i="3"/>
  <c r="AC30" i="3"/>
  <c r="AC318" i="3"/>
  <c r="AC169" i="3"/>
  <c r="AC105" i="3"/>
  <c r="AC41" i="3"/>
  <c r="AC191" i="3"/>
  <c r="AC324" i="3"/>
  <c r="AC283" i="3"/>
  <c r="AK304" i="3"/>
  <c r="AC156" i="3"/>
  <c r="AJ260" i="3"/>
  <c r="AK313" i="3"/>
  <c r="AK402" i="3"/>
  <c r="AC61" i="3"/>
  <c r="AK109" i="3"/>
  <c r="AK133" i="3"/>
  <c r="AK38" i="3"/>
  <c r="AJ146" i="3"/>
  <c r="AJ7" i="3"/>
  <c r="AJ288" i="3"/>
  <c r="AC334" i="3"/>
  <c r="AC453" i="3"/>
  <c r="AK416" i="3"/>
  <c r="AK435" i="3"/>
  <c r="AC418" i="3"/>
  <c r="AK460" i="3"/>
  <c r="AK303" i="3"/>
  <c r="AB411" i="3"/>
  <c r="AK436" i="3"/>
  <c r="AB474" i="3"/>
  <c r="AC232" i="3"/>
  <c r="AK102" i="3"/>
  <c r="AB368" i="3"/>
  <c r="AC234" i="3"/>
  <c r="AB365" i="3"/>
  <c r="AB397" i="3"/>
  <c r="AC251" i="3"/>
  <c r="AB26" i="3"/>
  <c r="AC289" i="3"/>
  <c r="AC257" i="3"/>
  <c r="AB245" i="3"/>
  <c r="AB181" i="3"/>
  <c r="AC256" i="3"/>
  <c r="AC160" i="3"/>
  <c r="AB308" i="3"/>
  <c r="AB212" i="3"/>
  <c r="AB84" i="3"/>
  <c r="AB20" i="3"/>
  <c r="AC456" i="3"/>
  <c r="AJ489" i="3"/>
  <c r="AC254" i="3"/>
  <c r="AK418" i="3"/>
  <c r="AC412" i="3"/>
  <c r="AJ239" i="3"/>
  <c r="AK489" i="3"/>
  <c r="AJ345" i="3"/>
  <c r="AB131" i="3"/>
  <c r="AC86" i="3"/>
  <c r="AC102" i="3"/>
  <c r="AB60" i="3"/>
  <c r="AC92" i="3"/>
  <c r="AB100" i="3"/>
  <c r="AB196" i="3"/>
  <c r="AB284" i="3"/>
  <c r="AB134" i="3"/>
  <c r="AC29" i="3"/>
  <c r="AB69" i="3"/>
  <c r="AC93" i="3"/>
  <c r="AC157" i="3"/>
  <c r="AB221" i="3"/>
  <c r="AC300" i="3"/>
  <c r="AJ347" i="3"/>
  <c r="AB119" i="3"/>
  <c r="AC317" i="3"/>
  <c r="AB349" i="3"/>
  <c r="AB81" i="3"/>
  <c r="AC331" i="3"/>
  <c r="AC350" i="3"/>
  <c r="AC501" i="3"/>
  <c r="AK427" i="3"/>
  <c r="AP436" i="3"/>
  <c r="AQ408" i="3"/>
  <c r="AK96" i="3"/>
  <c r="AJ73" i="3"/>
  <c r="AK97" i="3"/>
  <c r="AK113" i="3"/>
  <c r="AQ428" i="3"/>
  <c r="AP435" i="3"/>
  <c r="AQ416" i="3"/>
  <c r="AJ41" i="3"/>
  <c r="AJ137" i="3"/>
  <c r="AJ169" i="3"/>
  <c r="AJ217" i="3"/>
  <c r="AQ481" i="3"/>
  <c r="AK240" i="3"/>
  <c r="AP458" i="3"/>
  <c r="AQ491" i="3"/>
  <c r="AQ463" i="3"/>
  <c r="AK54" i="3"/>
  <c r="AJ176" i="3"/>
  <c r="AJ241" i="3"/>
  <c r="AK17" i="3"/>
  <c r="AQ429" i="3"/>
  <c r="AQ477" i="3"/>
  <c r="AC96" i="3"/>
  <c r="AC503" i="3"/>
  <c r="AK37" i="3"/>
  <c r="AK53" i="3"/>
  <c r="AJ69" i="3"/>
  <c r="AJ157" i="3"/>
  <c r="AJ222" i="3"/>
  <c r="AK146" i="3"/>
  <c r="AK372" i="3"/>
  <c r="AJ64" i="3"/>
  <c r="AJ225" i="3"/>
  <c r="AK5" i="3"/>
  <c r="AJ237" i="3"/>
  <c r="AC198" i="3"/>
  <c r="AB298" i="3"/>
  <c r="AB503" i="3"/>
  <c r="AK432" i="3"/>
  <c r="AK444" i="3"/>
  <c r="AC302" i="3"/>
  <c r="AC135" i="3"/>
  <c r="AC103" i="3"/>
  <c r="AB275" i="3"/>
  <c r="AB179" i="3"/>
  <c r="AB115" i="3"/>
  <c r="AB83" i="3"/>
  <c r="AB289" i="3"/>
  <c r="AK247" i="3"/>
  <c r="AK419" i="3"/>
  <c r="AK431" i="3"/>
  <c r="AK344" i="3"/>
  <c r="AB203" i="3"/>
  <c r="AJ150" i="3"/>
  <c r="AB10" i="3"/>
  <c r="AB234" i="3"/>
  <c r="AK321" i="3"/>
  <c r="AC379" i="3"/>
  <c r="AB162" i="3"/>
  <c r="AC201" i="3"/>
  <c r="AK434" i="3"/>
  <c r="AK455" i="3"/>
  <c r="AC466" i="3"/>
  <c r="AK470" i="3"/>
  <c r="AK502" i="3"/>
  <c r="AC435" i="3"/>
  <c r="AQ404" i="3"/>
  <c r="AJ268" i="3"/>
  <c r="AK208" i="3"/>
  <c r="AK353" i="3"/>
  <c r="AJ108" i="3"/>
  <c r="AK378" i="3"/>
  <c r="AJ5" i="3"/>
  <c r="AK45" i="3"/>
  <c r="AJ77" i="3"/>
  <c r="AK85" i="3"/>
  <c r="AJ226" i="3"/>
  <c r="AK31" i="3"/>
  <c r="AK63" i="3"/>
  <c r="AJ104" i="3"/>
  <c r="AC460" i="3"/>
  <c r="AC38" i="3"/>
  <c r="AC351" i="3"/>
  <c r="AC319" i="3"/>
  <c r="AC159" i="3"/>
  <c r="AC95" i="3"/>
  <c r="AB331" i="3"/>
  <c r="AB75" i="3"/>
  <c r="AB158" i="3"/>
  <c r="AC229" i="3"/>
  <c r="AB217" i="3"/>
  <c r="AB312" i="3"/>
  <c r="AC421" i="3"/>
  <c r="AJ409" i="3"/>
  <c r="AB488" i="3"/>
  <c r="AK93" i="3"/>
  <c r="AK348" i="3"/>
  <c r="AK178" i="3"/>
  <c r="AC491" i="3"/>
  <c r="AC326" i="3"/>
  <c r="AC401" i="3"/>
  <c r="AB399" i="3"/>
  <c r="AC315" i="3"/>
  <c r="AC219" i="3"/>
  <c r="AB295" i="3"/>
  <c r="AB167" i="3"/>
  <c r="AB39" i="3"/>
  <c r="AB186" i="3"/>
  <c r="AB58" i="3"/>
  <c r="AB276" i="3"/>
  <c r="AC90" i="3"/>
  <c r="AK421" i="3"/>
  <c r="AK404" i="3"/>
  <c r="AK498" i="3"/>
  <c r="AB489" i="3"/>
  <c r="AC415" i="3"/>
  <c r="AJ206" i="3"/>
  <c r="AK305" i="3"/>
  <c r="AK92" i="3"/>
  <c r="AJ148" i="3"/>
  <c r="AJ174" i="3"/>
  <c r="AJ387" i="3"/>
  <c r="AJ395" i="3"/>
  <c r="AB259" i="3"/>
  <c r="AC125" i="3"/>
  <c r="AB177" i="3"/>
  <c r="AK143" i="3"/>
  <c r="AP29" i="3"/>
  <c r="AP16" i="3"/>
  <c r="AC377" i="3"/>
  <c r="AB375" i="3"/>
  <c r="AB242" i="3"/>
  <c r="AB50" i="3"/>
  <c r="AC249" i="3"/>
  <c r="AB173" i="3"/>
  <c r="AK447" i="3"/>
  <c r="AJ450" i="3"/>
  <c r="AB413" i="3"/>
  <c r="AK457" i="3"/>
  <c r="AJ443" i="3"/>
  <c r="AJ195" i="3"/>
  <c r="AK275" i="3"/>
  <c r="AK70" i="3"/>
  <c r="AJ230" i="3"/>
  <c r="AK389" i="3"/>
  <c r="AJ120" i="3"/>
  <c r="AJ342" i="3"/>
  <c r="AJ185" i="3"/>
  <c r="AP376" i="3"/>
  <c r="AB379" i="3"/>
  <c r="AC54" i="3"/>
  <c r="AC388" i="3"/>
  <c r="AC303" i="3"/>
  <c r="AC175" i="3"/>
  <c r="AB219" i="3"/>
  <c r="AB187" i="3"/>
  <c r="AB91" i="3"/>
  <c r="AB27" i="3"/>
  <c r="AB238" i="3"/>
  <c r="AB174" i="3"/>
  <c r="AB78" i="3"/>
  <c r="AB14" i="3"/>
  <c r="AC53" i="3"/>
  <c r="AB265" i="3"/>
  <c r="AJ413" i="3"/>
  <c r="AK458" i="3"/>
  <c r="AK408" i="3"/>
  <c r="AK329" i="3"/>
  <c r="AJ353" i="3"/>
  <c r="AK142" i="3"/>
  <c r="AC21" i="3"/>
  <c r="AC212" i="3"/>
  <c r="AK464" i="3"/>
  <c r="AP289" i="3"/>
  <c r="AB102" i="3"/>
  <c r="AJ421" i="3"/>
  <c r="AJ483" i="3"/>
  <c r="AP296" i="3"/>
  <c r="AP131" i="3"/>
  <c r="AP83" i="3"/>
  <c r="AQ12" i="3"/>
  <c r="AK300" i="3"/>
  <c r="AQ281" i="3"/>
  <c r="AQ61" i="3"/>
  <c r="AP216" i="3"/>
  <c r="AP99" i="3"/>
  <c r="AP67" i="3"/>
  <c r="AQ92" i="3"/>
  <c r="AP354" i="3"/>
  <c r="AP370" i="3"/>
  <c r="AQ386" i="3"/>
  <c r="AC290" i="3"/>
  <c r="AB314" i="3"/>
  <c r="AC321" i="3"/>
  <c r="AC288" i="3"/>
  <c r="AB180" i="3"/>
  <c r="AQ265" i="3"/>
  <c r="AQ201" i="3"/>
  <c r="AQ124" i="3"/>
  <c r="AQ190" i="3"/>
  <c r="AC447" i="3"/>
  <c r="AC473" i="3"/>
  <c r="AJ200" i="3"/>
  <c r="AJ232" i="3"/>
  <c r="AJ281" i="3"/>
  <c r="AJ427" i="3"/>
  <c r="AJ302" i="3"/>
  <c r="AC304" i="3"/>
  <c r="AK328" i="3"/>
  <c r="AC392" i="3"/>
  <c r="AC11" i="3"/>
  <c r="AJ59" i="3"/>
  <c r="AJ131" i="3"/>
  <c r="AJ155" i="3"/>
  <c r="AC195" i="3"/>
  <c r="AK78" i="3"/>
  <c r="AJ94" i="3"/>
  <c r="AJ375" i="3"/>
  <c r="AC10" i="3"/>
  <c r="AC250" i="3"/>
  <c r="AB28" i="3"/>
  <c r="AK60" i="3"/>
  <c r="AK68" i="3"/>
  <c r="AB92" i="3"/>
  <c r="AB164" i="3"/>
  <c r="AK172" i="3"/>
  <c r="AK284" i="3"/>
  <c r="AC62" i="3"/>
  <c r="AJ158" i="3"/>
  <c r="AB214" i="3"/>
  <c r="AB351" i="3"/>
  <c r="AJ314" i="3"/>
  <c r="AK394" i="3"/>
  <c r="AC402" i="3"/>
  <c r="AJ29" i="3"/>
  <c r="AB61" i="3"/>
  <c r="AK69" i="3"/>
  <c r="AJ93" i="3"/>
  <c r="AJ101" i="3"/>
  <c r="AC109" i="3"/>
  <c r="AK117" i="3"/>
  <c r="AB197" i="3"/>
  <c r="AB229" i="3"/>
  <c r="AK277" i="3"/>
  <c r="AC293" i="3"/>
  <c r="AC174" i="3"/>
  <c r="AB273" i="3"/>
  <c r="AK323" i="3"/>
  <c r="AK363" i="3"/>
  <c r="AK343" i="3"/>
  <c r="AB98" i="3"/>
  <c r="AK261" i="3"/>
  <c r="AJ298" i="3"/>
  <c r="AK324" i="3"/>
  <c r="AK356" i="3"/>
  <c r="AB364" i="3"/>
  <c r="AJ388" i="3"/>
  <c r="AB15" i="3"/>
  <c r="AJ119" i="3"/>
  <c r="AK151" i="3"/>
  <c r="AK159" i="3"/>
  <c r="AK167" i="3"/>
  <c r="AJ207" i="3"/>
  <c r="AK359" i="3"/>
  <c r="AJ309" i="3"/>
  <c r="AB357" i="3"/>
  <c r="AJ365" i="3"/>
  <c r="AC16" i="3"/>
  <c r="AB48" i="3"/>
  <c r="AK80" i="3"/>
  <c r="AB112" i="3"/>
  <c r="AJ128" i="3"/>
  <c r="AK168" i="3"/>
  <c r="AJ192" i="3"/>
  <c r="AC208" i="3"/>
  <c r="AK232" i="3"/>
  <c r="AJ248" i="3"/>
  <c r="AJ209" i="3"/>
  <c r="AK335" i="3"/>
  <c r="AK74" i="3"/>
  <c r="AK374" i="3"/>
  <c r="AC17" i="3"/>
  <c r="AK105" i="3"/>
  <c r="AK121" i="3"/>
  <c r="AK217" i="3"/>
  <c r="AC311" i="3"/>
  <c r="AK327" i="3"/>
  <c r="AC131" i="3"/>
  <c r="AB432" i="3"/>
  <c r="AJ182" i="3"/>
  <c r="AJ84" i="3"/>
  <c r="AK190" i="3"/>
  <c r="AK77" i="3"/>
  <c r="AJ205" i="3"/>
  <c r="AJ38" i="3"/>
  <c r="AK456" i="3"/>
  <c r="AK246" i="3"/>
  <c r="AJ255" i="3"/>
  <c r="AJ349" i="3"/>
  <c r="AJ164" i="3"/>
  <c r="AK118" i="3"/>
  <c r="AK134" i="3"/>
  <c r="AJ261" i="3"/>
  <c r="AK110" i="3"/>
  <c r="AC342" i="3"/>
  <c r="AC374" i="3"/>
  <c r="AB299" i="3"/>
  <c r="AB216" i="3"/>
  <c r="AB184" i="3"/>
  <c r="AB120" i="3"/>
  <c r="AP439" i="3"/>
  <c r="AB359" i="3"/>
  <c r="AK282" i="3"/>
  <c r="AC365" i="3"/>
  <c r="AK56" i="3"/>
  <c r="AK209" i="3"/>
  <c r="AK257" i="3"/>
  <c r="AK273" i="3"/>
  <c r="AK138" i="3"/>
  <c r="AB138" i="3"/>
  <c r="AK297" i="3"/>
  <c r="AB310" i="3"/>
  <c r="AK390" i="3"/>
  <c r="AJ398" i="3"/>
  <c r="AJ17" i="3"/>
  <c r="AK57" i="3"/>
  <c r="AC65" i="3"/>
  <c r="AJ105" i="3"/>
  <c r="AJ447" i="3"/>
  <c r="AJ52" i="3"/>
  <c r="AJ96" i="3"/>
  <c r="AJ390" i="3"/>
  <c r="AJ90" i="3"/>
  <c r="AB18" i="3"/>
  <c r="AC57" i="3"/>
  <c r="AB237" i="3"/>
  <c r="AK224" i="3"/>
  <c r="AK233" i="3"/>
  <c r="AQ392" i="3"/>
  <c r="AC381" i="3"/>
  <c r="AC310" i="3"/>
  <c r="AB334" i="3"/>
  <c r="AB201" i="3"/>
  <c r="AB105" i="3"/>
  <c r="AC454" i="3"/>
  <c r="AJ499" i="3"/>
  <c r="AC457" i="3"/>
  <c r="AK491" i="3"/>
  <c r="AJ91" i="3"/>
  <c r="AK187" i="3"/>
  <c r="AK8" i="3"/>
  <c r="AJ178" i="3"/>
  <c r="AK358" i="3"/>
  <c r="AC187" i="3"/>
  <c r="AB433" i="3"/>
  <c r="AC404" i="3"/>
  <c r="AJ278" i="3"/>
  <c r="AK193" i="3"/>
  <c r="AK177" i="3"/>
  <c r="AK50" i="3"/>
  <c r="AC389" i="3"/>
  <c r="AC398" i="3"/>
  <c r="AC263" i="3"/>
  <c r="AB257" i="3"/>
  <c r="AB256" i="3"/>
  <c r="AC470" i="3"/>
  <c r="AJ171" i="3"/>
  <c r="AK223" i="3"/>
  <c r="AJ168" i="3"/>
  <c r="AK176" i="3"/>
  <c r="AK81" i="3"/>
  <c r="AJ327" i="3"/>
  <c r="AJ449" i="3"/>
  <c r="AK449" i="3"/>
  <c r="AC9" i="3"/>
  <c r="AB253" i="3"/>
  <c r="AC218" i="3"/>
  <c r="AB410" i="3"/>
  <c r="AC455" i="3"/>
  <c r="AB470" i="3"/>
  <c r="AC502" i="3"/>
  <c r="AK171" i="3"/>
  <c r="AJ322" i="3"/>
  <c r="AK263" i="3"/>
  <c r="AK349" i="3"/>
  <c r="AC279" i="3"/>
  <c r="AB291" i="3"/>
  <c r="AB67" i="3"/>
  <c r="AB113" i="3"/>
  <c r="AC124" i="3"/>
  <c r="AB437" i="3"/>
  <c r="AC437" i="3"/>
  <c r="AC462" i="3"/>
  <c r="AP497" i="3"/>
  <c r="AB360" i="3"/>
  <c r="AJ198" i="3"/>
  <c r="AJ103" i="3"/>
  <c r="AC115" i="3"/>
  <c r="AC19" i="3"/>
  <c r="AB319" i="3"/>
  <c r="AB223" i="3"/>
  <c r="AB95" i="3"/>
  <c r="AB82" i="3"/>
  <c r="AC88" i="3"/>
  <c r="AB12" i="3"/>
  <c r="AJ463" i="3"/>
  <c r="AK368" i="3"/>
  <c r="AJ227" i="3"/>
  <c r="AK283" i="3"/>
  <c r="AK236" i="3"/>
  <c r="AJ319" i="3"/>
  <c r="AK158" i="3"/>
  <c r="AK269" i="3"/>
  <c r="AK13" i="3"/>
  <c r="AJ30" i="3"/>
  <c r="AJ42" i="3"/>
  <c r="AK186" i="3"/>
  <c r="AK309" i="3"/>
  <c r="AK333" i="3"/>
  <c r="AK373" i="3"/>
  <c r="AK16" i="3"/>
  <c r="AJ240" i="3"/>
  <c r="AK310" i="3"/>
  <c r="AK366" i="3"/>
  <c r="AK382" i="3"/>
  <c r="AK9" i="3"/>
  <c r="AK185" i="3"/>
  <c r="AC143" i="3"/>
  <c r="AB206" i="3"/>
  <c r="AC277" i="3"/>
  <c r="AB9" i="3"/>
  <c r="AC276" i="3"/>
  <c r="AC148" i="3"/>
  <c r="AC52" i="3"/>
  <c r="AC20" i="3"/>
  <c r="AB328" i="3"/>
  <c r="AB168" i="3"/>
  <c r="AB136" i="3"/>
  <c r="AB8" i="3"/>
  <c r="AK442" i="3"/>
  <c r="AJ419" i="3"/>
  <c r="AK197" i="3"/>
  <c r="AC107" i="3"/>
  <c r="AB87" i="3"/>
  <c r="AB55" i="3"/>
  <c r="AB418" i="3"/>
  <c r="AJ473" i="3"/>
  <c r="AK179" i="3"/>
  <c r="AC357" i="3"/>
  <c r="AC343" i="3"/>
  <c r="AB262" i="3"/>
  <c r="AC205" i="3"/>
  <c r="AB129" i="3"/>
  <c r="AC332" i="3"/>
  <c r="AC236" i="3"/>
  <c r="AB32" i="3"/>
  <c r="AK405" i="3"/>
  <c r="AK409" i="3"/>
  <c r="AB476" i="3"/>
  <c r="AB483" i="3"/>
  <c r="AJ494" i="3"/>
  <c r="AK503" i="3"/>
  <c r="AC500" i="3"/>
  <c r="AQ465" i="3"/>
  <c r="AK461" i="3"/>
  <c r="AJ344" i="3"/>
  <c r="AJ27" i="3"/>
  <c r="AJ203" i="3"/>
  <c r="AJ141" i="3"/>
  <c r="AK149" i="3"/>
  <c r="AK331" i="3"/>
  <c r="AJ39" i="3"/>
  <c r="AJ317" i="3"/>
  <c r="AB350" i="3"/>
  <c r="AC333" i="3"/>
  <c r="AC323" i="3"/>
  <c r="AB335" i="3"/>
  <c r="AB239" i="3"/>
  <c r="AB125" i="3"/>
  <c r="AK312" i="3"/>
  <c r="AJ360" i="3"/>
  <c r="AK376" i="3"/>
  <c r="AK19" i="3"/>
  <c r="AK35" i="3"/>
  <c r="AK43" i="3"/>
  <c r="AK51" i="3"/>
  <c r="AK115" i="3"/>
  <c r="AJ337" i="3"/>
  <c r="AK369" i="3"/>
  <c r="AJ385" i="3"/>
  <c r="AK401" i="3"/>
  <c r="AJ92" i="3"/>
  <c r="AK270" i="3"/>
  <c r="AK210" i="3"/>
  <c r="AJ315" i="3"/>
  <c r="AJ340" i="3"/>
  <c r="AJ111" i="3"/>
  <c r="AK397" i="3"/>
  <c r="AJ8" i="3"/>
  <c r="AK48" i="3"/>
  <c r="AJ80" i="3"/>
  <c r="AK88" i="3"/>
  <c r="AK112" i="3"/>
  <c r="AK184" i="3"/>
  <c r="AK192" i="3"/>
  <c r="AK391" i="3"/>
  <c r="AK41" i="3"/>
  <c r="AK89" i="3"/>
  <c r="AC182" i="3"/>
  <c r="AB361" i="3"/>
  <c r="AB235" i="3"/>
  <c r="AB139" i="3"/>
  <c r="AJ429" i="3"/>
  <c r="AK430" i="3"/>
  <c r="AC433" i="3"/>
  <c r="AP474" i="3"/>
  <c r="AB475" i="3"/>
  <c r="AK423" i="3"/>
  <c r="AK469" i="3"/>
  <c r="AJ191" i="3"/>
  <c r="AJ202" i="3"/>
  <c r="AB423" i="3"/>
  <c r="AJ110" i="3"/>
  <c r="AJ238" i="3"/>
  <c r="AC368" i="3"/>
  <c r="AC35" i="3"/>
  <c r="AC139" i="3"/>
  <c r="AJ44" i="3"/>
  <c r="AJ100" i="3"/>
  <c r="AJ172" i="3"/>
  <c r="AK351" i="3"/>
  <c r="AB330" i="3"/>
  <c r="AB29" i="3"/>
  <c r="AJ37" i="3"/>
  <c r="AJ85" i="3"/>
  <c r="AJ221" i="3"/>
  <c r="AJ262" i="3"/>
  <c r="AJ396" i="3"/>
  <c r="AJ23" i="3"/>
  <c r="AK135" i="3"/>
  <c r="AJ159" i="3"/>
  <c r="AJ231" i="3"/>
  <c r="AJ82" i="3"/>
  <c r="AJ373" i="3"/>
  <c r="AJ381" i="3"/>
  <c r="AJ257" i="3"/>
  <c r="AJ285" i="3"/>
  <c r="AJ299" i="3"/>
  <c r="AJ326" i="3"/>
  <c r="AJ81" i="3"/>
  <c r="AJ383" i="3"/>
  <c r="AK130" i="3"/>
  <c r="AK10" i="3"/>
  <c r="AJ362" i="3"/>
  <c r="AK205" i="3"/>
  <c r="AJ355" i="3"/>
  <c r="AJ380" i="3"/>
  <c r="AK191" i="3"/>
  <c r="AP358" i="3"/>
  <c r="AK360" i="3"/>
  <c r="AJ211" i="3"/>
  <c r="AK46" i="3"/>
  <c r="AJ144" i="3"/>
  <c r="AP448" i="3"/>
  <c r="AC482" i="3"/>
  <c r="AB258" i="3"/>
  <c r="AB304" i="3"/>
  <c r="AB320" i="3"/>
  <c r="AB336" i="3"/>
  <c r="AJ115" i="3"/>
  <c r="AK123" i="3"/>
  <c r="AJ147" i="3"/>
  <c r="AC188" i="3"/>
  <c r="AJ282" i="3"/>
  <c r="AJ12" i="3"/>
  <c r="AJ20" i="3"/>
  <c r="AK84" i="3"/>
  <c r="AJ351" i="3"/>
  <c r="AK245" i="3"/>
  <c r="AJ306" i="3"/>
  <c r="AB189" i="3"/>
  <c r="AJ197" i="3"/>
  <c r="AK221" i="3"/>
  <c r="AJ269" i="3"/>
  <c r="AC363" i="3"/>
  <c r="AJ258" i="3"/>
  <c r="AJ303" i="3"/>
  <c r="AJ135" i="3"/>
  <c r="AJ215" i="3"/>
  <c r="AK287" i="3"/>
  <c r="AK357" i="3"/>
  <c r="AJ112" i="3"/>
  <c r="AJ289" i="3"/>
  <c r="AJ250" i="3"/>
  <c r="AK398" i="3"/>
  <c r="AJ121" i="3"/>
  <c r="AK129" i="3"/>
  <c r="AJ311" i="3"/>
  <c r="AK218" i="3"/>
  <c r="AC479" i="3"/>
  <c r="AJ411" i="3"/>
  <c r="AC427" i="3"/>
  <c r="AB501" i="3"/>
  <c r="AB468" i="3"/>
  <c r="AJ482" i="3"/>
  <c r="AK271" i="3"/>
  <c r="AJ453" i="3"/>
  <c r="AK465" i="3"/>
  <c r="AJ407" i="3"/>
  <c r="AJ296" i="3"/>
  <c r="AJ452" i="3"/>
  <c r="AJ433" i="3"/>
  <c r="AC468" i="3"/>
  <c r="AK499" i="3"/>
  <c r="AC419" i="3"/>
  <c r="AK274" i="3"/>
  <c r="AK24" i="3"/>
  <c r="AB247" i="3"/>
  <c r="AC405" i="3"/>
  <c r="AB450" i="3"/>
  <c r="AP348" i="3"/>
  <c r="AC230" i="3"/>
  <c r="AC46" i="3"/>
  <c r="AC286" i="3"/>
  <c r="AC167" i="3"/>
  <c r="AC39" i="3"/>
  <c r="AC7" i="3"/>
  <c r="AB243" i="3"/>
  <c r="AB147" i="3"/>
  <c r="AB6" i="3"/>
  <c r="AC301" i="3"/>
  <c r="AB193" i="3"/>
  <c r="AC140" i="3"/>
  <c r="AC12" i="3"/>
  <c r="AB288" i="3"/>
  <c r="AB96" i="3"/>
  <c r="AC262" i="3"/>
  <c r="AC393" i="3"/>
  <c r="AC170" i="3"/>
  <c r="AC347" i="3"/>
  <c r="AC400" i="3"/>
  <c r="AC291" i="3"/>
  <c r="AC227" i="3"/>
  <c r="AC99" i="3"/>
  <c r="AB271" i="3"/>
  <c r="AB143" i="3"/>
  <c r="AB47" i="3"/>
  <c r="AB93" i="3"/>
  <c r="AC296" i="3"/>
  <c r="AB220" i="3"/>
  <c r="AB425" i="3"/>
  <c r="AK352" i="3"/>
  <c r="AK131" i="3"/>
  <c r="AB163" i="3"/>
  <c r="AK156" i="3"/>
  <c r="AK276" i="3"/>
  <c r="AK86" i="3"/>
  <c r="AB150" i="3"/>
  <c r="AK58" i="3"/>
  <c r="AK212" i="3"/>
  <c r="AJ338" i="3"/>
  <c r="AJ354" i="3"/>
  <c r="AJ45" i="3"/>
  <c r="AB246" i="3"/>
  <c r="AK302" i="3"/>
  <c r="AJ331" i="3"/>
  <c r="AK371" i="3"/>
  <c r="AK379" i="3"/>
  <c r="AJ343" i="3"/>
  <c r="AK399" i="3"/>
  <c r="AC340" i="3"/>
  <c r="AK175" i="3"/>
  <c r="AJ325" i="3"/>
  <c r="AK72" i="3"/>
  <c r="AK255" i="3"/>
  <c r="AB374" i="3"/>
  <c r="AC498" i="3"/>
  <c r="AC378" i="3"/>
  <c r="AB367" i="3"/>
  <c r="AC214" i="3"/>
  <c r="AC387" i="3"/>
  <c r="AC91" i="3"/>
  <c r="AC27" i="3"/>
  <c r="AB71" i="3"/>
  <c r="AB154" i="3"/>
  <c r="AB122" i="3"/>
  <c r="AB149" i="3"/>
  <c r="AB117" i="3"/>
  <c r="AB85" i="3"/>
  <c r="AC32" i="3"/>
  <c r="AB244" i="3"/>
  <c r="AB148" i="3"/>
  <c r="AB52" i="3"/>
  <c r="AB348" i="3"/>
  <c r="AB498" i="3"/>
  <c r="AB403" i="3"/>
  <c r="AB182" i="3"/>
  <c r="AB54" i="3"/>
  <c r="AC189" i="3"/>
  <c r="AB240" i="3"/>
  <c r="AB490" i="3"/>
  <c r="AP390" i="3"/>
  <c r="AC345" i="3"/>
  <c r="AC206" i="3"/>
  <c r="AC98" i="3"/>
  <c r="AC307" i="3"/>
  <c r="AC211" i="3"/>
  <c r="AC179" i="3"/>
  <c r="AC83" i="3"/>
  <c r="AB159" i="3"/>
  <c r="AB127" i="3"/>
  <c r="AB63" i="3"/>
  <c r="AC281" i="3"/>
  <c r="AB205" i="3"/>
  <c r="AB109" i="3"/>
  <c r="AB77" i="3"/>
  <c r="AB268" i="3"/>
  <c r="AB204" i="3"/>
  <c r="AB108" i="3"/>
  <c r="AB44" i="3"/>
  <c r="AC26" i="3"/>
  <c r="AK260" i="3"/>
  <c r="AK320" i="3"/>
  <c r="AJ400" i="3"/>
  <c r="AK147" i="3"/>
  <c r="AK163" i="3"/>
  <c r="AK195" i="3"/>
  <c r="AK204" i="3"/>
  <c r="AJ292" i="3"/>
  <c r="AJ126" i="3"/>
  <c r="AC150" i="3"/>
  <c r="AK254" i="3"/>
  <c r="AJ234" i="3"/>
  <c r="AB280" i="3"/>
  <c r="AJ329" i="3"/>
  <c r="AJ393" i="3"/>
  <c r="AK4" i="3"/>
  <c r="AK44" i="3"/>
  <c r="AJ214" i="3"/>
  <c r="AK122" i="3"/>
  <c r="AK386" i="3"/>
  <c r="AJ402" i="3"/>
  <c r="AJ125" i="3"/>
  <c r="AK141" i="3"/>
  <c r="AJ277" i="3"/>
  <c r="AJ98" i="3"/>
  <c r="AK226" i="3"/>
  <c r="AJ276" i="3"/>
  <c r="AJ15" i="3"/>
  <c r="AJ63" i="3"/>
  <c r="AJ79" i="3"/>
  <c r="AK111" i="3"/>
  <c r="AJ341" i="3"/>
  <c r="AK200" i="3"/>
  <c r="AJ335" i="3"/>
  <c r="AJ138" i="3"/>
  <c r="AK267" i="3"/>
  <c r="AJ9" i="3"/>
  <c r="AJ25" i="3"/>
  <c r="AJ18" i="3"/>
  <c r="AJ486" i="3"/>
  <c r="AK406" i="3"/>
  <c r="AK439" i="3"/>
  <c r="AB471" i="3"/>
  <c r="AJ497" i="3"/>
  <c r="AB458" i="3"/>
  <c r="AC360" i="3"/>
  <c r="AC43" i="3"/>
  <c r="AJ123" i="3"/>
  <c r="AC171" i="3"/>
  <c r="AC203" i="3"/>
  <c r="AJ156" i="3"/>
  <c r="AB94" i="3"/>
  <c r="AK286" i="3"/>
  <c r="AK114" i="3"/>
  <c r="AB337" i="3"/>
  <c r="AJ401" i="3"/>
  <c r="AJ4" i="3"/>
  <c r="AB132" i="3"/>
  <c r="AJ228" i="3"/>
  <c r="AK238" i="3"/>
  <c r="AK346" i="3"/>
  <c r="AB5" i="3"/>
  <c r="AJ229" i="3"/>
  <c r="AJ253" i="3"/>
  <c r="AK291" i="3"/>
  <c r="AK355" i="3"/>
  <c r="AJ274" i="3"/>
  <c r="AK47" i="3"/>
  <c r="AJ397" i="3"/>
  <c r="AK120" i="3"/>
  <c r="AK272" i="3"/>
  <c r="AK225" i="3"/>
  <c r="AJ310" i="3"/>
  <c r="AJ130" i="3"/>
  <c r="AC361" i="3"/>
  <c r="AC25" i="3"/>
  <c r="AC394" i="3"/>
  <c r="AC58" i="3"/>
  <c r="AC122" i="3"/>
  <c r="AC247" i="3"/>
  <c r="AC186" i="3"/>
  <c r="AC372" i="3"/>
  <c r="AC486" i="3"/>
  <c r="AC341" i="3"/>
  <c r="AC69" i="3"/>
  <c r="AC391" i="3"/>
  <c r="AC55" i="3"/>
  <c r="AC119" i="3"/>
  <c r="AC183" i="3"/>
  <c r="AC40" i="3"/>
  <c r="AC168" i="3"/>
  <c r="AQ421" i="3"/>
  <c r="AC417" i="3"/>
  <c r="AB438" i="3"/>
  <c r="AK433" i="3"/>
  <c r="AJ439" i="3"/>
  <c r="AJ465" i="3"/>
  <c r="AB456" i="3"/>
  <c r="AB481" i="3"/>
  <c r="AC496" i="3"/>
  <c r="AC436" i="3"/>
  <c r="AB429" i="3"/>
  <c r="AK443" i="3"/>
  <c r="AJ264" i="3"/>
  <c r="AJ294" i="3"/>
  <c r="AC328" i="3"/>
  <c r="AJ392" i="3"/>
  <c r="AK27" i="3"/>
  <c r="AK91" i="3"/>
  <c r="AK155" i="3"/>
  <c r="AJ187" i="3"/>
  <c r="AK227" i="3"/>
  <c r="AJ243" i="3"/>
  <c r="AJ46" i="3"/>
  <c r="AC78" i="3"/>
  <c r="AK94" i="3"/>
  <c r="AK126" i="3"/>
  <c r="AK182" i="3"/>
  <c r="AJ305" i="3"/>
  <c r="AC337" i="3"/>
  <c r="AB369" i="3"/>
  <c r="AJ60" i="3"/>
  <c r="AJ190" i="3"/>
  <c r="AJ346" i="3"/>
  <c r="AJ21" i="3"/>
  <c r="AK101" i="3"/>
  <c r="AK7" i="3"/>
  <c r="AK119" i="3"/>
  <c r="AJ199" i="3"/>
  <c r="AJ359" i="3"/>
  <c r="AC373" i="3"/>
  <c r="AJ152" i="3"/>
  <c r="AJ366" i="3"/>
  <c r="AJ49" i="3"/>
  <c r="AJ249" i="3"/>
  <c r="AK383" i="3"/>
  <c r="AC305" i="3"/>
  <c r="AC493" i="3"/>
  <c r="AC253" i="3"/>
  <c r="AC403" i="3"/>
  <c r="AC316" i="3"/>
  <c r="AC380" i="3"/>
  <c r="AC241" i="3"/>
  <c r="AC299" i="3"/>
  <c r="AC384" i="3"/>
  <c r="AC48" i="3"/>
  <c r="AC112" i="3"/>
  <c r="AC266" i="3"/>
  <c r="AB420" i="3"/>
  <c r="AQ455" i="3"/>
  <c r="AC463" i="3"/>
  <c r="AK475" i="3"/>
  <c r="AC423" i="3"/>
  <c r="AB408" i="3"/>
  <c r="AB482" i="3"/>
  <c r="AC416" i="3"/>
  <c r="AC426" i="3"/>
  <c r="AC297" i="3"/>
  <c r="AK336" i="3"/>
  <c r="AJ368" i="3"/>
  <c r="AB400" i="3"/>
  <c r="AJ267" i="3"/>
  <c r="AB188" i="3"/>
  <c r="AK170" i="3"/>
  <c r="AJ290" i="3"/>
  <c r="AJ377" i="3"/>
  <c r="AK354" i="3"/>
  <c r="AJ13" i="3"/>
  <c r="AJ399" i="3"/>
  <c r="AB301" i="3"/>
  <c r="AJ31" i="3"/>
  <c r="AB381" i="3"/>
  <c r="AJ72" i="3"/>
  <c r="AK136" i="3"/>
  <c r="AB417" i="3"/>
  <c r="AC475" i="3"/>
  <c r="AC431" i="3"/>
  <c r="AJ457" i="3"/>
  <c r="AC478" i="3"/>
  <c r="AJ490" i="3"/>
  <c r="AJ245" i="3"/>
  <c r="AJ328" i="3"/>
  <c r="AK11" i="3"/>
  <c r="AJ11" i="3"/>
  <c r="AK107" i="3"/>
  <c r="AJ139" i="3"/>
  <c r="AJ204" i="3"/>
  <c r="AJ10" i="3"/>
  <c r="AB305" i="3"/>
  <c r="AJ313" i="3"/>
  <c r="AJ361" i="3"/>
  <c r="AK385" i="3"/>
  <c r="AK100" i="3"/>
  <c r="AJ62" i="3"/>
  <c r="AB37" i="3"/>
  <c r="AJ53" i="3"/>
  <c r="AJ133" i="3"/>
  <c r="AJ213" i="3"/>
  <c r="AK174" i="3"/>
  <c r="AB42" i="3"/>
  <c r="AJ316" i="3"/>
  <c r="AB324" i="3"/>
  <c r="AJ356" i="3"/>
  <c r="AK388" i="3"/>
  <c r="AJ87" i="3"/>
  <c r="AB80" i="3"/>
  <c r="AK25" i="3"/>
  <c r="AJ408" i="3"/>
  <c r="AJ418" i="3"/>
  <c r="AC429" i="3"/>
  <c r="AP455" i="3"/>
  <c r="AK454" i="3"/>
  <c r="AJ484" i="3"/>
  <c r="AB445" i="3"/>
  <c r="AK462" i="3"/>
  <c r="AK451" i="3"/>
  <c r="AP472" i="3"/>
  <c r="AK459" i="3"/>
  <c r="AK500" i="3"/>
  <c r="AC411" i="3"/>
  <c r="AC424" i="3"/>
  <c r="AC441" i="3"/>
  <c r="AB405" i="3"/>
  <c r="AB473" i="3"/>
  <c r="AB376" i="3"/>
  <c r="AB392" i="3"/>
  <c r="AJ43" i="3"/>
  <c r="AJ75" i="3"/>
  <c r="AK75" i="3"/>
  <c r="AJ179" i="3"/>
  <c r="AJ275" i="3"/>
  <c r="AC70" i="3"/>
  <c r="AK242" i="3"/>
  <c r="AK319" i="3"/>
  <c r="AJ247" i="3"/>
  <c r="AK278" i="3"/>
  <c r="AC385" i="3"/>
  <c r="AK12" i="3"/>
  <c r="AJ140" i="3"/>
  <c r="AK164" i="3"/>
  <c r="AJ196" i="3"/>
  <c r="AK62" i="3"/>
  <c r="AB118" i="3"/>
  <c r="AK258" i="3"/>
  <c r="AJ117" i="3"/>
  <c r="AC246" i="3"/>
  <c r="AK298" i="3"/>
  <c r="AJ363" i="3"/>
  <c r="AJ14" i="3"/>
  <c r="AK396" i="3"/>
  <c r="AK55" i="3"/>
  <c r="AK295" i="3"/>
  <c r="AC359" i="3"/>
  <c r="AJ154" i="3"/>
  <c r="AK289" i="3"/>
  <c r="AK381" i="3"/>
  <c r="AJ16" i="3"/>
  <c r="AC80" i="3"/>
  <c r="AK104" i="3"/>
  <c r="AK144" i="3"/>
  <c r="AK160" i="3"/>
  <c r="AB176" i="3"/>
  <c r="AB272" i="3"/>
  <c r="AK318" i="3"/>
  <c r="AC382" i="3"/>
  <c r="AC49" i="3"/>
  <c r="AJ97" i="3"/>
  <c r="AJ218" i="3"/>
  <c r="AC395" i="3"/>
  <c r="AC190" i="3"/>
  <c r="AC339" i="3"/>
  <c r="AC153" i="3"/>
  <c r="AC89" i="3"/>
  <c r="AC280" i="3"/>
  <c r="AC176" i="3"/>
  <c r="AC349" i="3"/>
  <c r="AC330" i="3"/>
  <c r="AC399" i="3"/>
  <c r="AC130" i="3"/>
  <c r="AC335" i="3"/>
  <c r="AC320" i="3"/>
  <c r="AC490" i="3"/>
  <c r="AC5" i="3"/>
  <c r="AC67" i="3"/>
  <c r="AC104" i="3"/>
  <c r="AC220" i="3"/>
  <c r="AC294" i="3"/>
  <c r="AC338" i="3"/>
  <c r="AC223" i="3"/>
  <c r="AC63" i="3"/>
  <c r="AC164" i="3"/>
  <c r="AC100" i="3"/>
  <c r="AC36" i="3"/>
  <c r="AC442" i="3"/>
  <c r="AC484" i="3"/>
  <c r="AC440" i="3"/>
  <c r="AC327" i="3"/>
  <c r="AC369" i="3"/>
  <c r="AC123" i="3"/>
  <c r="AC193" i="3"/>
  <c r="AC161" i="3"/>
  <c r="AC97" i="3"/>
  <c r="AC33" i="3"/>
  <c r="AC272" i="3"/>
  <c r="AC66" i="3"/>
  <c r="AC406" i="3"/>
  <c r="AC432" i="3"/>
  <c r="AC448" i="3"/>
  <c r="G50" i="1"/>
  <c r="L416" i="3" s="1"/>
  <c r="G53" i="1"/>
  <c r="R391" i="3" s="1"/>
  <c r="N406" i="3"/>
  <c r="B93" i="4"/>
  <c r="B89" i="4"/>
  <c r="B49" i="4"/>
  <c r="AQ344" i="3"/>
  <c r="AQ485" i="3"/>
  <c r="AP426" i="3"/>
  <c r="AQ500" i="3"/>
  <c r="AQ368" i="3"/>
  <c r="AP432" i="3"/>
  <c r="AP454" i="3"/>
  <c r="AQ503" i="3"/>
  <c r="AQ498" i="3"/>
  <c r="AQ300" i="3"/>
  <c r="AQ220" i="3"/>
  <c r="AQ204" i="3"/>
  <c r="AQ188" i="3"/>
  <c r="AQ11" i="3"/>
  <c r="AP171" i="3"/>
  <c r="AP126" i="3"/>
  <c r="AQ153" i="3"/>
  <c r="AP143" i="3"/>
  <c r="AQ372" i="3"/>
  <c r="AP142" i="3"/>
  <c r="AP94" i="3"/>
  <c r="AP46" i="3"/>
  <c r="AP110" i="3"/>
  <c r="AQ139" i="3"/>
  <c r="AQ27" i="3"/>
  <c r="AQ252" i="3"/>
  <c r="AQ358" i="3"/>
  <c r="AQ173" i="3"/>
  <c r="AQ123" i="3"/>
  <c r="AQ362" i="3"/>
  <c r="AP464" i="3"/>
  <c r="AQ310" i="3"/>
  <c r="AP203" i="3"/>
  <c r="AP360" i="3"/>
  <c r="AP392" i="3"/>
  <c r="AP462" i="3"/>
  <c r="AQ426" i="3"/>
  <c r="AQ366" i="3"/>
  <c r="AP407" i="3"/>
  <c r="AP391" i="3"/>
  <c r="AQ323" i="3"/>
  <c r="AQ339" i="3"/>
  <c r="AQ355" i="3"/>
  <c r="AQ371" i="3"/>
  <c r="AQ295" i="3"/>
  <c r="AQ263" i="3"/>
  <c r="AQ215" i="3"/>
  <c r="AQ199" i="3"/>
  <c r="AQ75" i="3"/>
  <c r="AQ384" i="3"/>
  <c r="AQ59" i="3"/>
  <c r="AP278" i="3"/>
  <c r="AP246" i="3"/>
  <c r="AP214" i="3"/>
  <c r="AP182" i="3"/>
  <c r="AP97" i="3"/>
  <c r="AP49" i="3"/>
  <c r="AP17" i="3"/>
  <c r="AQ106" i="3"/>
  <c r="AQ74" i="3"/>
  <c r="AQ58" i="3"/>
  <c r="AQ26" i="3"/>
  <c r="AP311" i="3"/>
  <c r="AQ502" i="3"/>
  <c r="AQ490" i="3"/>
  <c r="AC336" i="3"/>
  <c r="AC344" i="3"/>
  <c r="AK99" i="3"/>
  <c r="AP440" i="3"/>
  <c r="AQ434" i="3"/>
  <c r="AK474" i="3"/>
  <c r="AC407" i="3"/>
  <c r="AC485" i="3"/>
  <c r="AB419" i="3"/>
  <c r="AK478" i="3"/>
  <c r="AJ304" i="3"/>
  <c r="AK82" i="3"/>
  <c r="AC282" i="3"/>
  <c r="AK317" i="3"/>
  <c r="AK365" i="3"/>
  <c r="AB194" i="3"/>
  <c r="AK281" i="3"/>
  <c r="AB130" i="3"/>
  <c r="AQ414" i="3"/>
  <c r="AB285" i="3"/>
  <c r="AB322" i="3"/>
  <c r="AC346" i="3"/>
  <c r="AB53" i="3"/>
  <c r="AB213" i="3"/>
  <c r="AK222" i="3"/>
  <c r="AK162" i="3"/>
  <c r="AC6" i="3"/>
  <c r="AK98" i="3"/>
  <c r="AB290" i="3"/>
  <c r="AB340" i="3"/>
  <c r="AB111" i="3"/>
  <c r="AJ175" i="3"/>
  <c r="AB175" i="3"/>
  <c r="AB231" i="3"/>
  <c r="AC487" i="3"/>
  <c r="AK361" i="3"/>
  <c r="AK28" i="3"/>
  <c r="AK116" i="3"/>
  <c r="AK124" i="3"/>
  <c r="AB252" i="3"/>
  <c r="AJ134" i="3"/>
  <c r="AB282" i="3"/>
  <c r="AB317" i="3"/>
  <c r="AJ24" i="3"/>
  <c r="AJ32" i="3"/>
  <c r="AJ40" i="3"/>
  <c r="AC64" i="3"/>
  <c r="AC200" i="3"/>
  <c r="AC464" i="3"/>
  <c r="AQ451" i="3"/>
  <c r="AJ386" i="3"/>
  <c r="AJ394" i="3"/>
  <c r="AK181" i="3"/>
  <c r="AC142" i="3"/>
  <c r="AJ26" i="3"/>
  <c r="AK106" i="3"/>
  <c r="AK315" i="3"/>
  <c r="AJ251" i="3"/>
  <c r="AJ364" i="3"/>
  <c r="AK127" i="3"/>
  <c r="AJ223" i="3"/>
  <c r="AK279" i="3"/>
  <c r="AC376" i="3"/>
  <c r="AC59" i="3"/>
  <c r="AK139" i="3"/>
  <c r="AC155" i="3"/>
  <c r="AC126" i="3"/>
  <c r="AJ321" i="3"/>
  <c r="AK345" i="3"/>
  <c r="AQ497" i="3"/>
  <c r="AK375" i="3"/>
  <c r="AK152" i="3"/>
  <c r="AK256" i="3"/>
  <c r="AJ34" i="3"/>
  <c r="AJ194" i="3"/>
  <c r="AJ318" i="3"/>
  <c r="AK334" i="3"/>
  <c r="AJ334" i="3"/>
  <c r="AJ358" i="3"/>
  <c r="AJ374" i="3"/>
  <c r="AJ382" i="3"/>
  <c r="AK49" i="3"/>
  <c r="AK169" i="3"/>
  <c r="AJ177" i="3"/>
  <c r="AP261" i="3"/>
  <c r="AC397" i="3"/>
  <c r="AC202" i="3"/>
  <c r="AC274" i="3"/>
  <c r="AB363" i="3"/>
  <c r="AB395" i="3"/>
  <c r="AC258" i="3"/>
  <c r="AC287" i="3"/>
  <c r="AC255" i="3"/>
  <c r="AC127" i="3"/>
  <c r="AB267" i="3"/>
  <c r="AB171" i="3"/>
  <c r="AB43" i="3"/>
  <c r="AB126" i="3"/>
  <c r="AB30" i="3"/>
  <c r="AC325" i="3"/>
  <c r="AC261" i="3"/>
  <c r="AC197" i="3"/>
  <c r="AC133" i="3"/>
  <c r="AC37" i="3"/>
  <c r="AB313" i="3"/>
  <c r="AB185" i="3"/>
  <c r="AB89" i="3"/>
  <c r="AB57" i="3"/>
  <c r="AC292" i="3"/>
  <c r="AC260" i="3"/>
  <c r="AC228" i="3"/>
  <c r="AC68" i="3"/>
  <c r="AB248" i="3"/>
  <c r="AB88" i="3"/>
  <c r="AB56" i="3"/>
  <c r="AQ417" i="3"/>
  <c r="AJ425" i="3"/>
  <c r="AJ438" i="3"/>
  <c r="AP483" i="3"/>
  <c r="AQ487" i="3"/>
  <c r="AC494" i="3"/>
  <c r="AB461" i="3"/>
  <c r="AQ496" i="3"/>
  <c r="AJ352" i="3"/>
  <c r="AK384" i="3"/>
  <c r="AJ19" i="3"/>
  <c r="AJ35" i="3"/>
  <c r="AJ163" i="3"/>
  <c r="AK211" i="3"/>
  <c r="AJ259" i="3"/>
  <c r="AJ220" i="3"/>
  <c r="AJ86" i="3"/>
  <c r="AJ170" i="3"/>
  <c r="AJ132" i="3"/>
  <c r="AJ295" i="3"/>
  <c r="AK322" i="3"/>
  <c r="AJ173" i="3"/>
  <c r="AJ189" i="3"/>
  <c r="AJ54" i="3"/>
  <c r="AJ371" i="3"/>
  <c r="AK14" i="3"/>
  <c r="AJ22" i="3"/>
  <c r="AJ186" i="3"/>
  <c r="AJ266" i="3"/>
  <c r="AJ348" i="3"/>
  <c r="AK380" i="3"/>
  <c r="AJ95" i="3"/>
  <c r="AK239" i="3"/>
  <c r="AK325" i="3"/>
  <c r="AJ216" i="3"/>
  <c r="AK326" i="3"/>
  <c r="AK65" i="3"/>
  <c r="AK90" i="3"/>
  <c r="AQ127" i="3"/>
  <c r="AB195" i="3"/>
  <c r="AB99" i="3"/>
  <c r="AB22" i="3"/>
  <c r="AB145" i="3"/>
  <c r="AP428" i="3"/>
  <c r="AC409" i="3"/>
  <c r="AK446" i="3"/>
  <c r="AP471" i="3"/>
  <c r="AB469" i="3"/>
  <c r="AP441" i="3"/>
  <c r="AJ312" i="3"/>
  <c r="AJ336" i="3"/>
  <c r="AK400" i="3"/>
  <c r="AJ67" i="3"/>
  <c r="AK83" i="3"/>
  <c r="AJ107" i="3"/>
  <c r="AK259" i="3"/>
  <c r="AK230" i="3"/>
  <c r="AJ286" i="3"/>
  <c r="AK377" i="3"/>
  <c r="AK20" i="3"/>
  <c r="AK140" i="3"/>
  <c r="AK148" i="3"/>
  <c r="AJ118" i="3"/>
  <c r="AK250" i="3"/>
  <c r="AK306" i="3"/>
  <c r="AK362" i="3"/>
  <c r="AK21" i="3"/>
  <c r="AK157" i="3"/>
  <c r="AK165" i="3"/>
  <c r="AK26" i="3"/>
  <c r="AJ162" i="3"/>
  <c r="AK292" i="3"/>
  <c r="AK95" i="3"/>
  <c r="AK207" i="3"/>
  <c r="AJ263" i="3"/>
  <c r="AJ236" i="3"/>
  <c r="AK266" i="3"/>
  <c r="AJ280" i="3"/>
  <c r="AJ391" i="3"/>
  <c r="AK342" i="3"/>
  <c r="AJ350" i="3"/>
  <c r="AJ153" i="3"/>
  <c r="AJ161" i="3"/>
  <c r="AQ374" i="3"/>
  <c r="AC134" i="3"/>
  <c r="AB398" i="3"/>
  <c r="AC354" i="3"/>
  <c r="AC114" i="3"/>
  <c r="AB343" i="3"/>
  <c r="AC278" i="3"/>
  <c r="AC352" i="3"/>
  <c r="AB339" i="3"/>
  <c r="AC275" i="3"/>
  <c r="AC243" i="3"/>
  <c r="AC147" i="3"/>
  <c r="AC51" i="3"/>
  <c r="AB191" i="3"/>
  <c r="AB31" i="3"/>
  <c r="AB338" i="3"/>
  <c r="AB306" i="3"/>
  <c r="AB146" i="3"/>
  <c r="AB114" i="3"/>
  <c r="AC313" i="3"/>
  <c r="AC185" i="3"/>
  <c r="AB333" i="3"/>
  <c r="AB269" i="3"/>
  <c r="AB141" i="3"/>
  <c r="AB13" i="3"/>
  <c r="AC312" i="3"/>
  <c r="AC248" i="3"/>
  <c r="AC184" i="3"/>
  <c r="AC120" i="3"/>
  <c r="AC56" i="3"/>
  <c r="AC24" i="3"/>
  <c r="AB332" i="3"/>
  <c r="AB300" i="3"/>
  <c r="AB236" i="3"/>
  <c r="AB172" i="3"/>
  <c r="AB76" i="3"/>
  <c r="AB372" i="3"/>
  <c r="AB426" i="3"/>
  <c r="AC434" i="3"/>
  <c r="AP484" i="3"/>
  <c r="AK473" i="3"/>
  <c r="AB502" i="3"/>
  <c r="AC481" i="3"/>
  <c r="AB457" i="3"/>
  <c r="AB427" i="3"/>
  <c r="AP415" i="3"/>
  <c r="AP473" i="3"/>
  <c r="AP419" i="3"/>
  <c r="AJ283" i="3"/>
  <c r="AJ51" i="3"/>
  <c r="AK59" i="3"/>
  <c r="AJ83" i="3"/>
  <c r="AJ99" i="3"/>
  <c r="AK166" i="3"/>
  <c r="AJ369" i="3"/>
  <c r="AJ116" i="3"/>
  <c r="AJ124" i="3"/>
  <c r="AK196" i="3"/>
  <c r="AK262" i="3"/>
  <c r="AJ165" i="3"/>
  <c r="AJ181" i="3"/>
  <c r="AK294" i="3"/>
  <c r="AJ66" i="3"/>
  <c r="AJ106" i="3"/>
  <c r="AK387" i="3"/>
  <c r="AJ270" i="3"/>
  <c r="AK71" i="3"/>
  <c r="AK231" i="3"/>
  <c r="AJ279" i="3"/>
  <c r="AK341" i="3"/>
  <c r="AK128" i="3"/>
  <c r="AK290" i="3"/>
  <c r="AK350" i="3"/>
  <c r="AK137" i="3"/>
  <c r="AK145" i="3"/>
  <c r="AJ50" i="3"/>
  <c r="AC238" i="3"/>
  <c r="AC358" i="3"/>
  <c r="AB347" i="3"/>
  <c r="AC222" i="3"/>
  <c r="AC356" i="3"/>
  <c r="AB345" i="3"/>
  <c r="AB377" i="3"/>
  <c r="AC271" i="3"/>
  <c r="AC79" i="3"/>
  <c r="AC15" i="3"/>
  <c r="AB155" i="3"/>
  <c r="AB59" i="3"/>
  <c r="AB46" i="3"/>
  <c r="AC309" i="3"/>
  <c r="AC213" i="3"/>
  <c r="AC181" i="3"/>
  <c r="AC149" i="3"/>
  <c r="AC85" i="3"/>
  <c r="AB169" i="3"/>
  <c r="AB137" i="3"/>
  <c r="AB73" i="3"/>
  <c r="AB41" i="3"/>
  <c r="AC308" i="3"/>
  <c r="AC180" i="3"/>
  <c r="AC84" i="3"/>
  <c r="AB296" i="3"/>
  <c r="AB264" i="3"/>
  <c r="AB232" i="3"/>
  <c r="AB104" i="3"/>
  <c r="AB72" i="3"/>
  <c r="AJ426" i="3"/>
  <c r="AB428" i="3"/>
  <c r="AQ439" i="3"/>
  <c r="AJ412" i="3"/>
  <c r="AC446" i="3"/>
  <c r="AB464" i="3"/>
  <c r="AC476" i="3"/>
  <c r="AP463" i="3"/>
  <c r="AJ502" i="3"/>
  <c r="AB491" i="3"/>
  <c r="AP498" i="3"/>
  <c r="AB443" i="3"/>
  <c r="AC443" i="3"/>
  <c r="AC483" i="3"/>
  <c r="AQ468" i="3"/>
  <c r="AQ431" i="3"/>
  <c r="AP421" i="3"/>
  <c r="AQ427" i="3"/>
  <c r="AK490" i="3"/>
  <c r="AK392" i="3"/>
  <c r="AK67" i="3"/>
  <c r="AK219" i="3"/>
  <c r="AK235" i="3"/>
  <c r="AK243" i="3"/>
  <c r="AJ244" i="3"/>
  <c r="AJ70" i="3"/>
  <c r="AJ58" i="3"/>
  <c r="AJ212" i="3"/>
  <c r="AK214" i="3"/>
  <c r="AK330" i="3"/>
  <c r="AJ370" i="3"/>
  <c r="AK173" i="3"/>
  <c r="AK66" i="3"/>
  <c r="AK395" i="3"/>
  <c r="AJ6" i="3"/>
  <c r="AK42" i="3"/>
  <c r="AJ308" i="3"/>
  <c r="AJ332" i="3"/>
  <c r="AJ71" i="3"/>
  <c r="AK103" i="3"/>
  <c r="AJ167" i="3"/>
  <c r="AK215" i="3"/>
  <c r="AK154" i="3"/>
  <c r="AJ208" i="3"/>
  <c r="AK251" i="3"/>
  <c r="AJ113" i="3"/>
  <c r="AJ145" i="3"/>
  <c r="AK153" i="3"/>
  <c r="AC14" i="3"/>
  <c r="AC371" i="3"/>
  <c r="AC267" i="3"/>
  <c r="AC235" i="3"/>
  <c r="AC75" i="3"/>
  <c r="AB279" i="3"/>
  <c r="AB23" i="3"/>
  <c r="AB170" i="3"/>
  <c r="AB106" i="3"/>
  <c r="AC177" i="3"/>
  <c r="AB165" i="3"/>
  <c r="AB133" i="3"/>
  <c r="AB228" i="3"/>
  <c r="AK426" i="3"/>
  <c r="AP447" i="3"/>
  <c r="AC428" i="3"/>
  <c r="AB448" i="3"/>
  <c r="AC461" i="3"/>
  <c r="AQ424" i="3"/>
  <c r="AQ432" i="3"/>
  <c r="AP427" i="3"/>
  <c r="AP433" i="3"/>
  <c r="AK188" i="3"/>
  <c r="AJ78" i="3"/>
  <c r="AJ102" i="3"/>
  <c r="AJ265" i="3"/>
  <c r="AJ291" i="3"/>
  <c r="AJ378" i="3"/>
  <c r="AJ61" i="3"/>
  <c r="AJ142" i="3"/>
  <c r="AK22" i="3"/>
  <c r="AK23" i="3"/>
  <c r="AJ55" i="3"/>
  <c r="AJ271" i="3"/>
  <c r="AK293" i="3"/>
  <c r="AJ333" i="3"/>
  <c r="AJ357" i="3"/>
  <c r="AJ224" i="3"/>
  <c r="AJ273" i="3"/>
  <c r="AK34" i="3"/>
  <c r="AK252" i="3"/>
  <c r="AK18" i="3"/>
  <c r="AP306" i="3"/>
  <c r="AQ232" i="3"/>
  <c r="AP93" i="3"/>
  <c r="AP45" i="3"/>
  <c r="AQ166" i="3"/>
  <c r="AP74" i="3"/>
  <c r="AP42" i="3"/>
  <c r="AC138" i="3"/>
  <c r="AB346" i="3"/>
  <c r="AC366" i="3"/>
  <c r="AC210" i="3"/>
  <c r="AB355" i="3"/>
  <c r="AB387" i="3"/>
  <c r="AC118" i="3"/>
  <c r="AC364" i="3"/>
  <c r="AC396" i="3"/>
  <c r="AC194" i="3"/>
  <c r="AB353" i="3"/>
  <c r="AB385" i="3"/>
  <c r="AC295" i="3"/>
  <c r="AC231" i="3"/>
  <c r="AC199" i="3"/>
  <c r="AC71" i="3"/>
  <c r="AB307" i="3"/>
  <c r="AB51" i="3"/>
  <c r="AB19" i="3"/>
  <c r="AB326" i="3"/>
  <c r="AB294" i="3"/>
  <c r="AB198" i="3"/>
  <c r="AB166" i="3"/>
  <c r="AB70" i="3"/>
  <c r="AB38" i="3"/>
  <c r="AC269" i="3"/>
  <c r="AC237" i="3"/>
  <c r="AC173" i="3"/>
  <c r="AC141" i="3"/>
  <c r="AC77" i="3"/>
  <c r="AC45" i="3"/>
  <c r="AC13" i="3"/>
  <c r="AB321" i="3"/>
  <c r="AB97" i="3"/>
  <c r="AB65" i="3"/>
  <c r="AB33" i="3"/>
  <c r="AC268" i="3"/>
  <c r="AC204" i="3"/>
  <c r="AC172" i="3"/>
  <c r="AC108" i="3"/>
  <c r="AC76" i="3"/>
  <c r="AC44" i="3"/>
  <c r="AB224" i="3"/>
  <c r="AB192" i="3"/>
  <c r="AB128" i="3"/>
  <c r="AB64" i="3"/>
  <c r="AC314" i="3"/>
  <c r="AJ456" i="3"/>
  <c r="AC467" i="3"/>
  <c r="AJ470" i="3"/>
  <c r="AJ471" i="3"/>
  <c r="AJ451" i="3"/>
  <c r="AB479" i="3"/>
  <c r="AJ481" i="3"/>
  <c r="AK497" i="3"/>
  <c r="AC480" i="3"/>
  <c r="AC469" i="3"/>
  <c r="AJ431" i="3"/>
  <c r="AJ183" i="3"/>
  <c r="AJ320" i="3"/>
  <c r="AJ219" i="3"/>
  <c r="AJ235" i="3"/>
  <c r="AJ166" i="3"/>
  <c r="AK206" i="3"/>
  <c r="AJ287" i="3"/>
  <c r="AJ28" i="3"/>
  <c r="AJ36" i="3"/>
  <c r="AK52" i="3"/>
  <c r="AK314" i="3"/>
  <c r="AK338" i="3"/>
  <c r="AJ149" i="3"/>
  <c r="AK189" i="3"/>
  <c r="AJ367" i="3"/>
  <c r="AK301" i="3"/>
  <c r="AK403" i="3"/>
  <c r="AJ403" i="3"/>
  <c r="AK6" i="3"/>
  <c r="AK39" i="3"/>
  <c r="AJ47" i="3"/>
  <c r="AK79" i="3"/>
  <c r="AK87" i="3"/>
  <c r="AK199" i="3"/>
  <c r="AJ160" i="3"/>
  <c r="AK296" i="3"/>
  <c r="AJ193" i="3"/>
  <c r="AP325" i="3"/>
  <c r="AP341" i="3"/>
  <c r="AP357" i="3"/>
  <c r="AP373" i="3"/>
  <c r="AP389" i="3"/>
  <c r="AQ321" i="3"/>
  <c r="AQ337" i="3"/>
  <c r="AQ353" i="3"/>
  <c r="AQ369" i="3"/>
  <c r="AP418" i="3"/>
  <c r="AK429" i="3"/>
  <c r="AP425" i="3"/>
  <c r="AC420" i="3"/>
  <c r="AC450" i="3"/>
  <c r="AC497" i="3"/>
  <c r="AK492" i="3"/>
  <c r="AQ119" i="3"/>
  <c r="AB3" i="3"/>
  <c r="AB455" i="3"/>
  <c r="AC471" i="3"/>
  <c r="AJ474" i="3"/>
  <c r="AC472" i="3"/>
  <c r="AJ495" i="3"/>
  <c r="AB404" i="3"/>
  <c r="AK417" i="3"/>
  <c r="AJ455" i="3"/>
  <c r="AJ445" i="3"/>
  <c r="AJ472" i="3"/>
  <c r="AP424" i="3"/>
  <c r="AQ478" i="3"/>
  <c r="AQ469" i="3"/>
  <c r="AP347" i="3"/>
  <c r="AP379" i="3"/>
  <c r="AQ359" i="3"/>
  <c r="AQ391" i="3"/>
  <c r="AQ243" i="3"/>
  <c r="AQ227" i="3"/>
  <c r="AQ179" i="3"/>
  <c r="AQ87" i="3"/>
  <c r="AP3" i="3"/>
  <c r="AJ462" i="3"/>
  <c r="AC474" i="3"/>
  <c r="AB472" i="3"/>
  <c r="AJ488" i="3"/>
  <c r="AJ428" i="3"/>
  <c r="AJ437" i="3"/>
  <c r="AK420" i="3"/>
  <c r="AK422" i="3"/>
  <c r="AJ487" i="3"/>
  <c r="AK495" i="3"/>
  <c r="AQ446" i="3"/>
  <c r="AC3" i="3"/>
  <c r="AJ446" i="3"/>
  <c r="AJ417" i="3"/>
  <c r="AB412" i="3"/>
  <c r="AK467" i="3"/>
  <c r="AQ458" i="3"/>
  <c r="AP499" i="3"/>
  <c r="AP457" i="3"/>
  <c r="AQ420" i="3"/>
  <c r="AQ450" i="3"/>
  <c r="AQ409" i="3"/>
  <c r="AP491" i="3"/>
  <c r="AQ397" i="3"/>
  <c r="AQ474" i="3"/>
  <c r="AP466" i="3"/>
  <c r="AP465" i="3"/>
  <c r="AQ383" i="3"/>
  <c r="AP259" i="3"/>
  <c r="AQ328" i="3"/>
  <c r="AP450" i="3"/>
  <c r="AP480" i="3"/>
  <c r="AP410" i="3"/>
  <c r="AQ413" i="3"/>
  <c r="AP417" i="3"/>
  <c r="AQ452" i="3"/>
  <c r="AP475" i="3"/>
  <c r="AQ495" i="3"/>
  <c r="AQ457" i="3"/>
  <c r="AP478" i="3"/>
  <c r="AQ460" i="3"/>
  <c r="AP50" i="3"/>
  <c r="AP476" i="3"/>
  <c r="AP494" i="3"/>
  <c r="AP492" i="3"/>
  <c r="AQ461" i="3"/>
  <c r="AP416" i="3"/>
  <c r="AP469" i="3"/>
  <c r="AP486" i="3"/>
  <c r="AQ425" i="3"/>
  <c r="AQ433" i="3"/>
  <c r="AQ466" i="3"/>
  <c r="AP438" i="3"/>
  <c r="AP437" i="3"/>
  <c r="AQ442" i="3"/>
  <c r="AQ470" i="3"/>
  <c r="AQ462" i="3"/>
  <c r="AP452" i="3"/>
  <c r="AP429" i="3"/>
  <c r="AP481" i="3"/>
  <c r="AQ484" i="3"/>
  <c r="AP445" i="3"/>
  <c r="AQ438" i="3"/>
  <c r="AQ406" i="3"/>
  <c r="AQ437" i="3"/>
  <c r="AQ464" i="3"/>
  <c r="AP502" i="3"/>
  <c r="AQ407" i="3"/>
  <c r="AP449" i="3"/>
  <c r="AP482" i="3"/>
  <c r="AQ486" i="3"/>
  <c r="AP66" i="3"/>
  <c r="AQ447" i="3"/>
  <c r="AP446" i="3"/>
  <c r="AP408" i="3"/>
  <c r="AQ418" i="3"/>
  <c r="AP404" i="3"/>
  <c r="AP456" i="3"/>
  <c r="AQ454" i="3"/>
  <c r="AQ443" i="3"/>
  <c r="AQ501" i="3"/>
  <c r="AP460" i="3"/>
  <c r="AQ473" i="3"/>
  <c r="AP430" i="3"/>
  <c r="AQ471" i="3"/>
  <c r="AQ494" i="3"/>
  <c r="AQ405" i="3"/>
  <c r="AP413" i="3"/>
  <c r="AQ15" i="3"/>
  <c r="AP443" i="3"/>
  <c r="AQ423" i="3"/>
  <c r="AQ351" i="3"/>
  <c r="AQ399" i="3"/>
  <c r="AP299" i="3"/>
  <c r="AP489" i="3"/>
  <c r="AQ472" i="3"/>
  <c r="AQ411" i="3"/>
  <c r="AP411" i="3"/>
  <c r="AP444" i="3"/>
  <c r="AQ483" i="3"/>
  <c r="AQ441" i="3"/>
  <c r="AQ31" i="3"/>
  <c r="AP333" i="3"/>
  <c r="AP313" i="3"/>
  <c r="AQ329" i="3"/>
  <c r="AQ345" i="3"/>
  <c r="AQ159" i="3"/>
  <c r="AP288" i="3"/>
  <c r="AP493" i="3"/>
  <c r="AQ435" i="3"/>
  <c r="AQ440" i="3"/>
  <c r="AQ456" i="3"/>
  <c r="AQ482" i="3"/>
  <c r="AP320" i="3"/>
  <c r="AP368" i="3"/>
  <c r="AP400" i="3"/>
  <c r="AP22" i="3"/>
  <c r="AQ430" i="3"/>
  <c r="AQ476" i="3"/>
  <c r="AP477" i="3"/>
  <c r="AP485" i="3"/>
  <c r="AQ479" i="3"/>
  <c r="AQ444" i="3"/>
  <c r="AP431" i="3"/>
  <c r="AP453" i="3"/>
  <c r="AP461" i="3"/>
  <c r="AQ309" i="3"/>
  <c r="AQ304" i="3"/>
  <c r="AQ256" i="3"/>
  <c r="AQ240" i="3"/>
  <c r="AQ192" i="3"/>
  <c r="AQ370" i="3"/>
  <c r="AP409" i="3"/>
  <c r="AQ422" i="3"/>
  <c r="AQ415" i="3"/>
  <c r="AQ499" i="3"/>
  <c r="AP468" i="3"/>
  <c r="AC438" i="3"/>
  <c r="AC458" i="3"/>
  <c r="AC489" i="3"/>
  <c r="AC414" i="3"/>
  <c r="AB439" i="3"/>
  <c r="AB497" i="3"/>
  <c r="AC413" i="3"/>
  <c r="AC430" i="3"/>
  <c r="AC425" i="3"/>
  <c r="AC439" i="3"/>
  <c r="AB440" i="3"/>
  <c r="AB454" i="3"/>
  <c r="AB484" i="3"/>
  <c r="AB462" i="3"/>
  <c r="AB477" i="3"/>
  <c r="AC495" i="3"/>
  <c r="AB436" i="3"/>
  <c r="AB499" i="3"/>
  <c r="AB414" i="3"/>
  <c r="AJ500" i="3"/>
  <c r="AJ430" i="3"/>
  <c r="AK428" i="3"/>
  <c r="AB434" i="3"/>
  <c r="AQ445" i="3"/>
  <c r="AP451" i="3"/>
  <c r="AB487" i="3"/>
  <c r="AJ480" i="3"/>
  <c r="AK487" i="3"/>
  <c r="AC459" i="3"/>
  <c r="AJ492" i="3"/>
  <c r="AB500" i="3"/>
  <c r="AJ404" i="3"/>
  <c r="AB409" i="3"/>
  <c r="AK437" i="3"/>
  <c r="AP442" i="3"/>
  <c r="AK484" i="3"/>
  <c r="AC445" i="3"/>
  <c r="AJ467" i="3"/>
  <c r="AB451" i="3"/>
  <c r="AQ475" i="3"/>
  <c r="AJ485" i="3"/>
  <c r="AQ480" i="3"/>
  <c r="AP503" i="3"/>
  <c r="AP459" i="3"/>
  <c r="AK445" i="3"/>
  <c r="AK413" i="3"/>
  <c r="AK438" i="3"/>
  <c r="AP420" i="3"/>
  <c r="AJ442" i="3"/>
  <c r="AP422" i="3"/>
  <c r="AK450" i="3"/>
  <c r="AB467" i="3"/>
  <c r="AQ488" i="3"/>
  <c r="AJ491" i="3"/>
  <c r="AB485" i="3"/>
  <c r="AK480" i="3"/>
  <c r="AP495" i="3"/>
  <c r="AJ503" i="3"/>
  <c r="AJ459" i="3"/>
  <c r="AQ492" i="3"/>
  <c r="AB430" i="3"/>
  <c r="AP467" i="3"/>
  <c r="AK425" i="3"/>
  <c r="AJ420" i="3"/>
  <c r="AB442" i="3"/>
  <c r="AJ422" i="3"/>
  <c r="AJ454" i="3"/>
  <c r="AK463" i="3"/>
  <c r="AK488" i="3"/>
  <c r="AP488" i="3"/>
  <c r="AB459" i="3"/>
  <c r="AB406" i="3"/>
  <c r="AJ475" i="3"/>
  <c r="AP406" i="3"/>
  <c r="AP412" i="3"/>
  <c r="AP414" i="3"/>
  <c r="AB422" i="3"/>
  <c r="AQ467" i="3"/>
  <c r="AJ477" i="3"/>
  <c r="AK485" i="3"/>
  <c r="AB494" i="3"/>
  <c r="AC488" i="3"/>
  <c r="AP479" i="3"/>
  <c r="AJ498" i="3"/>
  <c r="AB495" i="3"/>
  <c r="AC492" i="3"/>
  <c r="AJ434" i="3"/>
  <c r="AB492" i="3"/>
  <c r="AJ406" i="3"/>
  <c r="AJ414" i="3"/>
  <c r="AP434" i="3"/>
  <c r="AK476" i="3"/>
  <c r="AP470" i="3"/>
  <c r="AC451" i="3"/>
  <c r="AP487" i="3"/>
  <c r="AJ479" i="3"/>
  <c r="AQ489" i="3"/>
  <c r="AQ459" i="3"/>
  <c r="AP500" i="3"/>
  <c r="AP300" i="3"/>
  <c r="AP284" i="3"/>
  <c r="AP236" i="3"/>
  <c r="AP170" i="3"/>
  <c r="AP181" i="3"/>
  <c r="AP145" i="3"/>
  <c r="AQ178" i="3"/>
  <c r="AQ97" i="3"/>
  <c r="AQ65" i="3"/>
  <c r="AP87" i="3"/>
  <c r="AP7" i="3"/>
  <c r="AQ144" i="3"/>
  <c r="AQ128" i="3"/>
  <c r="AQ112" i="3"/>
  <c r="AQ80" i="3"/>
  <c r="AP116" i="3"/>
  <c r="AP4" i="3"/>
  <c r="AQ402" i="3"/>
  <c r="AQ283" i="3"/>
  <c r="AQ251" i="3"/>
  <c r="AQ187" i="3"/>
  <c r="AP169" i="3"/>
  <c r="AP155" i="3"/>
  <c r="AQ291" i="3"/>
  <c r="AQ211" i="3"/>
  <c r="AQ195" i="3"/>
  <c r="AQ33" i="3"/>
  <c r="AP282" i="3"/>
  <c r="AP266" i="3"/>
  <c r="AP234" i="3"/>
  <c r="AP218" i="3"/>
  <c r="AQ135" i="3"/>
  <c r="AP165" i="3"/>
  <c r="AP133" i="3"/>
  <c r="AP85" i="3"/>
  <c r="AP69" i="3"/>
  <c r="AP37" i="3"/>
  <c r="AP21" i="3"/>
  <c r="AP5" i="3"/>
  <c r="AQ110" i="3"/>
  <c r="AQ78" i="3"/>
  <c r="AQ62" i="3"/>
  <c r="AP318" i="3"/>
  <c r="AP334" i="3"/>
  <c r="AP366" i="3"/>
  <c r="AP382" i="3"/>
  <c r="AP398" i="3"/>
  <c r="AP192" i="3"/>
  <c r="AQ241" i="3"/>
  <c r="AP281" i="3"/>
  <c r="AP265" i="3"/>
  <c r="AP233" i="3"/>
  <c r="AP185" i="3"/>
  <c r="AQ163" i="3"/>
  <c r="AQ230" i="3"/>
  <c r="AP151" i="3"/>
  <c r="AQ133" i="3"/>
  <c r="AQ101" i="3"/>
  <c r="AQ21" i="3"/>
  <c r="AQ5" i="3"/>
  <c r="AP43" i="3"/>
  <c r="AP27" i="3"/>
  <c r="AP11" i="3"/>
  <c r="AQ148" i="3"/>
  <c r="AQ132" i="3"/>
  <c r="AQ100" i="3"/>
  <c r="AQ84" i="3"/>
  <c r="AQ36" i="3"/>
  <c r="AQ322" i="3"/>
  <c r="AQ332" i="3"/>
  <c r="AP239" i="3"/>
  <c r="AQ274" i="3"/>
  <c r="AQ194" i="3"/>
  <c r="AQ336" i="3"/>
  <c r="AQ352" i="3"/>
  <c r="AQ327" i="3"/>
  <c r="AP355" i="3"/>
  <c r="AP290" i="3"/>
  <c r="AP242" i="3"/>
  <c r="AP61" i="3"/>
  <c r="AQ86" i="3"/>
  <c r="AQ70" i="3"/>
  <c r="AQ6" i="3"/>
  <c r="AQ390" i="3"/>
  <c r="AP315" i="3"/>
  <c r="AP323" i="3"/>
  <c r="AP403" i="3"/>
  <c r="AP363" i="3"/>
  <c r="AP371" i="3"/>
  <c r="AQ296" i="3"/>
  <c r="AQ184" i="3"/>
  <c r="AP269" i="3"/>
  <c r="AQ330" i="3"/>
  <c r="AP152" i="3"/>
  <c r="AP120" i="3"/>
  <c r="AP88" i="3"/>
  <c r="AP149" i="3"/>
  <c r="AP335" i="3"/>
  <c r="AP383" i="3"/>
  <c r="AQ331" i="3"/>
  <c r="AQ347" i="3"/>
  <c r="AP190" i="3"/>
  <c r="AQ207" i="3"/>
  <c r="AQ191" i="3"/>
  <c r="AQ175" i="3"/>
  <c r="AP247" i="3"/>
  <c r="AQ131" i="3"/>
  <c r="AQ83" i="3"/>
  <c r="AQ67" i="3"/>
  <c r="AQ51" i="3"/>
  <c r="AP25" i="3"/>
  <c r="AP316" i="3"/>
  <c r="AP364" i="3"/>
  <c r="AP380" i="3"/>
  <c r="AP255" i="3"/>
  <c r="AP268" i="3"/>
  <c r="AP252" i="3"/>
  <c r="AP204" i="3"/>
  <c r="AQ205" i="3"/>
  <c r="AP277" i="3"/>
  <c r="AP229" i="3"/>
  <c r="AP197" i="3"/>
  <c r="AQ81" i="3"/>
  <c r="AQ49" i="3"/>
  <c r="AP135" i="3"/>
  <c r="AP71" i="3"/>
  <c r="AP55" i="3"/>
  <c r="AQ48" i="3"/>
  <c r="AQ32" i="3"/>
  <c r="AP148" i="3"/>
  <c r="AP100" i="3"/>
  <c r="AP84" i="3"/>
  <c r="AP283" i="3"/>
  <c r="AP141" i="3"/>
  <c r="AP159" i="3"/>
  <c r="AP257" i="3"/>
  <c r="AQ302" i="3"/>
  <c r="AQ270" i="3"/>
  <c r="AQ206" i="3"/>
  <c r="AQ174" i="3"/>
  <c r="AQ93" i="3"/>
  <c r="AQ13" i="3"/>
  <c r="AP144" i="3"/>
  <c r="AP112" i="3"/>
  <c r="AQ196" i="3"/>
  <c r="AP54" i="3"/>
  <c r="AQ258" i="3"/>
  <c r="AQ53" i="3"/>
  <c r="AQ292" i="3"/>
  <c r="AQ244" i="3"/>
  <c r="AP349" i="3"/>
  <c r="AQ306" i="3"/>
  <c r="AP184" i="3"/>
  <c r="AP177" i="3"/>
  <c r="AP51" i="3"/>
  <c r="AP35" i="3"/>
  <c r="AP19" i="3"/>
  <c r="AQ108" i="3"/>
  <c r="AP104" i="3"/>
  <c r="AQ260" i="3"/>
  <c r="AQ210" i="3"/>
  <c r="AQ228" i="3"/>
  <c r="AP38" i="3"/>
  <c r="AQ17" i="3"/>
  <c r="AP337" i="3"/>
  <c r="AP353" i="3"/>
  <c r="AQ365" i="3"/>
  <c r="AQ381" i="3"/>
  <c r="AQ313" i="3"/>
  <c r="AP329" i="3"/>
  <c r="AP377" i="3"/>
  <c r="AQ341" i="3"/>
  <c r="AQ35" i="3"/>
  <c r="AQ301" i="3"/>
  <c r="AQ109" i="3"/>
  <c r="AP206" i="3"/>
  <c r="AP153" i="3"/>
  <c r="AP105" i="3"/>
  <c r="AP89" i="3"/>
  <c r="AP57" i="3"/>
  <c r="AP41" i="3"/>
  <c r="AQ162" i="3"/>
  <c r="AQ66" i="3"/>
  <c r="AQ34" i="3"/>
  <c r="AQ18" i="3"/>
  <c r="AP217" i="3"/>
  <c r="AP314" i="3"/>
  <c r="AP330" i="3"/>
  <c r="AP394" i="3"/>
  <c r="AP308" i="3"/>
  <c r="AP260" i="3"/>
  <c r="AP212" i="3"/>
  <c r="AQ277" i="3"/>
  <c r="AQ213" i="3"/>
  <c r="AQ197" i="3"/>
  <c r="AQ181" i="3"/>
  <c r="AP253" i="3"/>
  <c r="AP172" i="3"/>
  <c r="AQ171" i="3"/>
  <c r="AQ218" i="3"/>
  <c r="AQ186" i="3"/>
  <c r="AP167" i="3"/>
  <c r="AQ121" i="3"/>
  <c r="AQ105" i="3"/>
  <c r="AQ41" i="3"/>
  <c r="AP127" i="3"/>
  <c r="AP79" i="3"/>
  <c r="AP63" i="3"/>
  <c r="AQ168" i="3"/>
  <c r="AQ136" i="3"/>
  <c r="AQ104" i="3"/>
  <c r="AQ72" i="3"/>
  <c r="AQ40" i="3"/>
  <c r="AQ24" i="3"/>
  <c r="AP156" i="3"/>
  <c r="AP92" i="3"/>
  <c r="AP44" i="3"/>
  <c r="AP12" i="3"/>
  <c r="AP219" i="3"/>
  <c r="AQ346" i="3"/>
  <c r="AQ307" i="3"/>
  <c r="AP342" i="3"/>
  <c r="AP321" i="3"/>
  <c r="AP303" i="3"/>
  <c r="AP291" i="3"/>
  <c r="AP393" i="3"/>
  <c r="AQ275" i="3"/>
  <c r="AQ267" i="3"/>
  <c r="AQ278" i="3"/>
  <c r="AQ145" i="3"/>
  <c r="AQ222" i="3"/>
  <c r="AQ238" i="3"/>
  <c r="AQ4" i="3"/>
  <c r="AQ224" i="3"/>
  <c r="AP194" i="3"/>
  <c r="AQ176" i="3"/>
  <c r="AP160" i="3"/>
  <c r="AP118" i="3"/>
  <c r="AQ152" i="3"/>
  <c r="AP272" i="3"/>
  <c r="AQ254" i="3"/>
  <c r="AP238" i="3"/>
  <c r="AP207" i="3"/>
  <c r="AQ16" i="3"/>
  <c r="AQ377" i="3"/>
  <c r="AP91" i="3"/>
  <c r="AP65" i="3"/>
  <c r="AQ19" i="3"/>
  <c r="AQ379" i="3"/>
  <c r="AP119" i="3"/>
  <c r="AQ7" i="3"/>
  <c r="AQ94" i="3"/>
  <c r="AQ63" i="3"/>
  <c r="AQ185" i="3"/>
  <c r="AQ147" i="3"/>
  <c r="AP128" i="3"/>
  <c r="AQ111" i="3"/>
  <c r="AQ85" i="3"/>
  <c r="AQ38" i="3"/>
  <c r="AQ348" i="3"/>
  <c r="AQ280" i="3"/>
  <c r="AP213" i="3"/>
  <c r="AP188" i="3"/>
  <c r="AQ172" i="3"/>
  <c r="AQ208" i="3"/>
  <c r="AP193" i="3"/>
  <c r="AP157" i="3"/>
  <c r="AP132" i="3"/>
  <c r="AP173" i="3"/>
  <c r="AP147" i="3"/>
  <c r="AQ214" i="3"/>
  <c r="AQ155" i="3"/>
  <c r="AP123" i="3"/>
  <c r="AQ394" i="3"/>
  <c r="AQ395" i="3"/>
  <c r="AQ149" i="3"/>
  <c r="AQ71" i="3"/>
  <c r="AQ200" i="3"/>
  <c r="AQ170" i="3"/>
  <c r="AQ140" i="3"/>
  <c r="AQ10" i="3"/>
  <c r="AP359" i="3"/>
  <c r="AP331" i="3"/>
  <c r="AP40" i="3"/>
  <c r="AP109" i="3"/>
  <c r="AP75" i="3"/>
  <c r="AQ43" i="3"/>
  <c r="AQ20" i="3"/>
  <c r="AQ216" i="3"/>
  <c r="AQ273" i="3"/>
  <c r="AQ209" i="3"/>
  <c r="AP114" i="3"/>
  <c r="AQ96" i="3"/>
  <c r="AP73" i="3"/>
  <c r="AQ42" i="3"/>
  <c r="AQ116" i="3"/>
  <c r="AQ79" i="3"/>
  <c r="AP53" i="3"/>
  <c r="AQ25" i="3"/>
  <c r="AP387" i="3"/>
  <c r="AQ354" i="3"/>
  <c r="AQ318" i="3"/>
  <c r="AP375" i="3"/>
  <c r="AQ343" i="3"/>
  <c r="AP402" i="3"/>
  <c r="AP361" i="3"/>
  <c r="AP332" i="3"/>
  <c r="AP378" i="3"/>
  <c r="AP350" i="3"/>
  <c r="AP324" i="3"/>
  <c r="AQ308" i="3"/>
  <c r="AQ398" i="3"/>
  <c r="AQ364" i="3"/>
  <c r="AP317" i="3"/>
  <c r="AQ268" i="3"/>
  <c r="AP241" i="3"/>
  <c r="AQ117" i="3"/>
  <c r="AP111" i="3"/>
  <c r="AP86" i="3"/>
  <c r="AQ235" i="3"/>
  <c r="AP280" i="3"/>
  <c r="AQ22" i="3"/>
  <c r="AQ103" i="3"/>
  <c r="AP76" i="3"/>
  <c r="AQ52" i="3"/>
  <c r="AP90" i="3"/>
  <c r="AP31" i="3"/>
  <c r="AP395" i="3"/>
  <c r="AP362" i="3"/>
  <c r="AQ326" i="3"/>
  <c r="AP399" i="3"/>
  <c r="AP351" i="3"/>
  <c r="AQ314" i="3"/>
  <c r="AP369" i="3"/>
  <c r="AP343" i="3"/>
  <c r="AQ320" i="3"/>
  <c r="AP386" i="3"/>
  <c r="AP356" i="3"/>
  <c r="AP328" i="3"/>
  <c r="AQ312" i="3"/>
  <c r="AP374" i="3"/>
  <c r="AQ338" i="3"/>
  <c r="AQ305" i="3"/>
  <c r="AQ125" i="3"/>
  <c r="AP232" i="3"/>
  <c r="AP176" i="3"/>
  <c r="AP285" i="3"/>
  <c r="AQ262" i="3"/>
  <c r="AQ223" i="3"/>
  <c r="AQ340" i="3"/>
  <c r="AQ102" i="3"/>
  <c r="AQ77" i="3"/>
  <c r="AQ30" i="3"/>
  <c r="AP305" i="3"/>
  <c r="AQ387" i="3"/>
  <c r="AP276" i="3"/>
  <c r="AQ129" i="3"/>
  <c r="AQ297" i="3"/>
  <c r="AP33" i="3"/>
  <c r="AP98" i="3"/>
  <c r="AQ73" i="3"/>
  <c r="AP32" i="3"/>
  <c r="AP292" i="3"/>
  <c r="AP175" i="3"/>
  <c r="AP381" i="3"/>
  <c r="AP340" i="3"/>
  <c r="AQ245" i="3"/>
  <c r="AQ160" i="3"/>
  <c r="AP195" i="3"/>
  <c r="AQ150" i="3"/>
  <c r="AQ115" i="3"/>
  <c r="AQ88" i="3"/>
  <c r="AQ44" i="3"/>
  <c r="AP30" i="3"/>
  <c r="AP397" i="3"/>
  <c r="AP228" i="3"/>
  <c r="AQ246" i="3"/>
  <c r="AQ259" i="3"/>
  <c r="AP166" i="3"/>
  <c r="AQ189" i="3"/>
  <c r="AP220" i="3"/>
  <c r="AP352" i="3"/>
  <c r="AP264" i="3"/>
  <c r="AP139" i="3"/>
  <c r="AQ57" i="3"/>
  <c r="AP196" i="3"/>
  <c r="AP136" i="3"/>
  <c r="AQ82" i="3"/>
  <c r="AP150" i="3"/>
  <c r="AQ183" i="3"/>
  <c r="AP130" i="3"/>
  <c r="AQ29" i="3"/>
  <c r="AP209" i="3"/>
  <c r="AP178" i="3"/>
  <c r="AQ151" i="3"/>
  <c r="AQ50" i="3"/>
  <c r="AQ28" i="3"/>
  <c r="AQ393" i="3"/>
  <c r="AP367" i="3"/>
  <c r="AQ288" i="3"/>
  <c r="AP401" i="3"/>
  <c r="AP47" i="3"/>
  <c r="AQ23" i="3"/>
  <c r="AQ56" i="3"/>
  <c r="AQ198" i="3"/>
  <c r="AQ226" i="3"/>
  <c r="AQ257" i="3"/>
  <c r="AQ290" i="3"/>
  <c r="AP18" i="3"/>
  <c r="AP336" i="3"/>
  <c r="AQ9" i="3"/>
  <c r="AQ349" i="3"/>
  <c r="AQ113" i="3"/>
  <c r="AP82" i="3"/>
  <c r="AQ39" i="3"/>
  <c r="AP13" i="3"/>
  <c r="AP286" i="3"/>
  <c r="AP59" i="3"/>
  <c r="AP62" i="3"/>
  <c r="AP326" i="3"/>
  <c r="AP312" i="3"/>
  <c r="AP186" i="3"/>
  <c r="AQ107" i="3"/>
  <c r="AP81" i="3"/>
  <c r="AP36" i="3"/>
  <c r="AQ98" i="3"/>
  <c r="AP80" i="3"/>
  <c r="AP15" i="3"/>
  <c r="AQ403" i="3"/>
  <c r="AP327" i="3"/>
  <c r="AP211" i="3"/>
  <c r="AQ250" i="3"/>
  <c r="AP223" i="3"/>
  <c r="AP240" i="3"/>
  <c r="AP137" i="3"/>
  <c r="AQ285" i="3"/>
  <c r="AQ255" i="3"/>
  <c r="AP103" i="3"/>
  <c r="AP307" i="3"/>
  <c r="AQ356" i="3"/>
  <c r="AP9" i="3"/>
  <c r="AQ242" i="3"/>
  <c r="AP235" i="3"/>
  <c r="AQ212" i="3"/>
  <c r="AP164" i="3"/>
  <c r="AP243" i="3"/>
  <c r="AQ286" i="3"/>
  <c r="AQ229" i="3"/>
  <c r="AP256" i="3"/>
  <c r="AP338" i="3"/>
  <c r="AQ90" i="3"/>
  <c r="AQ382" i="3"/>
  <c r="AQ317" i="3"/>
  <c r="AP163" i="3"/>
  <c r="AP208" i="3"/>
  <c r="AQ169" i="3"/>
  <c r="AQ120" i="3"/>
  <c r="AP106" i="3"/>
  <c r="AP72" i="3"/>
  <c r="AQ388" i="3"/>
  <c r="AP319" i="3"/>
  <c r="AQ225" i="3"/>
  <c r="AP230" i="3"/>
  <c r="AP270" i="3"/>
  <c r="AQ234" i="3"/>
  <c r="AP258" i="3"/>
  <c r="AQ69" i="3"/>
  <c r="AQ375" i="3"/>
  <c r="AQ325" i="3"/>
  <c r="AQ389" i="3"/>
  <c r="AQ221" i="3"/>
  <c r="AP201" i="3"/>
  <c r="AQ182" i="3"/>
  <c r="AQ167" i="3"/>
  <c r="AP129" i="3"/>
  <c r="AQ203" i="3"/>
  <c r="AQ177" i="3"/>
  <c r="AQ143" i="3"/>
  <c r="AQ217" i="3"/>
  <c r="AP161" i="3"/>
  <c r="AP138" i="3"/>
  <c r="AP95" i="3"/>
  <c r="AQ202" i="3"/>
  <c r="AQ141" i="3"/>
  <c r="AP113" i="3"/>
  <c r="AP226" i="3"/>
  <c r="AP102" i="3"/>
  <c r="AQ361" i="3"/>
  <c r="AP339" i="3"/>
  <c r="AQ289" i="3"/>
  <c r="AQ249" i="3"/>
  <c r="AQ193" i="3"/>
  <c r="AP158" i="3"/>
  <c r="AP117" i="3"/>
  <c r="AP34" i="3"/>
  <c r="AP78" i="3"/>
  <c r="AQ400" i="3"/>
  <c r="AQ376" i="3"/>
  <c r="AP345" i="3"/>
  <c r="AQ319" i="3"/>
  <c r="AP287" i="3"/>
  <c r="AP221" i="3"/>
  <c r="AP271" i="3"/>
  <c r="AP263" i="3"/>
  <c r="AP293" i="3"/>
  <c r="AQ138" i="3"/>
  <c r="AP101" i="3"/>
  <c r="AP189" i="3"/>
  <c r="AP372" i="3"/>
  <c r="AQ324" i="3"/>
  <c r="AQ8" i="3"/>
  <c r="AP365" i="3"/>
  <c r="AQ316" i="3"/>
  <c r="AQ363" i="3"/>
  <c r="AP396" i="3"/>
  <c r="AP279" i="3"/>
  <c r="AQ293" i="3"/>
  <c r="AP39" i="3"/>
  <c r="AQ76" i="3"/>
  <c r="AQ46" i="3"/>
  <c r="AQ14" i="3"/>
  <c r="AP225" i="3"/>
  <c r="AQ180" i="3"/>
  <c r="AP274" i="3"/>
  <c r="AP231" i="3"/>
  <c r="AQ247" i="3"/>
  <c r="AP249" i="3"/>
  <c r="AP199" i="3"/>
  <c r="AP179" i="3"/>
  <c r="AQ114" i="3"/>
  <c r="AP222" i="3"/>
  <c r="AQ237" i="3"/>
  <c r="AP273" i="3"/>
  <c r="AQ276" i="3"/>
  <c r="AP301" i="3"/>
  <c r="AP248" i="3"/>
  <c r="AP224" i="3"/>
  <c r="AP237" i="3"/>
  <c r="AQ279" i="3"/>
  <c r="AQ134" i="3"/>
  <c r="AQ130" i="3"/>
  <c r="AP20" i="3"/>
  <c r="AQ60" i="3"/>
  <c r="AP68" i="3"/>
  <c r="AP23" i="3"/>
  <c r="AP205" i="3"/>
  <c r="AQ165" i="3"/>
  <c r="AQ334" i="3"/>
  <c r="AQ99" i="3"/>
  <c r="AP70" i="3"/>
  <c r="AQ47" i="3"/>
  <c r="AP385" i="3"/>
  <c r="AQ315" i="3"/>
  <c r="AQ248" i="3"/>
  <c r="AP275" i="3"/>
  <c r="AP302" i="3"/>
  <c r="AQ299" i="3"/>
  <c r="AQ303" i="3"/>
  <c r="AQ233" i="3"/>
  <c r="AP251" i="3"/>
  <c r="AQ261" i="3"/>
  <c r="AP262" i="3"/>
  <c r="AQ294" i="3"/>
  <c r="AQ401" i="3"/>
  <c r="AP388" i="3"/>
  <c r="AQ298" i="3"/>
  <c r="AP198" i="3"/>
  <c r="AP180" i="3"/>
  <c r="AQ164" i="3"/>
  <c r="AP125" i="3"/>
  <c r="AP200" i="3"/>
  <c r="AP174" i="3"/>
  <c r="AP140" i="3"/>
  <c r="AQ91" i="3"/>
  <c r="AP58" i="3"/>
  <c r="AP215" i="3"/>
  <c r="AQ156" i="3"/>
  <c r="AP134" i="3"/>
  <c r="AQ137" i="3"/>
  <c r="AP107" i="3"/>
  <c r="AQ311" i="3"/>
  <c r="AP202" i="3"/>
  <c r="AQ264" i="3"/>
  <c r="AQ253" i="3"/>
  <c r="AQ126" i="3"/>
  <c r="AQ154" i="3"/>
  <c r="AP28" i="3"/>
  <c r="AP60" i="3"/>
  <c r="AP310" i="3"/>
  <c r="AP384" i="3"/>
  <c r="AP250" i="3"/>
  <c r="AP154" i="3"/>
  <c r="AQ219" i="3"/>
  <c r="AP191" i="3"/>
  <c r="AQ157" i="3"/>
  <c r="AP77" i="3"/>
  <c r="AQ373" i="3"/>
  <c r="AP344" i="3"/>
  <c r="AP10" i="3"/>
  <c r="AP64" i="3"/>
  <c r="AP245" i="3"/>
  <c r="AP267" i="3"/>
  <c r="AP227" i="3"/>
  <c r="AQ269" i="3"/>
  <c r="AQ236" i="3"/>
  <c r="AP294" i="3"/>
  <c r="AP254" i="3"/>
  <c r="AP297" i="3"/>
  <c r="AQ146" i="3"/>
  <c r="AQ122" i="3"/>
  <c r="AQ118" i="3"/>
  <c r="AP187" i="3"/>
  <c r="AP108" i="3"/>
  <c r="AQ64" i="3"/>
  <c r="AP52" i="3"/>
  <c r="AP115" i="3"/>
  <c r="AQ95" i="3"/>
  <c r="AQ54" i="3"/>
  <c r="AQ37" i="3"/>
  <c r="AQ271" i="3"/>
  <c r="AQ158" i="3"/>
  <c r="AP295" i="3"/>
  <c r="AQ239" i="3"/>
  <c r="AQ266" i="3"/>
  <c r="AQ282" i="3"/>
  <c r="AQ231" i="3"/>
  <c r="AP244" i="3"/>
  <c r="AQ287" i="3"/>
  <c r="AP298" i="3"/>
  <c r="AQ142" i="3"/>
  <c r="AP24" i="3"/>
  <c r="AQ367" i="3"/>
  <c r="AQ284" i="3"/>
  <c r="AP168" i="3"/>
  <c r="AP121" i="3"/>
  <c r="AQ89" i="3"/>
  <c r="AQ55" i="3"/>
  <c r="AP14" i="3"/>
  <c r="AP96" i="3"/>
  <c r="AQ68" i="3"/>
  <c r="AQ45" i="3"/>
  <c r="AP6" i="3"/>
  <c r="AQ333" i="3"/>
  <c r="AP304" i="3"/>
  <c r="AQ357" i="3"/>
  <c r="AP322" i="3"/>
  <c r="AQ378" i="3"/>
  <c r="AQ350" i="3"/>
  <c r="AQ335" i="3"/>
  <c r="AP8" i="3"/>
  <c r="AQ385" i="3"/>
  <c r="AP346" i="3"/>
  <c r="AP309" i="3"/>
  <c r="AQ272" i="3"/>
  <c r="AP183" i="3"/>
  <c r="AP56" i="3"/>
  <c r="AP48" i="3"/>
  <c r="AQ3" i="3"/>
  <c r="AK3" i="3"/>
  <c r="G41" i="1"/>
  <c r="N56" i="3" l="1"/>
  <c r="M450" i="3"/>
  <c r="M428" i="3"/>
  <c r="N89" i="3"/>
  <c r="N52" i="3"/>
  <c r="N86" i="3"/>
  <c r="N305" i="3"/>
  <c r="N361" i="3"/>
  <c r="M31" i="3"/>
  <c r="M488" i="3"/>
  <c r="M171" i="3"/>
  <c r="N70" i="3"/>
  <c r="M399" i="3"/>
  <c r="M468" i="3"/>
  <c r="N475" i="3"/>
  <c r="M234" i="3"/>
  <c r="M190" i="3"/>
  <c r="N359" i="3"/>
  <c r="N256" i="3"/>
  <c r="N257" i="3"/>
  <c r="N110" i="3"/>
  <c r="N303" i="3"/>
  <c r="M131" i="3"/>
  <c r="M246" i="3"/>
  <c r="N322" i="3"/>
  <c r="M250" i="3"/>
  <c r="N455" i="3"/>
  <c r="M502" i="3"/>
  <c r="M220" i="3"/>
  <c r="N172" i="3"/>
  <c r="M224" i="3"/>
  <c r="N474" i="3"/>
  <c r="N502" i="3"/>
  <c r="M211" i="3"/>
  <c r="N39" i="3"/>
  <c r="M265" i="3"/>
  <c r="N425" i="3"/>
  <c r="M479" i="3"/>
  <c r="N35" i="3"/>
  <c r="M419" i="3"/>
  <c r="M43" i="3"/>
  <c r="M70" i="3"/>
  <c r="M68" i="3"/>
  <c r="M203" i="3"/>
  <c r="M114" i="3"/>
  <c r="M264" i="3"/>
  <c r="M133" i="3"/>
  <c r="N14" i="3"/>
  <c r="M3" i="3"/>
  <c r="M341" i="3"/>
  <c r="N484" i="3"/>
  <c r="N88" i="3"/>
  <c r="N17" i="3"/>
  <c r="M473" i="3"/>
  <c r="N440" i="3"/>
  <c r="M492" i="3"/>
  <c r="M498" i="3"/>
  <c r="N482" i="3"/>
  <c r="N384" i="3"/>
  <c r="M497" i="3"/>
  <c r="N290" i="3"/>
  <c r="M188" i="3"/>
  <c r="M102" i="3"/>
  <c r="M28" i="3"/>
  <c r="N219" i="3"/>
  <c r="M69" i="3"/>
  <c r="M54" i="3"/>
  <c r="N397" i="3"/>
  <c r="N199" i="3"/>
  <c r="N398" i="3"/>
  <c r="M18" i="3"/>
  <c r="N259" i="3"/>
  <c r="N404" i="3"/>
  <c r="N495" i="3"/>
  <c r="N483" i="3"/>
  <c r="M256" i="3"/>
  <c r="M401" i="3"/>
  <c r="M490" i="3"/>
  <c r="N337" i="3"/>
  <c r="N286" i="3"/>
  <c r="M319" i="3"/>
  <c r="M36" i="3"/>
  <c r="N206" i="3"/>
  <c r="N165" i="3"/>
  <c r="M6" i="3"/>
  <c r="N146" i="3"/>
  <c r="M357" i="3"/>
  <c r="N185" i="3"/>
  <c r="N424" i="3"/>
  <c r="N449" i="3"/>
  <c r="M480" i="3"/>
  <c r="N470" i="3"/>
  <c r="M409" i="3"/>
  <c r="M346" i="3"/>
  <c r="N170" i="3"/>
  <c r="N376" i="3"/>
  <c r="M107" i="3"/>
  <c r="M337" i="3"/>
  <c r="N84" i="3"/>
  <c r="M51" i="3"/>
  <c r="N85" i="3"/>
  <c r="N370" i="3"/>
  <c r="N386" i="3"/>
  <c r="M270" i="3"/>
  <c r="N135" i="3"/>
  <c r="N292" i="3"/>
  <c r="M9" i="3"/>
  <c r="N496" i="3"/>
  <c r="M489" i="3"/>
  <c r="N446" i="3"/>
  <c r="M412" i="3"/>
  <c r="M431" i="3"/>
  <c r="M320" i="3"/>
  <c r="N67" i="3"/>
  <c r="M123" i="3"/>
  <c r="N393" i="3"/>
  <c r="M213" i="3"/>
  <c r="N115" i="3"/>
  <c r="N134" i="3"/>
  <c r="N125" i="3"/>
  <c r="M197" i="3"/>
  <c r="N40" i="3"/>
  <c r="M309" i="3"/>
  <c r="N25" i="3"/>
  <c r="M407" i="3"/>
  <c r="M496" i="3"/>
  <c r="N485" i="3"/>
  <c r="M459" i="3"/>
  <c r="N419" i="3"/>
  <c r="N344" i="3"/>
  <c r="N458" i="3"/>
  <c r="N91" i="3"/>
  <c r="M206" i="3"/>
  <c r="N76" i="3"/>
  <c r="N131" i="3"/>
  <c r="M204" i="3"/>
  <c r="N6" i="3"/>
  <c r="N212" i="3"/>
  <c r="M332" i="3"/>
  <c r="M302" i="3"/>
  <c r="M380" i="3"/>
  <c r="N192" i="3"/>
  <c r="M350" i="3"/>
  <c r="M427" i="3"/>
  <c r="M417" i="3"/>
  <c r="M487" i="3"/>
  <c r="N491" i="3"/>
  <c r="M430" i="3"/>
  <c r="M503" i="3"/>
  <c r="M454" i="3"/>
  <c r="N503" i="3"/>
  <c r="M422" i="3"/>
  <c r="N479" i="3"/>
  <c r="M414" i="3"/>
  <c r="M426" i="3"/>
  <c r="M276" i="3"/>
  <c r="N490" i="3"/>
  <c r="M476" i="3"/>
  <c r="M400" i="3"/>
  <c r="N421" i="3"/>
  <c r="N139" i="3"/>
  <c r="N274" i="3"/>
  <c r="M421" i="3"/>
  <c r="M361" i="3"/>
  <c r="N473" i="3"/>
  <c r="M384" i="3"/>
  <c r="M155" i="3"/>
  <c r="N78" i="3"/>
  <c r="M305" i="3"/>
  <c r="M115" i="3"/>
  <c r="N375" i="3"/>
  <c r="N37" i="3"/>
  <c r="M268" i="3"/>
  <c r="M369" i="3"/>
  <c r="N228" i="3"/>
  <c r="M156" i="3"/>
  <c r="M126" i="3"/>
  <c r="N21" i="3"/>
  <c r="M179" i="3"/>
  <c r="N240" i="3"/>
  <c r="N36" i="3"/>
  <c r="N59" i="3"/>
  <c r="M292" i="3"/>
  <c r="M321" i="3"/>
  <c r="N283" i="3"/>
  <c r="M172" i="3"/>
  <c r="N140" i="3"/>
  <c r="N221" i="3"/>
  <c r="M141" i="3"/>
  <c r="M77" i="3"/>
  <c r="M122" i="3"/>
  <c r="N124" i="3"/>
  <c r="N367" i="3"/>
  <c r="M125" i="3"/>
  <c r="M7" i="3"/>
  <c r="N308" i="3"/>
  <c r="M56" i="3"/>
  <c r="N32" i="3"/>
  <c r="N357" i="3"/>
  <c r="M397" i="3"/>
  <c r="M266" i="3"/>
  <c r="M239" i="3"/>
  <c r="M167" i="3"/>
  <c r="N174" i="3"/>
  <c r="M137" i="3"/>
  <c r="M382" i="3"/>
  <c r="N74" i="3"/>
  <c r="N120" i="3"/>
  <c r="M130" i="3"/>
  <c r="M249" i="3"/>
  <c r="M121" i="3"/>
  <c r="N33" i="3"/>
  <c r="N289" i="3"/>
  <c r="M438" i="3"/>
  <c r="N411" i="3"/>
  <c r="N450" i="3"/>
  <c r="N418" i="3"/>
  <c r="M463" i="3"/>
  <c r="N463" i="3"/>
  <c r="M441" i="3"/>
  <c r="M429" i="3"/>
  <c r="N285" i="3"/>
  <c r="M263" i="3"/>
  <c r="M433" i="3"/>
  <c r="N452" i="3"/>
  <c r="N177" i="3"/>
  <c r="M310" i="3"/>
  <c r="N128" i="3"/>
  <c r="N217" i="3"/>
  <c r="N302" i="3"/>
  <c r="M176" i="3"/>
  <c r="M129" i="3"/>
  <c r="M225" i="3"/>
  <c r="M189" i="3"/>
  <c r="N327" i="3"/>
  <c r="M366" i="3"/>
  <c r="N216" i="3"/>
  <c r="N383" i="3"/>
  <c r="N65" i="3"/>
  <c r="N272" i="3"/>
  <c r="M218" i="3"/>
  <c r="M41" i="3"/>
  <c r="N225" i="3"/>
  <c r="M242" i="3"/>
  <c r="N169" i="3"/>
  <c r="N358" i="3"/>
  <c r="M232" i="3"/>
  <c r="M235" i="3"/>
  <c r="N382" i="3"/>
  <c r="M16" i="3"/>
  <c r="M372" i="3"/>
  <c r="M22" i="3"/>
  <c r="M248" i="3"/>
  <c r="N87" i="3"/>
  <c r="N30" i="3"/>
  <c r="M154" i="3"/>
  <c r="M364" i="3"/>
  <c r="N72" i="3"/>
  <c r="M325" i="3"/>
  <c r="M95" i="3"/>
  <c r="M80" i="3"/>
  <c r="M247" i="3"/>
  <c r="N276" i="3"/>
  <c r="N341" i="3"/>
  <c r="N167" i="3"/>
  <c r="N295" i="3"/>
  <c r="M381" i="3"/>
  <c r="N103" i="3"/>
  <c r="N23" i="3"/>
  <c r="M317" i="3"/>
  <c r="M175" i="3"/>
  <c r="N388" i="3"/>
  <c r="M395" i="3"/>
  <c r="M285" i="3"/>
  <c r="M370" i="3"/>
  <c r="M148" i="3"/>
  <c r="M347" i="3"/>
  <c r="M181" i="3"/>
  <c r="M158" i="3"/>
  <c r="N116" i="3"/>
  <c r="N261" i="3"/>
  <c r="M394" i="3"/>
  <c r="M164" i="3"/>
  <c r="M254" i="3"/>
  <c r="N117" i="3"/>
  <c r="N351" i="3"/>
  <c r="M307" i="3"/>
  <c r="N133" i="3"/>
  <c r="N237" i="3"/>
  <c r="M160" i="3"/>
  <c r="N109" i="3"/>
  <c r="M378" i="3"/>
  <c r="N164" i="3"/>
  <c r="N291" i="3"/>
  <c r="N205" i="3"/>
  <c r="M132" i="3"/>
  <c r="M20" i="3"/>
  <c r="N10" i="3"/>
  <c r="M195" i="3"/>
  <c r="N371" i="3"/>
  <c r="N492" i="3"/>
  <c r="M447" i="3"/>
  <c r="M467" i="3"/>
  <c r="N465" i="3"/>
  <c r="N466" i="3"/>
  <c r="M436" i="3"/>
  <c r="M299" i="3"/>
  <c r="M413" i="3"/>
  <c r="N181" i="3"/>
  <c r="M482" i="3"/>
  <c r="N145" i="3"/>
  <c r="N34" i="3"/>
  <c r="N238" i="3"/>
  <c r="N161" i="3"/>
  <c r="M74" i="3"/>
  <c r="M104" i="3"/>
  <c r="M97" i="3"/>
  <c r="M280" i="3"/>
  <c r="M275" i="3"/>
  <c r="M311" i="3"/>
  <c r="N326" i="3"/>
  <c r="N136" i="3"/>
  <c r="M281" i="3"/>
  <c r="N57" i="3"/>
  <c r="N208" i="3"/>
  <c r="N50" i="3"/>
  <c r="M33" i="3"/>
  <c r="M209" i="3"/>
  <c r="M486" i="3"/>
  <c r="M161" i="3"/>
  <c r="M342" i="3"/>
  <c r="N224" i="3"/>
  <c r="M226" i="3"/>
  <c r="M334" i="3"/>
  <c r="N284" i="3"/>
  <c r="M356" i="3"/>
  <c r="M152" i="3"/>
  <c r="N282" i="3"/>
  <c r="N63" i="3"/>
  <c r="M168" i="3"/>
  <c r="N279" i="3"/>
  <c r="N356" i="3"/>
  <c r="N64" i="3"/>
  <c r="M202" i="3"/>
  <c r="M79" i="3"/>
  <c r="N8" i="3"/>
  <c r="N239" i="3"/>
  <c r="M98" i="3"/>
  <c r="N317" i="3"/>
  <c r="N159" i="3"/>
  <c r="N186" i="3"/>
  <c r="N373" i="3"/>
  <c r="N95" i="3"/>
  <c r="M396" i="3"/>
  <c r="M82" i="3"/>
  <c r="N143" i="3"/>
  <c r="M348" i="3"/>
  <c r="N363" i="3"/>
  <c r="N277" i="3"/>
  <c r="N362" i="3"/>
  <c r="M140" i="3"/>
  <c r="M339" i="3"/>
  <c r="N173" i="3"/>
  <c r="N118" i="3"/>
  <c r="M108" i="3"/>
  <c r="M221" i="3"/>
  <c r="N346" i="3"/>
  <c r="N92" i="3"/>
  <c r="M162" i="3"/>
  <c r="N101" i="3"/>
  <c r="M134" i="3"/>
  <c r="M210" i="3"/>
  <c r="M85" i="3"/>
  <c r="N158" i="3"/>
  <c r="M66" i="3"/>
  <c r="N77" i="3"/>
  <c r="M338" i="3"/>
  <c r="N148" i="3"/>
  <c r="N162" i="3"/>
  <c r="M173" i="3"/>
  <c r="N141" i="3"/>
  <c r="M353" i="3"/>
  <c r="N254" i="3"/>
  <c r="N187" i="3"/>
  <c r="M294" i="3"/>
  <c r="N445" i="3"/>
  <c r="N478" i="3"/>
  <c r="M499" i="3"/>
  <c r="N468" i="3"/>
  <c r="N432" i="3"/>
  <c r="M449" i="3"/>
  <c r="M442" i="3"/>
  <c r="N460" i="3"/>
  <c r="N281" i="3"/>
  <c r="M245" i="3"/>
  <c r="N73" i="3"/>
  <c r="M193" i="3"/>
  <c r="M446" i="3"/>
  <c r="M113" i="3"/>
  <c r="N193" i="3"/>
  <c r="M230" i="3"/>
  <c r="M374" i="3"/>
  <c r="N152" i="3"/>
  <c r="N476" i="3"/>
  <c r="M169" i="3"/>
  <c r="N266" i="3"/>
  <c r="N112" i="3"/>
  <c r="M153" i="3"/>
  <c r="M49" i="3"/>
  <c r="N176" i="3"/>
  <c r="M177" i="3"/>
  <c r="M17" i="3"/>
  <c r="M240" i="3"/>
  <c r="N130" i="3"/>
  <c r="M65" i="3"/>
  <c r="N318" i="3"/>
  <c r="M184" i="3"/>
  <c r="N471" i="3"/>
  <c r="M277" i="3"/>
  <c r="M287" i="3"/>
  <c r="M324" i="3"/>
  <c r="M8" i="3"/>
  <c r="M223" i="3"/>
  <c r="N15" i="3"/>
  <c r="M389" i="3"/>
  <c r="N191" i="3"/>
  <c r="N332" i="3"/>
  <c r="M24" i="3"/>
  <c r="M215" i="3"/>
  <c r="N3" i="3"/>
  <c r="M349" i="3"/>
  <c r="M183" i="3"/>
  <c r="N80" i="3"/>
  <c r="M185" i="3"/>
  <c r="M111" i="3"/>
  <c r="M343" i="3"/>
  <c r="N325" i="3"/>
  <c r="N79" i="3"/>
  <c r="M288" i="3"/>
  <c r="N255" i="3"/>
  <c r="N71" i="3"/>
  <c r="N316" i="3"/>
  <c r="M301" i="3"/>
  <c r="M157" i="3"/>
  <c r="M244" i="3"/>
  <c r="M116" i="3"/>
  <c r="M198" i="3"/>
  <c r="M53" i="3"/>
  <c r="N196" i="3"/>
  <c r="N387" i="3"/>
  <c r="M109" i="3"/>
  <c r="M314" i="3"/>
  <c r="N355" i="3"/>
  <c r="M110" i="3"/>
  <c r="N61" i="3"/>
  <c r="N252" i="3"/>
  <c r="N198" i="3"/>
  <c r="M37" i="3"/>
  <c r="M228" i="3"/>
  <c r="M269" i="3"/>
  <c r="N45" i="3"/>
  <c r="N306" i="3"/>
  <c r="N108" i="3"/>
  <c r="M26" i="3"/>
  <c r="M362" i="3"/>
  <c r="N29" i="3"/>
  <c r="N313" i="3"/>
  <c r="N94" i="3"/>
  <c r="N83" i="3"/>
  <c r="M322" i="3"/>
  <c r="N414" i="3"/>
  <c r="M411" i="3"/>
  <c r="M501" i="3"/>
  <c r="M474" i="3"/>
  <c r="N441" i="3"/>
  <c r="M477" i="3"/>
  <c r="E4" i="3"/>
  <c r="N415" i="3"/>
  <c r="N433" i="3"/>
  <c r="N211" i="3"/>
  <c r="N41" i="3"/>
  <c r="N264" i="3"/>
  <c r="M440" i="3"/>
  <c r="M81" i="3"/>
  <c r="M272" i="3"/>
  <c r="N299" i="3"/>
  <c r="N350" i="3"/>
  <c r="M144" i="3"/>
  <c r="N178" i="3"/>
  <c r="M105" i="3"/>
  <c r="M255" i="3"/>
  <c r="N104" i="3"/>
  <c r="N121" i="3"/>
  <c r="M358" i="3"/>
  <c r="M128" i="3"/>
  <c r="M145" i="3"/>
  <c r="N9" i="3"/>
  <c r="M200" i="3"/>
  <c r="N18" i="3"/>
  <c r="M57" i="3"/>
  <c r="N194" i="3"/>
  <c r="M96" i="3"/>
  <c r="M178" i="3"/>
  <c r="N251" i="3"/>
  <c r="N231" i="3"/>
  <c r="M316" i="3"/>
  <c r="N389" i="3"/>
  <c r="N207" i="3"/>
  <c r="N226" i="3"/>
  <c r="M365" i="3"/>
  <c r="N175" i="3"/>
  <c r="N301" i="3"/>
  <c r="N16" i="3"/>
  <c r="M159" i="3"/>
  <c r="N380" i="3"/>
  <c r="N309" i="3"/>
  <c r="M23" i="3"/>
  <c r="M40" i="3"/>
  <c r="N154" i="3"/>
  <c r="N372" i="3"/>
  <c r="M64" i="3"/>
  <c r="N202" i="3"/>
  <c r="M63" i="3"/>
  <c r="M48" i="3"/>
  <c r="N215" i="3"/>
  <c r="M47" i="3"/>
  <c r="N98" i="3"/>
  <c r="N244" i="3"/>
  <c r="N149" i="3"/>
  <c r="N122" i="3"/>
  <c r="N100" i="3"/>
  <c r="M174" i="3"/>
  <c r="M402" i="3"/>
  <c r="M180" i="3"/>
  <c r="M355" i="3"/>
  <c r="M101" i="3"/>
  <c r="M297" i="3"/>
  <c r="N339" i="3"/>
  <c r="N54" i="3"/>
  <c r="N53" i="3"/>
  <c r="M403" i="3"/>
  <c r="M253" i="3"/>
  <c r="M29" i="3"/>
  <c r="N180" i="3"/>
  <c r="M229" i="3"/>
  <c r="M21" i="3"/>
  <c r="N229" i="3"/>
  <c r="M100" i="3"/>
  <c r="N26" i="3"/>
  <c r="N242" i="3"/>
  <c r="M354" i="3"/>
  <c r="N298" i="3"/>
  <c r="M236" i="3"/>
  <c r="M75" i="3"/>
  <c r="M44" i="3"/>
  <c r="N462" i="3"/>
  <c r="N412" i="3"/>
  <c r="M424" i="3"/>
  <c r="N416" i="3"/>
  <c r="N501" i="3"/>
  <c r="N493" i="3"/>
  <c r="N436" i="3"/>
  <c r="N438" i="3"/>
  <c r="N486" i="3"/>
  <c r="M293" i="3"/>
  <c r="N311" i="3"/>
  <c r="M25" i="3"/>
  <c r="M208" i="3"/>
  <c r="M327" i="3"/>
  <c r="N342" i="3"/>
  <c r="M192" i="3"/>
  <c r="N297" i="3"/>
  <c r="M335" i="3"/>
  <c r="M112" i="3"/>
  <c r="M50" i="3"/>
  <c r="M398" i="3"/>
  <c r="N391" i="3"/>
  <c r="N273" i="3"/>
  <c r="N105" i="3"/>
  <c r="N138" i="3"/>
  <c r="M494" i="3"/>
  <c r="M89" i="3"/>
  <c r="N374" i="3"/>
  <c r="M456" i="3"/>
  <c r="M217" i="3"/>
  <c r="N390" i="3"/>
  <c r="M391" i="3"/>
  <c r="N278" i="3"/>
  <c r="N153" i="3"/>
  <c r="M257" i="3"/>
  <c r="N127" i="3"/>
  <c r="M274" i="3"/>
  <c r="N333" i="3"/>
  <c r="N119" i="3"/>
  <c r="N399" i="3"/>
  <c r="M273" i="3"/>
  <c r="N47" i="3"/>
  <c r="N250" i="3"/>
  <c r="M373" i="3"/>
  <c r="M143" i="3"/>
  <c r="M146" i="3"/>
  <c r="N288" i="3"/>
  <c r="M388" i="3"/>
  <c r="M32" i="3"/>
  <c r="M359" i="3"/>
  <c r="N348" i="3"/>
  <c r="N24" i="3"/>
  <c r="N151" i="3"/>
  <c r="M39" i="3"/>
  <c r="N365" i="3"/>
  <c r="M191" i="3"/>
  <c r="N31" i="3"/>
  <c r="M38" i="3"/>
  <c r="N66" i="3"/>
  <c r="M117" i="3"/>
  <c r="N190" i="3"/>
  <c r="M14" i="3"/>
  <c r="N245" i="3"/>
  <c r="M306" i="3"/>
  <c r="N132" i="3"/>
  <c r="N294" i="3"/>
  <c r="M13" i="3"/>
  <c r="M262" i="3"/>
  <c r="N315" i="3"/>
  <c r="M205" i="3"/>
  <c r="N314" i="3"/>
  <c r="N323" i="3"/>
  <c r="N157" i="3"/>
  <c r="N378" i="3"/>
  <c r="N22" i="3"/>
  <c r="M149" i="3"/>
  <c r="N394" i="3"/>
  <c r="M214" i="3"/>
  <c r="N379" i="3"/>
  <c r="N222" i="3"/>
  <c r="M196" i="3"/>
  <c r="N68" i="3"/>
  <c r="N114" i="3"/>
  <c r="N235" i="3"/>
  <c r="M19" i="3"/>
  <c r="N498" i="3"/>
  <c r="M94" i="3"/>
  <c r="M457" i="3"/>
  <c r="N487" i="3"/>
  <c r="M360" i="3"/>
  <c r="N472" i="3"/>
  <c r="N430" i="3"/>
  <c r="N454" i="3"/>
  <c r="N442" i="3"/>
  <c r="M462" i="3"/>
  <c r="M437" i="3"/>
  <c r="M491" i="3"/>
  <c r="M471" i="3"/>
  <c r="M328" i="3"/>
  <c r="N481" i="3"/>
  <c r="N188" i="3"/>
  <c r="N439" i="3"/>
  <c r="N407" i="3"/>
  <c r="M336" i="3"/>
  <c r="M439" i="3"/>
  <c r="N456" i="3"/>
  <c r="M286" i="3"/>
  <c r="N147" i="3"/>
  <c r="N203" i="3"/>
  <c r="N102" i="3"/>
  <c r="M385" i="3"/>
  <c r="N179" i="3"/>
  <c r="M233" i="3"/>
  <c r="M387" i="3"/>
  <c r="M375" i="3"/>
  <c r="M4" i="3"/>
  <c r="N400" i="3"/>
  <c r="N236" i="3"/>
  <c r="M10" i="3"/>
  <c r="N247" i="3"/>
  <c r="M227" i="3"/>
  <c r="N329" i="3"/>
  <c r="N330" i="3"/>
  <c r="N123" i="3"/>
  <c r="N150" i="3"/>
  <c r="M12" i="3"/>
  <c r="M58" i="3"/>
  <c r="M45" i="3"/>
  <c r="N262" i="3"/>
  <c r="M363" i="3"/>
  <c r="N106" i="3"/>
  <c r="N293" i="3"/>
  <c r="N5" i="3"/>
  <c r="M62" i="3"/>
  <c r="M84" i="3"/>
  <c r="N142" i="3"/>
  <c r="M135" i="3"/>
  <c r="M55" i="3"/>
  <c r="N324" i="3"/>
  <c r="M88" i="3"/>
  <c r="M284" i="3"/>
  <c r="M186" i="3"/>
  <c r="N48" i="3"/>
  <c r="N381" i="3"/>
  <c r="M72" i="3"/>
  <c r="N200" i="3"/>
  <c r="N233" i="3"/>
  <c r="M73" i="3"/>
  <c r="N49" i="3"/>
  <c r="M194" i="3"/>
  <c r="N214" i="3"/>
  <c r="N96" i="3"/>
  <c r="M383" i="3"/>
  <c r="M201" i="3"/>
  <c r="M415" i="3"/>
  <c r="N464" i="3"/>
  <c r="N447" i="3"/>
  <c r="M475" i="3"/>
  <c r="M163" i="3"/>
  <c r="M425" i="3"/>
  <c r="N488" i="3"/>
  <c r="N405" i="3"/>
  <c r="N497" i="3"/>
  <c r="N428" i="3"/>
  <c r="M443" i="3"/>
  <c r="M434" i="3"/>
  <c r="M445" i="3"/>
  <c r="M406" i="3"/>
  <c r="M455" i="3"/>
  <c r="M410" i="3"/>
  <c r="M352" i="3"/>
  <c r="M282" i="3"/>
  <c r="N268" i="3"/>
  <c r="N443" i="3"/>
  <c r="M444" i="3"/>
  <c r="M344" i="3"/>
  <c r="N267" i="3"/>
  <c r="N435" i="3"/>
  <c r="N312" i="3"/>
  <c r="N234" i="3"/>
  <c r="M243" i="3"/>
  <c r="N126" i="3"/>
  <c r="N210" i="3"/>
  <c r="M187" i="3"/>
  <c r="N321" i="3"/>
  <c r="N19" i="3"/>
  <c r="M237" i="3"/>
  <c r="N12" i="3"/>
  <c r="N99" i="3"/>
  <c r="M260" i="3"/>
  <c r="N58" i="3"/>
  <c r="N403" i="3"/>
  <c r="M251" i="3"/>
  <c r="M377" i="3"/>
  <c r="N69" i="3"/>
  <c r="N155" i="3"/>
  <c r="N166" i="3"/>
  <c r="M5" i="3"/>
  <c r="M222" i="3"/>
  <c r="M142" i="3"/>
  <c r="M330" i="3"/>
  <c r="M92" i="3"/>
  <c r="M315" i="3"/>
  <c r="N270" i="3"/>
  <c r="N93" i="3"/>
  <c r="M238" i="3"/>
  <c r="M124" i="3"/>
  <c r="N218" i="3"/>
  <c r="N183" i="3"/>
  <c r="M87" i="3"/>
  <c r="N364" i="3"/>
  <c r="M308" i="3"/>
  <c r="N7" i="3"/>
  <c r="M258" i="3"/>
  <c r="N38" i="3"/>
  <c r="N144" i="3"/>
  <c r="M289" i="3"/>
  <c r="N248" i="3"/>
  <c r="M408" i="3"/>
  <c r="N137" i="3"/>
  <c r="N81" i="3"/>
  <c r="M318" i="3"/>
  <c r="M120" i="3"/>
  <c r="N184" i="3"/>
  <c r="N163" i="3"/>
  <c r="N427" i="3"/>
  <c r="M460" i="3"/>
  <c r="M493" i="3"/>
  <c r="M416" i="3"/>
  <c r="N480" i="3"/>
  <c r="N431" i="3"/>
  <c r="N417" i="3"/>
  <c r="M451" i="3"/>
  <c r="M461" i="3"/>
  <c r="N489" i="3"/>
  <c r="M404" i="3"/>
  <c r="N437" i="3"/>
  <c r="M420" i="3"/>
  <c r="N422" i="3"/>
  <c r="N457" i="3"/>
  <c r="M271" i="3"/>
  <c r="M423" i="3"/>
  <c r="M376" i="3"/>
  <c r="M290" i="3"/>
  <c r="M182" i="3"/>
  <c r="M485" i="3"/>
  <c r="M452" i="3"/>
  <c r="N43" i="3"/>
  <c r="M304" i="3"/>
  <c r="N423" i="3"/>
  <c r="N320" i="3"/>
  <c r="N27" i="3"/>
  <c r="M291" i="3"/>
  <c r="M150" i="3"/>
  <c r="M11" i="3"/>
  <c r="N227" i="3"/>
  <c r="N345" i="3"/>
  <c r="M27" i="3"/>
  <c r="N271" i="3"/>
  <c r="N20" i="3"/>
  <c r="M139" i="3"/>
  <c r="M46" i="3"/>
  <c r="N353" i="3"/>
  <c r="M67" i="3"/>
  <c r="N204" i="3"/>
  <c r="M393" i="3"/>
  <c r="M93" i="3"/>
  <c r="N171" i="3"/>
  <c r="N319" i="3"/>
  <c r="N11" i="3"/>
  <c r="M313" i="3"/>
  <c r="M367" i="3"/>
  <c r="M386" i="3"/>
  <c r="N62" i="3"/>
  <c r="M371" i="3"/>
  <c r="M295" i="3"/>
  <c r="N213" i="3"/>
  <c r="N354" i="3"/>
  <c r="M252" i="3"/>
  <c r="M323" i="3"/>
  <c r="M199" i="3"/>
  <c r="M127" i="3"/>
  <c r="M119" i="3"/>
  <c r="N396" i="3"/>
  <c r="M103" i="3"/>
  <c r="N340" i="3"/>
  <c r="N42" i="3"/>
  <c r="N343" i="3"/>
  <c r="N310" i="3"/>
  <c r="M34" i="3"/>
  <c r="M261" i="3"/>
  <c r="N249" i="3"/>
  <c r="N113" i="3"/>
  <c r="M390" i="3"/>
  <c r="N168" i="3"/>
  <c r="N232" i="3"/>
  <c r="M136" i="3"/>
  <c r="N296" i="3"/>
  <c r="M418" i="3"/>
  <c r="M432" i="3"/>
  <c r="N453" i="3"/>
  <c r="N467" i="3"/>
  <c r="N410" i="3"/>
  <c r="M483" i="3"/>
  <c r="M470" i="3"/>
  <c r="M478" i="3"/>
  <c r="N477" i="3"/>
  <c r="N4" i="3"/>
  <c r="N444" i="3"/>
  <c r="M435" i="3"/>
  <c r="N434" i="3"/>
  <c r="M458" i="3"/>
  <c r="M312" i="3"/>
  <c r="M469" i="3"/>
  <c r="M345" i="3"/>
  <c r="N304" i="3"/>
  <c r="N307" i="3"/>
  <c r="M298" i="3"/>
  <c r="N469" i="3"/>
  <c r="M259" i="3"/>
  <c r="N360" i="3"/>
  <c r="N426" i="3"/>
  <c r="N328" i="3"/>
  <c r="M35" i="3"/>
  <c r="N156" i="3"/>
  <c r="M166" i="3"/>
  <c r="M83" i="3"/>
  <c r="M283" i="3"/>
  <c r="N369" i="3"/>
  <c r="M219" i="3"/>
  <c r="M300" i="3"/>
  <c r="N44" i="3"/>
  <c r="M147" i="3"/>
  <c r="M78" i="3"/>
  <c r="M60" i="3"/>
  <c r="N75" i="3"/>
  <c r="N182" i="3"/>
  <c r="N401" i="3"/>
  <c r="N189" i="3"/>
  <c r="N243" i="3"/>
  <c r="M241" i="3"/>
  <c r="N51" i="3"/>
  <c r="N60" i="3"/>
  <c r="M106" i="3"/>
  <c r="N13" i="3"/>
  <c r="N300" i="3"/>
  <c r="M118" i="3"/>
  <c r="M331" i="3"/>
  <c r="N246" i="3"/>
  <c r="M165" i="3"/>
  <c r="M351" i="3"/>
  <c r="M30" i="3"/>
  <c r="M279" i="3"/>
  <c r="M207" i="3"/>
  <c r="M231" i="3"/>
  <c r="N223" i="3"/>
  <c r="M151" i="3"/>
  <c r="M15" i="3"/>
  <c r="N55" i="3"/>
  <c r="N280" i="3"/>
  <c r="N129" i="3"/>
  <c r="N334" i="3"/>
  <c r="N160" i="3"/>
  <c r="N258" i="3"/>
  <c r="N265" i="3"/>
  <c r="N97" i="3"/>
  <c r="N335" i="3"/>
  <c r="N241" i="3"/>
  <c r="M216" i="3"/>
  <c r="N408" i="3"/>
  <c r="M303" i="3"/>
  <c r="N499" i="3"/>
  <c r="N413" i="3"/>
  <c r="N448" i="3"/>
  <c r="M495" i="3"/>
  <c r="N429" i="3"/>
  <c r="M465" i="3"/>
  <c r="M500" i="3"/>
  <c r="N451" i="3"/>
  <c r="N500" i="3"/>
  <c r="N459" i="3"/>
  <c r="M472" i="3"/>
  <c r="N420" i="3"/>
  <c r="N494" i="3"/>
  <c r="N368" i="3"/>
  <c r="M405" i="3"/>
  <c r="N385" i="3"/>
  <c r="N336" i="3"/>
  <c r="M464" i="3"/>
  <c r="M368" i="3"/>
  <c r="M481" i="3"/>
  <c r="M278" i="3"/>
  <c r="N392" i="3"/>
  <c r="N461" i="3"/>
  <c r="N352" i="3"/>
  <c r="M59" i="3"/>
  <c r="N220" i="3"/>
  <c r="M170" i="3"/>
  <c r="M99" i="3"/>
  <c r="N46" i="3"/>
  <c r="N377" i="3"/>
  <c r="N275" i="3"/>
  <c r="M329" i="3"/>
  <c r="M52" i="3"/>
  <c r="N195" i="3"/>
  <c r="M86" i="3"/>
  <c r="M76" i="3"/>
  <c r="M91" i="3"/>
  <c r="N230" i="3"/>
  <c r="N28" i="3"/>
  <c r="N395" i="3"/>
  <c r="M267" i="3"/>
  <c r="N253" i="3"/>
  <c r="N107" i="3"/>
  <c r="M212" i="3"/>
  <c r="N331" i="3"/>
  <c r="M61" i="3"/>
  <c r="N402" i="3"/>
  <c r="N260" i="3"/>
  <c r="M379" i="3"/>
  <c r="N347" i="3"/>
  <c r="N197" i="3"/>
  <c r="N338" i="3"/>
  <c r="M42" i="3"/>
  <c r="N349" i="3"/>
  <c r="M333" i="3"/>
  <c r="N82" i="3"/>
  <c r="N263" i="3"/>
  <c r="N287" i="3"/>
  <c r="M71" i="3"/>
  <c r="N111" i="3"/>
  <c r="M340" i="3"/>
  <c r="N90" i="3"/>
  <c r="N366" i="3"/>
  <c r="M296" i="3"/>
  <c r="N269" i="3"/>
  <c r="M90" i="3"/>
  <c r="N201" i="3"/>
  <c r="M138" i="3"/>
  <c r="M326" i="3"/>
  <c r="N209" i="3"/>
  <c r="M453" i="3"/>
  <c r="M484" i="3"/>
  <c r="M466" i="3"/>
  <c r="N409" i="3"/>
  <c r="M448" i="3"/>
  <c r="G79" i="1"/>
  <c r="O77" i="3"/>
  <c r="R239" i="3"/>
  <c r="Q473" i="3"/>
  <c r="Q131" i="3"/>
  <c r="R160" i="3"/>
  <c r="P147" i="3"/>
  <c r="O11" i="3"/>
  <c r="P126" i="3"/>
  <c r="O395" i="3"/>
  <c r="P379" i="3"/>
  <c r="O389" i="3"/>
  <c r="O471" i="3"/>
  <c r="P423" i="3"/>
  <c r="O485" i="3"/>
  <c r="P150" i="3"/>
  <c r="O123" i="3"/>
  <c r="P385" i="3"/>
  <c r="O184" i="3"/>
  <c r="P346" i="3"/>
  <c r="O79" i="3"/>
  <c r="O289" i="3"/>
  <c r="P400" i="3"/>
  <c r="P11" i="3"/>
  <c r="P70" i="3"/>
  <c r="P6" i="3"/>
  <c r="P125" i="3"/>
  <c r="O347" i="3"/>
  <c r="O335" i="3"/>
  <c r="P467" i="3"/>
  <c r="P426" i="3"/>
  <c r="O491" i="3"/>
  <c r="O243" i="3"/>
  <c r="P290" i="3"/>
  <c r="P299" i="3"/>
  <c r="O172" i="3"/>
  <c r="O386" i="3"/>
  <c r="P327" i="3"/>
  <c r="O482" i="3"/>
  <c r="O27" i="3"/>
  <c r="P170" i="3"/>
  <c r="O35" i="3"/>
  <c r="O133" i="3"/>
  <c r="O101" i="3"/>
  <c r="P315" i="3"/>
  <c r="O366" i="3"/>
  <c r="O376" i="3"/>
  <c r="P230" i="3"/>
  <c r="O125" i="3"/>
  <c r="P291" i="3"/>
  <c r="O315" i="3"/>
  <c r="P347" i="3"/>
  <c r="P63" i="3"/>
  <c r="P476" i="3"/>
  <c r="O492" i="3"/>
  <c r="P429" i="3"/>
  <c r="O20" i="3"/>
  <c r="O171" i="3"/>
  <c r="P369" i="3"/>
  <c r="O252" i="3"/>
  <c r="O122" i="3"/>
  <c r="P175" i="3"/>
  <c r="O406" i="3"/>
  <c r="P217" i="3"/>
  <c r="O134" i="3"/>
  <c r="O313" i="3"/>
  <c r="P131" i="3"/>
  <c r="O157" i="3"/>
  <c r="P149" i="3"/>
  <c r="O459" i="3"/>
  <c r="P439" i="3"/>
  <c r="P422" i="3"/>
  <c r="O345" i="3"/>
  <c r="P463" i="3"/>
  <c r="O400" i="3"/>
  <c r="P428" i="3"/>
  <c r="O450" i="3"/>
  <c r="P450" i="3"/>
  <c r="P449" i="3"/>
  <c r="O453" i="3"/>
  <c r="P491" i="3"/>
  <c r="O501" i="3"/>
  <c r="P440" i="3"/>
  <c r="O277" i="3"/>
  <c r="O449" i="3"/>
  <c r="O496" i="3"/>
  <c r="P483" i="3"/>
  <c r="P137" i="3"/>
  <c r="O358" i="3"/>
  <c r="P176" i="3"/>
  <c r="P258" i="3"/>
  <c r="O310" i="3"/>
  <c r="P112" i="3"/>
  <c r="O73" i="3"/>
  <c r="P284" i="3"/>
  <c r="P248" i="3"/>
  <c r="O233" i="3"/>
  <c r="P184" i="3"/>
  <c r="P218" i="3"/>
  <c r="P33" i="3"/>
  <c r="O168" i="3"/>
  <c r="O416" i="3"/>
  <c r="P177" i="3"/>
  <c r="O57" i="3"/>
  <c r="P193" i="3"/>
  <c r="P90" i="3"/>
  <c r="O270" i="3"/>
  <c r="P168" i="3"/>
  <c r="O258" i="3"/>
  <c r="P57" i="3"/>
  <c r="P8" i="3"/>
  <c r="O154" i="3"/>
  <c r="O47" i="3"/>
  <c r="P399" i="3"/>
  <c r="P365" i="3"/>
  <c r="P167" i="3"/>
  <c r="P348" i="3"/>
  <c r="P373" i="3"/>
  <c r="O127" i="3"/>
  <c r="O291" i="3"/>
  <c r="P381" i="3"/>
  <c r="O95" i="3"/>
  <c r="O257" i="3"/>
  <c r="P30" i="3"/>
  <c r="O295" i="3"/>
  <c r="P300" i="3"/>
  <c r="P207" i="3"/>
  <c r="P388" i="3"/>
  <c r="O112" i="3"/>
  <c r="O359" i="3"/>
  <c r="O272" i="3"/>
  <c r="O16" i="3"/>
  <c r="P199" i="3"/>
  <c r="P380" i="3"/>
  <c r="O379" i="3"/>
  <c r="P26" i="3"/>
  <c r="P165" i="3"/>
  <c r="O242" i="3"/>
  <c r="P339" i="3"/>
  <c r="O13" i="3"/>
  <c r="O228" i="3"/>
  <c r="O300" i="3"/>
  <c r="O93" i="3"/>
  <c r="O240" i="3"/>
  <c r="O148" i="3"/>
  <c r="P210" i="3"/>
  <c r="P93" i="3"/>
  <c r="O118" i="3"/>
  <c r="P363" i="3"/>
  <c r="O85" i="3"/>
  <c r="P122" i="3"/>
  <c r="O14" i="3"/>
  <c r="O54" i="3"/>
  <c r="P378" i="3"/>
  <c r="P196" i="3"/>
  <c r="O430" i="3"/>
  <c r="P414" i="3"/>
  <c r="O472" i="3"/>
  <c r="O417" i="3"/>
  <c r="P456" i="3"/>
  <c r="P492" i="3"/>
  <c r="O414" i="3"/>
  <c r="O480" i="3"/>
  <c r="O460" i="3"/>
  <c r="P460" i="3"/>
  <c r="O411" i="3"/>
  <c r="O440" i="3"/>
  <c r="O441" i="3"/>
  <c r="E5" i="3"/>
  <c r="P270" i="3"/>
  <c r="P262" i="3"/>
  <c r="P444" i="3"/>
  <c r="O121" i="3"/>
  <c r="O334" i="3"/>
  <c r="O104" i="3"/>
  <c r="O18" i="3"/>
  <c r="P310" i="3"/>
  <c r="O221" i="3"/>
  <c r="P25" i="3"/>
  <c r="P194" i="3"/>
  <c r="P224" i="3"/>
  <c r="O217" i="3"/>
  <c r="O96" i="3"/>
  <c r="O383" i="3"/>
  <c r="P17" i="3"/>
  <c r="O152" i="3"/>
  <c r="O433" i="3"/>
  <c r="O129" i="3"/>
  <c r="O390" i="3"/>
  <c r="O288" i="3"/>
  <c r="P383" i="3"/>
  <c r="O262" i="3"/>
  <c r="P152" i="3"/>
  <c r="P178" i="3"/>
  <c r="O25" i="3"/>
  <c r="O397" i="3"/>
  <c r="P359" i="3"/>
  <c r="P39" i="3"/>
  <c r="O88" i="3"/>
  <c r="P357" i="3"/>
  <c r="P159" i="3"/>
  <c r="P332" i="3"/>
  <c r="O333" i="3"/>
  <c r="O119" i="3"/>
  <c r="P274" i="3"/>
  <c r="O280" i="3"/>
  <c r="O63" i="3"/>
  <c r="O247" i="3"/>
  <c r="O30" i="3"/>
  <c r="O279" i="3"/>
  <c r="P283" i="3"/>
  <c r="O199" i="3"/>
  <c r="O380" i="3"/>
  <c r="O80" i="3"/>
  <c r="O239" i="3"/>
  <c r="O254" i="3"/>
  <c r="O381" i="3"/>
  <c r="P464" i="3"/>
  <c r="P454" i="3"/>
  <c r="P433" i="3"/>
  <c r="O3" i="3"/>
  <c r="O487" i="3"/>
  <c r="P3" i="3"/>
  <c r="P447" i="3"/>
  <c r="O484" i="3"/>
  <c r="P475" i="3"/>
  <c r="O489" i="3"/>
  <c r="P445" i="3"/>
  <c r="P462" i="3"/>
  <c r="P486" i="3"/>
  <c r="P416" i="3"/>
  <c r="P465" i="3"/>
  <c r="O448" i="3"/>
  <c r="O436" i="3"/>
  <c r="P273" i="3"/>
  <c r="O296" i="3"/>
  <c r="P130" i="3"/>
  <c r="O113" i="3"/>
  <c r="O318" i="3"/>
  <c r="P288" i="3"/>
  <c r="O327" i="3"/>
  <c r="O391" i="3"/>
  <c r="P418" i="3"/>
  <c r="O17" i="3"/>
  <c r="P138" i="3"/>
  <c r="O200" i="3"/>
  <c r="P153" i="3"/>
  <c r="P96" i="3"/>
  <c r="O311" i="3"/>
  <c r="P335" i="3"/>
  <c r="O144" i="3"/>
  <c r="O466" i="3"/>
  <c r="P121" i="3"/>
  <c r="P374" i="3"/>
  <c r="P280" i="3"/>
  <c r="P281" i="3"/>
  <c r="P298" i="3"/>
  <c r="P144" i="3"/>
  <c r="O130" i="3"/>
  <c r="P9" i="3"/>
  <c r="O373" i="3"/>
  <c r="O271" i="3"/>
  <c r="P31" i="3"/>
  <c r="P72" i="3"/>
  <c r="O341" i="3"/>
  <c r="O143" i="3"/>
  <c r="P324" i="3"/>
  <c r="P202" i="3"/>
  <c r="O111" i="3"/>
  <c r="P343" i="3"/>
  <c r="P272" i="3"/>
  <c r="O55" i="3"/>
  <c r="O226" i="3"/>
  <c r="O160" i="3"/>
  <c r="P231" i="3"/>
  <c r="P244" i="3"/>
  <c r="P143" i="3"/>
  <c r="P356" i="3"/>
  <c r="O24" i="3"/>
  <c r="O223" i="3"/>
  <c r="O343" i="3"/>
  <c r="O357" i="3"/>
  <c r="O159" i="3"/>
  <c r="O364" i="3"/>
  <c r="P355" i="3"/>
  <c r="P198" i="3"/>
  <c r="O37" i="3"/>
  <c r="P477" i="3"/>
  <c r="O494" i="3"/>
  <c r="P489" i="3"/>
  <c r="O488" i="3"/>
  <c r="O474" i="3"/>
  <c r="O409" i="3"/>
  <c r="O445" i="3"/>
  <c r="O421" i="3"/>
  <c r="P480" i="3"/>
  <c r="P484" i="3"/>
  <c r="O404" i="3"/>
  <c r="P424" i="3"/>
  <c r="P466" i="3"/>
  <c r="O493" i="3"/>
  <c r="O435" i="3"/>
  <c r="O477" i="3"/>
  <c r="P295" i="3"/>
  <c r="P18" i="3"/>
  <c r="P49" i="3"/>
  <c r="O194" i="3"/>
  <c r="O458" i="3"/>
  <c r="P311" i="3"/>
  <c r="P289" i="3"/>
  <c r="O429" i="3"/>
  <c r="O398" i="3"/>
  <c r="P34" i="3"/>
  <c r="O128" i="3"/>
  <c r="O9" i="3"/>
  <c r="P302" i="3"/>
  <c r="O161" i="3"/>
  <c r="P209" i="3"/>
  <c r="P136" i="3"/>
  <c r="O178" i="3"/>
  <c r="P113" i="3"/>
  <c r="O350" i="3"/>
  <c r="O216" i="3"/>
  <c r="P161" i="3"/>
  <c r="O138" i="3"/>
  <c r="O136" i="3"/>
  <c r="O50" i="3"/>
  <c r="P390" i="3"/>
  <c r="O365" i="3"/>
  <c r="P239" i="3"/>
  <c r="P23" i="3"/>
  <c r="O64" i="3"/>
  <c r="P333" i="3"/>
  <c r="O103" i="3"/>
  <c r="P316" i="3"/>
  <c r="P154" i="3"/>
  <c r="O87" i="3"/>
  <c r="O208" i="3"/>
  <c r="P265" i="3"/>
  <c r="P47" i="3"/>
  <c r="P146" i="3"/>
  <c r="P64" i="3"/>
  <c r="O191" i="3"/>
  <c r="O399" i="3"/>
  <c r="P95" i="3"/>
  <c r="P340" i="3"/>
  <c r="O8" i="3"/>
  <c r="P191" i="3"/>
  <c r="P80" i="3"/>
  <c r="P341" i="3"/>
  <c r="P87" i="3"/>
  <c r="O348" i="3"/>
  <c r="P331" i="3"/>
  <c r="P110" i="3"/>
  <c r="O29" i="3"/>
  <c r="P158" i="3"/>
  <c r="O189" i="3"/>
  <c r="O338" i="3"/>
  <c r="O100" i="3"/>
  <c r="O142" i="3"/>
  <c r="P386" i="3"/>
  <c r="P351" i="3"/>
  <c r="O403" i="3"/>
  <c r="P54" i="3"/>
  <c r="P21" i="3"/>
  <c r="P108" i="3"/>
  <c r="P229" i="3"/>
  <c r="O5" i="3"/>
  <c r="O212" i="3"/>
  <c r="O339" i="3"/>
  <c r="P197" i="3"/>
  <c r="P330" i="3"/>
  <c r="P472" i="3"/>
  <c r="P502" i="3"/>
  <c r="P495" i="3"/>
  <c r="P474" i="3"/>
  <c r="P473" i="3"/>
  <c r="O437" i="3"/>
  <c r="P420" i="3"/>
  <c r="O420" i="3"/>
  <c r="O486" i="3"/>
  <c r="O424" i="3"/>
  <c r="O465" i="3"/>
  <c r="P468" i="3"/>
  <c r="P498" i="3"/>
  <c r="P441" i="3"/>
  <c r="P497" i="3"/>
  <c r="P246" i="3"/>
  <c r="O185" i="3"/>
  <c r="P398" i="3"/>
  <c r="O248" i="3"/>
  <c r="P237" i="3"/>
  <c r="P266" i="3"/>
  <c r="P257" i="3"/>
  <c r="O218" i="3"/>
  <c r="P366" i="3"/>
  <c r="O34" i="3"/>
  <c r="O447" i="3"/>
  <c r="O342" i="3"/>
  <c r="P206" i="3"/>
  <c r="O97" i="3"/>
  <c r="P264" i="3"/>
  <c r="P104" i="3"/>
  <c r="O90" i="3"/>
  <c r="P105" i="3"/>
  <c r="P342" i="3"/>
  <c r="O192" i="3"/>
  <c r="O105" i="3"/>
  <c r="O74" i="3"/>
  <c r="P128" i="3"/>
  <c r="O249" i="3"/>
  <c r="P350" i="3"/>
  <c r="P325" i="3"/>
  <c r="P223" i="3"/>
  <c r="O388" i="3"/>
  <c r="O56" i="3"/>
  <c r="P317" i="3"/>
  <c r="O39" i="3"/>
  <c r="O225" i="3"/>
  <c r="P271" i="3"/>
  <c r="P79" i="3"/>
  <c r="O120" i="3"/>
  <c r="O282" i="3"/>
  <c r="O356" i="3"/>
  <c r="P42" i="3"/>
  <c r="O476" i="3"/>
  <c r="O451" i="3"/>
  <c r="P443" i="3"/>
  <c r="P442" i="3"/>
  <c r="O304" i="3"/>
  <c r="P430" i="3"/>
  <c r="P471" i="3"/>
  <c r="O497" i="3"/>
  <c r="O434" i="3"/>
  <c r="P479" i="3"/>
  <c r="P413" i="3"/>
  <c r="P453" i="3"/>
  <c r="O468" i="3"/>
  <c r="O498" i="3"/>
  <c r="O408" i="3"/>
  <c r="O292" i="3"/>
  <c r="O251" i="3"/>
  <c r="O166" i="3"/>
  <c r="O169" i="3"/>
  <c r="P382" i="3"/>
  <c r="P240" i="3"/>
  <c r="P411" i="3"/>
  <c r="O153" i="3"/>
  <c r="P208" i="3"/>
  <c r="P185" i="3"/>
  <c r="P358" i="3"/>
  <c r="P241" i="3"/>
  <c r="O413" i="3"/>
  <c r="O326" i="3"/>
  <c r="O173" i="3"/>
  <c r="P89" i="3"/>
  <c r="O256" i="3"/>
  <c r="P88" i="3"/>
  <c r="P50" i="3"/>
  <c r="P97" i="3"/>
  <c r="P326" i="3"/>
  <c r="P236" i="3"/>
  <c r="O81" i="3"/>
  <c r="P74" i="3"/>
  <c r="P180" i="3"/>
  <c r="P201" i="3"/>
  <c r="P250" i="3"/>
  <c r="O325" i="3"/>
  <c r="O151" i="3"/>
  <c r="O308" i="3"/>
  <c r="P40" i="3"/>
  <c r="P82" i="3"/>
  <c r="O31" i="3"/>
  <c r="P186" i="3"/>
  <c r="O255" i="3"/>
  <c r="P71" i="3"/>
  <c r="P48" i="3"/>
  <c r="P215" i="3"/>
  <c r="O332" i="3"/>
  <c r="O42" i="3"/>
  <c r="O48" i="3"/>
  <c r="P119" i="3"/>
  <c r="P309" i="3"/>
  <c r="O15" i="3"/>
  <c r="O207" i="3"/>
  <c r="O317" i="3"/>
  <c r="O135" i="3"/>
  <c r="O40" i="3"/>
  <c r="P494" i="3"/>
  <c r="O425" i="3"/>
  <c r="P434" i="3"/>
  <c r="O392" i="3"/>
  <c r="P481" i="3"/>
  <c r="P500" i="3"/>
  <c r="O446" i="3"/>
  <c r="O462" i="3"/>
  <c r="O422" i="3"/>
  <c r="O502" i="3"/>
  <c r="O475" i="3"/>
  <c r="P408" i="3"/>
  <c r="P415" i="3"/>
  <c r="O470" i="3"/>
  <c r="P470" i="3"/>
  <c r="P501" i="3"/>
  <c r="O452" i="3"/>
  <c r="P493" i="3"/>
  <c r="P432" i="3"/>
  <c r="P499" i="3"/>
  <c r="O145" i="3"/>
  <c r="O374" i="3"/>
  <c r="O224" i="3"/>
  <c r="P436" i="3"/>
  <c r="O41" i="3"/>
  <c r="P160" i="3"/>
  <c r="P145" i="3"/>
  <c r="P334" i="3"/>
  <c r="O209" i="3"/>
  <c r="O412" i="3"/>
  <c r="P301" i="3"/>
  <c r="O267" i="3"/>
  <c r="P73" i="3"/>
  <c r="O232" i="3"/>
  <c r="P294" i="3"/>
  <c r="P233" i="3"/>
  <c r="P81" i="3"/>
  <c r="P391" i="3"/>
  <c r="P243" i="3"/>
  <c r="O49" i="3"/>
  <c r="P232" i="3"/>
  <c r="O438" i="3"/>
  <c r="P129" i="3"/>
  <c r="O273" i="3"/>
  <c r="P249" i="3"/>
  <c r="P135" i="3"/>
  <c r="O269" i="3"/>
  <c r="P32" i="3"/>
  <c r="O215" i="3"/>
  <c r="P372" i="3"/>
  <c r="O98" i="3"/>
  <c r="O231" i="3"/>
  <c r="P15" i="3"/>
  <c r="P389" i="3"/>
  <c r="P183" i="3"/>
  <c r="O316" i="3"/>
  <c r="P38" i="3"/>
  <c r="O309" i="3"/>
  <c r="P111" i="3"/>
  <c r="P282" i="3"/>
  <c r="O7" i="3"/>
  <c r="P226" i="3"/>
  <c r="O301" i="3"/>
  <c r="P127" i="3"/>
  <c r="O32" i="3"/>
  <c r="O82" i="3"/>
  <c r="P7" i="3"/>
  <c r="O186" i="3"/>
  <c r="O162" i="3"/>
  <c r="O205" i="3"/>
  <c r="O298" i="3"/>
  <c r="O503" i="3"/>
  <c r="O454" i="3"/>
  <c r="O188" i="3"/>
  <c r="P421" i="3"/>
  <c r="P296" i="3"/>
  <c r="P478" i="3"/>
  <c r="P410" i="3"/>
  <c r="P59" i="3"/>
  <c r="O456" i="3"/>
  <c r="O312" i="3"/>
  <c r="P427" i="3"/>
  <c r="O473" i="3"/>
  <c r="O377" i="3"/>
  <c r="P277" i="3"/>
  <c r="O131" i="3"/>
  <c r="O286" i="3"/>
  <c r="P28" i="3"/>
  <c r="P45" i="3"/>
  <c r="P155" i="3"/>
  <c r="P166" i="3"/>
  <c r="P91" i="3"/>
  <c r="P251" i="3"/>
  <c r="O177" i="3"/>
  <c r="P221" i="3"/>
  <c r="P267" i="3"/>
  <c r="O361" i="3"/>
  <c r="O43" i="3"/>
  <c r="O187" i="3"/>
  <c r="P86" i="3"/>
  <c r="P263" i="3"/>
  <c r="P43" i="3"/>
  <c r="P188" i="3"/>
  <c r="O4" i="3"/>
  <c r="O203" i="3"/>
  <c r="P286" i="3"/>
  <c r="P20" i="3"/>
  <c r="P14" i="3"/>
  <c r="P303" i="3"/>
  <c r="O165" i="3"/>
  <c r="O323" i="3"/>
  <c r="P118" i="3"/>
  <c r="P173" i="3"/>
  <c r="P403" i="3"/>
  <c r="P322" i="3"/>
  <c r="O213" i="3"/>
  <c r="P228" i="3"/>
  <c r="P189" i="3"/>
  <c r="P371" i="3"/>
  <c r="P242" i="3"/>
  <c r="P205" i="3"/>
  <c r="O84" i="3"/>
  <c r="O402" i="3"/>
  <c r="P395" i="3"/>
  <c r="O149" i="3"/>
  <c r="O371" i="3"/>
  <c r="O167" i="3"/>
  <c r="O276" i="3"/>
  <c r="O340" i="3"/>
  <c r="P297" i="3"/>
  <c r="O202" i="3"/>
  <c r="O65" i="3"/>
  <c r="O264" i="3"/>
  <c r="O137" i="3"/>
  <c r="O418" i="3"/>
  <c r="O481" i="3"/>
  <c r="O467" i="3"/>
  <c r="P406" i="3"/>
  <c r="O495" i="3"/>
  <c r="P455" i="3"/>
  <c r="O344" i="3"/>
  <c r="O443" i="3"/>
  <c r="P344" i="3"/>
  <c r="P320" i="3"/>
  <c r="O423" i="3"/>
  <c r="P107" i="3"/>
  <c r="P419" i="3"/>
  <c r="O320" i="3"/>
  <c r="O407" i="3"/>
  <c r="P425" i="3"/>
  <c r="O457" i="3"/>
  <c r="P304" i="3"/>
  <c r="P163" i="3"/>
  <c r="O319" i="3"/>
  <c r="P36" i="3"/>
  <c r="P174" i="3"/>
  <c r="P171" i="3"/>
  <c r="O58" i="3"/>
  <c r="P115" i="3"/>
  <c r="O244" i="3"/>
  <c r="P377" i="3"/>
  <c r="P307" i="3"/>
  <c r="P292" i="3"/>
  <c r="P4" i="3"/>
  <c r="P67" i="3"/>
  <c r="O219" i="3"/>
  <c r="O94" i="3"/>
  <c r="P313" i="3"/>
  <c r="P75" i="3"/>
  <c r="P204" i="3"/>
  <c r="O12" i="3"/>
  <c r="P211" i="3"/>
  <c r="O375" i="3"/>
  <c r="P52" i="3"/>
  <c r="P100" i="3"/>
  <c r="O322" i="3"/>
  <c r="O181" i="3"/>
  <c r="O355" i="3"/>
  <c r="P268" i="3"/>
  <c r="P245" i="3"/>
  <c r="P22" i="3"/>
  <c r="O346" i="3"/>
  <c r="O261" i="3"/>
  <c r="P238" i="3"/>
  <c r="O197" i="3"/>
  <c r="P132" i="3"/>
  <c r="O306" i="3"/>
  <c r="O237" i="3"/>
  <c r="O108" i="3"/>
  <c r="O21" i="3"/>
  <c r="P62" i="3"/>
  <c r="P181" i="3"/>
  <c r="O146" i="3"/>
  <c r="P247" i="3"/>
  <c r="P349" i="3"/>
  <c r="O175" i="3"/>
  <c r="P151" i="3"/>
  <c r="P225" i="3"/>
  <c r="O201" i="3"/>
  <c r="P318" i="3"/>
  <c r="O210" i="3"/>
  <c r="O415" i="3"/>
  <c r="O384" i="3"/>
  <c r="P461" i="3"/>
  <c r="P360" i="3"/>
  <c r="P352" i="3"/>
  <c r="P431" i="3"/>
  <c r="O179" i="3"/>
  <c r="O426" i="3"/>
  <c r="P328" i="3"/>
  <c r="P412" i="3"/>
  <c r="P252" i="3"/>
  <c r="O444" i="3"/>
  <c r="P312" i="3"/>
  <c r="O211" i="3"/>
  <c r="O299" i="3"/>
  <c r="O44" i="3"/>
  <c r="P323" i="3"/>
  <c r="O195" i="3"/>
  <c r="P305" i="3"/>
  <c r="P123" i="3"/>
  <c r="P94" i="3"/>
  <c r="O401" i="3"/>
  <c r="P19" i="3"/>
  <c r="O70" i="3"/>
  <c r="O164" i="3"/>
  <c r="P83" i="3"/>
  <c r="O235" i="3"/>
  <c r="O206" i="3"/>
  <c r="P329" i="3"/>
  <c r="O139" i="3"/>
  <c r="O268" i="3"/>
  <c r="O52" i="3"/>
  <c r="P275" i="3"/>
  <c r="P10" i="3"/>
  <c r="P92" i="3"/>
  <c r="O180" i="3"/>
  <c r="P394" i="3"/>
  <c r="P261" i="3"/>
  <c r="P387" i="3"/>
  <c r="O294" i="3"/>
  <c r="O293" i="3"/>
  <c r="O132" i="3"/>
  <c r="O394" i="3"/>
  <c r="O246" i="3"/>
  <c r="P338" i="3"/>
  <c r="O245" i="3"/>
  <c r="O140" i="3"/>
  <c r="P314" i="3"/>
  <c r="P285" i="3"/>
  <c r="P164" i="3"/>
  <c r="O69" i="3"/>
  <c r="P134" i="3"/>
  <c r="O229" i="3"/>
  <c r="P287" i="3"/>
  <c r="P169" i="3"/>
  <c r="P216" i="3"/>
  <c r="P254" i="3"/>
  <c r="P397" i="3"/>
  <c r="P65" i="3"/>
  <c r="P409" i="3"/>
  <c r="O89" i="3"/>
  <c r="P448" i="3"/>
  <c r="P451" i="3"/>
  <c r="P459" i="3"/>
  <c r="P58" i="3"/>
  <c r="P438" i="3"/>
  <c r="O369" i="3"/>
  <c r="P490" i="3"/>
  <c r="P376" i="3"/>
  <c r="P392" i="3"/>
  <c r="O461" i="3"/>
  <c r="P195" i="3"/>
  <c r="O478" i="3"/>
  <c r="O328" i="3"/>
  <c r="O483" i="3"/>
  <c r="O259" i="3"/>
  <c r="O419" i="3"/>
  <c r="P384" i="3"/>
  <c r="O275" i="3"/>
  <c r="O303" i="3"/>
  <c r="O60" i="3"/>
  <c r="P51" i="3"/>
  <c r="O236" i="3"/>
  <c r="O337" i="3"/>
  <c r="O163" i="3"/>
  <c r="O182" i="3"/>
  <c r="O28" i="3"/>
  <c r="O51" i="3"/>
  <c r="O78" i="3"/>
  <c r="P370" i="3"/>
  <c r="O83" i="3"/>
  <c r="P259" i="3"/>
  <c r="P375" i="3"/>
  <c r="P353" i="3"/>
  <c r="O147" i="3"/>
  <c r="O274" i="3"/>
  <c r="P60" i="3"/>
  <c r="O156" i="3"/>
  <c r="O234" i="3"/>
  <c r="P402" i="3"/>
  <c r="P212" i="3"/>
  <c r="O45" i="3"/>
  <c r="P142" i="3"/>
  <c r="O92" i="3"/>
  <c r="O362" i="3"/>
  <c r="O174" i="3"/>
  <c r="P140" i="3"/>
  <c r="P13" i="3"/>
  <c r="O387" i="3"/>
  <c r="P354" i="3"/>
  <c r="O367" i="3"/>
  <c r="O196" i="3"/>
  <c r="O354" i="3"/>
  <c r="P222" i="3"/>
  <c r="O238" i="3"/>
  <c r="P77" i="3"/>
  <c r="O278" i="3"/>
  <c r="P269" i="3"/>
  <c r="O324" i="3"/>
  <c r="O250" i="3"/>
  <c r="P308" i="3"/>
  <c r="P56" i="3"/>
  <c r="P364" i="3"/>
  <c r="O428" i="3"/>
  <c r="P200" i="3"/>
  <c r="P120" i="3"/>
  <c r="O302" i="3"/>
  <c r="O141" i="3"/>
  <c r="O455" i="3"/>
  <c r="P407" i="3"/>
  <c r="O117" i="3"/>
  <c r="O405" i="3"/>
  <c r="O227" i="3"/>
  <c r="P469" i="3"/>
  <c r="O352" i="3"/>
  <c r="O410" i="3"/>
  <c r="O285" i="3"/>
  <c r="O439" i="3"/>
  <c r="P99" i="3"/>
  <c r="O46" i="3"/>
  <c r="O393" i="3"/>
  <c r="P68" i="3"/>
  <c r="O67" i="3"/>
  <c r="P260" i="3"/>
  <c r="P361" i="3"/>
  <c r="P187" i="3"/>
  <c r="O230" i="3"/>
  <c r="O36" i="3"/>
  <c r="O59" i="3"/>
  <c r="O102" i="3"/>
  <c r="P157" i="3"/>
  <c r="O91" i="3"/>
  <c r="P156" i="3"/>
  <c r="O114" i="3"/>
  <c r="O76" i="3"/>
  <c r="P179" i="3"/>
  <c r="P321" i="3"/>
  <c r="P116" i="3"/>
  <c r="O220" i="3"/>
  <c r="O290" i="3"/>
  <c r="P53" i="3"/>
  <c r="O284" i="3"/>
  <c r="P61" i="3"/>
  <c r="O198" i="3"/>
  <c r="O116" i="3"/>
  <c r="O370" i="3"/>
  <c r="P367" i="3"/>
  <c r="P148" i="3"/>
  <c r="O61" i="3"/>
  <c r="O6" i="3"/>
  <c r="O378" i="3"/>
  <c r="O66" i="3"/>
  <c r="O190" i="3"/>
  <c r="P362" i="3"/>
  <c r="P162" i="3"/>
  <c r="O241" i="3"/>
  <c r="P141" i="3"/>
  <c r="O351" i="3"/>
  <c r="O222" i="3"/>
  <c r="O372" i="3"/>
  <c r="P24" i="3"/>
  <c r="O396" i="3"/>
  <c r="O38" i="3"/>
  <c r="O183" i="3"/>
  <c r="O176" i="3"/>
  <c r="P41" i="3"/>
  <c r="O33" i="3"/>
  <c r="P496" i="3"/>
  <c r="O442" i="3"/>
  <c r="P503" i="3"/>
  <c r="O463" i="3"/>
  <c r="P404" i="3"/>
  <c r="O263" i="3"/>
  <c r="P437" i="3"/>
  <c r="O427" i="3"/>
  <c r="O490" i="3"/>
  <c r="O204" i="3"/>
  <c r="O479" i="3"/>
  <c r="P368" i="3"/>
  <c r="O431" i="3"/>
  <c r="P336" i="3"/>
  <c r="O469" i="3"/>
  <c r="O321" i="3"/>
  <c r="O126" i="3"/>
  <c r="P401" i="3"/>
  <c r="P76" i="3"/>
  <c r="O99" i="3"/>
  <c r="P78" i="3"/>
  <c r="O385" i="3"/>
  <c r="P219" i="3"/>
  <c r="O10" i="3"/>
  <c r="O68" i="3"/>
  <c r="O75" i="3"/>
  <c r="O150" i="3"/>
  <c r="P253" i="3"/>
  <c r="O107" i="3"/>
  <c r="P220" i="3"/>
  <c r="O170" i="3"/>
  <c r="P133" i="3"/>
  <c r="P203" i="3"/>
  <c r="P345" i="3"/>
  <c r="P27" i="3"/>
  <c r="P46" i="3"/>
  <c r="O305" i="3"/>
  <c r="P293" i="3"/>
  <c r="O62" i="3"/>
  <c r="P85" i="3"/>
  <c r="O106" i="3"/>
  <c r="O124" i="3"/>
  <c r="O53" i="3"/>
  <c r="P66" i="3"/>
  <c r="P190" i="3"/>
  <c r="O109" i="3"/>
  <c r="O22" i="3"/>
  <c r="P37" i="3"/>
  <c r="O266" i="3"/>
  <c r="O214" i="3"/>
  <c r="P5" i="3"/>
  <c r="O307" i="3"/>
  <c r="O253" i="3"/>
  <c r="O287" i="3"/>
  <c r="P213" i="3"/>
  <c r="P106" i="3"/>
  <c r="P396" i="3"/>
  <c r="O72" i="3"/>
  <c r="O71" i="3"/>
  <c r="O265" i="3"/>
  <c r="P16" i="3"/>
  <c r="O382" i="3"/>
  <c r="P452" i="3"/>
  <c r="P417" i="3"/>
  <c r="O432" i="3"/>
  <c r="O336" i="3"/>
  <c r="O464" i="3"/>
  <c r="P485" i="3"/>
  <c r="O500" i="3"/>
  <c r="P446" i="3"/>
  <c r="P435" i="3"/>
  <c r="O281" i="3"/>
  <c r="P458" i="3"/>
  <c r="P457" i="3"/>
  <c r="O360" i="3"/>
  <c r="P337" i="3"/>
  <c r="P487" i="3"/>
  <c r="P44" i="3"/>
  <c r="P405" i="3"/>
  <c r="O368" i="3"/>
  <c r="P482" i="3"/>
  <c r="P306" i="3"/>
  <c r="P182" i="3"/>
  <c r="P12" i="3"/>
  <c r="P124" i="3"/>
  <c r="P139" i="3"/>
  <c r="P102" i="3"/>
  <c r="P393" i="3"/>
  <c r="P235" i="3"/>
  <c r="P114" i="3"/>
  <c r="P256" i="3"/>
  <c r="O155" i="3"/>
  <c r="P319" i="3"/>
  <c r="O110" i="3"/>
  <c r="O115" i="3"/>
  <c r="P276" i="3"/>
  <c r="P234" i="3"/>
  <c r="O19" i="3"/>
  <c r="P227" i="3"/>
  <c r="O353" i="3"/>
  <c r="P35" i="3"/>
  <c r="O86" i="3"/>
  <c r="O329" i="3"/>
  <c r="O26" i="3"/>
  <c r="O158" i="3"/>
  <c r="P109" i="3"/>
  <c r="P279" i="3"/>
  <c r="P172" i="3"/>
  <c r="P101" i="3"/>
  <c r="O260" i="3"/>
  <c r="P214" i="3"/>
  <c r="P117" i="3"/>
  <c r="P84" i="3"/>
  <c r="P69" i="3"/>
  <c r="O283" i="3"/>
  <c r="P278" i="3"/>
  <c r="P29" i="3"/>
  <c r="O363" i="3"/>
  <c r="O314" i="3"/>
  <c r="O331" i="3"/>
  <c r="O330" i="3"/>
  <c r="O297" i="3"/>
  <c r="P55" i="3"/>
  <c r="O23" i="3"/>
  <c r="P255" i="3"/>
  <c r="P103" i="3"/>
  <c r="P98" i="3"/>
  <c r="P488" i="3"/>
  <c r="O193" i="3"/>
  <c r="P192" i="3"/>
  <c r="O499" i="3"/>
  <c r="R150" i="3"/>
  <c r="Q481" i="3"/>
  <c r="Q302" i="3"/>
  <c r="Q144" i="3"/>
  <c r="R336" i="3"/>
  <c r="Q419" i="3"/>
  <c r="Q22" i="3"/>
  <c r="R439" i="3"/>
  <c r="Q206" i="3"/>
  <c r="R264" i="3"/>
  <c r="R377" i="3"/>
  <c r="R143" i="3"/>
  <c r="Q67" i="3"/>
  <c r="Q159" i="3"/>
  <c r="L411" i="3"/>
  <c r="R491" i="3"/>
  <c r="R472" i="3"/>
  <c r="R459" i="3"/>
  <c r="R488" i="3"/>
  <c r="R392" i="3"/>
  <c r="Q83" i="3"/>
  <c r="R203" i="3"/>
  <c r="Q70" i="3"/>
  <c r="R12" i="3"/>
  <c r="R44" i="3"/>
  <c r="R51" i="3"/>
  <c r="R251" i="3"/>
  <c r="R222" i="3"/>
  <c r="R165" i="3"/>
  <c r="R284" i="3"/>
  <c r="Q269" i="3"/>
  <c r="Q16" i="3"/>
  <c r="R291" i="3"/>
  <c r="R41" i="3"/>
  <c r="R464" i="3"/>
  <c r="R485" i="3"/>
  <c r="R400" i="3"/>
  <c r="Q155" i="3"/>
  <c r="Q219" i="3"/>
  <c r="R94" i="3"/>
  <c r="R20" i="3"/>
  <c r="Q52" i="3"/>
  <c r="Q99" i="3"/>
  <c r="R244" i="3"/>
  <c r="R246" i="3"/>
  <c r="Q222" i="3"/>
  <c r="R29" i="3"/>
  <c r="R309" i="3"/>
  <c r="Q72" i="3"/>
  <c r="R374" i="3"/>
  <c r="Q489" i="3"/>
  <c r="R418" i="3"/>
  <c r="R430" i="3"/>
  <c r="R292" i="3"/>
  <c r="R409" i="3"/>
  <c r="Q458" i="3"/>
  <c r="R478" i="3"/>
  <c r="Q418" i="3"/>
  <c r="R500" i="3"/>
  <c r="Q476" i="3"/>
  <c r="R453" i="3"/>
  <c r="Q437" i="3"/>
  <c r="R440" i="3"/>
  <c r="Q498" i="3"/>
  <c r="Q284" i="3"/>
  <c r="Q281" i="3"/>
  <c r="Q74" i="3"/>
  <c r="R88" i="3"/>
  <c r="Q201" i="3"/>
  <c r="Q65" i="3"/>
  <c r="Q216" i="3"/>
  <c r="R383" i="3"/>
  <c r="R33" i="3"/>
  <c r="R168" i="3"/>
  <c r="Q18" i="3"/>
  <c r="Q398" i="3"/>
  <c r="R216" i="3"/>
  <c r="R297" i="3"/>
  <c r="R342" i="3"/>
  <c r="Q248" i="3"/>
  <c r="R198" i="3"/>
  <c r="R97" i="3"/>
  <c r="R335" i="3"/>
  <c r="Q112" i="3"/>
  <c r="R311" i="3"/>
  <c r="R366" i="3"/>
  <c r="R241" i="3"/>
  <c r="Q253" i="3"/>
  <c r="Q81" i="3"/>
  <c r="R247" i="3"/>
  <c r="R55" i="3"/>
  <c r="Q381" i="3"/>
  <c r="Q396" i="3"/>
  <c r="Q246" i="3"/>
  <c r="R127" i="3"/>
  <c r="Q324" i="3"/>
  <c r="Q365" i="3"/>
  <c r="Q359" i="3"/>
  <c r="Q31" i="3"/>
  <c r="R324" i="3"/>
  <c r="Q373" i="3"/>
  <c r="R316" i="3"/>
  <c r="R38" i="3"/>
  <c r="R357" i="3"/>
  <c r="R87" i="3"/>
  <c r="R372" i="3"/>
  <c r="R40" i="3"/>
  <c r="R154" i="3"/>
  <c r="R303" i="3"/>
  <c r="Q56" i="3"/>
  <c r="Q191" i="3"/>
  <c r="Q226" i="3"/>
  <c r="R125" i="3"/>
  <c r="R322" i="3"/>
  <c r="Q180" i="3"/>
  <c r="Q202" i="3"/>
  <c r="Q157" i="3"/>
  <c r="R378" i="3"/>
  <c r="R92" i="3"/>
  <c r="R142" i="3"/>
  <c r="R85" i="3"/>
  <c r="R212" i="3"/>
  <c r="R387" i="3"/>
  <c r="R174" i="3"/>
  <c r="R69" i="3"/>
  <c r="Q116" i="3"/>
  <c r="Q294" i="3"/>
  <c r="Q37" i="3"/>
  <c r="R259" i="3"/>
  <c r="R100" i="3"/>
  <c r="Q54" i="3"/>
  <c r="Q314" i="3"/>
  <c r="S314" i="3" s="1"/>
  <c r="J314" i="3" s="1"/>
  <c r="Q315" i="3"/>
  <c r="R285" i="3"/>
  <c r="R53" i="3"/>
  <c r="R351" i="3"/>
  <c r="R480" i="3"/>
  <c r="R475" i="3"/>
  <c r="R426" i="3"/>
  <c r="R446" i="3"/>
  <c r="R432" i="3"/>
  <c r="R477" i="3"/>
  <c r="Q484" i="3"/>
  <c r="Q447" i="3"/>
  <c r="Q404" i="3"/>
  <c r="R486" i="3"/>
  <c r="Q475" i="3"/>
  <c r="Q465" i="3"/>
  <c r="Q448" i="3"/>
  <c r="Q255" i="3"/>
  <c r="Q440" i="3"/>
  <c r="Q161" i="3"/>
  <c r="R288" i="3"/>
  <c r="R287" i="3"/>
  <c r="R177" i="3"/>
  <c r="Q57" i="3"/>
  <c r="R184" i="3"/>
  <c r="R281" i="3"/>
  <c r="R382" i="3"/>
  <c r="R152" i="3"/>
  <c r="R201" i="3"/>
  <c r="R358" i="3"/>
  <c r="Q208" i="3"/>
  <c r="Q185" i="3"/>
  <c r="R334" i="3"/>
  <c r="Q224" i="3"/>
  <c r="Q259" i="3"/>
  <c r="Q41" i="3"/>
  <c r="R289" i="3"/>
  <c r="R96" i="3"/>
  <c r="Q265" i="3"/>
  <c r="Q350" i="3"/>
  <c r="R209" i="3"/>
  <c r="Q233" i="3"/>
  <c r="R49" i="3"/>
  <c r="Q199" i="3"/>
  <c r="Q23" i="3"/>
  <c r="Q349" i="3"/>
  <c r="Q388" i="3"/>
  <c r="R82" i="3"/>
  <c r="R119" i="3"/>
  <c r="Q316" i="3"/>
  <c r="Q357" i="3"/>
  <c r="R199" i="3"/>
  <c r="R23" i="3"/>
  <c r="Q186" i="3"/>
  <c r="Q297" i="3"/>
  <c r="Q308" i="3"/>
  <c r="R30" i="3"/>
  <c r="R333" i="3"/>
  <c r="R71" i="3"/>
  <c r="R364" i="3"/>
  <c r="R32" i="3"/>
  <c r="R279" i="3"/>
  <c r="R299" i="3"/>
  <c r="R389" i="3"/>
  <c r="Q103" i="3"/>
  <c r="R146" i="3"/>
  <c r="R117" i="3"/>
  <c r="R302" i="3"/>
  <c r="Q14" i="3"/>
  <c r="R106" i="3"/>
  <c r="R141" i="3"/>
  <c r="R338" i="3"/>
  <c r="Q6" i="3"/>
  <c r="R110" i="3"/>
  <c r="R61" i="3"/>
  <c r="R124" i="3"/>
  <c r="Q490" i="3"/>
  <c r="R421" i="3"/>
  <c r="R473" i="3"/>
  <c r="R435" i="3"/>
  <c r="Q496" i="3"/>
  <c r="R496" i="3"/>
  <c r="R449" i="3"/>
  <c r="R415" i="3"/>
  <c r="R489" i="3"/>
  <c r="R476" i="3"/>
  <c r="Q466" i="3"/>
  <c r="Q483" i="3"/>
  <c r="R280" i="3"/>
  <c r="Q477" i="3"/>
  <c r="Q390" i="3"/>
  <c r="R240" i="3"/>
  <c r="Q178" i="3"/>
  <c r="Q129" i="3"/>
  <c r="R390" i="3"/>
  <c r="R144" i="3"/>
  <c r="R161" i="3"/>
  <c r="Q358" i="3"/>
  <c r="R272" i="3"/>
  <c r="Q145" i="3"/>
  <c r="Q310" i="3"/>
  <c r="Q160" i="3"/>
  <c r="Q169" i="3"/>
  <c r="R318" i="3"/>
  <c r="R192" i="3"/>
  <c r="Q250" i="3"/>
  <c r="Q33" i="3"/>
  <c r="R257" i="3"/>
  <c r="Q286" i="3"/>
  <c r="R185" i="3"/>
  <c r="R326" i="3"/>
  <c r="Q272" i="3"/>
  <c r="Q177" i="3"/>
  <c r="Q342" i="3"/>
  <c r="Q175" i="3"/>
  <c r="R298" i="3"/>
  <c r="Q341" i="3"/>
  <c r="Q380" i="3"/>
  <c r="Q223" i="3"/>
  <c r="R111" i="3"/>
  <c r="Q98" i="3"/>
  <c r="R349" i="3"/>
  <c r="Q167" i="3"/>
  <c r="Q15" i="3"/>
  <c r="R256" i="3"/>
  <c r="Q154" i="3"/>
  <c r="Q209" i="3"/>
  <c r="R72" i="3"/>
  <c r="R317" i="3"/>
  <c r="Q63" i="3"/>
  <c r="R332" i="3"/>
  <c r="Q8" i="3"/>
  <c r="Q231" i="3"/>
  <c r="R294" i="3"/>
  <c r="R325" i="3"/>
  <c r="Q95" i="3"/>
  <c r="R22" i="3"/>
  <c r="Q109" i="3"/>
  <c r="R290" i="3"/>
  <c r="R403" i="3"/>
  <c r="Q26" i="3"/>
  <c r="Q133" i="3"/>
  <c r="R330" i="3"/>
  <c r="Q3" i="3"/>
  <c r="R54" i="3"/>
  <c r="Q402" i="3"/>
  <c r="R116" i="3"/>
  <c r="R339" i="3"/>
  <c r="Q237" i="3"/>
  <c r="R5" i="3"/>
  <c r="Q379" i="3"/>
  <c r="Q285" i="3"/>
  <c r="R21" i="3"/>
  <c r="Q351" i="3"/>
  <c r="Q371" i="3"/>
  <c r="R237" i="3"/>
  <c r="Q228" i="3"/>
  <c r="Q268" i="3"/>
  <c r="Q213" i="3"/>
  <c r="Q5" i="3"/>
  <c r="Q190" i="3"/>
  <c r="Q485" i="3"/>
  <c r="Q436" i="3"/>
  <c r="Q408" i="3"/>
  <c r="Q500" i="3"/>
  <c r="Q460" i="3"/>
  <c r="R447" i="3"/>
  <c r="Q411" i="3"/>
  <c r="Q499" i="3"/>
  <c r="Q468" i="3"/>
  <c r="Q301" i="3"/>
  <c r="Q438" i="3"/>
  <c r="E6" i="3"/>
  <c r="Q382" i="3"/>
  <c r="R200" i="3"/>
  <c r="Q90" i="3"/>
  <c r="R121" i="3"/>
  <c r="Q334" i="3"/>
  <c r="Q280" i="3"/>
  <c r="R145" i="3"/>
  <c r="Q295" i="3"/>
  <c r="Q434" i="3"/>
  <c r="R137" i="3"/>
  <c r="R34" i="3"/>
  <c r="R248" i="3"/>
  <c r="R73" i="3"/>
  <c r="R265" i="3"/>
  <c r="Q128" i="3"/>
  <c r="Q327" i="3"/>
  <c r="R25" i="3"/>
  <c r="R225" i="3"/>
  <c r="R190" i="3"/>
  <c r="R169" i="3"/>
  <c r="Q326" i="3"/>
  <c r="Q200" i="3"/>
  <c r="R153" i="3"/>
  <c r="R269" i="3"/>
  <c r="Q127" i="3"/>
  <c r="R343" i="3"/>
  <c r="R283" i="3"/>
  <c r="Q279" i="3"/>
  <c r="R191" i="3"/>
  <c r="Q79" i="3"/>
  <c r="Q399" i="3"/>
  <c r="R341" i="3"/>
  <c r="Q143" i="3"/>
  <c r="R7" i="3"/>
  <c r="R48" i="3"/>
  <c r="R359" i="3"/>
  <c r="Q274" i="3"/>
  <c r="Q48" i="3"/>
  <c r="Q287" i="3"/>
  <c r="Q55" i="3"/>
  <c r="R186" i="3"/>
  <c r="R373" i="3"/>
  <c r="R183" i="3"/>
  <c r="R202" i="3"/>
  <c r="Q309" i="3"/>
  <c r="R79" i="3"/>
  <c r="R363" i="3"/>
  <c r="Q85" i="3"/>
  <c r="R214" i="3"/>
  <c r="Q355" i="3"/>
  <c r="R367" i="3"/>
  <c r="Q77" i="3"/>
  <c r="Q306" i="3"/>
  <c r="R355" i="3"/>
  <c r="R213" i="3"/>
  <c r="Q346" i="3"/>
  <c r="Q108" i="3"/>
  <c r="Q331" i="3"/>
  <c r="Q221" i="3"/>
  <c r="R370" i="3"/>
  <c r="Q307" i="3"/>
  <c r="Q205" i="3"/>
  <c r="R3" i="3"/>
  <c r="Q278" i="3"/>
  <c r="R347" i="3"/>
  <c r="R221" i="3"/>
  <c r="R164" i="3"/>
  <c r="Q417" i="3"/>
  <c r="R487" i="3"/>
  <c r="Q433" i="3"/>
  <c r="R445" i="3"/>
  <c r="R441" i="3"/>
  <c r="R436" i="3"/>
  <c r="R407" i="3"/>
  <c r="R461" i="3"/>
  <c r="Q453" i="3"/>
  <c r="Q414" i="3"/>
  <c r="R411" i="3"/>
  <c r="R469" i="3"/>
  <c r="R468" i="3"/>
  <c r="Q435" i="3"/>
  <c r="R437" i="3"/>
  <c r="R350" i="3"/>
  <c r="Q168" i="3"/>
  <c r="Q50" i="3"/>
  <c r="R113" i="3"/>
  <c r="R258" i="3"/>
  <c r="Q247" i="3"/>
  <c r="Q137" i="3"/>
  <c r="R273" i="3"/>
  <c r="R404" i="3"/>
  <c r="R129" i="3"/>
  <c r="Q289" i="3"/>
  <c r="R301" i="3"/>
  <c r="Q25" i="3"/>
  <c r="Q194" i="3"/>
  <c r="R120" i="3"/>
  <c r="R327" i="3"/>
  <c r="R9" i="3"/>
  <c r="R224" i="3"/>
  <c r="R465" i="3"/>
  <c r="Q73" i="3"/>
  <c r="S73" i="3" s="1"/>
  <c r="J73" i="3" s="1"/>
  <c r="Q318" i="3"/>
  <c r="Q136" i="3"/>
  <c r="Q121" i="3"/>
  <c r="Q391" i="3"/>
  <c r="Q119" i="3"/>
  <c r="Q80" i="3"/>
  <c r="R263" i="3"/>
  <c r="R226" i="3"/>
  <c r="R175" i="3"/>
  <c r="R47" i="3"/>
  <c r="Q193" i="3"/>
  <c r="Q333" i="3"/>
  <c r="R135" i="3"/>
  <c r="R396" i="3"/>
  <c r="Q40" i="3"/>
  <c r="Q271" i="3"/>
  <c r="R98" i="3"/>
  <c r="R24" i="3"/>
  <c r="Q215" i="3"/>
  <c r="Q47" i="3"/>
  <c r="Q146" i="3"/>
  <c r="Q325" i="3"/>
  <c r="R151" i="3"/>
  <c r="R274" i="3"/>
  <c r="R295" i="3"/>
  <c r="R388" i="3"/>
  <c r="Q256" i="3"/>
  <c r="Q61" i="3"/>
  <c r="R134" i="3"/>
  <c r="R331" i="3"/>
  <c r="Q174" i="3"/>
  <c r="Q53" i="3"/>
  <c r="Q264" i="3"/>
  <c r="R315" i="3"/>
  <c r="Q181" i="3"/>
  <c r="R271" i="3"/>
  <c r="Q100" i="3"/>
  <c r="Q323" i="3"/>
  <c r="R157" i="3"/>
  <c r="R306" i="3"/>
  <c r="Q303" i="3"/>
  <c r="R181" i="3"/>
  <c r="Q386" i="3"/>
  <c r="Q503" i="3"/>
  <c r="R479" i="3"/>
  <c r="R431" i="3"/>
  <c r="R438" i="3"/>
  <c r="R422" i="3"/>
  <c r="R442" i="3"/>
  <c r="Q415" i="3"/>
  <c r="Q424" i="3"/>
  <c r="Q288" i="3"/>
  <c r="Q383" i="3"/>
  <c r="R233" i="3"/>
  <c r="R457" i="3"/>
  <c r="R176" i="3"/>
  <c r="Q225" i="3"/>
  <c r="Q138" i="3"/>
  <c r="Q153" i="3"/>
  <c r="Q130" i="3"/>
  <c r="R128" i="3"/>
  <c r="Q291" i="3"/>
  <c r="R95" i="3"/>
  <c r="R380" i="3"/>
  <c r="Q82" i="3"/>
  <c r="R397" i="3"/>
  <c r="R16" i="3"/>
  <c r="R15" i="3"/>
  <c r="R340" i="3"/>
  <c r="R308" i="3"/>
  <c r="R394" i="3"/>
  <c r="R197" i="3"/>
  <c r="R242" i="3"/>
  <c r="Q62" i="3"/>
  <c r="Q277" i="3"/>
  <c r="R6" i="3"/>
  <c r="Q29" i="3"/>
  <c r="R108" i="3"/>
  <c r="Q69" i="3"/>
  <c r="Q298" i="3"/>
  <c r="Q125" i="3"/>
  <c r="Q275" i="3"/>
  <c r="Q76" i="3"/>
  <c r="R206" i="3"/>
  <c r="Q163" i="3"/>
  <c r="Q11" i="3"/>
  <c r="R385" i="3"/>
  <c r="R78" i="3"/>
  <c r="Q339" i="3"/>
  <c r="Q44" i="3"/>
  <c r="R182" i="3"/>
  <c r="Q51" i="3"/>
  <c r="R4" i="3"/>
  <c r="Q254" i="3"/>
  <c r="Q147" i="3"/>
  <c r="R27" i="3"/>
  <c r="Q329" i="3"/>
  <c r="Q220" i="3"/>
  <c r="Q173" i="3"/>
  <c r="R329" i="3"/>
  <c r="Q188" i="3"/>
  <c r="Q59" i="3"/>
  <c r="R353" i="3"/>
  <c r="R156" i="3"/>
  <c r="R210" i="3"/>
  <c r="Q384" i="3"/>
  <c r="R114" i="3"/>
  <c r="Q497" i="3"/>
  <c r="Q352" i="3"/>
  <c r="Q171" i="3"/>
  <c r="R497" i="3"/>
  <c r="Q338" i="3"/>
  <c r="Q336" i="3"/>
  <c r="Q464" i="3"/>
  <c r="Q166" i="3"/>
  <c r="R419" i="3"/>
  <c r="R467" i="3"/>
  <c r="Q446" i="3"/>
  <c r="R412" i="3"/>
  <c r="Q480" i="3"/>
  <c r="R470" i="3"/>
  <c r="R320" i="3"/>
  <c r="Q459" i="3"/>
  <c r="R448" i="3"/>
  <c r="Q467" i="3"/>
  <c r="R444" i="3"/>
  <c r="Q442" i="3"/>
  <c r="Q276" i="3"/>
  <c r="R217" i="3"/>
  <c r="R501" i="3"/>
  <c r="R178" i="3"/>
  <c r="R296" i="3"/>
  <c r="Q34" i="3"/>
  <c r="R310" i="3"/>
  <c r="R18" i="3"/>
  <c r="Q104" i="3"/>
  <c r="Q111" i="3"/>
  <c r="Q7" i="3"/>
  <c r="Q364" i="3"/>
  <c r="Q87" i="3"/>
  <c r="R381" i="3"/>
  <c r="Q389" i="3"/>
  <c r="Q42" i="3"/>
  <c r="Q340" i="3"/>
  <c r="Q261" i="3"/>
  <c r="R118" i="3"/>
  <c r="R173" i="3"/>
  <c r="Q106" i="3"/>
  <c r="Q84" i="3"/>
  <c r="Q149" i="3"/>
  <c r="Q299" i="3"/>
  <c r="Q370" i="3"/>
  <c r="R395" i="3"/>
  <c r="R402" i="3"/>
  <c r="R266" i="3"/>
  <c r="Q117" i="3"/>
  <c r="Q122" i="3"/>
  <c r="Q68" i="3"/>
  <c r="Q182" i="3"/>
  <c r="Q123" i="3"/>
  <c r="R278" i="3"/>
  <c r="Q377" i="3"/>
  <c r="R70" i="3"/>
  <c r="R189" i="3"/>
  <c r="Q20" i="3"/>
  <c r="Q283" i="3"/>
  <c r="Q367" i="3"/>
  <c r="Q369" i="3"/>
  <c r="Q94" i="3"/>
  <c r="Q139" i="3"/>
  <c r="Q330" i="3"/>
  <c r="Q313" i="3"/>
  <c r="Q156" i="3"/>
  <c r="Q394" i="3"/>
  <c r="R234" i="3"/>
  <c r="Q267" i="3"/>
  <c r="R43" i="3"/>
  <c r="R231" i="3"/>
  <c r="Q251" i="3"/>
  <c r="Q455" i="3"/>
  <c r="R376" i="3"/>
  <c r="Q86" i="3"/>
  <c r="Q416" i="3"/>
  <c r="Q273" i="3"/>
  <c r="R352" i="3"/>
  <c r="Q479" i="3"/>
  <c r="R305" i="3"/>
  <c r="Q320" i="3"/>
  <c r="R410" i="3"/>
  <c r="Q102" i="3"/>
  <c r="Q457" i="3"/>
  <c r="Q428" i="3"/>
  <c r="Q376" i="3"/>
  <c r="R481" i="3"/>
  <c r="Q429" i="3"/>
  <c r="R503" i="3"/>
  <c r="R360" i="3"/>
  <c r="R458" i="3"/>
  <c r="R474" i="3"/>
  <c r="R368" i="3"/>
  <c r="Q420" i="3"/>
  <c r="R455" i="3"/>
  <c r="Q452" i="3"/>
  <c r="R484" i="3"/>
  <c r="Q412" i="3"/>
  <c r="R490" i="3"/>
  <c r="Q249" i="3"/>
  <c r="R105" i="3"/>
  <c r="R493" i="3"/>
  <c r="R90" i="3"/>
  <c r="Q290" i="3"/>
  <c r="Q241" i="3"/>
  <c r="R300" i="3"/>
  <c r="Q17" i="3"/>
  <c r="Q88" i="3"/>
  <c r="R103" i="3"/>
  <c r="R136" i="3"/>
  <c r="Q332" i="3"/>
  <c r="Q71" i="3"/>
  <c r="R223" i="3"/>
  <c r="R365" i="3"/>
  <c r="Q38" i="3"/>
  <c r="Q232" i="3"/>
  <c r="R253" i="3"/>
  <c r="R62" i="3"/>
  <c r="Q45" i="3"/>
  <c r="Q198" i="3"/>
  <c r="R14" i="3"/>
  <c r="R109" i="3"/>
  <c r="Q236" i="3"/>
  <c r="Q362" i="3"/>
  <c r="R323" i="3"/>
  <c r="Q354" i="3"/>
  <c r="R162" i="3"/>
  <c r="R101" i="3"/>
  <c r="Q214" i="3"/>
  <c r="R401" i="3"/>
  <c r="R126" i="3"/>
  <c r="Q115" i="3"/>
  <c r="R122" i="3"/>
  <c r="Q337" i="3"/>
  <c r="R260" i="3"/>
  <c r="Q378" i="3"/>
  <c r="Q12" i="3"/>
  <c r="Q211" i="3"/>
  <c r="R238" i="3"/>
  <c r="Q345" i="3"/>
  <c r="R46" i="3"/>
  <c r="R131" i="3"/>
  <c r="R314" i="3"/>
  <c r="Q305" i="3"/>
  <c r="R211" i="3"/>
  <c r="R252" i="3"/>
  <c r="R319" i="3"/>
  <c r="R227" i="3"/>
  <c r="R35" i="3"/>
  <c r="Q170" i="3"/>
  <c r="R243" i="3"/>
  <c r="Q406" i="3"/>
  <c r="R344" i="3"/>
  <c r="Q392" i="3"/>
  <c r="Q197" i="3"/>
  <c r="R450" i="3"/>
  <c r="Q328" i="3"/>
  <c r="Q469" i="3"/>
  <c r="R188" i="3"/>
  <c r="R312" i="3"/>
  <c r="Q456" i="3"/>
  <c r="Q360" i="3"/>
  <c r="Q494" i="3"/>
  <c r="Q385" i="3"/>
  <c r="R428" i="3"/>
  <c r="R466" i="3"/>
  <c r="Q449" i="3"/>
  <c r="Q486" i="3"/>
  <c r="R414" i="3"/>
  <c r="Q441" i="3"/>
  <c r="R250" i="3"/>
  <c r="Q89" i="3"/>
  <c r="R89" i="3"/>
  <c r="R50" i="3"/>
  <c r="R498" i="3"/>
  <c r="R112" i="3"/>
  <c r="R74" i="3"/>
  <c r="R398" i="3"/>
  <c r="Q113" i="3"/>
  <c r="R63" i="3"/>
  <c r="R8" i="3"/>
  <c r="Q184" i="3"/>
  <c r="Q39" i="3"/>
  <c r="Q151" i="3"/>
  <c r="Q183" i="3"/>
  <c r="Q30" i="3"/>
  <c r="R80" i="3"/>
  <c r="R270" i="3"/>
  <c r="Q212" i="3"/>
  <c r="R37" i="3"/>
  <c r="R149" i="3"/>
  <c r="Q395" i="3"/>
  <c r="R77" i="3"/>
  <c r="Q162" i="3"/>
  <c r="R286" i="3"/>
  <c r="R307" i="3"/>
  <c r="Q238" i="3"/>
  <c r="Q270" i="3"/>
  <c r="R93" i="3"/>
  <c r="Q134" i="3"/>
  <c r="R393" i="3"/>
  <c r="R86" i="3"/>
  <c r="Q107" i="3"/>
  <c r="Q118" i="3"/>
  <c r="Q58" i="3"/>
  <c r="R171" i="3"/>
  <c r="R354" i="3"/>
  <c r="Q393" i="3"/>
  <c r="R163" i="3"/>
  <c r="R148" i="3"/>
  <c r="R321" i="3"/>
  <c r="R268" i="3"/>
  <c r="Q91" i="3"/>
  <c r="Q60" i="3"/>
  <c r="R293" i="3"/>
  <c r="Q203" i="3"/>
  <c r="R172" i="3"/>
  <c r="R254" i="3"/>
  <c r="R179" i="3"/>
  <c r="Q19" i="3"/>
  <c r="Q114" i="3"/>
  <c r="Q235" i="3"/>
  <c r="R456" i="3"/>
  <c r="Q293" i="3"/>
  <c r="Q266" i="3"/>
  <c r="R267" i="3"/>
  <c r="Q405" i="3"/>
  <c r="R328" i="3"/>
  <c r="Q502" i="3"/>
  <c r="R187" i="3"/>
  <c r="R304" i="3"/>
  <c r="R427" i="3"/>
  <c r="R262" i="3"/>
  <c r="R417" i="3"/>
  <c r="R462" i="3"/>
  <c r="R405" i="3"/>
  <c r="R420" i="3"/>
  <c r="Q488" i="3"/>
  <c r="Q471" i="3"/>
  <c r="Q487" i="3"/>
  <c r="R413" i="3"/>
  <c r="Q78" i="3"/>
  <c r="R452" i="3"/>
  <c r="R460" i="3"/>
  <c r="R424" i="3"/>
  <c r="Q493" i="3"/>
  <c r="Q152" i="3"/>
  <c r="R81" i="3"/>
  <c r="Q49" i="3"/>
  <c r="R65" i="3"/>
  <c r="Q472" i="3"/>
  <c r="R451" i="3"/>
  <c r="R408" i="3"/>
  <c r="Q474" i="3"/>
  <c r="Q501" i="3"/>
  <c r="R218" i="3"/>
  <c r="Q96" i="3"/>
  <c r="R193" i="3"/>
  <c r="R232" i="3"/>
  <c r="R17" i="3"/>
  <c r="Q374" i="3"/>
  <c r="Q311" i="3"/>
  <c r="Q120" i="3"/>
  <c r="R138" i="3"/>
  <c r="Q397" i="3"/>
  <c r="Q24" i="3"/>
  <c r="R159" i="3"/>
  <c r="Q317" i="3"/>
  <c r="Q348" i="3"/>
  <c r="R399" i="3"/>
  <c r="R39" i="3"/>
  <c r="R261" i="3"/>
  <c r="R215" i="3"/>
  <c r="Q21" i="3"/>
  <c r="Q243" i="3"/>
  <c r="R196" i="3"/>
  <c r="R194" i="3"/>
  <c r="Q66" i="3"/>
  <c r="Q164" i="3"/>
  <c r="Q101" i="3"/>
  <c r="R180" i="3"/>
  <c r="R277" i="3"/>
  <c r="R379" i="3"/>
  <c r="Q229" i="3"/>
  <c r="R362" i="3"/>
  <c r="Q140" i="3"/>
  <c r="R170" i="3"/>
  <c r="R219" i="3"/>
  <c r="R59" i="3"/>
  <c r="Q36" i="3"/>
  <c r="Q126" i="3"/>
  <c r="Q387" i="3"/>
  <c r="R76" i="3"/>
  <c r="Q10" i="3"/>
  <c r="R123" i="3"/>
  <c r="R36" i="3"/>
  <c r="Q282" i="3"/>
  <c r="R195" i="3"/>
  <c r="Q43" i="3"/>
  <c r="Q401" i="3"/>
  <c r="Q375" i="3"/>
  <c r="Q403" i="3"/>
  <c r="R369" i="3"/>
  <c r="Q292" i="3"/>
  <c r="R91" i="3"/>
  <c r="R140" i="3"/>
  <c r="Q244" i="3"/>
  <c r="Q187" i="3"/>
  <c r="Q260" i="3"/>
  <c r="R423" i="3"/>
  <c r="Q450" i="3"/>
  <c r="R19" i="3"/>
  <c r="Q444" i="3"/>
  <c r="Q165" i="3"/>
  <c r="R483" i="3"/>
  <c r="R384" i="3"/>
  <c r="Q439" i="3"/>
  <c r="R361" i="3"/>
  <c r="Q451" i="3"/>
  <c r="R502" i="3"/>
  <c r="Q445" i="3"/>
  <c r="R494" i="3"/>
  <c r="Q430" i="3"/>
  <c r="Q421" i="3"/>
  <c r="Q413" i="3"/>
  <c r="R416" i="3"/>
  <c r="Q432" i="3"/>
  <c r="R130" i="3"/>
  <c r="R249" i="3"/>
  <c r="Q296" i="3"/>
  <c r="Q192" i="3"/>
  <c r="Q257" i="3"/>
  <c r="Q366" i="3"/>
  <c r="Q217" i="3"/>
  <c r="Q218" i="3"/>
  <c r="Q335" i="3"/>
  <c r="Q300" i="3"/>
  <c r="R207" i="3"/>
  <c r="Q135" i="3"/>
  <c r="R245" i="3"/>
  <c r="Q32" i="3"/>
  <c r="Q343" i="3"/>
  <c r="R31" i="3"/>
  <c r="Q356" i="3"/>
  <c r="Q207" i="3"/>
  <c r="R13" i="3"/>
  <c r="Q110" i="3"/>
  <c r="Q92" i="3"/>
  <c r="Q158" i="3"/>
  <c r="R26" i="3"/>
  <c r="Q124" i="3"/>
  <c r="Q93" i="3"/>
  <c r="Q132" i="3"/>
  <c r="Q189" i="3"/>
  <c r="Q363" i="3"/>
  <c r="R205" i="3"/>
  <c r="R346" i="3"/>
  <c r="Q245" i="3"/>
  <c r="Q230" i="3"/>
  <c r="Q195" i="3"/>
  <c r="Q27" i="3"/>
  <c r="Q28" i="3"/>
  <c r="R102" i="3"/>
  <c r="R371" i="3"/>
  <c r="R68" i="3"/>
  <c r="R230" i="3"/>
  <c r="R115" i="3"/>
  <c r="R28" i="3"/>
  <c r="Q239" i="3"/>
  <c r="Q179" i="3"/>
  <c r="Q35" i="3"/>
  <c r="Q353" i="3"/>
  <c r="Q319" i="3"/>
  <c r="R66" i="3"/>
  <c r="Q361" i="3"/>
  <c r="R204" i="3"/>
  <c r="R67" i="3"/>
  <c r="R60" i="3"/>
  <c r="R220" i="3"/>
  <c r="R11" i="3"/>
  <c r="R236" i="3"/>
  <c r="R406" i="3"/>
  <c r="Q482" i="3"/>
  <c r="Q400" i="3"/>
  <c r="Q454" i="3"/>
  <c r="R482" i="3"/>
  <c r="Q407" i="3"/>
  <c r="Q368" i="3"/>
  <c r="Q431" i="3"/>
  <c r="R58" i="3"/>
  <c r="Q478" i="3"/>
  <c r="R495" i="3"/>
  <c r="Q422" i="3"/>
  <c r="Q492" i="3"/>
  <c r="Q409" i="3"/>
  <c r="R463" i="3"/>
  <c r="Q461" i="3"/>
  <c r="Q426" i="3"/>
  <c r="Q75" i="3"/>
  <c r="R132" i="3"/>
  <c r="R208" i="3"/>
  <c r="Q344" i="3"/>
  <c r="R433" i="3"/>
  <c r="Q304" i="3"/>
  <c r="Q443" i="3"/>
  <c r="Q262" i="3"/>
  <c r="R83" i="3"/>
  <c r="Q227" i="3"/>
  <c r="Q252" i="3"/>
  <c r="R52" i="3"/>
  <c r="Q148" i="3"/>
  <c r="Q210" i="3"/>
  <c r="Q240" i="3"/>
  <c r="R229" i="3"/>
  <c r="R42" i="3"/>
  <c r="R56" i="3"/>
  <c r="Q176" i="3"/>
  <c r="R499" i="3"/>
  <c r="R471" i="3"/>
  <c r="Q423" i="3"/>
  <c r="R255" i="3"/>
  <c r="R425" i="3"/>
  <c r="Q4" i="3"/>
  <c r="R155" i="3"/>
  <c r="R166" i="3"/>
  <c r="R337" i="3"/>
  <c r="R45" i="3"/>
  <c r="R275" i="3"/>
  <c r="R167" i="3"/>
  <c r="R276" i="3"/>
  <c r="R429" i="3"/>
  <c r="Q425" i="3"/>
  <c r="Q427" i="3"/>
  <c r="Q312" i="3"/>
  <c r="Q172" i="3"/>
  <c r="Q322" i="3"/>
  <c r="R107" i="3"/>
  <c r="Q204" i="3"/>
  <c r="R345" i="3"/>
  <c r="R84" i="3"/>
  <c r="R228" i="3"/>
  <c r="R235" i="3"/>
  <c r="Q347" i="3"/>
  <c r="Q142" i="3"/>
  <c r="R348" i="3"/>
  <c r="R64" i="3"/>
  <c r="R104" i="3"/>
  <c r="Q463" i="3"/>
  <c r="Q470" i="3"/>
  <c r="R492" i="3"/>
  <c r="Q410" i="3"/>
  <c r="Q46" i="3"/>
  <c r="R139" i="3"/>
  <c r="R10" i="3"/>
  <c r="R313" i="3"/>
  <c r="Q196" i="3"/>
  <c r="R75" i="3"/>
  <c r="R386" i="3"/>
  <c r="R158" i="3"/>
  <c r="R133" i="3"/>
  <c r="Q263" i="3"/>
  <c r="R356" i="3"/>
  <c r="Q97" i="3"/>
  <c r="Q9" i="3"/>
  <c r="Q462" i="3"/>
  <c r="R375" i="3"/>
  <c r="Q258" i="3"/>
  <c r="R454" i="3"/>
  <c r="R434" i="3"/>
  <c r="Q495" i="3"/>
  <c r="R443" i="3"/>
  <c r="Q150" i="3"/>
  <c r="R147" i="3"/>
  <c r="Q234" i="3"/>
  <c r="Q321" i="3"/>
  <c r="R282" i="3"/>
  <c r="R99" i="3"/>
  <c r="Q13" i="3"/>
  <c r="Q242" i="3"/>
  <c r="Q141" i="3"/>
  <c r="Q64" i="3"/>
  <c r="Q372" i="3"/>
  <c r="Q105" i="3"/>
  <c r="R57" i="3"/>
  <c r="L118" i="3"/>
  <c r="L184" i="3"/>
  <c r="L258" i="3"/>
  <c r="L12" i="3"/>
  <c r="L452" i="3"/>
  <c r="L485" i="3"/>
  <c r="L470" i="3"/>
  <c r="L86" i="3"/>
  <c r="L153" i="3"/>
  <c r="L195" i="3"/>
  <c r="L288" i="3"/>
  <c r="L410" i="3"/>
  <c r="L62" i="3"/>
  <c r="L420" i="3"/>
  <c r="L277" i="3"/>
  <c r="L384" i="3"/>
  <c r="L121" i="3"/>
  <c r="L160" i="3"/>
  <c r="L224" i="3"/>
  <c r="L39" i="3"/>
  <c r="L30" i="3"/>
  <c r="L45" i="3"/>
  <c r="L216" i="3"/>
  <c r="L293" i="3"/>
  <c r="L89" i="3"/>
  <c r="L128" i="3"/>
  <c r="L179" i="3"/>
  <c r="L7" i="3"/>
  <c r="L398" i="3"/>
  <c r="L13" i="3"/>
  <c r="L484" i="3"/>
  <c r="L215" i="3"/>
  <c r="L8" i="3"/>
  <c r="L96" i="3"/>
  <c r="L147" i="3"/>
  <c r="L375" i="3"/>
  <c r="L366" i="3"/>
  <c r="L381" i="3"/>
  <c r="L242" i="3"/>
  <c r="L497" i="3"/>
  <c r="L253" i="3"/>
  <c r="L64" i="3"/>
  <c r="L115" i="3"/>
  <c r="L343" i="3"/>
  <c r="L334" i="3"/>
  <c r="L349" i="3"/>
  <c r="L185" i="3"/>
  <c r="L281" i="3"/>
  <c r="L52" i="3"/>
  <c r="L413" i="3"/>
  <c r="L83" i="3"/>
  <c r="L311" i="3"/>
  <c r="L493" i="3"/>
  <c r="L317" i="3"/>
  <c r="L150" i="3"/>
  <c r="L236" i="3"/>
  <c r="E3" i="3"/>
  <c r="L249" i="3"/>
  <c r="L360" i="3"/>
  <c r="L436" i="3"/>
  <c r="L430" i="3"/>
  <c r="L487" i="3"/>
  <c r="L274" i="3"/>
  <c r="L197" i="3"/>
  <c r="L483" i="3"/>
  <c r="L227" i="3"/>
  <c r="L178" i="3"/>
  <c r="L146" i="3"/>
  <c r="L114" i="3"/>
  <c r="L82" i="3"/>
  <c r="L352" i="3"/>
  <c r="L287" i="3"/>
  <c r="L200" i="3"/>
  <c r="L462" i="3"/>
  <c r="L276" i="3"/>
  <c r="L226" i="3"/>
  <c r="L181" i="3"/>
  <c r="L149" i="3"/>
  <c r="L117" i="3"/>
  <c r="L85" i="3"/>
  <c r="L376" i="3"/>
  <c r="L250" i="3"/>
  <c r="L20" i="3"/>
  <c r="L3" i="3"/>
  <c r="L238" i="3"/>
  <c r="L191" i="3"/>
  <c r="L156" i="3"/>
  <c r="L124" i="3"/>
  <c r="L92" i="3"/>
  <c r="L32" i="3"/>
  <c r="L406" i="3"/>
  <c r="L246" i="3"/>
  <c r="L380" i="3"/>
  <c r="L265" i="3"/>
  <c r="L220" i="3"/>
  <c r="L175" i="3"/>
  <c r="L143" i="3"/>
  <c r="L111" i="3"/>
  <c r="L79" i="3"/>
  <c r="L328" i="3"/>
  <c r="L442" i="3"/>
  <c r="L408" i="3"/>
  <c r="L35" i="3"/>
  <c r="L403" i="3"/>
  <c r="L371" i="3"/>
  <c r="L339" i="3"/>
  <c r="L307" i="3"/>
  <c r="L429" i="3"/>
  <c r="L475" i="3"/>
  <c r="L58" i="3"/>
  <c r="L26" i="3"/>
  <c r="L394" i="3"/>
  <c r="L362" i="3"/>
  <c r="L330" i="3"/>
  <c r="L489" i="3"/>
  <c r="L425" i="3"/>
  <c r="L466" i="3"/>
  <c r="L417" i="3"/>
  <c r="L41" i="3"/>
  <c r="L9" i="3"/>
  <c r="L377" i="3"/>
  <c r="L345" i="3"/>
  <c r="L313" i="3"/>
  <c r="L468" i="3"/>
  <c r="L271" i="3"/>
  <c r="L182" i="3"/>
  <c r="L296" i="3"/>
  <c r="L223" i="3"/>
  <c r="L174" i="3"/>
  <c r="L142" i="3"/>
  <c r="L110" i="3"/>
  <c r="L78" i="3"/>
  <c r="L320" i="3"/>
  <c r="L264" i="3"/>
  <c r="L196" i="3"/>
  <c r="L453" i="3"/>
  <c r="L273" i="3"/>
  <c r="L222" i="3"/>
  <c r="L177" i="3"/>
  <c r="L145" i="3"/>
  <c r="L113" i="3"/>
  <c r="L81" i="3"/>
  <c r="L344" i="3"/>
  <c r="L244" i="3"/>
  <c r="L388" i="3"/>
  <c r="L297" i="3"/>
  <c r="L232" i="3"/>
  <c r="L187" i="3"/>
  <c r="L152" i="3"/>
  <c r="L120" i="3"/>
  <c r="L88" i="3"/>
  <c r="L400" i="3"/>
  <c r="L294" i="3"/>
  <c r="L235" i="3"/>
  <c r="L348" i="3"/>
  <c r="L260" i="3"/>
  <c r="L209" i="3"/>
  <c r="L171" i="3"/>
  <c r="L139" i="3"/>
  <c r="L107" i="3"/>
  <c r="L75" i="3"/>
  <c r="L490" i="3"/>
  <c r="L435" i="3"/>
  <c r="L63" i="3"/>
  <c r="L31" i="3"/>
  <c r="L399" i="3"/>
  <c r="L367" i="3"/>
  <c r="L335" i="3"/>
  <c r="L477" i="3"/>
  <c r="L423" i="3"/>
  <c r="L471" i="3"/>
  <c r="L54" i="3"/>
  <c r="L22" i="3"/>
  <c r="L390" i="3"/>
  <c r="L358" i="3"/>
  <c r="L326" i="3"/>
  <c r="L481" i="3"/>
  <c r="L502" i="3"/>
  <c r="L465" i="3"/>
  <c r="L407" i="3"/>
  <c r="L37" i="3"/>
  <c r="L5" i="3"/>
  <c r="L373" i="3"/>
  <c r="L341" i="3"/>
  <c r="L309" i="3"/>
  <c r="L467" i="3"/>
  <c r="L303" i="3"/>
  <c r="L268" i="3"/>
  <c r="L36" i="3"/>
  <c r="L290" i="3"/>
  <c r="L212" i="3"/>
  <c r="L170" i="3"/>
  <c r="L138" i="3"/>
  <c r="L106" i="3"/>
  <c r="L74" i="3"/>
  <c r="L478" i="3"/>
  <c r="L251" i="3"/>
  <c r="L60" i="3"/>
  <c r="L446" i="3"/>
  <c r="L270" i="3"/>
  <c r="L211" i="3"/>
  <c r="L173" i="3"/>
  <c r="L141" i="3"/>
  <c r="L109" i="3"/>
  <c r="L77" i="3"/>
  <c r="L312" i="3"/>
  <c r="L241" i="3"/>
  <c r="L356" i="3"/>
  <c r="L292" i="3"/>
  <c r="L225" i="3"/>
  <c r="L180" i="3"/>
  <c r="L148" i="3"/>
  <c r="L116" i="3"/>
  <c r="L84" i="3"/>
  <c r="L368" i="3"/>
  <c r="L283" i="3"/>
  <c r="L217" i="3"/>
  <c r="L316" i="3"/>
  <c r="L252" i="3"/>
  <c r="L205" i="3"/>
  <c r="L167" i="3"/>
  <c r="L135" i="3"/>
  <c r="L103" i="3"/>
  <c r="L71" i="3"/>
  <c r="L482" i="3"/>
  <c r="L433" i="3"/>
  <c r="L59" i="3"/>
  <c r="L27" i="3"/>
  <c r="L395" i="3"/>
  <c r="L363" i="3"/>
  <c r="L331" i="3"/>
  <c r="L469" i="3"/>
  <c r="L412" i="3"/>
  <c r="L464" i="3"/>
  <c r="L50" i="3"/>
  <c r="L18" i="3"/>
  <c r="L386" i="3"/>
  <c r="L354" i="3"/>
  <c r="L322" i="3"/>
  <c r="L459" i="3"/>
  <c r="L491" i="3"/>
  <c r="L461" i="3"/>
  <c r="L404" i="3"/>
  <c r="L33" i="3"/>
  <c r="L401" i="3"/>
  <c r="L369" i="3"/>
  <c r="L337" i="3"/>
  <c r="L305" i="3"/>
  <c r="L463" i="3"/>
  <c r="L301" i="3"/>
  <c r="L257" i="3"/>
  <c r="L4" i="3"/>
  <c r="L279" i="3"/>
  <c r="L208" i="3"/>
  <c r="L166" i="3"/>
  <c r="L134" i="3"/>
  <c r="L102" i="3"/>
  <c r="L70" i="3"/>
  <c r="L458" i="3"/>
  <c r="L239" i="3"/>
  <c r="L28" i="3"/>
  <c r="L409" i="3"/>
  <c r="L267" i="3"/>
  <c r="L207" i="3"/>
  <c r="L169" i="3"/>
  <c r="L137" i="3"/>
  <c r="L105" i="3"/>
  <c r="L73" i="3"/>
  <c r="L302" i="3"/>
  <c r="L229" i="3"/>
  <c r="L324" i="3"/>
  <c r="L286" i="3"/>
  <c r="L221" i="3"/>
  <c r="L176" i="3"/>
  <c r="L144" i="3"/>
  <c r="L112" i="3"/>
  <c r="L80" i="3"/>
  <c r="L336" i="3"/>
  <c r="L280" i="3"/>
  <c r="L213" i="3"/>
  <c r="L492" i="3"/>
  <c r="L243" i="3"/>
  <c r="L201" i="3"/>
  <c r="L163" i="3"/>
  <c r="L131" i="3"/>
  <c r="L99" i="3"/>
  <c r="L67" i="3"/>
  <c r="L480" i="3"/>
  <c r="L426" i="3"/>
  <c r="L55" i="3"/>
  <c r="L23" i="3"/>
  <c r="L391" i="3"/>
  <c r="L359" i="3"/>
  <c r="L327" i="3"/>
  <c r="L449" i="3"/>
  <c r="L498" i="3"/>
  <c r="L444" i="3"/>
  <c r="L46" i="3"/>
  <c r="L14" i="3"/>
  <c r="L382" i="3"/>
  <c r="L350" i="3"/>
  <c r="L318" i="3"/>
  <c r="L454" i="3"/>
  <c r="L479" i="3"/>
  <c r="L445" i="3"/>
  <c r="L61" i="3"/>
  <c r="L29" i="3"/>
  <c r="L397" i="3"/>
  <c r="L365" i="3"/>
  <c r="L333" i="3"/>
  <c r="L501" i="3"/>
  <c r="L456" i="3"/>
  <c r="L299" i="3"/>
  <c r="L248" i="3"/>
  <c r="L372" i="3"/>
  <c r="L262" i="3"/>
  <c r="L204" i="3"/>
  <c r="L162" i="3"/>
  <c r="L130" i="3"/>
  <c r="L98" i="3"/>
  <c r="L66" i="3"/>
  <c r="L457" i="3"/>
  <c r="L233" i="3"/>
  <c r="L396" i="3"/>
  <c r="L300" i="3"/>
  <c r="L259" i="3"/>
  <c r="L203" i="3"/>
  <c r="L165" i="3"/>
  <c r="L133" i="3"/>
  <c r="L101" i="3"/>
  <c r="L69" i="3"/>
  <c r="L289" i="3"/>
  <c r="L218" i="3"/>
  <c r="L503" i="3"/>
  <c r="L272" i="3"/>
  <c r="L210" i="3"/>
  <c r="L172" i="3"/>
  <c r="L140" i="3"/>
  <c r="L108" i="3"/>
  <c r="L76" i="3"/>
  <c r="L304" i="3"/>
  <c r="L275" i="3"/>
  <c r="L198" i="3"/>
  <c r="L443" i="3"/>
  <c r="L240" i="3"/>
  <c r="L194" i="3"/>
  <c r="L159" i="3"/>
  <c r="L127" i="3"/>
  <c r="L95" i="3"/>
  <c r="L56" i="3"/>
  <c r="L473" i="3"/>
  <c r="L421" i="3"/>
  <c r="L51" i="3"/>
  <c r="L19" i="3"/>
  <c r="L387" i="3"/>
  <c r="L355" i="3"/>
  <c r="L323" i="3"/>
  <c r="L448" i="3"/>
  <c r="L496" i="3"/>
  <c r="L440" i="3"/>
  <c r="L42" i="3"/>
  <c r="L10" i="3"/>
  <c r="L378" i="3"/>
  <c r="L346" i="3"/>
  <c r="L314" i="3"/>
  <c r="L451" i="3"/>
  <c r="L476" i="3"/>
  <c r="L428" i="3"/>
  <c r="L57" i="3"/>
  <c r="L25" i="3"/>
  <c r="L393" i="3"/>
  <c r="L361" i="3"/>
  <c r="L329" i="3"/>
  <c r="L500" i="3"/>
  <c r="L434" i="3"/>
  <c r="L285" i="3"/>
  <c r="L237" i="3"/>
  <c r="L340" i="3"/>
  <c r="L254" i="3"/>
  <c r="L193" i="3"/>
  <c r="L158" i="3"/>
  <c r="L126" i="3"/>
  <c r="L94" i="3"/>
  <c r="L48" i="3"/>
  <c r="L447" i="3"/>
  <c r="L230" i="3"/>
  <c r="L364" i="3"/>
  <c r="L295" i="3"/>
  <c r="L256" i="3"/>
  <c r="L192" i="3"/>
  <c r="L161" i="3"/>
  <c r="L129" i="3"/>
  <c r="L97" i="3"/>
  <c r="L65" i="3"/>
  <c r="L278" i="3"/>
  <c r="L214" i="3"/>
  <c r="L486" i="3"/>
  <c r="L269" i="3"/>
  <c r="L206" i="3"/>
  <c r="L168" i="3"/>
  <c r="L136" i="3"/>
  <c r="L104" i="3"/>
  <c r="L72" i="3"/>
  <c r="L450" i="3"/>
  <c r="L263" i="3"/>
  <c r="L183" i="3"/>
  <c r="L418" i="3"/>
  <c r="L231" i="3"/>
  <c r="L190" i="3"/>
  <c r="L155" i="3"/>
  <c r="L123" i="3"/>
  <c r="L91" i="3"/>
  <c r="L24" i="3"/>
  <c r="L460" i="3"/>
  <c r="L419" i="3"/>
  <c r="L47" i="3"/>
  <c r="L15" i="3"/>
  <c r="L383" i="3"/>
  <c r="L351" i="3"/>
  <c r="L319" i="3"/>
  <c r="L438" i="3"/>
  <c r="L494" i="3"/>
  <c r="L414" i="3"/>
  <c r="L38" i="3"/>
  <c r="L6" i="3"/>
  <c r="L374" i="3"/>
  <c r="L342" i="3"/>
  <c r="L310" i="3"/>
  <c r="L441" i="3"/>
  <c r="L474" i="3"/>
  <c r="L427" i="3"/>
  <c r="L53" i="3"/>
  <c r="L21" i="3"/>
  <c r="L389" i="3"/>
  <c r="L357" i="3"/>
  <c r="L325" i="3"/>
  <c r="L499" i="3"/>
  <c r="L424" i="3"/>
  <c r="L282" i="3"/>
  <c r="L234" i="3"/>
  <c r="L308" i="3"/>
  <c r="L245" i="3"/>
  <c r="L189" i="3"/>
  <c r="L154" i="3"/>
  <c r="L122" i="3"/>
  <c r="L90" i="3"/>
  <c r="L16" i="3"/>
  <c r="L298" i="3"/>
  <c r="L219" i="3"/>
  <c r="L332" i="3"/>
  <c r="L284" i="3"/>
  <c r="L247" i="3"/>
  <c r="L188" i="3"/>
  <c r="L157" i="3"/>
  <c r="L125" i="3"/>
  <c r="L93" i="3"/>
  <c r="L40" i="3"/>
  <c r="L261" i="3"/>
  <c r="L199" i="3"/>
  <c r="L431" i="3"/>
  <c r="L266" i="3"/>
  <c r="L202" i="3"/>
  <c r="L164" i="3"/>
  <c r="L132" i="3"/>
  <c r="L100" i="3"/>
  <c r="L68" i="3"/>
  <c r="L439" i="3"/>
  <c r="L255" i="3"/>
  <c r="L44" i="3"/>
  <c r="L291" i="3"/>
  <c r="L228" i="3"/>
  <c r="L186" i="3"/>
  <c r="L151" i="3"/>
  <c r="L119" i="3"/>
  <c r="L87" i="3"/>
  <c r="L392" i="3"/>
  <c r="L455" i="3"/>
  <c r="L415" i="3"/>
  <c r="L43" i="3"/>
  <c r="L11" i="3"/>
  <c r="L379" i="3"/>
  <c r="L347" i="3"/>
  <c r="L315" i="3"/>
  <c r="L437" i="3"/>
  <c r="L488" i="3"/>
  <c r="L405" i="3"/>
  <c r="L34" i="3"/>
  <c r="L402" i="3"/>
  <c r="L370" i="3"/>
  <c r="L338" i="3"/>
  <c r="L306" i="3"/>
  <c r="L432" i="3"/>
  <c r="L472" i="3"/>
  <c r="L422" i="3"/>
  <c r="L49" i="3"/>
  <c r="L17" i="3"/>
  <c r="L385" i="3"/>
  <c r="L353" i="3"/>
  <c r="L321" i="3"/>
  <c r="L495" i="3"/>
  <c r="Q491" i="3"/>
  <c r="B18" i="4"/>
  <c r="S245" i="3" l="1"/>
  <c r="J245" i="3" s="1"/>
  <c r="S325" i="3"/>
  <c r="J325" i="3" s="1"/>
  <c r="S248" i="3"/>
  <c r="J248" i="3" s="1"/>
  <c r="S219" i="3"/>
  <c r="J219" i="3" s="1"/>
  <c r="S272" i="3"/>
  <c r="J272" i="3" s="1"/>
  <c r="S37" i="3"/>
  <c r="J37" i="3" s="1"/>
  <c r="S374" i="3"/>
  <c r="J374" i="3" s="1"/>
  <c r="S58" i="3"/>
  <c r="J58" i="3" s="1"/>
  <c r="S338" i="3"/>
  <c r="J338" i="3" s="1"/>
  <c r="S200" i="3"/>
  <c r="J200" i="3" s="1"/>
  <c r="S246" i="3"/>
  <c r="J246" i="3" s="1"/>
  <c r="S172" i="3"/>
  <c r="J172" i="3" s="1"/>
  <c r="S394" i="3"/>
  <c r="J394" i="3" s="1"/>
  <c r="S83" i="3"/>
  <c r="J83" i="3" s="1"/>
  <c r="S94" i="3"/>
  <c r="J94" i="3" s="1"/>
  <c r="S205" i="3"/>
  <c r="J205" i="3" s="1"/>
  <c r="T416" i="3"/>
  <c r="K416" i="3" s="1"/>
  <c r="S498" i="3"/>
  <c r="J498" i="3" s="1"/>
  <c r="S236" i="3"/>
  <c r="J236" i="3" s="1"/>
  <c r="S389" i="3"/>
  <c r="J389" i="3" s="1"/>
  <c r="S29" i="3"/>
  <c r="J29" i="3" s="1"/>
  <c r="S473" i="3"/>
  <c r="J473" i="3" s="1"/>
  <c r="S176" i="3"/>
  <c r="J176" i="3" s="1"/>
  <c r="S349" i="3"/>
  <c r="J349" i="3" s="1"/>
  <c r="S196" i="3"/>
  <c r="J196" i="3" s="1"/>
  <c r="S366" i="3"/>
  <c r="J366" i="3" s="1"/>
  <c r="S271" i="3"/>
  <c r="J271" i="3" s="1"/>
  <c r="S430" i="3"/>
  <c r="J430" i="3" s="1"/>
  <c r="S17" i="3"/>
  <c r="J17" i="3" s="1"/>
  <c r="S157" i="3"/>
  <c r="J157" i="3" s="1"/>
  <c r="S318" i="3"/>
  <c r="J318" i="3" s="1"/>
  <c r="S46" i="3"/>
  <c r="J46" i="3" s="1"/>
  <c r="S443" i="3"/>
  <c r="J443" i="3" s="1"/>
  <c r="S156" i="3"/>
  <c r="J156" i="3" s="1"/>
  <c r="S202" i="3"/>
  <c r="J202" i="3" s="1"/>
  <c r="S376" i="3"/>
  <c r="J376" i="3" s="1"/>
  <c r="S261" i="3"/>
  <c r="J261" i="3" s="1"/>
  <c r="S280" i="3"/>
  <c r="J280" i="3" s="1"/>
  <c r="S371" i="3"/>
  <c r="J371" i="3" s="1"/>
  <c r="S77" i="3"/>
  <c r="J77" i="3" s="1"/>
  <c r="T271" i="3"/>
  <c r="K271" i="3" s="1"/>
  <c r="S471" i="3"/>
  <c r="J471" i="3" s="1"/>
  <c r="S131" i="3"/>
  <c r="J131" i="3" s="1"/>
  <c r="S265" i="3"/>
  <c r="J265" i="3" s="1"/>
  <c r="S18" i="3"/>
  <c r="J18" i="3" s="1"/>
  <c r="S300" i="3"/>
  <c r="J300" i="3" s="1"/>
  <c r="S150" i="3"/>
  <c r="J150" i="3" s="1"/>
  <c r="S93" i="3"/>
  <c r="J93" i="3" s="1"/>
  <c r="S406" i="3"/>
  <c r="J406" i="3" s="1"/>
  <c r="S429" i="3"/>
  <c r="J429" i="3" s="1"/>
  <c r="S418" i="3"/>
  <c r="J418" i="3" s="1"/>
  <c r="S239" i="3"/>
  <c r="J239" i="3" s="1"/>
  <c r="S482" i="3"/>
  <c r="J482" i="3" s="1"/>
  <c r="S135" i="3"/>
  <c r="J135" i="3" s="1"/>
  <c r="S192" i="3"/>
  <c r="J192" i="3" s="1"/>
  <c r="S492" i="3"/>
  <c r="J492" i="3" s="1"/>
  <c r="S24" i="3"/>
  <c r="J24" i="3" s="1"/>
  <c r="S45" i="3"/>
  <c r="J45" i="3" s="1"/>
  <c r="S332" i="3"/>
  <c r="J332" i="3" s="1"/>
  <c r="S479" i="3"/>
  <c r="J479" i="3" s="1"/>
  <c r="S139" i="3"/>
  <c r="J139" i="3" s="1"/>
  <c r="S464" i="3"/>
  <c r="J464" i="3" s="1"/>
  <c r="S286" i="3"/>
  <c r="J286" i="3" s="1"/>
  <c r="S81" i="3"/>
  <c r="J81" i="3" s="1"/>
  <c r="S104" i="3"/>
  <c r="J104" i="3" s="1"/>
  <c r="S421" i="3"/>
  <c r="J421" i="3" s="1"/>
  <c r="S88" i="3"/>
  <c r="J88" i="3" s="1"/>
  <c r="S282" i="3"/>
  <c r="J282" i="3" s="1"/>
  <c r="S96" i="3"/>
  <c r="J96" i="3" s="1"/>
  <c r="S379" i="3"/>
  <c r="J379" i="3" s="1"/>
  <c r="S388" i="3"/>
  <c r="J388" i="3" s="1"/>
  <c r="S241" i="3"/>
  <c r="J241" i="3" s="1"/>
  <c r="S164" i="3"/>
  <c r="J164" i="3" s="1"/>
  <c r="S425" i="3"/>
  <c r="J425" i="3" s="1"/>
  <c r="S251" i="3"/>
  <c r="J251" i="3" s="1"/>
  <c r="S359" i="3"/>
  <c r="J359" i="3" s="1"/>
  <c r="S220" i="3"/>
  <c r="J220" i="3" s="1"/>
  <c r="S313" i="3"/>
  <c r="J313" i="3" s="1"/>
  <c r="S61" i="3"/>
  <c r="J61" i="3" s="1"/>
  <c r="S208" i="3"/>
  <c r="J208" i="3" s="1"/>
  <c r="S391" i="3"/>
  <c r="J391" i="3" s="1"/>
  <c r="T239" i="3"/>
  <c r="K239" i="3" s="1"/>
  <c r="S305" i="3"/>
  <c r="J305" i="3" s="1"/>
  <c r="S52" i="3"/>
  <c r="J52" i="3" s="1"/>
  <c r="S452" i="3"/>
  <c r="J452" i="3" s="1"/>
  <c r="S74" i="3"/>
  <c r="J74" i="3" s="1"/>
  <c r="T32" i="3"/>
  <c r="K32" i="3" s="1"/>
  <c r="S355" i="3"/>
  <c r="J355" i="3" s="1"/>
  <c r="S455" i="3"/>
  <c r="J455" i="3" s="1"/>
  <c r="S293" i="3"/>
  <c r="J293" i="3" s="1"/>
  <c r="T55" i="3"/>
  <c r="K55" i="3" s="1"/>
  <c r="T59" i="3"/>
  <c r="K59" i="3" s="1"/>
  <c r="T141" i="3"/>
  <c r="K141" i="3" s="1"/>
  <c r="T177" i="3"/>
  <c r="K177" i="3" s="1"/>
  <c r="S242" i="3"/>
  <c r="J242" i="3" s="1"/>
  <c r="S478" i="3"/>
  <c r="J478" i="3" s="1"/>
  <c r="S361" i="3"/>
  <c r="J361" i="3" s="1"/>
  <c r="S501" i="3"/>
  <c r="J501" i="3" s="1"/>
  <c r="S152" i="3"/>
  <c r="J152" i="3" s="1"/>
  <c r="S39" i="3"/>
  <c r="J39" i="3" s="1"/>
  <c r="S415" i="3"/>
  <c r="J415" i="3" s="1"/>
  <c r="S500" i="3"/>
  <c r="J500" i="3" s="1"/>
  <c r="S404" i="3"/>
  <c r="J404" i="3" s="1"/>
  <c r="S23" i="3"/>
  <c r="J23" i="3" s="1"/>
  <c r="S99" i="3"/>
  <c r="J99" i="3" s="1"/>
  <c r="S302" i="3"/>
  <c r="J302" i="3" s="1"/>
  <c r="S275" i="3"/>
  <c r="J275" i="3" s="1"/>
  <c r="S4" i="3"/>
  <c r="J4" i="3" s="1"/>
  <c r="S456" i="3"/>
  <c r="J456" i="3" s="1"/>
  <c r="S503" i="3"/>
  <c r="J503" i="3" s="1"/>
  <c r="S49" i="3"/>
  <c r="J49" i="3" s="1"/>
  <c r="S462" i="3"/>
  <c r="J462" i="3" s="1"/>
  <c r="S178" i="3"/>
  <c r="J178" i="3" s="1"/>
  <c r="S223" i="3"/>
  <c r="J223" i="3" s="1"/>
  <c r="S55" i="3"/>
  <c r="J55" i="3" s="1"/>
  <c r="S247" i="3"/>
  <c r="J247" i="3" s="1"/>
  <c r="S14" i="3"/>
  <c r="J14" i="3" s="1"/>
  <c r="S27" i="3"/>
  <c r="J27" i="3" s="1"/>
  <c r="T372" i="3"/>
  <c r="K372" i="3" s="1"/>
  <c r="T100" i="3"/>
  <c r="K100" i="3" s="1"/>
  <c r="T40" i="3"/>
  <c r="K40" i="3" s="1"/>
  <c r="T6" i="3"/>
  <c r="K6" i="3" s="1"/>
  <c r="T447" i="3"/>
  <c r="K447" i="3" s="1"/>
  <c r="T172" i="3"/>
  <c r="K172" i="3" s="1"/>
  <c r="T426" i="3"/>
  <c r="K426" i="3" s="1"/>
  <c r="T221" i="3"/>
  <c r="K221" i="3" s="1"/>
  <c r="T464" i="3"/>
  <c r="K464" i="3" s="1"/>
  <c r="T173" i="3"/>
  <c r="K173" i="3" s="1"/>
  <c r="T96" i="3"/>
  <c r="K96" i="3" s="1"/>
  <c r="T160" i="3"/>
  <c r="K160" i="3" s="1"/>
  <c r="S60" i="3"/>
  <c r="J60" i="3" s="1"/>
  <c r="S354" i="3"/>
  <c r="J354" i="3" s="1"/>
  <c r="S339" i="3"/>
  <c r="J339" i="3" s="1"/>
  <c r="S82" i="3"/>
  <c r="J82" i="3" s="1"/>
  <c r="S287" i="3"/>
  <c r="J287" i="3" s="1"/>
  <c r="S128" i="3"/>
  <c r="J128" i="3" s="1"/>
  <c r="S438" i="3"/>
  <c r="J438" i="3" s="1"/>
  <c r="S263" i="3"/>
  <c r="J263" i="3" s="1"/>
  <c r="S319" i="3"/>
  <c r="J319" i="3" s="1"/>
  <c r="S260" i="3"/>
  <c r="J260" i="3" s="1"/>
  <c r="S502" i="3"/>
  <c r="J502" i="3" s="1"/>
  <c r="S436" i="3"/>
  <c r="J436" i="3" s="1"/>
  <c r="S357" i="3"/>
  <c r="J357" i="3" s="1"/>
  <c r="S143" i="3"/>
  <c r="J143" i="3" s="1"/>
  <c r="T335" i="3"/>
  <c r="K335" i="3" s="1"/>
  <c r="S385" i="3"/>
  <c r="J385" i="3" s="1"/>
  <c r="S362" i="3"/>
  <c r="J362" i="3" s="1"/>
  <c r="S232" i="3"/>
  <c r="J232" i="3" s="1"/>
  <c r="S414" i="3"/>
  <c r="J414" i="3" s="1"/>
  <c r="S309" i="3"/>
  <c r="J309" i="3" s="1"/>
  <c r="S109" i="3"/>
  <c r="J109" i="3" s="1"/>
  <c r="S437" i="3"/>
  <c r="J437" i="3" s="1"/>
  <c r="S382" i="3"/>
  <c r="J382" i="3" s="1"/>
  <c r="S160" i="3"/>
  <c r="J160" i="3" s="1"/>
  <c r="T500" i="3"/>
  <c r="K500" i="3" s="1"/>
  <c r="T448" i="3"/>
  <c r="K448" i="3" s="1"/>
  <c r="T503" i="3"/>
  <c r="K503" i="3" s="1"/>
  <c r="T327" i="3"/>
  <c r="K327" i="3" s="1"/>
  <c r="T373" i="3"/>
  <c r="K373" i="3" s="1"/>
  <c r="T344" i="3"/>
  <c r="K344" i="3" s="1"/>
  <c r="S35" i="3"/>
  <c r="J35" i="3" s="1"/>
  <c r="S363" i="3"/>
  <c r="J363" i="3" s="1"/>
  <c r="S110" i="3"/>
  <c r="J110" i="3" s="1"/>
  <c r="S43" i="3"/>
  <c r="J43" i="3" s="1"/>
  <c r="S86" i="3"/>
  <c r="J86" i="3" s="1"/>
  <c r="S171" i="3"/>
  <c r="J171" i="3" s="1"/>
  <c r="S279" i="3"/>
  <c r="J279" i="3" s="1"/>
  <c r="S395" i="3"/>
  <c r="J395" i="3" s="1"/>
  <c r="S434" i="3"/>
  <c r="J434" i="3" s="1"/>
  <c r="S312" i="3"/>
  <c r="J312" i="3" s="1"/>
  <c r="S78" i="3"/>
  <c r="J78" i="3" s="1"/>
  <c r="S30" i="3"/>
  <c r="J30" i="3" s="1"/>
  <c r="S20" i="3"/>
  <c r="J20" i="3" s="1"/>
  <c r="S84" i="3"/>
  <c r="J84" i="3" s="1"/>
  <c r="S467" i="3"/>
  <c r="J467" i="3" s="1"/>
  <c r="S188" i="3"/>
  <c r="J188" i="3" s="1"/>
  <c r="S146" i="3"/>
  <c r="J146" i="3" s="1"/>
  <c r="S221" i="3"/>
  <c r="J221" i="3" s="1"/>
  <c r="S285" i="3"/>
  <c r="J285" i="3" s="1"/>
  <c r="S95" i="3"/>
  <c r="J95" i="3" s="1"/>
  <c r="S350" i="3"/>
  <c r="J350" i="3" s="1"/>
  <c r="S381" i="3"/>
  <c r="J381" i="3" s="1"/>
  <c r="S112" i="3"/>
  <c r="J112" i="3" s="1"/>
  <c r="S476" i="3"/>
  <c r="J476" i="3" s="1"/>
  <c r="T87" i="3"/>
  <c r="K87" i="3" s="1"/>
  <c r="T201" i="3"/>
  <c r="K201" i="3" s="1"/>
  <c r="T260" i="3"/>
  <c r="K260" i="3" s="1"/>
  <c r="T387" i="3"/>
  <c r="K387" i="3" s="1"/>
  <c r="T468" i="3"/>
  <c r="K468" i="3" s="1"/>
  <c r="T436" i="3"/>
  <c r="K436" i="3" s="1"/>
  <c r="T137" i="3"/>
  <c r="K137" i="3" s="1"/>
  <c r="T74" i="3"/>
  <c r="K74" i="3" s="1"/>
  <c r="S463" i="3"/>
  <c r="J463" i="3" s="1"/>
  <c r="S356" i="3"/>
  <c r="J356" i="3" s="1"/>
  <c r="S71" i="3"/>
  <c r="J71" i="3" s="1"/>
  <c r="S173" i="3"/>
  <c r="J173" i="3" s="1"/>
  <c r="S153" i="3"/>
  <c r="J153" i="3" s="1"/>
  <c r="S127" i="3"/>
  <c r="J127" i="3" s="1"/>
  <c r="S268" i="3"/>
  <c r="J268" i="3" s="1"/>
  <c r="S154" i="3"/>
  <c r="J154" i="3" s="1"/>
  <c r="S481" i="3"/>
  <c r="J481" i="3" s="1"/>
  <c r="S399" i="3"/>
  <c r="J399" i="3" s="1"/>
  <c r="S408" i="3"/>
  <c r="J408" i="3" s="1"/>
  <c r="T206" i="3"/>
  <c r="K206" i="3" s="1"/>
  <c r="T501" i="3"/>
  <c r="K501" i="3" s="1"/>
  <c r="S240" i="3"/>
  <c r="J240" i="3" s="1"/>
  <c r="S461" i="3"/>
  <c r="J461" i="3" s="1"/>
  <c r="S348" i="3"/>
  <c r="J348" i="3" s="1"/>
  <c r="S267" i="3"/>
  <c r="J267" i="3" s="1"/>
  <c r="S370" i="3"/>
  <c r="J370" i="3" s="1"/>
  <c r="S276" i="3"/>
  <c r="J276" i="3" s="1"/>
  <c r="S298" i="3"/>
  <c r="J298" i="3" s="1"/>
  <c r="S53" i="3"/>
  <c r="J53" i="3" s="1"/>
  <c r="T411" i="3"/>
  <c r="K411" i="3" s="1"/>
  <c r="S301" i="3"/>
  <c r="J301" i="3" s="1"/>
  <c r="S167" i="3"/>
  <c r="J167" i="3" s="1"/>
  <c r="S440" i="3"/>
  <c r="J440" i="3" s="1"/>
  <c r="S191" i="3"/>
  <c r="J191" i="3" s="1"/>
  <c r="S269" i="3"/>
  <c r="J269" i="3" s="1"/>
  <c r="T480" i="3"/>
  <c r="K480" i="3" s="1"/>
  <c r="T118" i="3"/>
  <c r="K118" i="3" s="1"/>
  <c r="S262" i="3"/>
  <c r="J262" i="3" s="1"/>
  <c r="S491" i="3"/>
  <c r="J491" i="3" s="1"/>
  <c r="T291" i="3"/>
  <c r="K291" i="3" s="1"/>
  <c r="T90" i="3"/>
  <c r="K90" i="3" s="1"/>
  <c r="T269" i="3"/>
  <c r="K269" i="3" s="1"/>
  <c r="T162" i="3"/>
  <c r="K162" i="3" s="1"/>
  <c r="T150" i="3"/>
  <c r="K150" i="3" s="1"/>
  <c r="S142" i="3"/>
  <c r="J142" i="3" s="1"/>
  <c r="S322" i="3"/>
  <c r="J322" i="3" s="1"/>
  <c r="S401" i="3"/>
  <c r="J401" i="3" s="1"/>
  <c r="S457" i="3"/>
  <c r="J457" i="3" s="1"/>
  <c r="S182" i="3"/>
  <c r="J182" i="3" s="1"/>
  <c r="S42" i="3"/>
  <c r="J42" i="3" s="1"/>
  <c r="S50" i="3"/>
  <c r="J50" i="3" s="1"/>
  <c r="S485" i="3"/>
  <c r="J485" i="3" s="1"/>
  <c r="S63" i="3"/>
  <c r="J63" i="3" s="1"/>
  <c r="S342" i="3"/>
  <c r="J342" i="3" s="1"/>
  <c r="S477" i="3"/>
  <c r="J477" i="3" s="1"/>
  <c r="S224" i="3"/>
  <c r="J224" i="3" s="1"/>
  <c r="T388" i="3"/>
  <c r="K388" i="3" s="1"/>
  <c r="S140" i="3"/>
  <c r="J140" i="3" s="1"/>
  <c r="T472" i="3"/>
  <c r="K472" i="3" s="1"/>
  <c r="T44" i="3"/>
  <c r="K44" i="3" s="1"/>
  <c r="T441" i="3"/>
  <c r="K441" i="3" s="1"/>
  <c r="T256" i="3"/>
  <c r="K256" i="3" s="1"/>
  <c r="T390" i="3"/>
  <c r="K390" i="3" s="1"/>
  <c r="S105" i="3"/>
  <c r="J105" i="3" s="1"/>
  <c r="S244" i="3"/>
  <c r="J244" i="3" s="1"/>
  <c r="S38" i="3"/>
  <c r="J38" i="3" s="1"/>
  <c r="S102" i="3"/>
  <c r="J102" i="3" s="1"/>
  <c r="S283" i="3"/>
  <c r="J283" i="3" s="1"/>
  <c r="S446" i="3"/>
  <c r="J446" i="3" s="1"/>
  <c r="S254" i="3"/>
  <c r="J254" i="3" s="1"/>
  <c r="S11" i="3"/>
  <c r="J11" i="3" s="1"/>
  <c r="S291" i="3"/>
  <c r="J291" i="3" s="1"/>
  <c r="S323" i="3"/>
  <c r="J323" i="3" s="1"/>
  <c r="S453" i="3"/>
  <c r="J453" i="3" s="1"/>
  <c r="S417" i="3"/>
  <c r="J417" i="3" s="1"/>
  <c r="S499" i="3"/>
  <c r="J499" i="3" s="1"/>
  <c r="S396" i="3"/>
  <c r="J396" i="3" s="1"/>
  <c r="S201" i="3"/>
  <c r="J201" i="3" s="1"/>
  <c r="T456" i="3"/>
  <c r="K456" i="3" s="1"/>
  <c r="T91" i="3"/>
  <c r="K91" i="3" s="1"/>
  <c r="T320" i="3"/>
  <c r="K320" i="3" s="1"/>
  <c r="T181" i="3"/>
  <c r="K181" i="3" s="1"/>
  <c r="S179" i="3"/>
  <c r="J179" i="3" s="1"/>
  <c r="S28" i="3"/>
  <c r="J28" i="3" s="1"/>
  <c r="S441" i="3"/>
  <c r="J441" i="3" s="1"/>
  <c r="S360" i="3"/>
  <c r="J360" i="3" s="1"/>
  <c r="S211" i="3"/>
  <c r="J211" i="3" s="1"/>
  <c r="S352" i="3"/>
  <c r="J352" i="3" s="1"/>
  <c r="S383" i="3"/>
  <c r="J383" i="3" s="1"/>
  <c r="S100" i="3"/>
  <c r="J100" i="3" s="1"/>
  <c r="S5" i="3"/>
  <c r="J5" i="3" s="1"/>
  <c r="S57" i="3"/>
  <c r="J57" i="3" s="1"/>
  <c r="S465" i="3"/>
  <c r="J465" i="3" s="1"/>
  <c r="S398" i="3"/>
  <c r="J398" i="3" s="1"/>
  <c r="T23" i="3"/>
  <c r="K23" i="3" s="1"/>
  <c r="T144" i="3"/>
  <c r="K144" i="3" s="1"/>
  <c r="T407" i="3"/>
  <c r="K407" i="3" s="1"/>
  <c r="T7" i="3"/>
  <c r="K7" i="3" s="1"/>
  <c r="S183" i="3"/>
  <c r="J183" i="3" s="1"/>
  <c r="S290" i="3"/>
  <c r="J290" i="3" s="1"/>
  <c r="S141" i="3"/>
  <c r="J141" i="3" s="1"/>
  <c r="S51" i="3"/>
  <c r="J51" i="3" s="1"/>
  <c r="S44" i="3"/>
  <c r="J44" i="3" s="1"/>
  <c r="S181" i="3"/>
  <c r="J181" i="3" s="1"/>
  <c r="S203" i="3"/>
  <c r="J203" i="3" s="1"/>
  <c r="S454" i="3"/>
  <c r="J454" i="3" s="1"/>
  <c r="S215" i="3"/>
  <c r="J215" i="3" s="1"/>
  <c r="S422" i="3"/>
  <c r="J422" i="3" s="1"/>
  <c r="S31" i="3"/>
  <c r="J31" i="3" s="1"/>
  <c r="S256" i="3"/>
  <c r="J256" i="3" s="1"/>
  <c r="S292" i="3"/>
  <c r="J292" i="3" s="1"/>
  <c r="S497" i="3"/>
  <c r="J497" i="3" s="1"/>
  <c r="S97" i="3"/>
  <c r="J97" i="3" s="1"/>
  <c r="S87" i="3"/>
  <c r="J87" i="3" s="1"/>
  <c r="S365" i="3"/>
  <c r="J365" i="3" s="1"/>
  <c r="S341" i="3"/>
  <c r="J341" i="3" s="1"/>
  <c r="S327" i="3"/>
  <c r="J327" i="3" s="1"/>
  <c r="S54" i="3"/>
  <c r="J54" i="3" s="1"/>
  <c r="S47" i="3"/>
  <c r="J47" i="3" s="1"/>
  <c r="S134" i="3"/>
  <c r="J134" i="3" s="1"/>
  <c r="T261" i="3"/>
  <c r="K261" i="3" s="1"/>
  <c r="T101" i="3"/>
  <c r="K101" i="3" s="1"/>
  <c r="T243" i="3"/>
  <c r="K243" i="3" s="1"/>
  <c r="T70" i="3"/>
  <c r="K70" i="3" s="1"/>
  <c r="T180" i="3"/>
  <c r="K180" i="3" s="1"/>
  <c r="T489" i="3"/>
  <c r="K489" i="3" s="1"/>
  <c r="T288" i="3"/>
  <c r="K288" i="3" s="1"/>
  <c r="T186" i="3"/>
  <c r="K186" i="3" s="1"/>
  <c r="T498" i="3"/>
  <c r="K498" i="3" s="1"/>
  <c r="T377" i="3"/>
  <c r="K377" i="3" s="1"/>
  <c r="T287" i="3"/>
  <c r="K287" i="3" s="1"/>
  <c r="S426" i="3"/>
  <c r="J426" i="3" s="1"/>
  <c r="S343" i="3"/>
  <c r="J343" i="3" s="1"/>
  <c r="S311" i="3"/>
  <c r="J311" i="3" s="1"/>
  <c r="S125" i="3"/>
  <c r="J125" i="3" s="1"/>
  <c r="S303" i="3"/>
  <c r="J303" i="3" s="1"/>
  <c r="S41" i="3"/>
  <c r="J41" i="3" s="1"/>
  <c r="S226" i="3"/>
  <c r="J226" i="3" s="1"/>
  <c r="S253" i="3"/>
  <c r="J253" i="3" s="1"/>
  <c r="T473" i="3"/>
  <c r="K473" i="3" s="1"/>
  <c r="T212" i="3"/>
  <c r="K212" i="3" s="1"/>
  <c r="T185" i="3"/>
  <c r="K185" i="3" s="1"/>
  <c r="T484" i="3"/>
  <c r="K484" i="3" s="1"/>
  <c r="S431" i="3"/>
  <c r="J431" i="3" s="1"/>
  <c r="S32" i="3"/>
  <c r="J32" i="3" s="1"/>
  <c r="S91" i="3"/>
  <c r="J91" i="3" s="1"/>
  <c r="S212" i="3"/>
  <c r="J212" i="3" s="1"/>
  <c r="S123" i="3"/>
  <c r="J123" i="3" s="1"/>
  <c r="S340" i="3"/>
  <c r="J340" i="3" s="1"/>
  <c r="S48" i="3"/>
  <c r="J48" i="3" s="1"/>
  <c r="S484" i="3"/>
  <c r="J484" i="3" s="1"/>
  <c r="S294" i="3"/>
  <c r="J294" i="3" s="1"/>
  <c r="S70" i="3"/>
  <c r="J70" i="3" s="1"/>
  <c r="T16" i="3"/>
  <c r="K16" i="3" s="1"/>
  <c r="T427" i="3"/>
  <c r="K427" i="3" s="1"/>
  <c r="T459" i="3"/>
  <c r="K459" i="3" s="1"/>
  <c r="T208" i="3"/>
  <c r="K208" i="3" s="1"/>
  <c r="T266" i="3"/>
  <c r="K266" i="3" s="1"/>
  <c r="T188" i="3"/>
  <c r="K188" i="3" s="1"/>
  <c r="T314" i="3"/>
  <c r="K314" i="3" s="1"/>
  <c r="T304" i="3"/>
  <c r="K304" i="3" s="1"/>
  <c r="T204" i="3"/>
  <c r="K204" i="3" s="1"/>
  <c r="T28" i="3"/>
  <c r="K28" i="3" s="1"/>
  <c r="T279" i="3"/>
  <c r="K279" i="3" s="1"/>
  <c r="T354" i="3"/>
  <c r="K354" i="3" s="1"/>
  <c r="T84" i="3"/>
  <c r="K84" i="3" s="1"/>
  <c r="T5" i="3"/>
  <c r="K5" i="3" s="1"/>
  <c r="T120" i="3"/>
  <c r="K120" i="3" s="1"/>
  <c r="T81" i="3"/>
  <c r="K81" i="3" s="1"/>
  <c r="T264" i="3"/>
  <c r="K264" i="3" s="1"/>
  <c r="T182" i="3"/>
  <c r="K182" i="3" s="1"/>
  <c r="T149" i="3"/>
  <c r="K149" i="3" s="1"/>
  <c r="S423" i="3"/>
  <c r="J423" i="3" s="1"/>
  <c r="S210" i="3"/>
  <c r="J210" i="3" s="1"/>
  <c r="S353" i="3"/>
  <c r="J353" i="3" s="1"/>
  <c r="S92" i="3"/>
  <c r="J92" i="3" s="1"/>
  <c r="S345" i="3"/>
  <c r="J345" i="3" s="1"/>
  <c r="S367" i="3"/>
  <c r="J367" i="3" s="1"/>
  <c r="S299" i="3"/>
  <c r="J299" i="3" s="1"/>
  <c r="S147" i="3"/>
  <c r="J147" i="3" s="1"/>
  <c r="S40" i="3"/>
  <c r="J40" i="3" s="1"/>
  <c r="S307" i="3"/>
  <c r="J307" i="3" s="1"/>
  <c r="S274" i="3"/>
  <c r="J274" i="3" s="1"/>
  <c r="S250" i="3"/>
  <c r="J250" i="3" s="1"/>
  <c r="S358" i="3"/>
  <c r="J358" i="3" s="1"/>
  <c r="S316" i="3"/>
  <c r="J316" i="3" s="1"/>
  <c r="S233" i="3"/>
  <c r="J233" i="3" s="1"/>
  <c r="S56" i="3"/>
  <c r="J56" i="3" s="1"/>
  <c r="T247" i="3"/>
  <c r="K247" i="3" s="1"/>
  <c r="T163" i="3"/>
  <c r="K163" i="3" s="1"/>
  <c r="T475" i="3"/>
  <c r="K475" i="3" s="1"/>
  <c r="S410" i="3"/>
  <c r="J410" i="3" s="1"/>
  <c r="S148" i="3"/>
  <c r="J148" i="3" s="1"/>
  <c r="S243" i="3"/>
  <c r="J243" i="3" s="1"/>
  <c r="S107" i="3"/>
  <c r="J107" i="3" s="1"/>
  <c r="S494" i="3"/>
  <c r="J494" i="3" s="1"/>
  <c r="S197" i="3"/>
  <c r="J197" i="3" s="1"/>
  <c r="S448" i="3"/>
  <c r="J448" i="3" s="1"/>
  <c r="S67" i="3"/>
  <c r="J67" i="3" s="1"/>
  <c r="S284" i="3"/>
  <c r="J284" i="3" s="1"/>
  <c r="S195" i="3"/>
  <c r="J195" i="3" s="1"/>
  <c r="S451" i="3"/>
  <c r="J451" i="3" s="1"/>
  <c r="S218" i="3"/>
  <c r="J218" i="3" s="1"/>
  <c r="S333" i="3"/>
  <c r="J333" i="3" s="1"/>
  <c r="T218" i="3"/>
  <c r="K218" i="3" s="1"/>
  <c r="S297" i="3"/>
  <c r="J297" i="3" s="1"/>
  <c r="S72" i="3"/>
  <c r="J72" i="3" s="1"/>
  <c r="S310" i="3"/>
  <c r="J310" i="3" s="1"/>
  <c r="S214" i="3"/>
  <c r="J214" i="3" s="1"/>
  <c r="S124" i="3"/>
  <c r="J124" i="3" s="1"/>
  <c r="S75" i="3"/>
  <c r="J75" i="3" s="1"/>
  <c r="S393" i="3"/>
  <c r="J393" i="3" s="1"/>
  <c r="S227" i="3"/>
  <c r="J227" i="3" s="1"/>
  <c r="S278" i="3"/>
  <c r="J278" i="3" s="1"/>
  <c r="S346" i="3"/>
  <c r="J346" i="3" s="1"/>
  <c r="S137" i="3"/>
  <c r="J137" i="3" s="1"/>
  <c r="S120" i="3"/>
  <c r="J120" i="3" s="1"/>
  <c r="S424" i="3"/>
  <c r="J424" i="3" s="1"/>
  <c r="S136" i="3"/>
  <c r="J136" i="3" s="1"/>
  <c r="S435" i="3"/>
  <c r="J435" i="3" s="1"/>
  <c r="S445" i="3"/>
  <c r="J445" i="3" s="1"/>
  <c r="S487" i="3"/>
  <c r="J487" i="3" s="1"/>
  <c r="S288" i="3"/>
  <c r="J288" i="3" s="1"/>
  <c r="S85" i="3"/>
  <c r="J85" i="3" s="1"/>
  <c r="S459" i="3"/>
  <c r="J459" i="3" s="1"/>
  <c r="T24" i="3"/>
  <c r="K24" i="3" s="1"/>
  <c r="T312" i="3"/>
  <c r="K312" i="3" s="1"/>
  <c r="S304" i="3"/>
  <c r="J304" i="3" s="1"/>
  <c r="S387" i="3"/>
  <c r="J387" i="3" s="1"/>
  <c r="S229" i="3"/>
  <c r="J229" i="3" s="1"/>
  <c r="S317" i="3"/>
  <c r="J317" i="3" s="1"/>
  <c r="S19" i="3"/>
  <c r="J19" i="3" s="1"/>
  <c r="S89" i="3"/>
  <c r="J89" i="3" s="1"/>
  <c r="S416" i="3"/>
  <c r="J416" i="3" s="1"/>
  <c r="S442" i="3"/>
  <c r="J442" i="3" s="1"/>
  <c r="S289" i="3"/>
  <c r="J289" i="3" s="1"/>
  <c r="S326" i="3"/>
  <c r="J326" i="3" s="1"/>
  <c r="S334" i="3"/>
  <c r="J334" i="3" s="1"/>
  <c r="S468" i="3"/>
  <c r="J468" i="3" s="1"/>
  <c r="S116" i="3"/>
  <c r="J116" i="3" s="1"/>
  <c r="S419" i="3"/>
  <c r="J419" i="3" s="1"/>
  <c r="T289" i="3"/>
  <c r="K289" i="3" s="1"/>
  <c r="T391" i="3"/>
  <c r="K391" i="3" s="1"/>
  <c r="T114" i="3"/>
  <c r="K114" i="3" s="1"/>
  <c r="S472" i="3"/>
  <c r="J472" i="3" s="1"/>
  <c r="S113" i="3"/>
  <c r="J113" i="3" s="1"/>
  <c r="S59" i="3"/>
  <c r="J59" i="3" s="1"/>
  <c r="S80" i="3"/>
  <c r="J80" i="3" s="1"/>
  <c r="S190" i="3"/>
  <c r="J190" i="3" s="1"/>
  <c r="S177" i="3"/>
  <c r="J177" i="3" s="1"/>
  <c r="S496" i="3"/>
  <c r="J496" i="3" s="1"/>
  <c r="S103" i="3"/>
  <c r="J103" i="3" s="1"/>
  <c r="S331" i="3"/>
  <c r="J331" i="3" s="1"/>
  <c r="S26" i="3"/>
  <c r="J26" i="3" s="1"/>
  <c r="S281" i="3"/>
  <c r="J281" i="3" s="1"/>
  <c r="S321" i="3"/>
  <c r="J321" i="3" s="1"/>
  <c r="S427" i="3"/>
  <c r="J427" i="3" s="1"/>
  <c r="S378" i="3"/>
  <c r="J378" i="3" s="1"/>
  <c r="S76" i="3"/>
  <c r="J76" i="3" s="1"/>
  <c r="S117" i="3"/>
  <c r="J117" i="3" s="1"/>
  <c r="S237" i="3"/>
  <c r="J237" i="3" s="1"/>
  <c r="S320" i="3"/>
  <c r="J320" i="3" s="1"/>
  <c r="S213" i="3"/>
  <c r="J213" i="3" s="1"/>
  <c r="S377" i="3"/>
  <c r="J377" i="3" s="1"/>
  <c r="S186" i="3"/>
  <c r="J186" i="3" s="1"/>
  <c r="S231" i="3"/>
  <c r="J231" i="3" s="1"/>
  <c r="S169" i="3"/>
  <c r="J169" i="3" s="1"/>
  <c r="S364" i="3"/>
  <c r="J364" i="3" s="1"/>
  <c r="S466" i="3"/>
  <c r="J466" i="3" s="1"/>
  <c r="S397" i="3"/>
  <c r="J397" i="3" s="1"/>
  <c r="S129" i="3"/>
  <c r="J129" i="3" s="1"/>
  <c r="S460" i="3"/>
  <c r="J460" i="3" s="1"/>
  <c r="S277" i="3"/>
  <c r="J277" i="3" s="1"/>
  <c r="S252" i="3"/>
  <c r="J252" i="3" s="1"/>
  <c r="S101" i="3"/>
  <c r="J101" i="3" s="1"/>
  <c r="S347" i="3"/>
  <c r="J347" i="3" s="1"/>
  <c r="T329" i="3"/>
  <c r="K329" i="3" s="1"/>
  <c r="T189" i="3"/>
  <c r="K189" i="3" s="1"/>
  <c r="T343" i="3"/>
  <c r="K343" i="3" s="1"/>
  <c r="S165" i="3"/>
  <c r="J165" i="3" s="1"/>
  <c r="S21" i="3"/>
  <c r="J21" i="3" s="1"/>
  <c r="S412" i="3"/>
  <c r="J412" i="3" s="1"/>
  <c r="S163" i="3"/>
  <c r="J163" i="3" s="1"/>
  <c r="S411" i="3"/>
  <c r="J411" i="3" s="1"/>
  <c r="S308" i="3"/>
  <c r="J308" i="3" s="1"/>
  <c r="T374" i="3"/>
  <c r="K374" i="3" s="1"/>
  <c r="S470" i="3"/>
  <c r="J470" i="3" s="1"/>
  <c r="T225" i="3"/>
  <c r="K225" i="3" s="1"/>
  <c r="T502" i="3"/>
  <c r="K502" i="3" s="1"/>
  <c r="T200" i="3"/>
  <c r="K200" i="3" s="1"/>
  <c r="T486" i="3"/>
  <c r="K486" i="3" s="1"/>
  <c r="T476" i="3"/>
  <c r="K476" i="3" s="1"/>
  <c r="T198" i="3"/>
  <c r="K198" i="3" s="1"/>
  <c r="T341" i="3"/>
  <c r="K341" i="3" s="1"/>
  <c r="T223" i="3"/>
  <c r="K223" i="3" s="1"/>
  <c r="S204" i="3"/>
  <c r="J204" i="3" s="1"/>
  <c r="S217" i="3"/>
  <c r="J217" i="3" s="1"/>
  <c r="S447" i="3"/>
  <c r="J447" i="3" s="1"/>
  <c r="T336" i="3"/>
  <c r="K336" i="3" s="1"/>
  <c r="T296" i="3"/>
  <c r="K296" i="3" s="1"/>
  <c r="S238" i="3"/>
  <c r="J238" i="3" s="1"/>
  <c r="S273" i="3"/>
  <c r="J273" i="3" s="1"/>
  <c r="S369" i="3"/>
  <c r="J369" i="3" s="1"/>
  <c r="S175" i="3"/>
  <c r="J175" i="3" s="1"/>
  <c r="S33" i="3"/>
  <c r="J33" i="3" s="1"/>
  <c r="T488" i="3"/>
  <c r="K488" i="3" s="1"/>
  <c r="T455" i="3"/>
  <c r="K455" i="3" s="1"/>
  <c r="T158" i="3"/>
  <c r="K158" i="3" s="1"/>
  <c r="T359" i="3"/>
  <c r="K359" i="3" s="1"/>
  <c r="T80" i="3"/>
  <c r="K80" i="3" s="1"/>
  <c r="T317" i="3"/>
  <c r="K317" i="3" s="1"/>
  <c r="S368" i="3"/>
  <c r="J368" i="3" s="1"/>
  <c r="S118" i="3"/>
  <c r="J118" i="3" s="1"/>
  <c r="S69" i="3"/>
  <c r="J69" i="3" s="1"/>
  <c r="S65" i="3"/>
  <c r="J65" i="3" s="1"/>
  <c r="S222" i="3"/>
  <c r="J222" i="3" s="1"/>
  <c r="S155" i="3"/>
  <c r="J155" i="3" s="1"/>
  <c r="T393" i="3"/>
  <c r="K393" i="3" s="1"/>
  <c r="T233" i="3"/>
  <c r="K233" i="3" s="1"/>
  <c r="T14" i="3"/>
  <c r="K14" i="3" s="1"/>
  <c r="T33" i="3"/>
  <c r="K33" i="3" s="1"/>
  <c r="T429" i="3"/>
  <c r="K429" i="3" s="1"/>
  <c r="T39" i="3"/>
  <c r="K39" i="3" s="1"/>
  <c r="S234" i="3"/>
  <c r="J234" i="3" s="1"/>
  <c r="S296" i="3"/>
  <c r="J296" i="3" s="1"/>
  <c r="S392" i="3"/>
  <c r="J392" i="3" s="1"/>
  <c r="S119" i="3"/>
  <c r="J119" i="3" s="1"/>
  <c r="S90" i="3"/>
  <c r="J90" i="3" s="1"/>
  <c r="S483" i="3"/>
  <c r="J483" i="3" s="1"/>
  <c r="S62" i="3"/>
  <c r="J62" i="3" s="1"/>
  <c r="S132" i="3"/>
  <c r="J132" i="3" s="1"/>
  <c r="S384" i="3"/>
  <c r="J384" i="3" s="1"/>
  <c r="S12" i="3"/>
  <c r="J12" i="3" s="1"/>
  <c r="S475" i="3"/>
  <c r="J475" i="3" s="1"/>
  <c r="S166" i="3"/>
  <c r="J166" i="3" s="1"/>
  <c r="S194" i="3"/>
  <c r="J194" i="3" s="1"/>
  <c r="S130" i="3"/>
  <c r="J130" i="3" s="1"/>
  <c r="S144" i="3"/>
  <c r="J144" i="3" s="1"/>
  <c r="S489" i="3"/>
  <c r="J489" i="3" s="1"/>
  <c r="S400" i="3"/>
  <c r="J400" i="3" s="1"/>
  <c r="S315" i="3"/>
  <c r="J315" i="3" s="1"/>
  <c r="S133" i="3"/>
  <c r="J133" i="3" s="1"/>
  <c r="T347" i="3"/>
  <c r="K347" i="3" s="1"/>
  <c r="S64" i="3"/>
  <c r="J64" i="3" s="1"/>
  <c r="T97" i="3"/>
  <c r="K97" i="3" s="1"/>
  <c r="T106" i="3"/>
  <c r="K106" i="3" s="1"/>
  <c r="T330" i="3"/>
  <c r="K330" i="3" s="1"/>
  <c r="T47" i="3"/>
  <c r="K47" i="3" s="1"/>
  <c r="T168" i="3"/>
  <c r="K168" i="3" s="1"/>
  <c r="T443" i="3"/>
  <c r="K443" i="3" s="1"/>
  <c r="T211" i="3"/>
  <c r="K211" i="3" s="1"/>
  <c r="S230" i="3"/>
  <c r="J230" i="3" s="1"/>
  <c r="T305" i="3"/>
  <c r="K305" i="3" s="1"/>
  <c r="T85" i="3"/>
  <c r="K85" i="3" s="1"/>
  <c r="S13" i="3"/>
  <c r="J13" i="3" s="1"/>
  <c r="S10" i="3"/>
  <c r="J10" i="3" s="1"/>
  <c r="S474" i="3"/>
  <c r="J474" i="3" s="1"/>
  <c r="S235" i="3"/>
  <c r="J235" i="3" s="1"/>
  <c r="S420" i="3"/>
  <c r="J420" i="3" s="1"/>
  <c r="S15" i="3"/>
  <c r="J15" i="3" s="1"/>
  <c r="S199" i="3"/>
  <c r="J199" i="3" s="1"/>
  <c r="S458" i="3"/>
  <c r="J458" i="3" s="1"/>
  <c r="S16" i="3"/>
  <c r="J16" i="3" s="1"/>
  <c r="T499" i="3"/>
  <c r="K499" i="3" s="1"/>
  <c r="T300" i="3"/>
  <c r="K300" i="3" s="1"/>
  <c r="T365" i="3"/>
  <c r="K365" i="3" s="1"/>
  <c r="T350" i="3"/>
  <c r="K350" i="3" s="1"/>
  <c r="T369" i="3"/>
  <c r="K369" i="3" s="1"/>
  <c r="T135" i="3"/>
  <c r="K135" i="3" s="1"/>
  <c r="T417" i="3"/>
  <c r="K417" i="3" s="1"/>
  <c r="S257" i="3"/>
  <c r="J257" i="3" s="1"/>
  <c r="S187" i="3"/>
  <c r="J187" i="3" s="1"/>
  <c r="S115" i="3"/>
  <c r="J115" i="3" s="1"/>
  <c r="S249" i="3"/>
  <c r="J249" i="3" s="1"/>
  <c r="S174" i="3"/>
  <c r="J174" i="3" s="1"/>
  <c r="S306" i="3"/>
  <c r="J306" i="3" s="1"/>
  <c r="S351" i="3"/>
  <c r="J351" i="3" s="1"/>
  <c r="S402" i="3"/>
  <c r="J402" i="3" s="1"/>
  <c r="S255" i="3"/>
  <c r="J255" i="3" s="1"/>
  <c r="S159" i="3"/>
  <c r="J159" i="3" s="1"/>
  <c r="S193" i="3"/>
  <c r="J193" i="3" s="1"/>
  <c r="S330" i="3"/>
  <c r="J330" i="3" s="1"/>
  <c r="S432" i="3"/>
  <c r="J432" i="3" s="1"/>
  <c r="S266" i="3"/>
  <c r="J266" i="3" s="1"/>
  <c r="S106" i="3"/>
  <c r="J106" i="3" s="1"/>
  <c r="S490" i="3"/>
  <c r="J490" i="3" s="1"/>
  <c r="S198" i="3"/>
  <c r="J198" i="3" s="1"/>
  <c r="S180" i="3"/>
  <c r="J180" i="3" s="1"/>
  <c r="S206" i="3"/>
  <c r="J206" i="3" s="1"/>
  <c r="S444" i="3"/>
  <c r="J444" i="3" s="1"/>
  <c r="S108" i="3"/>
  <c r="J108" i="3" s="1"/>
  <c r="T478" i="3"/>
  <c r="K478" i="3" s="1"/>
  <c r="S7" i="3"/>
  <c r="J7" i="3" s="1"/>
  <c r="S209" i="3"/>
  <c r="J209" i="3" s="1"/>
  <c r="S207" i="3"/>
  <c r="J207" i="3" s="1"/>
  <c r="S151" i="3"/>
  <c r="J151" i="3" s="1"/>
  <c r="S486" i="3"/>
  <c r="J486" i="3" s="1"/>
  <c r="S138" i="3"/>
  <c r="J138" i="3" s="1"/>
  <c r="S409" i="3"/>
  <c r="J409" i="3" s="1"/>
  <c r="S380" i="3"/>
  <c r="J380" i="3" s="1"/>
  <c r="S121" i="3"/>
  <c r="J121" i="3" s="1"/>
  <c r="S228" i="3"/>
  <c r="J228" i="3" s="1"/>
  <c r="S295" i="3"/>
  <c r="J295" i="3" s="1"/>
  <c r="S258" i="3"/>
  <c r="J258" i="3" s="1"/>
  <c r="S449" i="3"/>
  <c r="J449" i="3" s="1"/>
  <c r="S450" i="3"/>
  <c r="J450" i="3" s="1"/>
  <c r="T315" i="3"/>
  <c r="K315" i="3" s="1"/>
  <c r="S386" i="3"/>
  <c r="J386" i="3" s="1"/>
  <c r="S335" i="3"/>
  <c r="J335" i="3" s="1"/>
  <c r="T60" i="3"/>
  <c r="K60" i="3" s="1"/>
  <c r="T82" i="3"/>
  <c r="K82" i="3" s="1"/>
  <c r="T381" i="3"/>
  <c r="K381" i="3" s="1"/>
  <c r="T437" i="3"/>
  <c r="K437" i="3" s="1"/>
  <c r="T392" i="3"/>
  <c r="K392" i="3" s="1"/>
  <c r="T154" i="3"/>
  <c r="K154" i="3" s="1"/>
  <c r="T214" i="3"/>
  <c r="K214" i="3" s="1"/>
  <c r="T193" i="3"/>
  <c r="K193" i="3" s="1"/>
  <c r="T262" i="3"/>
  <c r="K262" i="3" s="1"/>
  <c r="T397" i="3"/>
  <c r="K397" i="3" s="1"/>
  <c r="T4" i="3"/>
  <c r="K4" i="3" s="1"/>
  <c r="T401" i="3"/>
  <c r="K401" i="3" s="1"/>
  <c r="S98" i="3"/>
  <c r="J98" i="3" s="1"/>
  <c r="S6" i="3"/>
  <c r="J6" i="3" s="1"/>
  <c r="T104" i="3"/>
  <c r="K104" i="3" s="1"/>
  <c r="T25" i="3"/>
  <c r="K25" i="3" s="1"/>
  <c r="T20" i="3"/>
  <c r="K20" i="3" s="1"/>
  <c r="T219" i="3"/>
  <c r="K219" i="3" s="1"/>
  <c r="T51" i="3"/>
  <c r="K51" i="3" s="1"/>
  <c r="T299" i="3"/>
  <c r="K299" i="3" s="1"/>
  <c r="S9" i="3"/>
  <c r="J9" i="3" s="1"/>
  <c r="T93" i="3"/>
  <c r="K93" i="3" s="1"/>
  <c r="T231" i="3"/>
  <c r="K231" i="3" s="1"/>
  <c r="T421" i="3"/>
  <c r="K421" i="3" s="1"/>
  <c r="T294" i="3"/>
  <c r="K294" i="3" s="1"/>
  <c r="T273" i="3"/>
  <c r="K273" i="3" s="1"/>
  <c r="T419" i="3"/>
  <c r="K419" i="3" s="1"/>
  <c r="S495" i="3"/>
  <c r="J495" i="3" s="1"/>
  <c r="S403" i="3"/>
  <c r="J403" i="3" s="1"/>
  <c r="S488" i="3"/>
  <c r="J488" i="3" s="1"/>
  <c r="S270" i="3"/>
  <c r="J270" i="3" s="1"/>
  <c r="S184" i="3"/>
  <c r="J184" i="3" s="1"/>
  <c r="S469" i="3"/>
  <c r="J469" i="3" s="1"/>
  <c r="S170" i="3"/>
  <c r="J170" i="3" s="1"/>
  <c r="S329" i="3"/>
  <c r="J329" i="3" s="1"/>
  <c r="S225" i="3"/>
  <c r="J225" i="3" s="1"/>
  <c r="S25" i="3"/>
  <c r="J25" i="3" s="1"/>
  <c r="S8" i="3"/>
  <c r="J8" i="3" s="1"/>
  <c r="T125" i="3"/>
  <c r="K125" i="3" s="1"/>
  <c r="T322" i="3"/>
  <c r="K322" i="3" s="1"/>
  <c r="T358" i="3"/>
  <c r="K358" i="3" s="1"/>
  <c r="T41" i="3"/>
  <c r="K41" i="3" s="1"/>
  <c r="S439" i="3"/>
  <c r="J439" i="3" s="1"/>
  <c r="S114" i="3"/>
  <c r="J114" i="3" s="1"/>
  <c r="S328" i="3"/>
  <c r="J328" i="3" s="1"/>
  <c r="S480" i="3"/>
  <c r="J480" i="3" s="1"/>
  <c r="S433" i="3"/>
  <c r="J433" i="3" s="1"/>
  <c r="S216" i="3"/>
  <c r="J216" i="3" s="1"/>
  <c r="T123" i="3"/>
  <c r="K123" i="3" s="1"/>
  <c r="S122" i="3"/>
  <c r="J122" i="3" s="1"/>
  <c r="S79" i="3"/>
  <c r="J79" i="3" s="1"/>
  <c r="S22" i="3"/>
  <c r="J22" i="3" s="1"/>
  <c r="T325" i="3"/>
  <c r="K325" i="3" s="1"/>
  <c r="T77" i="3"/>
  <c r="K77" i="3" s="1"/>
  <c r="T251" i="3"/>
  <c r="K251" i="3" s="1"/>
  <c r="S407" i="3"/>
  <c r="J407" i="3" s="1"/>
  <c r="S126" i="3"/>
  <c r="J126" i="3" s="1"/>
  <c r="S405" i="3"/>
  <c r="J405" i="3" s="1"/>
  <c r="S68" i="3"/>
  <c r="J68" i="3" s="1"/>
  <c r="S149" i="3"/>
  <c r="J149" i="3" s="1"/>
  <c r="S168" i="3"/>
  <c r="J168" i="3" s="1"/>
  <c r="S373" i="3"/>
  <c r="J373" i="3" s="1"/>
  <c r="S372" i="3"/>
  <c r="J372" i="3" s="1"/>
  <c r="S344" i="3"/>
  <c r="J344" i="3" s="1"/>
  <c r="S189" i="3"/>
  <c r="J189" i="3" s="1"/>
  <c r="S36" i="3"/>
  <c r="J36" i="3" s="1"/>
  <c r="S162" i="3"/>
  <c r="J162" i="3" s="1"/>
  <c r="S34" i="3"/>
  <c r="J34" i="3" s="1"/>
  <c r="S3" i="3"/>
  <c r="J3" i="3" s="1"/>
  <c r="S185" i="3"/>
  <c r="J185" i="3" s="1"/>
  <c r="T15" i="3"/>
  <c r="K15" i="3" s="1"/>
  <c r="T402" i="3"/>
  <c r="K402" i="3" s="1"/>
  <c r="T481" i="3"/>
  <c r="K481" i="3" s="1"/>
  <c r="T143" i="3"/>
  <c r="K143" i="3" s="1"/>
  <c r="T228" i="3"/>
  <c r="K228" i="3" s="1"/>
  <c r="T414" i="3"/>
  <c r="K414" i="3" s="1"/>
  <c r="T130" i="3"/>
  <c r="K130" i="3" s="1"/>
  <c r="T67" i="3"/>
  <c r="K67" i="3" s="1"/>
  <c r="T166" i="3"/>
  <c r="K166" i="3" s="1"/>
  <c r="T170" i="3"/>
  <c r="K170" i="3" s="1"/>
  <c r="T326" i="3"/>
  <c r="K326" i="3" s="1"/>
  <c r="T215" i="3"/>
  <c r="K215" i="3" s="1"/>
  <c r="T293" i="3"/>
  <c r="K293" i="3" s="1"/>
  <c r="T425" i="3"/>
  <c r="K425" i="3" s="1"/>
  <c r="S66" i="3"/>
  <c r="J66" i="3" s="1"/>
  <c r="S493" i="3"/>
  <c r="J493" i="3" s="1"/>
  <c r="S337" i="3"/>
  <c r="J337" i="3" s="1"/>
  <c r="S111" i="3"/>
  <c r="J111" i="3" s="1"/>
  <c r="S336" i="3"/>
  <c r="J336" i="3" s="1"/>
  <c r="S264" i="3"/>
  <c r="J264" i="3" s="1"/>
  <c r="S145" i="3"/>
  <c r="J145" i="3" s="1"/>
  <c r="S161" i="3"/>
  <c r="J161" i="3" s="1"/>
  <c r="S324" i="3"/>
  <c r="J324" i="3" s="1"/>
  <c r="T259" i="3"/>
  <c r="K259" i="3" s="1"/>
  <c r="S158" i="3"/>
  <c r="J158" i="3" s="1"/>
  <c r="S413" i="3"/>
  <c r="J413" i="3" s="1"/>
  <c r="S375" i="3"/>
  <c r="J375" i="3" s="1"/>
  <c r="S428" i="3"/>
  <c r="J428" i="3" s="1"/>
  <c r="S390" i="3"/>
  <c r="J390" i="3" s="1"/>
  <c r="S259" i="3"/>
  <c r="J259" i="3" s="1"/>
  <c r="T56" i="3"/>
  <c r="K56" i="3" s="1"/>
  <c r="T495" i="3"/>
  <c r="K495" i="3" s="1"/>
  <c r="T112" i="3"/>
  <c r="K112" i="3" s="1"/>
  <c r="T36" i="3"/>
  <c r="K36" i="3" s="1"/>
  <c r="T155" i="3"/>
  <c r="K155" i="3" s="1"/>
  <c r="T19" i="3"/>
  <c r="K19" i="3" s="1"/>
  <c r="T178" i="3"/>
  <c r="K178" i="3" s="1"/>
  <c r="T132" i="3"/>
  <c r="K132" i="3" s="1"/>
  <c r="T278" i="3"/>
  <c r="K278" i="3" s="1"/>
  <c r="T3" i="3"/>
  <c r="K3" i="3" s="1"/>
  <c r="T145" i="3"/>
  <c r="K145" i="3" s="1"/>
  <c r="T199" i="3"/>
  <c r="K199" i="3" s="1"/>
  <c r="T205" i="3"/>
  <c r="K205" i="3" s="1"/>
  <c r="T63" i="3"/>
  <c r="K63" i="3" s="1"/>
  <c r="T138" i="3"/>
  <c r="K138" i="3" s="1"/>
  <c r="T131" i="3"/>
  <c r="K131" i="3" s="1"/>
  <c r="T302" i="3"/>
  <c r="K302" i="3" s="1"/>
  <c r="T363" i="3"/>
  <c r="K363" i="3" s="1"/>
  <c r="T399" i="3"/>
  <c r="K399" i="3" s="1"/>
  <c r="T171" i="3"/>
  <c r="K171" i="3" s="1"/>
  <c r="T31" i="3"/>
  <c r="K31" i="3" s="1"/>
  <c r="T383" i="3"/>
  <c r="K383" i="3" s="1"/>
  <c r="T313" i="3"/>
  <c r="K313" i="3" s="1"/>
  <c r="T83" i="3"/>
  <c r="K83" i="3" s="1"/>
  <c r="T42" i="3"/>
  <c r="K42" i="3" s="1"/>
  <c r="T345" i="3"/>
  <c r="K345" i="3" s="1"/>
  <c r="T249" i="3"/>
  <c r="K249" i="3" s="1"/>
  <c r="T413" i="3"/>
  <c r="K413" i="3" s="1"/>
  <c r="T73" i="3"/>
  <c r="K73" i="3" s="1"/>
  <c r="T366" i="3"/>
  <c r="K366" i="3" s="1"/>
  <c r="T450" i="3"/>
  <c r="K450" i="3" s="1"/>
  <c r="T356" i="3"/>
  <c r="K356" i="3" s="1"/>
  <c r="T146" i="3"/>
  <c r="K146" i="3" s="1"/>
  <c r="T378" i="3"/>
  <c r="K378" i="3" s="1"/>
  <c r="T284" i="3"/>
  <c r="K284" i="3" s="1"/>
  <c r="T405" i="3"/>
  <c r="K405" i="3" s="1"/>
  <c r="T157" i="3"/>
  <c r="K157" i="3" s="1"/>
  <c r="T474" i="3"/>
  <c r="K474" i="3" s="1"/>
  <c r="T460" i="3"/>
  <c r="K460" i="3" s="1"/>
  <c r="T451" i="3"/>
  <c r="K451" i="3" s="1"/>
  <c r="T275" i="3"/>
  <c r="K275" i="3" s="1"/>
  <c r="T333" i="3"/>
  <c r="K333" i="3" s="1"/>
  <c r="T196" i="3"/>
  <c r="K196" i="3" s="1"/>
  <c r="T352" i="3"/>
  <c r="K352" i="3" s="1"/>
  <c r="T470" i="3"/>
  <c r="K470" i="3" s="1"/>
  <c r="T257" i="3"/>
  <c r="K257" i="3" s="1"/>
  <c r="T364" i="3"/>
  <c r="K364" i="3" s="1"/>
  <c r="T357" i="3"/>
  <c r="K357" i="3" s="1"/>
  <c r="T12" i="3"/>
  <c r="K12" i="3" s="1"/>
  <c r="T438" i="3"/>
  <c r="K438" i="3" s="1"/>
  <c r="T263" i="3"/>
  <c r="K263" i="3" s="1"/>
  <c r="T95" i="3"/>
  <c r="K95" i="3" s="1"/>
  <c r="T191" i="3"/>
  <c r="K191" i="3" s="1"/>
  <c r="T487" i="3"/>
  <c r="K487" i="3" s="1"/>
  <c r="T349" i="3"/>
  <c r="K349" i="3" s="1"/>
  <c r="T18" i="3"/>
  <c r="K18" i="3" s="1"/>
  <c r="T268" i="3"/>
  <c r="K268" i="3" s="1"/>
  <c r="T328" i="3"/>
  <c r="K328" i="3" s="1"/>
  <c r="T245" i="3"/>
  <c r="K245" i="3" s="1"/>
  <c r="T457" i="3"/>
  <c r="K457" i="3" s="1"/>
  <c r="T465" i="3"/>
  <c r="K465" i="3" s="1"/>
  <c r="T110" i="3"/>
  <c r="K110" i="3" s="1"/>
  <c r="T307" i="3"/>
  <c r="K307" i="3" s="1"/>
  <c r="T385" i="3"/>
  <c r="K385" i="3" s="1"/>
  <c r="T151" i="3"/>
  <c r="K151" i="3" s="1"/>
  <c r="T57" i="3"/>
  <c r="K57" i="3" s="1"/>
  <c r="T133" i="3"/>
  <c r="K133" i="3" s="1"/>
  <c r="T316" i="3"/>
  <c r="K316" i="3" s="1"/>
  <c r="T297" i="3"/>
  <c r="K297" i="3" s="1"/>
  <c r="T227" i="3"/>
  <c r="K227" i="3" s="1"/>
  <c r="T353" i="3"/>
  <c r="K353" i="3" s="1"/>
  <c r="T17" i="3"/>
  <c r="K17" i="3" s="1"/>
  <c r="T11" i="3"/>
  <c r="K11" i="3" s="1"/>
  <c r="T234" i="3"/>
  <c r="K234" i="3" s="1"/>
  <c r="T285" i="3"/>
  <c r="K285" i="3" s="1"/>
  <c r="T463" i="3"/>
  <c r="K463" i="3" s="1"/>
  <c r="T412" i="3"/>
  <c r="K412" i="3" s="1"/>
  <c r="T292" i="3"/>
  <c r="K292" i="3" s="1"/>
  <c r="T477" i="3"/>
  <c r="K477" i="3" s="1"/>
  <c r="T371" i="3"/>
  <c r="K371" i="3" s="1"/>
  <c r="T496" i="3"/>
  <c r="K496" i="3" s="1"/>
  <c r="T203" i="3"/>
  <c r="K203" i="3" s="1"/>
  <c r="T270" i="3"/>
  <c r="K270" i="3" s="1"/>
  <c r="T394" i="3"/>
  <c r="K394" i="3" s="1"/>
  <c r="T281" i="3"/>
  <c r="K281" i="3" s="1"/>
  <c r="T497" i="3"/>
  <c r="K497" i="3" s="1"/>
  <c r="T384" i="3"/>
  <c r="K384" i="3" s="1"/>
  <c r="T295" i="3"/>
  <c r="K295" i="3" s="1"/>
  <c r="T361" i="3"/>
  <c r="K361" i="3" s="1"/>
  <c r="T395" i="3"/>
  <c r="K395" i="3" s="1"/>
  <c r="T37" i="3"/>
  <c r="K37" i="3" s="1"/>
  <c r="T152" i="3"/>
  <c r="K152" i="3" s="1"/>
  <c r="T466" i="3"/>
  <c r="K466" i="3" s="1"/>
  <c r="T442" i="3"/>
  <c r="K442" i="3" s="1"/>
  <c r="T493" i="3"/>
  <c r="K493" i="3" s="1"/>
  <c r="T62" i="3"/>
  <c r="K62" i="3" s="1"/>
  <c r="T439" i="3"/>
  <c r="K439" i="3" s="1"/>
  <c r="T351" i="3"/>
  <c r="K351" i="3" s="1"/>
  <c r="T187" i="3"/>
  <c r="K187" i="3" s="1"/>
  <c r="T230" i="3"/>
  <c r="K230" i="3" s="1"/>
  <c r="T10" i="3"/>
  <c r="K10" i="3" s="1"/>
  <c r="T50" i="3"/>
  <c r="K50" i="3" s="1"/>
  <c r="T406" i="3"/>
  <c r="K406" i="3" s="1"/>
  <c r="T276" i="3"/>
  <c r="K276" i="3" s="1"/>
  <c r="T258" i="3"/>
  <c r="K258" i="3" s="1"/>
  <c r="T136" i="3"/>
  <c r="K136" i="3" s="1"/>
  <c r="T237" i="3"/>
  <c r="K237" i="3" s="1"/>
  <c r="T240" i="3"/>
  <c r="K240" i="3" s="1"/>
  <c r="T66" i="3"/>
  <c r="K66" i="3" s="1"/>
  <c r="T445" i="3"/>
  <c r="K445" i="3" s="1"/>
  <c r="T423" i="3"/>
  <c r="K423" i="3" s="1"/>
  <c r="T142" i="3"/>
  <c r="K142" i="3" s="1"/>
  <c r="T339" i="3"/>
  <c r="K339" i="3" s="1"/>
  <c r="T64" i="3"/>
  <c r="K64" i="3" s="1"/>
  <c r="T298" i="3"/>
  <c r="K298" i="3" s="1"/>
  <c r="T210" i="3"/>
  <c r="K210" i="3" s="1"/>
  <c r="T98" i="3"/>
  <c r="K98" i="3" s="1"/>
  <c r="T213" i="3"/>
  <c r="K213" i="3" s="1"/>
  <c r="T491" i="3"/>
  <c r="K491" i="3" s="1"/>
  <c r="T217" i="3"/>
  <c r="K217" i="3" s="1"/>
  <c r="T309" i="3"/>
  <c r="K309" i="3" s="1"/>
  <c r="T153" i="3"/>
  <c r="K153" i="3" s="1"/>
  <c r="T43" i="3"/>
  <c r="K43" i="3" s="1"/>
  <c r="T94" i="3"/>
  <c r="K94" i="3" s="1"/>
  <c r="T469" i="3"/>
  <c r="K469" i="3" s="1"/>
  <c r="T403" i="3"/>
  <c r="K403" i="3" s="1"/>
  <c r="T175" i="3"/>
  <c r="K175" i="3" s="1"/>
  <c r="T124" i="3"/>
  <c r="K124" i="3" s="1"/>
  <c r="T415" i="3"/>
  <c r="K415" i="3" s="1"/>
  <c r="T229" i="3"/>
  <c r="K229" i="3" s="1"/>
  <c r="T26" i="3"/>
  <c r="K26" i="3" s="1"/>
  <c r="T242" i="3"/>
  <c r="K242" i="3" s="1"/>
  <c r="T434" i="3"/>
  <c r="K434" i="3" s="1"/>
  <c r="T99" i="3"/>
  <c r="K99" i="3" s="1"/>
  <c r="T139" i="3"/>
  <c r="K139" i="3" s="1"/>
  <c r="T274" i="3"/>
  <c r="K274" i="3" s="1"/>
  <c r="T115" i="3"/>
  <c r="K115" i="3" s="1"/>
  <c r="T105" i="3"/>
  <c r="K105" i="3" s="1"/>
  <c r="T27" i="3"/>
  <c r="K27" i="3" s="1"/>
  <c r="T78" i="3"/>
  <c r="K78" i="3" s="1"/>
  <c r="T306" i="3"/>
  <c r="K306" i="3" s="1"/>
  <c r="T226" i="3"/>
  <c r="K226" i="3" s="1"/>
  <c r="T342" i="3"/>
  <c r="K342" i="3" s="1"/>
  <c r="T29" i="3"/>
  <c r="K29" i="3" s="1"/>
  <c r="T485" i="3"/>
  <c r="K485" i="3" s="1"/>
  <c r="T398" i="3"/>
  <c r="K398" i="3" s="1"/>
  <c r="T53" i="3"/>
  <c r="K53" i="3" s="1"/>
  <c r="T38" i="3"/>
  <c r="K38" i="3" s="1"/>
  <c r="T428" i="3"/>
  <c r="K428" i="3" s="1"/>
  <c r="T440" i="3"/>
  <c r="K440" i="3" s="1"/>
  <c r="T362" i="3"/>
  <c r="K362" i="3" s="1"/>
  <c r="T92" i="3"/>
  <c r="K92" i="3" s="1"/>
  <c r="T253" i="3"/>
  <c r="K253" i="3" s="1"/>
  <c r="T8" i="3"/>
  <c r="K8" i="3" s="1"/>
  <c r="T89" i="3"/>
  <c r="K89" i="3" s="1"/>
  <c r="T49" i="3"/>
  <c r="K49" i="3" s="1"/>
  <c r="T282" i="3"/>
  <c r="K282" i="3" s="1"/>
  <c r="T272" i="3"/>
  <c r="K272" i="3" s="1"/>
  <c r="T454" i="3"/>
  <c r="K454" i="3" s="1"/>
  <c r="T449" i="3"/>
  <c r="K449" i="3" s="1"/>
  <c r="T71" i="3"/>
  <c r="K71" i="3" s="1"/>
  <c r="T107" i="3"/>
  <c r="K107" i="3" s="1"/>
  <c r="T197" i="3"/>
  <c r="K197" i="3" s="1"/>
  <c r="T236" i="3"/>
  <c r="K236" i="3" s="1"/>
  <c r="T375" i="3"/>
  <c r="K375" i="3" s="1"/>
  <c r="T159" i="3"/>
  <c r="K159" i="3" s="1"/>
  <c r="T321" i="3"/>
  <c r="K321" i="3" s="1"/>
  <c r="T458" i="3"/>
  <c r="K458" i="3" s="1"/>
  <c r="T108" i="3"/>
  <c r="K108" i="3" s="1"/>
  <c r="T69" i="3"/>
  <c r="K69" i="3" s="1"/>
  <c r="T311" i="3"/>
  <c r="K311" i="3" s="1"/>
  <c r="T246" i="3"/>
  <c r="K246" i="3" s="1"/>
  <c r="T422" i="3"/>
  <c r="K422" i="3" s="1"/>
  <c r="T424" i="3"/>
  <c r="K424" i="3" s="1"/>
  <c r="T409" i="3"/>
  <c r="K409" i="3" s="1"/>
  <c r="T103" i="3"/>
  <c r="K103" i="3" s="1"/>
  <c r="T368" i="3"/>
  <c r="K368" i="3" s="1"/>
  <c r="T241" i="3"/>
  <c r="K241" i="3" s="1"/>
  <c r="T35" i="3"/>
  <c r="K35" i="3" s="1"/>
  <c r="T156" i="3"/>
  <c r="K156" i="3" s="1"/>
  <c r="T117" i="3"/>
  <c r="K117" i="3" s="1"/>
  <c r="T277" i="3"/>
  <c r="K277" i="3" s="1"/>
  <c r="T254" i="3"/>
  <c r="K254" i="3" s="1"/>
  <c r="T109" i="3"/>
  <c r="K109" i="3" s="1"/>
  <c r="T410" i="3"/>
  <c r="K410" i="3" s="1"/>
  <c r="T72" i="3"/>
  <c r="K72" i="3" s="1"/>
  <c r="T122" i="3"/>
  <c r="K122" i="3" s="1"/>
  <c r="T323" i="3"/>
  <c r="K323" i="3" s="1"/>
  <c r="T290" i="3"/>
  <c r="K290" i="3" s="1"/>
  <c r="T58" i="3"/>
  <c r="K58" i="3" s="1"/>
  <c r="T408" i="3"/>
  <c r="K408" i="3" s="1"/>
  <c r="T265" i="3"/>
  <c r="K265" i="3" s="1"/>
  <c r="T13" i="3"/>
  <c r="K13" i="3" s="1"/>
  <c r="T45" i="3"/>
  <c r="K45" i="3" s="1"/>
  <c r="T420" i="3"/>
  <c r="K420" i="3" s="1"/>
  <c r="T255" i="3"/>
  <c r="K255" i="3" s="1"/>
  <c r="T346" i="3"/>
  <c r="K346" i="3" s="1"/>
  <c r="T355" i="3"/>
  <c r="K355" i="3" s="1"/>
  <c r="T127" i="3"/>
  <c r="K127" i="3" s="1"/>
  <c r="T76" i="3"/>
  <c r="K76" i="3" s="1"/>
  <c r="T382" i="3"/>
  <c r="K382" i="3" s="1"/>
  <c r="T167" i="3"/>
  <c r="K167" i="3" s="1"/>
  <c r="T116" i="3"/>
  <c r="K116" i="3" s="1"/>
  <c r="T113" i="3"/>
  <c r="K113" i="3" s="1"/>
  <c r="T380" i="3"/>
  <c r="K380" i="3" s="1"/>
  <c r="T68" i="3"/>
  <c r="K68" i="3" s="1"/>
  <c r="T332" i="3"/>
  <c r="K332" i="3" s="1"/>
  <c r="T194" i="3"/>
  <c r="K194" i="3" s="1"/>
  <c r="T61" i="3"/>
  <c r="K61" i="3" s="1"/>
  <c r="T46" i="3"/>
  <c r="K46" i="3" s="1"/>
  <c r="T176" i="3"/>
  <c r="K176" i="3" s="1"/>
  <c r="T301" i="3"/>
  <c r="K301" i="3" s="1"/>
  <c r="T348" i="3"/>
  <c r="K348" i="3" s="1"/>
  <c r="T79" i="3"/>
  <c r="K79" i="3" s="1"/>
  <c r="T431" i="3"/>
  <c r="K431" i="3" s="1"/>
  <c r="T386" i="3"/>
  <c r="K386" i="3" s="1"/>
  <c r="T334" i="3"/>
  <c r="K334" i="3" s="1"/>
  <c r="T34" i="3"/>
  <c r="K34" i="3" s="1"/>
  <c r="T164" i="3"/>
  <c r="K164" i="3" s="1"/>
  <c r="T418" i="3"/>
  <c r="K418" i="3" s="1"/>
  <c r="T161" i="3"/>
  <c r="K161" i="3" s="1"/>
  <c r="T280" i="3"/>
  <c r="K280" i="3" s="1"/>
  <c r="T324" i="3"/>
  <c r="K324" i="3" s="1"/>
  <c r="T267" i="3"/>
  <c r="K267" i="3" s="1"/>
  <c r="T283" i="3"/>
  <c r="K283" i="3" s="1"/>
  <c r="T400" i="3"/>
  <c r="K400" i="3" s="1"/>
  <c r="T244" i="3"/>
  <c r="K244" i="3" s="1"/>
  <c r="T453" i="3"/>
  <c r="K453" i="3" s="1"/>
  <c r="T9" i="3"/>
  <c r="K9" i="3" s="1"/>
  <c r="T86" i="3"/>
  <c r="K86" i="3" s="1"/>
  <c r="T452" i="3"/>
  <c r="K452" i="3" s="1"/>
  <c r="T202" i="3"/>
  <c r="K202" i="3" s="1"/>
  <c r="T494" i="3"/>
  <c r="K494" i="3" s="1"/>
  <c r="T183" i="3"/>
  <c r="K183" i="3" s="1"/>
  <c r="T192" i="3"/>
  <c r="K192" i="3" s="1"/>
  <c r="T126" i="3"/>
  <c r="K126" i="3" s="1"/>
  <c r="T318" i="3"/>
  <c r="K318" i="3" s="1"/>
  <c r="T337" i="3"/>
  <c r="K337" i="3" s="1"/>
  <c r="T331" i="3"/>
  <c r="K331" i="3" s="1"/>
  <c r="T446" i="3"/>
  <c r="K446" i="3" s="1"/>
  <c r="T367" i="3"/>
  <c r="K367" i="3" s="1"/>
  <c r="T88" i="3"/>
  <c r="K88" i="3" s="1"/>
  <c r="T220" i="3"/>
  <c r="K220" i="3" s="1"/>
  <c r="T216" i="3"/>
  <c r="K216" i="3" s="1"/>
  <c r="T432" i="3"/>
  <c r="K432" i="3" s="1"/>
  <c r="T209" i="3"/>
  <c r="K209" i="3" s="1"/>
  <c r="T148" i="3"/>
  <c r="K148" i="3" s="1"/>
  <c r="T54" i="3"/>
  <c r="K54" i="3" s="1"/>
  <c r="T319" i="3"/>
  <c r="K319" i="3" s="1"/>
  <c r="T238" i="3"/>
  <c r="K238" i="3" s="1"/>
  <c r="T430" i="3"/>
  <c r="K430" i="3" s="1"/>
  <c r="T338" i="3"/>
  <c r="K338" i="3" s="1"/>
  <c r="T119" i="3"/>
  <c r="K119" i="3" s="1"/>
  <c r="T389" i="3"/>
  <c r="K389" i="3" s="1"/>
  <c r="T65" i="3"/>
  <c r="K65" i="3" s="1"/>
  <c r="T340" i="3"/>
  <c r="K340" i="3" s="1"/>
  <c r="T140" i="3"/>
  <c r="K140" i="3" s="1"/>
  <c r="T248" i="3"/>
  <c r="K248" i="3" s="1"/>
  <c r="T404" i="3"/>
  <c r="K404" i="3" s="1"/>
  <c r="T252" i="3"/>
  <c r="K252" i="3" s="1"/>
  <c r="T303" i="3"/>
  <c r="K303" i="3" s="1"/>
  <c r="T471" i="3"/>
  <c r="K471" i="3" s="1"/>
  <c r="T435" i="3"/>
  <c r="K435" i="3" s="1"/>
  <c r="T232" i="3"/>
  <c r="K232" i="3" s="1"/>
  <c r="T360" i="3"/>
  <c r="K360" i="3" s="1"/>
  <c r="T147" i="3"/>
  <c r="K147" i="3" s="1"/>
  <c r="T179" i="3"/>
  <c r="K179" i="3" s="1"/>
  <c r="T224" i="3"/>
  <c r="K224" i="3" s="1"/>
  <c r="T310" i="3"/>
  <c r="K310" i="3" s="1"/>
  <c r="T30" i="3"/>
  <c r="K30" i="3" s="1"/>
  <c r="T370" i="3"/>
  <c r="K370" i="3" s="1"/>
  <c r="T379" i="3"/>
  <c r="K379" i="3" s="1"/>
  <c r="T308" i="3"/>
  <c r="K308" i="3" s="1"/>
  <c r="T21" i="3"/>
  <c r="K21" i="3" s="1"/>
  <c r="T190" i="3"/>
  <c r="K190" i="3" s="1"/>
  <c r="T444" i="3"/>
  <c r="K444" i="3" s="1"/>
  <c r="T492" i="3"/>
  <c r="K492" i="3" s="1"/>
  <c r="T169" i="3"/>
  <c r="K169" i="3" s="1"/>
  <c r="T102" i="3"/>
  <c r="K102" i="3" s="1"/>
  <c r="T461" i="3"/>
  <c r="K461" i="3" s="1"/>
  <c r="T433" i="3"/>
  <c r="K433" i="3" s="1"/>
  <c r="T467" i="3"/>
  <c r="K467" i="3" s="1"/>
  <c r="T490" i="3"/>
  <c r="K490" i="3" s="1"/>
  <c r="T235" i="3"/>
  <c r="K235" i="3" s="1"/>
  <c r="T222" i="3"/>
  <c r="K222" i="3" s="1"/>
  <c r="T111" i="3"/>
  <c r="K111" i="3" s="1"/>
  <c r="T250" i="3"/>
  <c r="K250" i="3" s="1"/>
  <c r="T462" i="3"/>
  <c r="K462" i="3" s="1"/>
  <c r="T128" i="3"/>
  <c r="K128" i="3" s="1"/>
  <c r="T195" i="3"/>
  <c r="K195" i="3" s="1"/>
  <c r="T184" i="3"/>
  <c r="K184" i="3" s="1"/>
  <c r="T396" i="3"/>
  <c r="K396" i="3" s="1"/>
  <c r="T22" i="3"/>
  <c r="K22" i="3" s="1"/>
  <c r="T129" i="3"/>
  <c r="K129" i="3" s="1"/>
  <c r="T48" i="3"/>
  <c r="K48" i="3" s="1"/>
  <c r="T165" i="3"/>
  <c r="K165" i="3" s="1"/>
  <c r="T479" i="3"/>
  <c r="K479" i="3" s="1"/>
  <c r="T286" i="3"/>
  <c r="K286" i="3" s="1"/>
  <c r="T207" i="3"/>
  <c r="K207" i="3" s="1"/>
  <c r="T134" i="3"/>
  <c r="K134" i="3" s="1"/>
  <c r="T482" i="3"/>
  <c r="K482" i="3" s="1"/>
  <c r="T75" i="3"/>
  <c r="K75" i="3" s="1"/>
  <c r="T174" i="3"/>
  <c r="K174" i="3" s="1"/>
  <c r="T376" i="3"/>
  <c r="K376" i="3" s="1"/>
  <c r="T483" i="3"/>
  <c r="K483" i="3" s="1"/>
  <c r="T52" i="3"/>
  <c r="K52" i="3" s="1"/>
  <c r="T121" i="3"/>
  <c r="K121" i="3" s="1"/>
  <c r="B12" i="4"/>
  <c r="B41" i="4"/>
  <c r="B13" i="4" s="1"/>
  <c r="E18" i="3" l="1"/>
  <c r="F45" i="3" s="1"/>
  <c r="E44" i="3"/>
  <c r="E45" i="3"/>
  <c r="E46" i="3"/>
  <c r="E43" i="3"/>
  <c r="E16" i="3"/>
  <c r="G87" i="1" s="1"/>
  <c r="E17" i="3"/>
  <c r="D45" i="3" s="1"/>
  <c r="G89" i="1" l="1"/>
  <c r="F46" i="3"/>
  <c r="F47" i="3"/>
  <c r="C44" i="3"/>
  <c r="C45" i="3"/>
  <c r="C46" i="3"/>
  <c r="C43" i="3"/>
  <c r="D47" i="3"/>
  <c r="G88" i="1"/>
  <c r="D46" i="3"/>
  <c r="B45" i="4" l="1"/>
  <c r="B52" i="4" s="1"/>
  <c r="C39" i="6"/>
  <c r="B58" i="4" l="1"/>
  <c r="B61" i="4" s="1"/>
  <c r="B59" i="4"/>
  <c r="B62" i="4" s="1"/>
  <c r="B81" i="4"/>
  <c r="B17" i="4" s="1"/>
  <c r="C24" i="6"/>
  <c r="C27" i="6"/>
  <c r="C30" i="6" s="1"/>
  <c r="G119" i="1" s="1"/>
  <c r="C33" i="6"/>
  <c r="C34" i="6"/>
  <c r="C37" i="6" s="1"/>
  <c r="B44" i="4" s="1"/>
  <c r="B51" i="4" s="1"/>
  <c r="B53" i="4" s="1"/>
  <c r="C36" i="6"/>
  <c r="B14" i="4" l="1"/>
  <c r="G126" i="1"/>
  <c r="G130" i="1" s="1"/>
  <c r="B63" i="4"/>
  <c r="B15" i="4" s="1"/>
  <c r="B22" i="4" l="1"/>
  <c r="B23" i="4" s="1"/>
  <c r="G127" i="1" l="1"/>
  <c r="G132" i="1" s="1"/>
  <c r="G134"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Zhong, Lei</author>
    <author>Author</author>
    <author>Ding, Nathan</author>
    <author>Ji, Feng</author>
  </authors>
  <commentList>
    <comment ref="L2" authorId="0" shapeId="0" xr:uid="{CE609DE8-DED7-4BDE-B049-6FD9B102934E}">
      <text>
        <r>
          <rPr>
            <b/>
            <sz val="9"/>
            <color indexed="81"/>
            <rFont val="Tahoma"/>
            <family val="2"/>
          </rPr>
          <t xml:space="preserve">Welcome to the TPS61287 Quickstart Design Tool
</t>
        </r>
        <r>
          <rPr>
            <sz val="9"/>
            <color indexed="81"/>
            <rFont val="Tahoma"/>
            <family val="2"/>
          </rPr>
          <t>This stand-alone tool facilitates and assists the power supply engineer with the design of a DC/DC converter based on TPS61287.
Rev 1.0, Texas Instruments, Inc.</t>
        </r>
      </text>
    </comment>
    <comment ref="P2" authorId="0" shapeId="0" xr:uid="{EC320539-601C-4033-AE8F-9767BD0C82BB}">
      <text>
        <r>
          <rPr>
            <b/>
            <sz val="9"/>
            <color indexed="81"/>
            <rFont val="Tahoma"/>
            <family val="2"/>
          </rPr>
          <t xml:space="preserve">Texas Instruments:
</t>
        </r>
        <r>
          <rPr>
            <sz val="9"/>
            <color indexed="81"/>
            <rFont val="Tahoma"/>
            <family val="2"/>
          </rPr>
          <t xml:space="preserve">Limited Use Policy
You must treat this software and documentation like any other copyrighted material.
You may not:
- Copy documentation of the softeware
- Copy this software except to make archival or backup copies
- Reverse engineer, disassemble, decompile or make any attempt to discover the source code od the softeware
- Place the software onto a server so that it is accessible via a public network such as the Internet
- Sublicense, rent, lease or lend any portion of the software or documentation
Texas Instruments is not responsible for the validity of any design created with this software and urges all designs to be fully tested and carefully verified. Refer to the TPS61287 product datasheet and EVM user guides for more details.
</t>
        </r>
      </text>
    </comment>
    <comment ref="K4" authorId="0" shapeId="0" xr:uid="{9F618CFF-9756-43F1-A441-874BDC0078A3}">
      <text>
        <r>
          <rPr>
            <b/>
            <sz val="9"/>
            <color indexed="81"/>
            <rFont val="Tahoma"/>
            <family val="2"/>
          </rPr>
          <t>D = 0.5</t>
        </r>
        <r>
          <rPr>
            <sz val="9"/>
            <color indexed="81"/>
            <rFont val="Tahoma"/>
            <family val="2"/>
          </rPr>
          <t xml:space="preserve">
</t>
        </r>
      </text>
    </comment>
    <comment ref="H5" authorId="1" shapeId="0" xr:uid="{2304CD22-175D-4D2A-9867-204359FC74EF}">
      <text>
        <r>
          <rPr>
            <b/>
            <sz val="9"/>
            <color indexed="81"/>
            <rFont val="Tahoma"/>
            <family val="2"/>
          </rPr>
          <t xml:space="preserve">Minimum Input Voltage:
</t>
        </r>
        <r>
          <rPr>
            <sz val="9"/>
            <color indexed="81"/>
            <rFont val="Tahoma"/>
            <family val="2"/>
          </rPr>
          <t>Enter the minimum operating input voltage
The TPS61287 input voltage operating range is 2V to 23V.</t>
        </r>
        <r>
          <rPr>
            <b/>
            <sz val="9"/>
            <color indexed="81"/>
            <rFont val="Tahoma"/>
            <family val="2"/>
          </rPr>
          <t xml:space="preserve">
The text in the cell is flagged red if:
</t>
        </r>
        <r>
          <rPr>
            <sz val="9"/>
            <color indexed="10"/>
            <rFont val="Tahoma"/>
            <family val="2"/>
          </rPr>
          <t>-The input voltage is below 2V
-The input voltage is above 23V</t>
        </r>
      </text>
    </comment>
    <comment ref="K5" authorId="0" shapeId="0" xr:uid="{0220E1D3-3F91-4ECD-9596-BCED22307556}">
      <text>
        <r>
          <rPr>
            <b/>
            <sz val="9"/>
            <color indexed="81"/>
            <rFont val="Tahoma"/>
            <family val="2"/>
          </rPr>
          <t>D = 1/3</t>
        </r>
      </text>
    </comment>
    <comment ref="H6" authorId="1" shapeId="0" xr:uid="{9BBC9F01-7064-4767-9055-A0F3210B1360}">
      <text>
        <r>
          <rPr>
            <b/>
            <sz val="9"/>
            <color indexed="81"/>
            <rFont val="Tahoma"/>
            <family val="2"/>
          </rPr>
          <t xml:space="preserve">Nominal Input Voltage:
</t>
        </r>
        <r>
          <rPr>
            <sz val="9"/>
            <color indexed="81"/>
            <rFont val="Tahoma"/>
            <family val="2"/>
          </rPr>
          <t>Enter the nominal operating input voltage
The TPS61287 input voltage operating range is 2V to 23V.</t>
        </r>
        <r>
          <rPr>
            <b/>
            <sz val="9"/>
            <color indexed="81"/>
            <rFont val="Tahoma"/>
            <family val="2"/>
          </rPr>
          <t xml:space="preserve">
The text in the cell is flagged red if:
</t>
        </r>
        <r>
          <rPr>
            <sz val="9"/>
            <color indexed="10"/>
            <rFont val="Tahoma"/>
            <family val="2"/>
          </rPr>
          <t>-The input voltage is above V</t>
        </r>
        <r>
          <rPr>
            <vertAlign val="subscript"/>
            <sz val="9"/>
            <color indexed="10"/>
            <rFont val="Tahoma"/>
            <family val="2"/>
          </rPr>
          <t>IN_max</t>
        </r>
        <r>
          <rPr>
            <sz val="9"/>
            <color indexed="10"/>
            <rFont val="Tahoma"/>
            <family val="2"/>
          </rPr>
          <t xml:space="preserve">
-The input voltage is below V</t>
        </r>
        <r>
          <rPr>
            <vertAlign val="subscript"/>
            <sz val="9"/>
            <color indexed="10"/>
            <rFont val="Tahoma"/>
            <family val="2"/>
          </rPr>
          <t>IN_min</t>
        </r>
      </text>
    </comment>
    <comment ref="H7" authorId="1" shapeId="0" xr:uid="{01BFBD8B-B4A7-422D-AEDB-BC231AF7CC6E}">
      <text>
        <r>
          <rPr>
            <b/>
            <sz val="9"/>
            <color indexed="81"/>
            <rFont val="Tahoma"/>
            <family val="2"/>
          </rPr>
          <t>Maximum Input Voltage:</t>
        </r>
        <r>
          <rPr>
            <sz val="9"/>
            <color indexed="81"/>
            <rFont val="Tahoma"/>
            <family val="2"/>
          </rPr>
          <t xml:space="preserve">
Enter the minimum operating input voltage
The TPS61287 input voltage operating range is 2V to 23V.
</t>
        </r>
        <r>
          <rPr>
            <b/>
            <sz val="9"/>
            <color indexed="81"/>
            <rFont val="Tahoma"/>
            <family val="2"/>
          </rPr>
          <t>The text in the cell is flagged red if:</t>
        </r>
        <r>
          <rPr>
            <sz val="9"/>
            <color indexed="81"/>
            <rFont val="Tahoma"/>
            <family val="2"/>
          </rPr>
          <t xml:space="preserve">
</t>
        </r>
        <r>
          <rPr>
            <sz val="9"/>
            <color indexed="10"/>
            <rFont val="Tahoma"/>
            <family val="2"/>
          </rPr>
          <t>-The input voltage is below 2V
-The input voltage is above 23V</t>
        </r>
      </text>
    </comment>
    <comment ref="H8" authorId="1" shapeId="0" xr:uid="{9BFD723C-909E-4D0A-BD4F-865AEA307826}">
      <text>
        <r>
          <rPr>
            <b/>
            <sz val="9"/>
            <color indexed="81"/>
            <rFont val="Tahoma"/>
            <family val="2"/>
          </rPr>
          <t xml:space="preserve">Output Voltage:
</t>
        </r>
        <r>
          <rPr>
            <sz val="9"/>
            <color indexed="81"/>
            <rFont val="Tahoma"/>
            <family val="2"/>
          </rPr>
          <t>Enter the designed operating output voltage
The TPS61287 maximum output voltage is 25V.</t>
        </r>
        <r>
          <rPr>
            <b/>
            <sz val="9"/>
            <color indexed="81"/>
            <rFont val="Tahoma"/>
            <family val="2"/>
          </rPr>
          <t xml:space="preserve">
The text in the cell is flagged red if:
</t>
        </r>
        <r>
          <rPr>
            <sz val="9"/>
            <color indexed="10"/>
            <rFont val="Tahoma"/>
            <family val="2"/>
          </rPr>
          <t>-The output voltage is above 25V or below 4.5V</t>
        </r>
      </text>
    </comment>
    <comment ref="H9" authorId="1" shapeId="0" xr:uid="{93FA8A4D-3068-46E2-AEC9-84305EF4EF76}">
      <text>
        <r>
          <rPr>
            <b/>
            <sz val="9"/>
            <color indexed="81"/>
            <rFont val="Tahoma"/>
            <family val="2"/>
          </rPr>
          <t xml:space="preserve">Customer wanted maximum output current.
</t>
        </r>
        <r>
          <rPr>
            <sz val="9"/>
            <color indexed="81"/>
            <rFont val="Tahoma"/>
            <family val="2"/>
          </rPr>
          <t xml:space="preserve">
</t>
        </r>
        <r>
          <rPr>
            <b/>
            <sz val="9"/>
            <color indexed="81"/>
            <rFont val="Tahoma"/>
            <family val="2"/>
          </rPr>
          <t>The text in the cell is flagged red if:</t>
        </r>
        <r>
          <rPr>
            <sz val="9"/>
            <color indexed="81"/>
            <rFont val="Tahoma"/>
            <family val="2"/>
          </rPr>
          <t xml:space="preserve">
</t>
        </r>
        <r>
          <rPr>
            <sz val="9"/>
            <color indexed="10"/>
            <rFont val="Tahoma"/>
            <family val="2"/>
          </rPr>
          <t>-It is bigger than the minimum guaranteed maximum calculated output current, I</t>
        </r>
        <r>
          <rPr>
            <vertAlign val="subscript"/>
            <sz val="9"/>
            <color indexed="10"/>
            <rFont val="Tahoma"/>
            <family val="2"/>
          </rPr>
          <t>OUT_max_cal</t>
        </r>
      </text>
    </comment>
    <comment ref="H10" authorId="1" shapeId="0" xr:uid="{99750C4B-89C0-4099-B2B1-EF7E7EE0B3FE}">
      <text>
        <r>
          <rPr>
            <sz val="9"/>
            <color indexed="81"/>
            <rFont val="Tahoma"/>
            <family val="2"/>
          </rPr>
          <t xml:space="preserve">Enter estimated efficiency based on practical input and output condition. Use 90% for a starting point. </t>
        </r>
      </text>
    </comment>
    <comment ref="H12" authorId="2" shapeId="0" xr:uid="{09E44D48-C5BD-4E6B-BB42-74F29BA42669}">
      <text>
        <r>
          <rPr>
            <b/>
            <sz val="9"/>
            <color indexed="81"/>
            <rFont val="Tahoma"/>
            <family val="2"/>
          </rPr>
          <t xml:space="preserve">Switching current limit:
</t>
        </r>
        <r>
          <rPr>
            <sz val="9"/>
            <color indexed="81"/>
            <rFont val="Tahoma"/>
            <family val="2"/>
          </rPr>
          <t>Enter the designed switching current limit.
The TPS61287 maximum switching current limit is 20A.</t>
        </r>
        <r>
          <rPr>
            <b/>
            <sz val="9"/>
            <color indexed="81"/>
            <rFont val="Tahoma"/>
            <family val="2"/>
          </rPr>
          <t xml:space="preserve">
</t>
        </r>
        <r>
          <rPr>
            <sz val="9"/>
            <color indexed="81"/>
            <rFont val="Tahoma"/>
            <family val="2"/>
          </rPr>
          <t>The text in the cell is flagged red if:
-</t>
        </r>
        <r>
          <rPr>
            <sz val="9"/>
            <color indexed="10"/>
            <rFont val="Tahoma"/>
            <family val="2"/>
          </rPr>
          <t>The current limit is above 20A or below 5A</t>
        </r>
      </text>
    </comment>
    <comment ref="Q12" authorId="1" shapeId="0" xr:uid="{DC4BF089-289B-4ADD-A143-440549E10093}">
      <text>
        <r>
          <rPr>
            <b/>
            <sz val="9"/>
            <color indexed="81"/>
            <rFont val="Tahoma"/>
            <family val="2"/>
          </rPr>
          <t xml:space="preserve">Inductor Peak Current at minimum Vin:
</t>
        </r>
        <r>
          <rPr>
            <sz val="9"/>
            <color indexed="81"/>
            <rFont val="Tahoma"/>
            <family val="2"/>
          </rPr>
          <t>The chosen inductor Isat spec should be larger than calculated inductor peak current and leave 30% margin at least.</t>
        </r>
        <r>
          <rPr>
            <b/>
            <sz val="9"/>
            <color indexed="81"/>
            <rFont val="Tahoma"/>
            <family val="2"/>
          </rPr>
          <t xml:space="preserve">
</t>
        </r>
        <r>
          <rPr>
            <sz val="9"/>
            <color indexed="81"/>
            <rFont val="Tahoma"/>
            <family val="2"/>
          </rPr>
          <t xml:space="preserve">
The text in this cell is flagged red if:
</t>
        </r>
        <r>
          <rPr>
            <sz val="9"/>
            <color indexed="10"/>
            <rFont val="Tahoma"/>
            <family val="2"/>
          </rPr>
          <t>- calculated inductor peak current is larger than set maximum peak current limit</t>
        </r>
      </text>
    </comment>
    <comment ref="H14" authorId="1" shapeId="0" xr:uid="{4B220353-4FF7-4871-8376-0D13873BD295}">
      <text>
        <r>
          <rPr>
            <b/>
            <sz val="9"/>
            <color indexed="81"/>
            <rFont val="Tahoma"/>
            <family val="2"/>
          </rPr>
          <t>Min Duty Cycle at max input voltage</t>
        </r>
        <r>
          <rPr>
            <sz val="9"/>
            <color indexed="81"/>
            <rFont val="Tahoma"/>
            <family val="2"/>
          </rPr>
          <t xml:space="preserve">
</t>
        </r>
      </text>
    </comment>
    <comment ref="H15" authorId="1" shapeId="0" xr:uid="{273A4AC3-B0E5-427E-83D4-18EFBE3EA922}">
      <text>
        <r>
          <rPr>
            <b/>
            <sz val="9"/>
            <color indexed="81"/>
            <rFont val="Tahoma"/>
            <family val="2"/>
          </rPr>
          <t>Duty Cycle at normal input voltage</t>
        </r>
        <r>
          <rPr>
            <sz val="9"/>
            <color indexed="81"/>
            <rFont val="Tahoma"/>
            <family val="2"/>
          </rPr>
          <t xml:space="preserve">
</t>
        </r>
      </text>
    </comment>
    <comment ref="H16" authorId="1" shapeId="0" xr:uid="{C6CC738C-639B-4B14-9DC5-1461DB8656D7}">
      <text>
        <r>
          <rPr>
            <b/>
            <sz val="9"/>
            <color indexed="81"/>
            <rFont val="Tahoma"/>
            <family val="2"/>
          </rPr>
          <t>Max Duty Cycle at min input voltage</t>
        </r>
        <r>
          <rPr>
            <sz val="9"/>
            <color indexed="81"/>
            <rFont val="Tahoma"/>
            <family val="2"/>
          </rPr>
          <t xml:space="preserve">
</t>
        </r>
      </text>
    </comment>
    <comment ref="H17" authorId="0" shapeId="0" xr:uid="{15271FD2-7EBB-4DF3-AD49-40459B396391}">
      <text>
        <r>
          <rPr>
            <b/>
            <sz val="9"/>
            <color indexed="81"/>
            <rFont val="Tahoma"/>
            <family val="2"/>
          </rPr>
          <t>Minimum I</t>
        </r>
        <r>
          <rPr>
            <b/>
            <vertAlign val="subscript"/>
            <sz val="9"/>
            <color indexed="81"/>
            <rFont val="Tahoma"/>
            <family val="2"/>
          </rPr>
          <t>OUT_max</t>
        </r>
        <r>
          <rPr>
            <b/>
            <sz val="9"/>
            <color indexed="81"/>
            <rFont val="Tahoma"/>
            <family val="2"/>
          </rPr>
          <t xml:space="preserve">
</t>
        </r>
        <r>
          <rPr>
            <sz val="9"/>
            <color indexed="81"/>
            <rFont val="Tahoma"/>
            <family val="2"/>
          </rPr>
          <t>Please make sure that when calculate the guaranteed maximum I</t>
        </r>
        <r>
          <rPr>
            <vertAlign val="subscript"/>
            <sz val="9"/>
            <color indexed="81"/>
            <rFont val="Tahoma"/>
            <family val="2"/>
          </rPr>
          <t>OUT</t>
        </r>
        <r>
          <rPr>
            <sz val="9"/>
            <color indexed="81"/>
            <rFont val="Tahoma"/>
            <family val="2"/>
          </rPr>
          <t xml:space="preserve"> the minimum peak current limit should be used</t>
        </r>
      </text>
    </comment>
    <comment ref="H21" authorId="1" shapeId="0" xr:uid="{FB9CE017-1F47-4574-B4BC-F32993C8CDE9}">
      <text>
        <r>
          <rPr>
            <b/>
            <sz val="9"/>
            <color indexed="81"/>
            <rFont val="Tahoma"/>
            <family val="2"/>
          </rPr>
          <t xml:space="preserve">Selected the Inductor Peak-to-Peak Current Ratio:
</t>
        </r>
        <r>
          <rPr>
            <sz val="9"/>
            <color indexed="81"/>
            <rFont val="Tahoma"/>
            <family val="2"/>
          </rPr>
          <t xml:space="preserve">The usually used max ratio of the inductor current ripple to the average inductor current is 20%~40%. It's not a mandatory rule. When the Iout is small, the ratio can be bigger than 40% if the other requirements can be met. 
</t>
        </r>
      </text>
    </comment>
    <comment ref="H24" authorId="1" shapeId="0" xr:uid="{B5F5CB60-6513-4DDD-9C5C-F2C6D747C423}">
      <text>
        <r>
          <rPr>
            <b/>
            <sz val="9"/>
            <color indexed="81"/>
            <rFont val="Tahoma"/>
            <family val="2"/>
          </rPr>
          <t xml:space="preserve">Selected Inductance Value:
</t>
        </r>
        <r>
          <rPr>
            <sz val="9"/>
            <color indexed="81"/>
            <rFont val="Tahoma"/>
            <family val="2"/>
          </rPr>
          <t>This is the selected inductance value. The calculated inductance value should be used as a guide line to select the inductance value.</t>
        </r>
      </text>
    </comment>
    <comment ref="H31" authorId="1" shapeId="0" xr:uid="{BD7CA99D-0321-45CF-B788-891E0C25FFA9}">
      <text>
        <r>
          <rPr>
            <b/>
            <sz val="9"/>
            <color indexed="81"/>
            <rFont val="Tahoma"/>
            <family val="2"/>
          </rPr>
          <t xml:space="preserve">Output Capacitance:
</t>
        </r>
        <r>
          <rPr>
            <sz val="9"/>
            <color indexed="81"/>
            <rFont val="Tahoma"/>
            <family val="2"/>
          </rPr>
          <t>Enter the output capacitance here based on the minimum calculated result. Make sure that the nominal capacitance is appropriately degrated for applied voltage particularly with ceramics.</t>
        </r>
      </text>
    </comment>
    <comment ref="G33" authorId="0" shapeId="0" xr:uid="{1C1ABCCF-685A-4D01-9448-DFDE34143416}">
      <text>
        <r>
          <rPr>
            <sz val="9"/>
            <color indexed="81"/>
            <rFont val="Tahoma"/>
            <family val="2"/>
          </rPr>
          <t>If no electrolytic capacitor in output, please keep the cells blank.</t>
        </r>
      </text>
    </comment>
    <comment ref="G34" authorId="0" shapeId="0" xr:uid="{B5933E3D-F70B-49FC-B4C1-1B5C96BBFE63}">
      <text>
        <r>
          <rPr>
            <sz val="9"/>
            <color indexed="81"/>
            <rFont val="Tahoma"/>
            <family val="2"/>
          </rPr>
          <t>If no electrolytic capacitor in output, please keep the cells blank.</t>
        </r>
      </text>
    </comment>
    <comment ref="G46" authorId="0" shapeId="0" xr:uid="{4D57EA0D-9292-4C5F-B43F-7C9CF63BB3F0}">
      <text>
        <r>
          <rPr>
            <b/>
            <sz val="9"/>
            <color indexed="81"/>
            <rFont val="Tahoma"/>
            <family val="2"/>
          </rPr>
          <t xml:space="preserve">Output Resistance:
</t>
        </r>
        <r>
          <rPr>
            <sz val="9"/>
            <color indexed="81"/>
            <rFont val="Tahoma"/>
            <family val="2"/>
          </rPr>
          <t>R</t>
        </r>
        <r>
          <rPr>
            <vertAlign val="subscript"/>
            <sz val="9"/>
            <color indexed="81"/>
            <rFont val="Tahoma"/>
            <family val="2"/>
          </rPr>
          <t>OUT</t>
        </r>
        <r>
          <rPr>
            <sz val="9"/>
            <color indexed="81"/>
            <rFont val="Tahoma"/>
            <family val="2"/>
          </rPr>
          <t xml:space="preserve"> = V</t>
        </r>
        <r>
          <rPr>
            <vertAlign val="subscript"/>
            <sz val="9"/>
            <color indexed="81"/>
            <rFont val="Tahoma"/>
            <family val="2"/>
          </rPr>
          <t>OUT</t>
        </r>
        <r>
          <rPr>
            <sz val="9"/>
            <color indexed="81"/>
            <rFont val="Tahoma"/>
            <family val="2"/>
          </rPr>
          <t>/I</t>
        </r>
        <r>
          <rPr>
            <vertAlign val="subscript"/>
            <sz val="9"/>
            <color indexed="81"/>
            <rFont val="Tahoma"/>
            <family val="2"/>
          </rPr>
          <t>OUT_max</t>
        </r>
      </text>
    </comment>
    <comment ref="G56" authorId="0" shapeId="0" xr:uid="{89D8C304-4B20-42E6-8605-57B79B71601E}">
      <text>
        <r>
          <rPr>
            <b/>
            <sz val="9"/>
            <color indexed="81"/>
            <rFont val="Tahoma"/>
            <family val="2"/>
          </rPr>
          <t>Please refer to the datasheet for this parameter</t>
        </r>
      </text>
    </comment>
    <comment ref="G57" authorId="0" shapeId="0" xr:uid="{D89B0DFA-C8A1-4F4F-B92C-565DB5E38190}">
      <text>
        <r>
          <rPr>
            <b/>
            <sz val="9"/>
            <color indexed="81"/>
            <rFont val="Tahoma"/>
            <family val="2"/>
          </rPr>
          <t>Please refer to the datasheet for this parameter</t>
        </r>
      </text>
    </comment>
    <comment ref="G59" authorId="0" shapeId="0" xr:uid="{8136CAA0-A950-4F6B-8548-CA7B379982CC}">
      <text>
        <r>
          <rPr>
            <b/>
            <sz val="9"/>
            <color indexed="81"/>
            <rFont val="Tahoma"/>
            <family val="2"/>
          </rPr>
          <t xml:space="preserve">Please refer to the datasheet for this parameter
</t>
        </r>
        <r>
          <rPr>
            <sz val="9"/>
            <color indexed="81"/>
            <rFont val="Tahoma"/>
            <family val="2"/>
          </rPr>
          <t>R</t>
        </r>
        <r>
          <rPr>
            <vertAlign val="subscript"/>
            <sz val="9"/>
            <color indexed="81"/>
            <rFont val="Tahoma"/>
            <family val="2"/>
          </rPr>
          <t>sense</t>
        </r>
        <r>
          <rPr>
            <sz val="9"/>
            <color indexed="81"/>
            <rFont val="Tahoma"/>
            <family val="2"/>
          </rPr>
          <t>=1/K</t>
        </r>
        <r>
          <rPr>
            <vertAlign val="subscript"/>
            <sz val="9"/>
            <color indexed="81"/>
            <rFont val="Tahoma"/>
            <family val="2"/>
          </rPr>
          <t>comp</t>
        </r>
        <r>
          <rPr>
            <sz val="9"/>
            <color indexed="81"/>
            <rFont val="Tahoma"/>
            <family val="2"/>
          </rPr>
          <t xml:space="preserve">
K</t>
        </r>
        <r>
          <rPr>
            <vertAlign val="subscript"/>
            <sz val="9"/>
            <color indexed="81"/>
            <rFont val="Tahoma"/>
            <family val="2"/>
          </rPr>
          <t xml:space="preserve">comp </t>
        </r>
        <r>
          <rPr>
            <sz val="9"/>
            <color indexed="81"/>
            <rFont val="Tahoma"/>
            <family val="2"/>
          </rPr>
          <t>is specified in datasheet</t>
        </r>
      </text>
    </comment>
    <comment ref="G75" authorId="0" shapeId="0" xr:uid="{D9B6E746-E246-4CDD-B38F-273068B3CD90}">
      <text>
        <r>
          <rPr>
            <b/>
            <sz val="9"/>
            <color indexed="81"/>
            <rFont val="Tahoma"/>
            <family val="2"/>
          </rPr>
          <t>Feedforward capacitor C</t>
        </r>
        <r>
          <rPr>
            <b/>
            <vertAlign val="subscript"/>
            <sz val="9"/>
            <color indexed="81"/>
            <rFont val="Tahoma"/>
            <family val="2"/>
          </rPr>
          <t>ff</t>
        </r>
        <r>
          <rPr>
            <b/>
            <sz val="9"/>
            <color indexed="81"/>
            <rFont val="Tahoma"/>
            <family val="2"/>
          </rPr>
          <t xml:space="preserve">
</t>
        </r>
        <r>
          <rPr>
            <sz val="9"/>
            <color indexed="81"/>
            <rFont val="Tahoma"/>
            <family val="2"/>
          </rPr>
          <t>If no C</t>
        </r>
        <r>
          <rPr>
            <vertAlign val="subscript"/>
            <sz val="9"/>
            <color indexed="81"/>
            <rFont val="Tahoma"/>
            <family val="2"/>
          </rPr>
          <t>ff</t>
        </r>
        <r>
          <rPr>
            <sz val="9"/>
            <color indexed="81"/>
            <rFont val="Tahoma"/>
            <family val="2"/>
          </rPr>
          <t>, just leave this cell blank</t>
        </r>
      </text>
    </comment>
    <comment ref="G79" authorId="2" shapeId="0" xr:uid="{EEE7C6B5-86EE-4572-80D8-0582B9C25BBB}">
      <text>
        <r>
          <rPr>
            <b/>
            <sz val="9"/>
            <color indexed="81"/>
            <rFont val="Tahoma"/>
            <family val="2"/>
          </rPr>
          <t xml:space="preserve">Control Loop Bandwidth
</t>
        </r>
        <r>
          <rPr>
            <sz val="9"/>
            <color indexed="81"/>
            <rFont val="Tahoma"/>
            <family val="2"/>
          </rPr>
          <t xml:space="preserve">
This sets the bandwidth of the control loop. In a boost controler the RHP zero of the plant transfer function limits the maximum value of the control loop bandwidth. 
The FCO_calc suggests 1/5th the RHP zero frequency at Vin(min).</t>
        </r>
      </text>
    </comment>
    <comment ref="G80" authorId="2" shapeId="0" xr:uid="{5B45B541-114F-4383-9E17-3A290204AF34}">
      <text>
        <r>
          <rPr>
            <b/>
            <sz val="9"/>
            <color indexed="81"/>
            <rFont val="Tahoma"/>
            <family val="2"/>
          </rPr>
          <t xml:space="preserve">Control Loop Bandwidth
</t>
        </r>
        <r>
          <rPr>
            <sz val="9"/>
            <color indexed="81"/>
            <rFont val="Tahoma"/>
            <family val="2"/>
          </rPr>
          <t xml:space="preserve">
It is recommend to not exceed the FCO_calc value.</t>
        </r>
      </text>
    </comment>
    <comment ref="G83" authorId="0" shapeId="0" xr:uid="{B8A821F1-55E7-4D84-9F5D-C7A07BFFE60D}">
      <text>
        <r>
          <rPr>
            <b/>
            <sz val="9"/>
            <color indexed="81"/>
            <rFont val="Tahoma"/>
            <family val="2"/>
          </rPr>
          <t xml:space="preserve">User defined compensation parameter
</t>
        </r>
        <r>
          <rPr>
            <sz val="9"/>
            <color indexed="81"/>
            <rFont val="Tahoma"/>
            <family val="2"/>
          </rPr>
          <t>In normal work conditions, the value in official EVM is recommended.</t>
        </r>
      </text>
    </comment>
    <comment ref="G84" authorId="0" shapeId="0" xr:uid="{2BEEB066-6D0B-47A5-86C1-20723BC05D4A}">
      <text>
        <r>
          <rPr>
            <b/>
            <sz val="9"/>
            <color indexed="81"/>
            <rFont val="Tahoma"/>
            <family val="2"/>
          </rPr>
          <t xml:space="preserve">User defined compensation parameter
</t>
        </r>
        <r>
          <rPr>
            <sz val="9"/>
            <color indexed="81"/>
            <rFont val="Tahoma"/>
            <family val="2"/>
          </rPr>
          <t>In normal work conditions, the value in official EVM is recommended.</t>
        </r>
      </text>
    </comment>
    <comment ref="G85" authorId="0" shapeId="0" xr:uid="{2526876B-3BAB-4577-9354-FA6552782F29}">
      <text>
        <r>
          <rPr>
            <b/>
            <sz val="9"/>
            <color indexed="81"/>
            <rFont val="Tahoma"/>
            <family val="2"/>
          </rPr>
          <t xml:space="preserve">User defined compensation parameter
</t>
        </r>
        <r>
          <rPr>
            <sz val="9"/>
            <color indexed="81"/>
            <rFont val="Tahoma"/>
            <family val="2"/>
          </rPr>
          <t>In normal work conditions, the value in official EVM is recommended.
If no C</t>
        </r>
        <r>
          <rPr>
            <vertAlign val="subscript"/>
            <sz val="9"/>
            <color indexed="81"/>
            <rFont val="Tahoma"/>
            <family val="2"/>
          </rPr>
          <t>p</t>
        </r>
        <r>
          <rPr>
            <sz val="9"/>
            <color indexed="81"/>
            <rFont val="Tahoma"/>
            <family val="2"/>
          </rPr>
          <t>, just leave this cell blank</t>
        </r>
      </text>
    </comment>
    <comment ref="G88" authorId="2" shapeId="0" xr:uid="{8DAA4021-D238-422B-9BE0-15E3C331FF1D}">
      <text>
        <r>
          <rPr>
            <b/>
            <sz val="9"/>
            <color indexed="81"/>
            <rFont val="Tahoma"/>
            <family val="2"/>
          </rPr>
          <t xml:space="preserve">Phase margin
</t>
        </r>
        <r>
          <rPr>
            <sz val="9"/>
            <color indexed="81"/>
            <rFont val="Tahoma"/>
            <family val="2"/>
          </rPr>
          <t>PM should be larger than 45°.
This is calculated value by theory for reference, TI suggests to test on bench to double check the stability.</t>
        </r>
      </text>
    </comment>
    <comment ref="G89" authorId="2" shapeId="0" xr:uid="{B0811F54-0B7A-4512-A25B-80025C621B43}">
      <text>
        <r>
          <rPr>
            <b/>
            <sz val="9"/>
            <color indexed="81"/>
            <rFont val="Tahoma"/>
            <family val="2"/>
          </rPr>
          <t xml:space="preserve">Gain Margin
</t>
        </r>
        <r>
          <rPr>
            <sz val="9"/>
            <color indexed="81"/>
            <rFont val="Tahoma"/>
            <family val="2"/>
          </rPr>
          <t>GM should be smaller than -10dB.
This is calculated value by theory for reference, TI suggests to test on bench to double check the stability.</t>
        </r>
      </text>
    </comment>
    <comment ref="G92" authorId="2" shapeId="0" xr:uid="{6648D555-8FDD-4813-93F5-F7DA55ACA896}">
      <text>
        <r>
          <rPr>
            <b/>
            <sz val="9"/>
            <color indexed="81"/>
            <rFont val="Tahoma"/>
            <family val="2"/>
          </rPr>
          <t>Please refer to the datasheet for this parameter</t>
        </r>
      </text>
    </comment>
    <comment ref="G93" authorId="2" shapeId="0" xr:uid="{75EC6C42-0FF9-40CA-A260-7A45F98FAFFA}">
      <text>
        <r>
          <rPr>
            <b/>
            <sz val="9"/>
            <color indexed="81"/>
            <rFont val="Tahoma"/>
            <family val="2"/>
          </rPr>
          <t>Please refer to the datasheet for this parameter</t>
        </r>
      </text>
    </comment>
    <comment ref="L98" authorId="1" shapeId="0" xr:uid="{B4BF5DD8-969B-430C-89EB-F96F0BC6E611}">
      <text>
        <r>
          <rPr>
            <b/>
            <sz val="9"/>
            <color indexed="81"/>
            <rFont val="Tahoma"/>
            <family val="2"/>
          </rPr>
          <t xml:space="preserve">Nominal Input Voltage:
</t>
        </r>
        <r>
          <rPr>
            <sz val="9"/>
            <color indexed="81"/>
            <rFont val="Tahoma"/>
            <family val="2"/>
          </rPr>
          <t>Enter the nominal operating input voltage
The TPS61287 input voltage operating range is 2V to 20V.</t>
        </r>
        <r>
          <rPr>
            <b/>
            <sz val="9"/>
            <color indexed="81"/>
            <rFont val="Tahoma"/>
            <family val="2"/>
          </rPr>
          <t xml:space="preserve">
The text in the cell is flagged red if:
</t>
        </r>
        <r>
          <rPr>
            <sz val="9"/>
            <color indexed="10"/>
            <rFont val="Tahoma"/>
            <family val="2"/>
          </rPr>
          <t>-The input voltage is above V</t>
        </r>
        <r>
          <rPr>
            <vertAlign val="subscript"/>
            <sz val="9"/>
            <color indexed="10"/>
            <rFont val="Tahoma"/>
            <family val="2"/>
          </rPr>
          <t>IN_max</t>
        </r>
        <r>
          <rPr>
            <sz val="9"/>
            <color indexed="10"/>
            <rFont val="Tahoma"/>
            <family val="2"/>
          </rPr>
          <t xml:space="preserve">
-The input voltage is below V</t>
        </r>
        <r>
          <rPr>
            <vertAlign val="subscript"/>
            <sz val="9"/>
            <color indexed="10"/>
            <rFont val="Tahoma"/>
            <family val="2"/>
          </rPr>
          <t>IN_min</t>
        </r>
      </text>
    </comment>
    <comment ref="L99" authorId="1" shapeId="0" xr:uid="{0C091673-7991-4061-95BD-951A6DC54A6C}">
      <text>
        <r>
          <rPr>
            <b/>
            <sz val="9"/>
            <color indexed="81"/>
            <rFont val="Tahoma"/>
            <family val="2"/>
          </rPr>
          <t xml:space="preserve">Output Voltage:
</t>
        </r>
        <r>
          <rPr>
            <sz val="9"/>
            <color indexed="81"/>
            <rFont val="Tahoma"/>
            <family val="2"/>
          </rPr>
          <t>Enter the designed operating output voltage
The TPS61287 maximum output voltage is 25V.</t>
        </r>
        <r>
          <rPr>
            <b/>
            <sz val="9"/>
            <color indexed="81"/>
            <rFont val="Tahoma"/>
            <family val="2"/>
          </rPr>
          <t xml:space="preserve">
The text in the cell is flagged red if:
</t>
        </r>
        <r>
          <rPr>
            <sz val="9"/>
            <color indexed="10"/>
            <rFont val="Tahoma"/>
            <family val="2"/>
          </rPr>
          <t>-The output voltage is above 25V or below 4.5V</t>
        </r>
      </text>
    </comment>
    <comment ref="G100" authorId="2" shapeId="0" xr:uid="{11DAA992-8034-44DE-B617-48DDA82F9106}">
      <text>
        <r>
          <rPr>
            <b/>
            <sz val="9"/>
            <color indexed="81"/>
            <rFont val="Tahoma"/>
            <family val="2"/>
          </rPr>
          <t xml:space="preserve">Actual UVLO Turn-on Threshold
</t>
        </r>
        <r>
          <rPr>
            <sz val="9"/>
            <color indexed="81"/>
            <rFont val="Tahoma"/>
            <family val="2"/>
          </rPr>
          <t>Please make sure that the voltage is higher than start-up voltage, that is 2.5V</t>
        </r>
      </text>
    </comment>
    <comment ref="L100" authorId="1" shapeId="0" xr:uid="{2157F194-A9DE-46C0-9708-37A048CCD06C}">
      <text>
        <r>
          <rPr>
            <b/>
            <sz val="9"/>
            <color indexed="81"/>
            <rFont val="Tahoma"/>
            <family val="2"/>
          </rPr>
          <t xml:space="preserve">Customer wanted maximum output current.
</t>
        </r>
        <r>
          <rPr>
            <sz val="9"/>
            <color indexed="81"/>
            <rFont val="Tahoma"/>
            <family val="2"/>
          </rPr>
          <t xml:space="preserve">
</t>
        </r>
        <r>
          <rPr>
            <b/>
            <sz val="9"/>
            <color indexed="81"/>
            <rFont val="Tahoma"/>
            <family val="2"/>
          </rPr>
          <t>The text in the cell is flagged red if:</t>
        </r>
        <r>
          <rPr>
            <sz val="9"/>
            <color indexed="81"/>
            <rFont val="Tahoma"/>
            <family val="2"/>
          </rPr>
          <t xml:space="preserve">
</t>
        </r>
        <r>
          <rPr>
            <sz val="9"/>
            <color indexed="10"/>
            <rFont val="Tahoma"/>
            <family val="2"/>
          </rPr>
          <t>-It is bigger than the minimum guaranteed maximum calculated output current, I</t>
        </r>
        <r>
          <rPr>
            <vertAlign val="subscript"/>
            <sz val="9"/>
            <color indexed="10"/>
            <rFont val="Tahoma"/>
            <family val="2"/>
          </rPr>
          <t>OUT_max_cal</t>
        </r>
      </text>
    </comment>
    <comment ref="G101" authorId="2" shapeId="0" xr:uid="{8DCD9EDD-C084-40F7-A4EB-A883BB40F90D}">
      <text>
        <r>
          <rPr>
            <b/>
            <sz val="9"/>
            <color indexed="81"/>
            <rFont val="Tahoma"/>
            <family val="2"/>
          </rPr>
          <t xml:space="preserve">Actual UVLO Turn-off Threshold
</t>
        </r>
        <r>
          <rPr>
            <sz val="9"/>
            <color indexed="81"/>
            <rFont val="Tahoma"/>
            <family val="2"/>
          </rPr>
          <t>Please make sure that the voltage is higher than start-up voltage, that is 1.2V</t>
        </r>
      </text>
    </comment>
    <comment ref="G107" authorId="3" shapeId="0" xr:uid="{544AB25A-B4AD-45DC-95F8-296E4D39F7C7}">
      <text>
        <r>
          <rPr>
            <b/>
            <sz val="9"/>
            <color indexed="81"/>
            <rFont val="Tahoma"/>
            <family val="2"/>
          </rPr>
          <t xml:space="preserve">Gate Resistance
</t>
        </r>
        <r>
          <rPr>
            <sz val="9"/>
            <color indexed="81"/>
            <rFont val="Tahoma"/>
            <family val="2"/>
          </rPr>
          <t xml:space="preserve">
A higher gate resistance for the low side FET can improve the switching node voltage stress at the cost of efficiency.
For TPS61287, it is not recommended to add external gate resistor usually.</t>
        </r>
      </text>
    </comment>
    <comment ref="G108" authorId="2" shapeId="0" xr:uid="{B293C6D4-4EB7-4D8D-BD97-9F036629E16C}">
      <text>
        <r>
          <rPr>
            <b/>
            <sz val="9"/>
            <color indexed="81"/>
            <rFont val="Tahoma"/>
            <family val="2"/>
          </rPr>
          <t xml:space="preserve">Input Capacitance
</t>
        </r>
        <r>
          <rPr>
            <sz val="9"/>
            <color indexed="81"/>
            <rFont val="Tahoma"/>
            <family val="2"/>
          </rPr>
          <t>Read the value from the Ciss-Vds curve.</t>
        </r>
        <r>
          <rPr>
            <sz val="9"/>
            <color indexed="81"/>
            <rFont val="Tahoma"/>
            <family val="2"/>
          </rPr>
          <t xml:space="preserve">
</t>
        </r>
      </text>
    </comment>
    <comment ref="G109" authorId="2" shapeId="0" xr:uid="{987CC281-2B09-4F84-9244-A697D3CE1F36}">
      <text>
        <r>
          <rPr>
            <b/>
            <sz val="9"/>
            <color indexed="81"/>
            <rFont val="Tahoma"/>
            <family val="2"/>
          </rPr>
          <t xml:space="preserve">Input Capacitance
</t>
        </r>
        <r>
          <rPr>
            <sz val="9"/>
            <color indexed="81"/>
            <rFont val="Tahoma"/>
            <family val="2"/>
          </rPr>
          <t>Read the value from the Ciss-Vds curve.</t>
        </r>
      </text>
    </comment>
    <comment ref="G110" authorId="2" shapeId="0" xr:uid="{9E4D8CF4-79F8-49FD-84F5-A75E9DE09CB5}">
      <text>
        <r>
          <rPr>
            <b/>
            <sz val="9"/>
            <color indexed="81"/>
            <rFont val="Tahoma"/>
            <family val="2"/>
          </rPr>
          <t xml:space="preserve">Output Capacitance
</t>
        </r>
        <r>
          <rPr>
            <sz val="9"/>
            <color indexed="81"/>
            <rFont val="Tahoma"/>
            <family val="2"/>
          </rPr>
          <t>Read the value from the Coss-Vds curve.</t>
        </r>
      </text>
    </comment>
    <comment ref="G111" authorId="2" shapeId="0" xr:uid="{D7A70BB3-DFF3-4E80-BF00-314FDBC52929}">
      <text>
        <r>
          <rPr>
            <b/>
            <sz val="9"/>
            <color indexed="81"/>
            <rFont val="Tahoma"/>
            <family val="2"/>
          </rPr>
          <t xml:space="preserve">Output Capacitance
</t>
        </r>
        <r>
          <rPr>
            <sz val="9"/>
            <color indexed="81"/>
            <rFont val="Tahoma"/>
            <family val="2"/>
          </rPr>
          <t>Read the value from the Coss-Vds curve.</t>
        </r>
      </text>
    </comment>
    <comment ref="G112" authorId="2" shapeId="0" xr:uid="{ED871E1E-DDD7-4806-838D-CFCA346DDC33}">
      <text>
        <r>
          <rPr>
            <b/>
            <sz val="9"/>
            <color indexed="81"/>
            <rFont val="Tahoma"/>
            <family val="2"/>
          </rPr>
          <t xml:space="preserve">Reverse Transfer Capacitance
</t>
        </r>
        <r>
          <rPr>
            <sz val="9"/>
            <color indexed="81"/>
            <rFont val="Tahoma"/>
            <family val="2"/>
          </rPr>
          <t>Read the value from the Crss-Vds curve.</t>
        </r>
      </text>
    </comment>
    <comment ref="G113" authorId="2" shapeId="0" xr:uid="{3D22EAD8-5810-452D-A002-D273281F2D91}">
      <text>
        <r>
          <rPr>
            <b/>
            <sz val="9"/>
            <color indexed="81"/>
            <rFont val="Tahoma"/>
            <family val="2"/>
          </rPr>
          <t xml:space="preserve">Reverse Transfer Capacitance
</t>
        </r>
        <r>
          <rPr>
            <sz val="9"/>
            <color indexed="81"/>
            <rFont val="Tahoma"/>
            <family val="2"/>
          </rPr>
          <t>Read the value from the Crss-Vds curve.</t>
        </r>
      </text>
    </comment>
    <comment ref="G114" authorId="2" shapeId="0" xr:uid="{9A3E4C42-8CEC-42FA-801B-ADD9131BA35C}">
      <text>
        <r>
          <rPr>
            <b/>
            <sz val="9"/>
            <color indexed="81"/>
            <rFont val="Tahoma"/>
            <family val="2"/>
          </rPr>
          <t xml:space="preserve">Low side FET gate driving voltage
</t>
        </r>
        <r>
          <rPr>
            <sz val="9"/>
            <color indexed="81"/>
            <rFont val="Tahoma"/>
            <family val="2"/>
          </rPr>
          <t>It equals with VCC voltage.</t>
        </r>
      </text>
    </comment>
    <comment ref="G115" authorId="2" shapeId="0" xr:uid="{33508A60-BBF0-4F10-A3E7-CD372D892D45}">
      <text>
        <r>
          <rPr>
            <b/>
            <sz val="9"/>
            <color indexed="81"/>
            <rFont val="Tahoma"/>
            <family val="2"/>
          </rPr>
          <t xml:space="preserve">Gate-Source Threshold Voltage
</t>
        </r>
        <r>
          <rPr>
            <sz val="9"/>
            <color indexed="81"/>
            <rFont val="Tahoma"/>
            <family val="2"/>
          </rPr>
          <t>This should be less than gate driving voltage.</t>
        </r>
      </text>
    </comment>
    <comment ref="G116" authorId="2" shapeId="0" xr:uid="{27DA47A9-13A8-444F-9648-5623212C3146}">
      <text>
        <r>
          <rPr>
            <b/>
            <sz val="9"/>
            <color indexed="81"/>
            <rFont val="Tahoma"/>
            <charset val="1"/>
          </rPr>
          <t xml:space="preserve">Gate plateau voltage / miller voltage
</t>
        </r>
        <r>
          <rPr>
            <sz val="9"/>
            <color indexed="81"/>
            <rFont val="Tahoma"/>
            <family val="2"/>
          </rPr>
          <t>This should be less than gate driving voltage.</t>
        </r>
      </text>
    </comment>
    <comment ref="G118" authorId="2" shapeId="0" xr:uid="{A232330B-8A10-436A-AFB6-6BDD8EC325A6}">
      <text>
        <r>
          <rPr>
            <b/>
            <sz val="9"/>
            <color indexed="81"/>
            <rFont val="Tahoma"/>
            <family val="2"/>
          </rPr>
          <t>Please refer to the datasheet for this parameter</t>
        </r>
      </text>
    </comment>
    <comment ref="G119" authorId="2" shapeId="0" xr:uid="{A28505DA-3AD7-4BAE-86A8-02678DA5050C}">
      <text>
        <r>
          <rPr>
            <b/>
            <sz val="9"/>
            <color indexed="81"/>
            <rFont val="Tahoma"/>
            <family val="2"/>
          </rPr>
          <t xml:space="preserve">Low side gate turn off time
</t>
        </r>
        <r>
          <rPr>
            <sz val="9"/>
            <color indexed="81"/>
            <rFont val="Tahoma"/>
            <family val="2"/>
          </rPr>
          <t>It should be smaller than LS-GATE off to HS-GATE on deadtime, tDLH, to avoid shooting through.
Please use a MOSFET with smaller capcacitance if the turn off time is larger than deadtime.
It is calculated value by theory for reference, TI suggests to test on bench to double check the real off time.</t>
        </r>
      </text>
    </comment>
    <comment ref="G123" authorId="0" shapeId="0" xr:uid="{510E0F48-8AD6-4FEC-BEB3-C9AC0D77B831}">
      <text>
        <r>
          <rPr>
            <sz val="9"/>
            <color indexed="81"/>
            <rFont val="Tahoma"/>
            <family val="2"/>
          </rPr>
          <t>If the efficiency estimation is based on the inductor used on the official EVM, leave the cell blank.</t>
        </r>
      </text>
    </comment>
    <comment ref="G125" authorId="0" shapeId="0" xr:uid="{40753D25-2084-4EA9-8E00-D314D15C6A72}">
      <text>
        <r>
          <rPr>
            <sz val="9"/>
            <color indexed="81"/>
            <rFont val="Tahoma"/>
            <family val="2"/>
          </rPr>
          <t>If the efficiency estimation is based on the inductor used on the official EVM, leave the cell blank.</t>
        </r>
      </text>
    </comment>
    <comment ref="G129" authorId="2" shapeId="0" xr:uid="{90A14628-2C0E-4327-A01F-FF3EC10BEA5C}">
      <text>
        <r>
          <rPr>
            <b/>
            <sz val="9"/>
            <color indexed="81"/>
            <rFont val="Tahoma"/>
            <family val="2"/>
          </rPr>
          <t xml:space="preserve">Junction-to-ambient thermal resistance
</t>
        </r>
        <r>
          <rPr>
            <sz val="9"/>
            <color indexed="81"/>
            <rFont val="Tahoma"/>
            <family val="2"/>
          </rPr>
          <t xml:space="preserve">
TPS61287 junction to ambient thermal resistance on EVM. 
The actual ƟJA depends on the PCB design.</t>
        </r>
      </text>
    </comment>
    <comment ref="G130" authorId="2" shapeId="0" xr:uid="{C8B8246C-18A7-4BD3-A79C-C30883246118}">
      <text>
        <r>
          <rPr>
            <b/>
            <sz val="9"/>
            <color indexed="81"/>
            <rFont val="Tahoma"/>
            <family val="2"/>
          </rPr>
          <t xml:space="preserve">Calculated temperature rise 
</t>
        </r>
        <r>
          <rPr>
            <sz val="9"/>
            <color indexed="81"/>
            <rFont val="Tahoma"/>
            <family val="2"/>
          </rPr>
          <t>The temperature rise is calculated value by theory for reference. 
TI suggests to test on bench to double check the temperature rise.</t>
        </r>
      </text>
    </comment>
    <comment ref="G131" authorId="2" shapeId="0" xr:uid="{67E0B2C7-F11A-4399-93DB-B07C36729956}">
      <text>
        <r>
          <rPr>
            <b/>
            <sz val="9"/>
            <color indexed="81"/>
            <rFont val="Tahoma"/>
            <family val="2"/>
          </rPr>
          <t xml:space="preserve">Junction-to-ambient thermal resistance
</t>
        </r>
        <r>
          <rPr>
            <sz val="9"/>
            <color indexed="81"/>
            <rFont val="Tahoma"/>
            <family val="2"/>
          </rPr>
          <t xml:space="preserve">
TPS61287 junction to ambient thermal resistance on EVM. 
The actual ƟJA depends on the PCB design.</t>
        </r>
      </text>
    </comment>
    <comment ref="G132" authorId="2" shapeId="0" xr:uid="{F7EB2005-0EA6-4672-8C7D-D2E991A763D8}">
      <text>
        <r>
          <rPr>
            <b/>
            <sz val="9"/>
            <color indexed="81"/>
            <rFont val="Tahoma"/>
            <family val="2"/>
          </rPr>
          <t xml:space="preserve">Calculated temperature rise 
</t>
        </r>
        <r>
          <rPr>
            <sz val="9"/>
            <color indexed="81"/>
            <rFont val="Tahoma"/>
            <family val="2"/>
          </rPr>
          <t>The temperature rise is calculated value by theory for reference. 
TI suggests to test on bench to double check the temperature rise.</t>
        </r>
      </text>
    </comment>
    <comment ref="G134" authorId="2" shapeId="0" xr:uid="{5316D8EA-1AD9-42BD-B98A-F1ED94BB7583}">
      <text>
        <r>
          <rPr>
            <b/>
            <sz val="9"/>
            <color indexed="81"/>
            <rFont val="Tahoma"/>
            <family val="2"/>
          </rPr>
          <t xml:space="preserve">Calculated efficiency on PWM
</t>
        </r>
        <r>
          <rPr>
            <sz val="9"/>
            <color indexed="81"/>
            <rFont val="Tahoma"/>
            <family val="2"/>
          </rPr>
          <t>The efficiency is calculated value by theory for reference, and only valid when the device is operated on PWM not PFM. 
TI suggests to test on bench to double check the efficiency.</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Zhong, Lei</author>
  </authors>
  <commentList>
    <comment ref="B28" authorId="0" shapeId="0" xr:uid="{833F6957-62BC-4F92-A60F-16C53970D17D}">
      <text>
        <r>
          <rPr>
            <b/>
            <sz val="9"/>
            <color indexed="81"/>
            <rFont val="Tahoma"/>
            <family val="2"/>
          </rPr>
          <t xml:space="preserve">Inductor DCR:
</t>
        </r>
        <r>
          <rPr>
            <sz val="9"/>
            <color indexed="81"/>
            <rFont val="Tahoma"/>
            <family val="2"/>
          </rPr>
          <t>Data from inductor website</t>
        </r>
      </text>
    </comment>
    <comment ref="B36" authorId="0" shapeId="0" xr:uid="{B9C4F98C-4939-46AC-9755-BAD3004F8DF2}">
      <text>
        <r>
          <rPr>
            <sz val="9"/>
            <color indexed="81"/>
            <rFont val="Tahoma"/>
            <family val="2"/>
          </rPr>
          <t xml:space="preserve">FET-on resistance, temperature coefficient is 0.35%/°C. The supposed temperature rise is 60°C.
</t>
        </r>
      </text>
    </comment>
    <comment ref="B58" authorId="0" shapeId="0" xr:uid="{02478C77-545B-44F7-ACE4-0A08ED875457}">
      <text>
        <r>
          <rPr>
            <b/>
            <sz val="9"/>
            <color indexed="81"/>
            <rFont val="Tahoma"/>
            <family val="2"/>
          </rPr>
          <t>=VCC</t>
        </r>
        <r>
          <rPr>
            <sz val="9"/>
            <color indexed="81"/>
            <rFont val="Tahoma"/>
            <family val="2"/>
          </rPr>
          <t xml:space="preserve">
</t>
        </r>
      </text>
    </comment>
    <comment ref="B59" authorId="0" shapeId="0" xr:uid="{484B9E66-C340-4034-BFDD-45F07866CA8D}">
      <text>
        <r>
          <rPr>
            <b/>
            <sz val="9"/>
            <color indexed="81"/>
            <rFont val="Tahoma"/>
            <family val="2"/>
          </rPr>
          <t>=VCC</t>
        </r>
        <r>
          <rPr>
            <sz val="9"/>
            <color indexed="81"/>
            <rFont val="Tahoma"/>
            <family val="2"/>
          </rPr>
          <t xml:space="preserve">
</t>
        </r>
      </text>
    </comment>
    <comment ref="B70" authorId="0" shapeId="0" xr:uid="{38E8D020-0CBC-4F35-AEBF-8435FA815E79}">
      <text>
        <r>
          <rPr>
            <sz val="9"/>
            <color indexed="81"/>
            <rFont val="Tahoma"/>
            <family val="2"/>
          </rPr>
          <t>Leave an action here to further check whether there should be the coefficient 1/2</t>
        </r>
      </text>
    </comment>
    <comment ref="B71" authorId="0" shapeId="0" xr:uid="{F63D7290-2CDE-40A7-8604-34291BEF1EE4}">
      <text>
        <r>
          <rPr>
            <sz val="9"/>
            <color indexed="81"/>
            <rFont val="Tahoma"/>
            <family val="2"/>
          </rPr>
          <t xml:space="preserve">Leave an action here to further check whether there should be the coefficient 1/2
</t>
        </r>
      </text>
    </comment>
    <comment ref="B93" authorId="0" shapeId="0" xr:uid="{D3B28473-4F4E-4E45-A07B-F211A7AC7F86}">
      <text>
        <r>
          <rPr>
            <sz val="9"/>
            <color indexed="81"/>
            <rFont val="Tahoma"/>
            <family val="2"/>
          </rPr>
          <t xml:space="preserve">Suppose the dead time losses for high side FET are the same for turn on and turn off 
</t>
        </r>
      </text>
    </comment>
  </commentList>
</comments>
</file>

<file path=xl/sharedStrings.xml><?xml version="1.0" encoding="utf-8"?>
<sst xmlns="http://schemas.openxmlformats.org/spreadsheetml/2006/main" count="839" uniqueCount="501">
  <si>
    <t>User's Input</t>
  </si>
  <si>
    <t>ABOUT</t>
  </si>
  <si>
    <t>Terms of Use</t>
  </si>
  <si>
    <t>Step 1: Operating Specifications</t>
  </si>
  <si>
    <t>Description</t>
  </si>
  <si>
    <t>Value</t>
  </si>
  <si>
    <t>Units</t>
  </si>
  <si>
    <t>V</t>
  </si>
  <si>
    <t>A</t>
  </si>
  <si>
    <t>%</t>
  </si>
  <si>
    <t>MHz</t>
  </si>
  <si>
    <t>kΩ</t>
  </si>
  <si>
    <t>-</t>
  </si>
  <si>
    <t>Step 2: Inductor Selection</t>
  </si>
  <si>
    <r>
      <rPr>
        <sz val="11"/>
        <color theme="1"/>
        <rFont val="Calibri"/>
        <family val="2"/>
      </rPr>
      <t>μ</t>
    </r>
    <r>
      <rPr>
        <sz val="11"/>
        <color theme="1"/>
        <rFont val="Calibri"/>
        <family val="2"/>
        <scheme val="minor"/>
      </rPr>
      <t>H</t>
    </r>
  </si>
  <si>
    <t>μH</t>
  </si>
  <si>
    <t>mΩ</t>
  </si>
  <si>
    <t>Step 3: Output Capacitor Selection</t>
  </si>
  <si>
    <t>μF</t>
  </si>
  <si>
    <t>Step 4: Input Capacitor Selection</t>
  </si>
  <si>
    <t>mV</t>
  </si>
  <si>
    <t>µF</t>
  </si>
  <si>
    <t>Step 5: Feedback and Compensation Design</t>
  </si>
  <si>
    <t>kHz</t>
  </si>
  <si>
    <t>nF</t>
  </si>
  <si>
    <t>pF</t>
  </si>
  <si>
    <t>dB</t>
  </si>
  <si>
    <t>mW</t>
  </si>
  <si>
    <r>
      <t>Input minimum voltage, V</t>
    </r>
    <r>
      <rPr>
        <vertAlign val="subscript"/>
        <sz val="11"/>
        <color theme="1"/>
        <rFont val="Calibri"/>
        <family val="2"/>
        <scheme val="minor"/>
      </rPr>
      <t>IN_min</t>
    </r>
  </si>
  <si>
    <r>
      <t>Input nominal voltage, V</t>
    </r>
    <r>
      <rPr>
        <vertAlign val="subscript"/>
        <sz val="11"/>
        <color theme="1"/>
        <rFont val="Calibri"/>
        <family val="2"/>
        <scheme val="minor"/>
      </rPr>
      <t>IN_nom</t>
    </r>
  </si>
  <si>
    <r>
      <t>Input maximum voltage, V</t>
    </r>
    <r>
      <rPr>
        <vertAlign val="subscript"/>
        <sz val="11"/>
        <color theme="1"/>
        <rFont val="Calibri"/>
        <family val="2"/>
        <scheme val="minor"/>
      </rPr>
      <t>IN_max</t>
    </r>
  </si>
  <si>
    <r>
      <t>Output voltage, V</t>
    </r>
    <r>
      <rPr>
        <vertAlign val="subscript"/>
        <sz val="11"/>
        <color theme="1"/>
        <rFont val="Calibri"/>
        <family val="2"/>
        <scheme val="minor"/>
      </rPr>
      <t>OUT</t>
    </r>
  </si>
  <si>
    <t>vin_min</t>
  </si>
  <si>
    <t>vin_nom</t>
  </si>
  <si>
    <t>vin_max</t>
  </si>
  <si>
    <t>vout</t>
  </si>
  <si>
    <t>Variable list</t>
  </si>
  <si>
    <t>efficiency</t>
  </si>
  <si>
    <t>ilimit_nom</t>
  </si>
  <si>
    <t>Switching frequency, f</t>
  </si>
  <si>
    <r>
      <t>Minimum duty cycle, D</t>
    </r>
    <r>
      <rPr>
        <vertAlign val="subscript"/>
        <sz val="11"/>
        <color theme="1"/>
        <rFont val="Calibri"/>
        <family val="2"/>
        <scheme val="minor"/>
      </rPr>
      <t>min</t>
    </r>
    <r>
      <rPr>
        <sz val="11"/>
        <color theme="1"/>
        <rFont val="Calibri"/>
        <family val="2"/>
        <scheme val="minor"/>
      </rPr>
      <t xml:space="preserve">   </t>
    </r>
  </si>
  <si>
    <r>
      <t>Maximum duty cycle, D</t>
    </r>
    <r>
      <rPr>
        <vertAlign val="subscript"/>
        <sz val="11"/>
        <color theme="1"/>
        <rFont val="Calibri"/>
        <family val="2"/>
        <scheme val="minor"/>
      </rPr>
      <t>max</t>
    </r>
    <r>
      <rPr>
        <sz val="11"/>
        <color theme="1"/>
        <rFont val="Calibri"/>
        <family val="2"/>
        <scheme val="minor"/>
      </rPr>
      <t xml:space="preserve">   </t>
    </r>
  </si>
  <si>
    <t>rilim</t>
  </si>
  <si>
    <t>duty_min</t>
  </si>
  <si>
    <t>duty_nom</t>
  </si>
  <si>
    <t>duty_max</t>
  </si>
  <si>
    <t>f</t>
  </si>
  <si>
    <t>L</t>
  </si>
  <si>
    <r>
      <t>Maximum actual output current, I</t>
    </r>
    <r>
      <rPr>
        <vertAlign val="subscript"/>
        <sz val="11"/>
        <color theme="1"/>
        <rFont val="Calibri"/>
        <family val="2"/>
        <scheme val="minor"/>
      </rPr>
      <t>OUT_act_max</t>
    </r>
  </si>
  <si>
    <t>iout_actual_max</t>
  </si>
  <si>
    <t>iout_cal_max</t>
  </si>
  <si>
    <t>iL_p2p_ratio_max</t>
  </si>
  <si>
    <r>
      <t>Calculate the maximum input average current, I</t>
    </r>
    <r>
      <rPr>
        <vertAlign val="subscript"/>
        <sz val="11"/>
        <color theme="1"/>
        <rFont val="Calibri"/>
        <family val="2"/>
        <scheme val="minor"/>
      </rPr>
      <t>IN_max</t>
    </r>
  </si>
  <si>
    <t>iin_max</t>
  </si>
  <si>
    <t>iL_p2p_cal_max</t>
  </si>
  <si>
    <t>L_cal_min</t>
  </si>
  <si>
    <t>R_L_DCR</t>
  </si>
  <si>
    <t>Selected inductance, L</t>
  </si>
  <si>
    <t>iL_p2p_act_min</t>
  </si>
  <si>
    <t>iL_p2p_act_nom</t>
  </si>
  <si>
    <t>iL_p2p_act_max</t>
  </si>
  <si>
    <t>iL_act_max</t>
  </si>
  <si>
    <t>iL_rms_act_max</t>
  </si>
  <si>
    <r>
      <t>Inductor peak-to-peak current at V</t>
    </r>
    <r>
      <rPr>
        <vertAlign val="subscript"/>
        <sz val="11"/>
        <color theme="1"/>
        <rFont val="Calibri"/>
        <family val="2"/>
        <scheme val="minor"/>
      </rPr>
      <t>IN_min</t>
    </r>
    <r>
      <rPr>
        <sz val="11"/>
        <color theme="1"/>
        <rFont val="Calibri"/>
        <family val="2"/>
        <scheme val="minor"/>
      </rPr>
      <t>, IL</t>
    </r>
    <r>
      <rPr>
        <vertAlign val="subscript"/>
        <sz val="11"/>
        <color theme="1"/>
        <rFont val="Calibri"/>
        <family val="2"/>
        <scheme val="minor"/>
      </rPr>
      <t>p2p_act_min</t>
    </r>
  </si>
  <si>
    <r>
      <t>Inductor peak-to-peak current at V</t>
    </r>
    <r>
      <rPr>
        <vertAlign val="subscript"/>
        <sz val="11"/>
        <color theme="1"/>
        <rFont val="Calibri"/>
        <family val="2"/>
        <scheme val="minor"/>
      </rPr>
      <t>IN_nom</t>
    </r>
    <r>
      <rPr>
        <sz val="11"/>
        <color theme="1"/>
        <rFont val="Calibri"/>
        <family val="2"/>
        <scheme val="minor"/>
      </rPr>
      <t>, IL</t>
    </r>
    <r>
      <rPr>
        <vertAlign val="subscript"/>
        <sz val="11"/>
        <color theme="1"/>
        <rFont val="Calibri"/>
        <family val="2"/>
        <scheme val="minor"/>
      </rPr>
      <t>p2p_act_nom</t>
    </r>
  </si>
  <si>
    <r>
      <t>Inductor peak-to-peak current at V</t>
    </r>
    <r>
      <rPr>
        <vertAlign val="subscript"/>
        <sz val="11"/>
        <color theme="1"/>
        <rFont val="Calibri"/>
        <family val="2"/>
        <scheme val="minor"/>
      </rPr>
      <t>IN_max</t>
    </r>
    <r>
      <rPr>
        <sz val="11"/>
        <color theme="1"/>
        <rFont val="Calibri"/>
        <family val="2"/>
        <scheme val="minor"/>
      </rPr>
      <t>, IL</t>
    </r>
    <r>
      <rPr>
        <vertAlign val="subscript"/>
        <sz val="11"/>
        <color theme="1"/>
        <rFont val="Calibri"/>
        <family val="2"/>
        <scheme val="minor"/>
      </rPr>
      <t>p2p_act_max</t>
    </r>
  </si>
  <si>
    <t>vout_p2p_max</t>
  </si>
  <si>
    <r>
      <t>Maximum acceptable output voltage ripple, V</t>
    </r>
    <r>
      <rPr>
        <vertAlign val="subscript"/>
        <sz val="11"/>
        <color theme="1"/>
        <rFont val="Calibri"/>
        <family val="2"/>
        <scheme val="minor"/>
      </rPr>
      <t>OUT_p2p_max</t>
    </r>
  </si>
  <si>
    <r>
      <t>Total ESR of output MLCC capacitors, R</t>
    </r>
    <r>
      <rPr>
        <vertAlign val="subscript"/>
        <sz val="11"/>
        <color theme="1"/>
        <rFont val="Calibri"/>
        <family val="2"/>
        <scheme val="minor"/>
      </rPr>
      <t>ESR_MLCC</t>
    </r>
    <r>
      <rPr>
        <sz val="11"/>
        <color theme="1"/>
        <rFont val="Calibri"/>
        <family val="2"/>
        <scheme val="minor"/>
      </rPr>
      <t xml:space="preserve"> </t>
    </r>
  </si>
  <si>
    <r>
      <t>Selected effective output capacitance of MLCC capacitors, C</t>
    </r>
    <r>
      <rPr>
        <vertAlign val="subscript"/>
        <sz val="11"/>
        <color theme="1"/>
        <rFont val="Calibri"/>
        <family val="2"/>
        <scheme val="minor"/>
      </rPr>
      <t>OUT_MLCC</t>
    </r>
  </si>
  <si>
    <t>Cout_cal_min</t>
  </si>
  <si>
    <t>Cout_MLCC</t>
  </si>
  <si>
    <t>Resr_MLCC</t>
  </si>
  <si>
    <t>Cout_elec</t>
  </si>
  <si>
    <t>Resr_elec</t>
  </si>
  <si>
    <r>
      <t>Selected effective output capacitance of electrolytic capacitor, C</t>
    </r>
    <r>
      <rPr>
        <vertAlign val="subscript"/>
        <sz val="11"/>
        <color theme="1"/>
        <rFont val="Calibri"/>
        <family val="2"/>
        <scheme val="minor"/>
      </rPr>
      <t>OUT_MLCC</t>
    </r>
  </si>
  <si>
    <r>
      <t>ESR of output electrolytic capacitors, C</t>
    </r>
    <r>
      <rPr>
        <vertAlign val="subscript"/>
        <sz val="11"/>
        <color theme="1"/>
        <rFont val="Calibri"/>
        <family val="2"/>
        <scheme val="minor"/>
      </rPr>
      <t>OUT_elec</t>
    </r>
    <r>
      <rPr>
        <sz val="11"/>
        <color theme="1"/>
        <rFont val="Calibri"/>
        <family val="2"/>
        <scheme val="minor"/>
      </rPr>
      <t xml:space="preserve"> </t>
    </r>
  </si>
  <si>
    <t>icout_rms</t>
  </si>
  <si>
    <r>
      <t>Maximum acceptable input voltage ripple, V</t>
    </r>
    <r>
      <rPr>
        <vertAlign val="subscript"/>
        <sz val="11"/>
        <color theme="1"/>
        <rFont val="Calibri"/>
        <family val="2"/>
        <scheme val="minor"/>
      </rPr>
      <t>IN_p2p_max</t>
    </r>
  </si>
  <si>
    <t>vin_p2p_max</t>
  </si>
  <si>
    <r>
      <t xml:space="preserve"> Recommended minimum input capacitance, C</t>
    </r>
    <r>
      <rPr>
        <b/>
        <vertAlign val="subscript"/>
        <sz val="11"/>
        <color theme="5"/>
        <rFont val="Calibri"/>
        <family val="2"/>
        <scheme val="minor"/>
      </rPr>
      <t>IN_cal_min</t>
    </r>
  </si>
  <si>
    <t>Cin_cal_min</t>
  </si>
  <si>
    <r>
      <t>Input capacitance, C</t>
    </r>
    <r>
      <rPr>
        <vertAlign val="subscript"/>
        <sz val="11"/>
        <color theme="1"/>
        <rFont val="Calibri"/>
        <family val="2"/>
        <scheme val="minor"/>
      </rPr>
      <t>IN_act</t>
    </r>
  </si>
  <si>
    <t>Cin_act</t>
  </si>
  <si>
    <r>
      <t>RMS current of the input capacitor, I</t>
    </r>
    <r>
      <rPr>
        <vertAlign val="subscript"/>
        <sz val="11"/>
        <color theme="1"/>
        <rFont val="Calibri"/>
        <family val="2"/>
        <scheme val="minor"/>
      </rPr>
      <t>CIN_rms</t>
    </r>
  </si>
  <si>
    <t>Power Stage</t>
  </si>
  <si>
    <t>Feedback, EA and Comp</t>
  </si>
  <si>
    <r>
      <t>Load resistance, R</t>
    </r>
    <r>
      <rPr>
        <vertAlign val="subscript"/>
        <sz val="11"/>
        <color theme="1"/>
        <rFont val="Calibri"/>
        <family val="2"/>
        <scheme val="minor"/>
      </rPr>
      <t>OUT</t>
    </r>
  </si>
  <si>
    <t>Ω</t>
  </si>
  <si>
    <t>Rout</t>
  </si>
  <si>
    <r>
      <t>Total effective output capacitance, C</t>
    </r>
    <r>
      <rPr>
        <vertAlign val="subscript"/>
        <sz val="11"/>
        <color theme="1"/>
        <rFont val="Calibri"/>
        <family val="2"/>
        <scheme val="minor"/>
      </rPr>
      <t>OUT</t>
    </r>
  </si>
  <si>
    <t>Cout</t>
  </si>
  <si>
    <t>Duty cycle in steady-state, D</t>
  </si>
  <si>
    <t>D</t>
  </si>
  <si>
    <t>Hz</t>
  </si>
  <si>
    <t>Feedback, EA and Compensation</t>
  </si>
  <si>
    <r>
      <t>Reference voltage, V</t>
    </r>
    <r>
      <rPr>
        <vertAlign val="subscript"/>
        <sz val="11"/>
        <color theme="1"/>
        <rFont val="Calibri"/>
        <family val="2"/>
        <scheme val="minor"/>
      </rPr>
      <t>REF</t>
    </r>
  </si>
  <si>
    <r>
      <t>Transconductance of the amplifier, G</t>
    </r>
    <r>
      <rPr>
        <vertAlign val="subscript"/>
        <sz val="11"/>
        <color theme="1"/>
        <rFont val="Calibri"/>
        <family val="2"/>
        <scheme val="minor"/>
      </rPr>
      <t>EA</t>
    </r>
  </si>
  <si>
    <r>
      <t>Output resistance of the amplifier, R</t>
    </r>
    <r>
      <rPr>
        <vertAlign val="subscript"/>
        <sz val="11"/>
        <color theme="1"/>
        <rFont val="Calibri"/>
        <family val="2"/>
        <scheme val="minor"/>
      </rPr>
      <t>EA</t>
    </r>
  </si>
  <si>
    <t>vref</t>
  </si>
  <si>
    <t>Rsense</t>
  </si>
  <si>
    <t>A_EA</t>
  </si>
  <si>
    <t>A_PS</t>
  </si>
  <si>
    <t>z_RHP</t>
  </si>
  <si>
    <t>p_small</t>
  </si>
  <si>
    <t>p_large</t>
  </si>
  <si>
    <t>p_EA</t>
  </si>
  <si>
    <t>z_comp</t>
  </si>
  <si>
    <t>p_comp</t>
  </si>
  <si>
    <t>MΩ</t>
  </si>
  <si>
    <t>μS</t>
  </si>
  <si>
    <t>G_EA</t>
  </si>
  <si>
    <t>R_EA</t>
  </si>
  <si>
    <t>1/Ω</t>
  </si>
  <si>
    <t>Zeros and pole from Cout ESR</t>
  </si>
  <si>
    <r>
      <t xml:space="preserve">Zeros and pole from feedforward </t>
    </r>
    <r>
      <rPr>
        <b/>
        <u/>
        <sz val="11"/>
        <color rgb="FF0000FF"/>
        <rFont val="Calibri"/>
        <family val="2"/>
        <scheme val="minor"/>
      </rPr>
      <t>(optional)</t>
    </r>
  </si>
  <si>
    <r>
      <t>Selected effective output capacitance of electrolytic capacitor, C</t>
    </r>
    <r>
      <rPr>
        <vertAlign val="subscript"/>
        <sz val="11"/>
        <color theme="1"/>
        <rFont val="Calibri"/>
        <family val="2"/>
        <scheme val="minor"/>
      </rPr>
      <t>OUT_elec</t>
    </r>
  </si>
  <si>
    <r>
      <t>Calculated crossover frequency, f</t>
    </r>
    <r>
      <rPr>
        <b/>
        <vertAlign val="subscript"/>
        <sz val="11"/>
        <color theme="5"/>
        <rFont val="Calibri"/>
        <family val="2"/>
        <scheme val="minor"/>
      </rPr>
      <t>c</t>
    </r>
  </si>
  <si>
    <t>Phase Margin, PM</t>
  </si>
  <si>
    <t>Gain Margin, GM</t>
  </si>
  <si>
    <t>z_esr_1</t>
  </si>
  <si>
    <t>z_esr_2</t>
  </si>
  <si>
    <t>p_esr</t>
  </si>
  <si>
    <r>
      <t>Feedback top resistor, R</t>
    </r>
    <r>
      <rPr>
        <vertAlign val="subscript"/>
        <sz val="11"/>
        <color theme="1"/>
        <rFont val="Calibri"/>
        <family val="2"/>
        <scheme val="minor"/>
      </rPr>
      <t>FT</t>
    </r>
  </si>
  <si>
    <r>
      <t>Feedback bottom resistor, R</t>
    </r>
    <r>
      <rPr>
        <vertAlign val="subscript"/>
        <sz val="11"/>
        <color theme="1"/>
        <rFont val="Calibri"/>
        <family val="2"/>
        <scheme val="minor"/>
      </rPr>
      <t>FB</t>
    </r>
  </si>
  <si>
    <r>
      <t>Feedforward capacitor, C</t>
    </r>
    <r>
      <rPr>
        <vertAlign val="subscript"/>
        <sz val="11"/>
        <color theme="1"/>
        <rFont val="Calibri"/>
        <family val="2"/>
        <scheme val="minor"/>
      </rPr>
      <t>ff</t>
    </r>
  </si>
  <si>
    <t>R_FT</t>
  </si>
  <si>
    <t>R_FB</t>
  </si>
  <si>
    <t>C_ff</t>
  </si>
  <si>
    <t>z_ff</t>
  </si>
  <si>
    <t>p_ff</t>
  </si>
  <si>
    <t>Category</t>
  </si>
  <si>
    <t>Variable</t>
  </si>
  <si>
    <t>Unit</t>
  </si>
  <si>
    <t>ESR</t>
  </si>
  <si>
    <t>Feedforward</t>
  </si>
  <si>
    <t>Log(f)-1</t>
  </si>
  <si>
    <t>Phase Margin (PM)</t>
  </si>
  <si>
    <t>Overall</t>
  </si>
  <si>
    <t>Cout ESR</t>
  </si>
  <si>
    <t>z_RHP phase</t>
  </si>
  <si>
    <t>z_RHP gain</t>
  </si>
  <si>
    <t>Total phase</t>
  </si>
  <si>
    <t>Total Gain</t>
  </si>
  <si>
    <t>p_EA phase</t>
  </si>
  <si>
    <t>p_EA gain</t>
  </si>
  <si>
    <t>z_comp phase</t>
  </si>
  <si>
    <t>z_comp gain</t>
  </si>
  <si>
    <t>p_comp phase</t>
  </si>
  <si>
    <t>p_comp gain</t>
  </si>
  <si>
    <t>z_esr_1 phase</t>
  </si>
  <si>
    <t>z_esr_1 gain</t>
  </si>
  <si>
    <t>z_esr_2 phase</t>
  </si>
  <si>
    <t>z_esr_2 gain</t>
  </si>
  <si>
    <t>p_esr phase</t>
  </si>
  <si>
    <t>p_esr gain</t>
  </si>
  <si>
    <t>z_ff phase</t>
  </si>
  <si>
    <t>z_ff gain</t>
  </si>
  <si>
    <t>p_ff phase</t>
  </si>
  <si>
    <t>p_ff gain</t>
  </si>
  <si>
    <t>p_small phase</t>
  </si>
  <si>
    <t>p_small gain</t>
  </si>
  <si>
    <t>p_large phase</t>
  </si>
  <si>
    <t>p_large gain</t>
  </si>
  <si>
    <t>Gain</t>
  </si>
  <si>
    <t>Results</t>
  </si>
  <si>
    <t>fc</t>
  </si>
  <si>
    <t>PM</t>
  </si>
  <si>
    <t>GM</t>
  </si>
  <si>
    <t>˚</t>
  </si>
  <si>
    <t>delta_iout</t>
  </si>
  <si>
    <t>vout_under_shoot</t>
  </si>
  <si>
    <r>
      <t xml:space="preserve">Loop Calculation for Boost Converter with Peak Current COT Control </t>
    </r>
    <r>
      <rPr>
        <sz val="10"/>
        <color theme="0"/>
        <rFont val="Calibri"/>
        <family val="2"/>
        <scheme val="minor"/>
      </rPr>
      <t>- 20231225</t>
    </r>
  </si>
  <si>
    <t>Y</t>
  </si>
  <si>
    <t>X</t>
  </si>
  <si>
    <t>Data for GM curve</t>
  </si>
  <si>
    <t>Data for PM curve</t>
  </si>
  <si>
    <t>nC</t>
  </si>
  <si>
    <r>
      <t xml:space="preserve">Efficiency Calculation </t>
    </r>
    <r>
      <rPr>
        <sz val="10"/>
        <color theme="0"/>
        <rFont val="Calibri"/>
        <family val="2"/>
        <scheme val="minor"/>
      </rPr>
      <t>- 20231225</t>
    </r>
  </si>
  <si>
    <t>Total loss</t>
  </si>
  <si>
    <t>Overall Power Loss and Efficiency</t>
  </si>
  <si>
    <t>Efficiency</t>
  </si>
  <si>
    <t>Work conditions</t>
  </si>
  <si>
    <r>
      <t>Output current, I</t>
    </r>
    <r>
      <rPr>
        <vertAlign val="subscript"/>
        <sz val="11"/>
        <color theme="1"/>
        <rFont val="Calibri"/>
        <family val="2"/>
        <scheme val="minor"/>
      </rPr>
      <t xml:space="preserve">OUT_act_max </t>
    </r>
  </si>
  <si>
    <t>Used inductor part number</t>
  </si>
  <si>
    <t>Part 1: Loss from Inductor</t>
  </si>
  <si>
    <r>
      <t>Inductor peak-to-peak current, I</t>
    </r>
    <r>
      <rPr>
        <vertAlign val="subscript"/>
        <sz val="11"/>
        <color theme="1"/>
        <rFont val="Calibri"/>
        <family val="2"/>
        <scheme val="minor"/>
      </rPr>
      <t>Lp2p_act_nom</t>
    </r>
  </si>
  <si>
    <r>
      <t>Inductor DC resistance, R</t>
    </r>
    <r>
      <rPr>
        <vertAlign val="subscript"/>
        <sz val="11"/>
        <color theme="1"/>
        <rFont val="Calibri"/>
        <family val="2"/>
        <scheme val="minor"/>
      </rPr>
      <t>L_DC</t>
    </r>
  </si>
  <si>
    <t>RL_dc</t>
  </si>
  <si>
    <r>
      <t>Inductor total loss, P</t>
    </r>
    <r>
      <rPr>
        <vertAlign val="subscript"/>
        <sz val="11"/>
        <color theme="5"/>
        <rFont val="Calibri"/>
        <family val="2"/>
        <scheme val="minor"/>
      </rPr>
      <t>loss_inductor_total</t>
    </r>
  </si>
  <si>
    <t>P_loss_inductor_AC</t>
  </si>
  <si>
    <t>P_loss_inductor_DC</t>
  </si>
  <si>
    <t>P_loss_inductor_total</t>
  </si>
  <si>
    <t>Part 2: Conduction loss</t>
  </si>
  <si>
    <r>
      <t>Low side FET Rdson, R</t>
    </r>
    <r>
      <rPr>
        <vertAlign val="subscript"/>
        <sz val="11"/>
        <color theme="1"/>
        <rFont val="Calibri"/>
        <family val="2"/>
        <scheme val="minor"/>
      </rPr>
      <t>LS_dson</t>
    </r>
  </si>
  <si>
    <r>
      <t>High side FET Rdson, R</t>
    </r>
    <r>
      <rPr>
        <vertAlign val="subscript"/>
        <sz val="11"/>
        <color theme="1"/>
        <rFont val="Calibri"/>
        <family val="2"/>
        <scheme val="minor"/>
      </rPr>
      <t>HS_dson</t>
    </r>
  </si>
  <si>
    <t>R_LS_dson</t>
  </si>
  <si>
    <t>R_HS_dson</t>
  </si>
  <si>
    <r>
      <t>Temperature coefficient of IC internal FET on-resistance, K</t>
    </r>
    <r>
      <rPr>
        <vertAlign val="subscript"/>
        <sz val="11"/>
        <color theme="1"/>
        <rFont val="Calibri"/>
        <family val="2"/>
        <scheme val="minor"/>
      </rPr>
      <t>R</t>
    </r>
  </si>
  <si>
    <t>K_R</t>
  </si>
  <si>
    <t>P_loss_LS_Rdson</t>
  </si>
  <si>
    <t>P_loss_HS_Rdson</t>
  </si>
  <si>
    <r>
      <t>Duty cycle, D</t>
    </r>
    <r>
      <rPr>
        <vertAlign val="subscript"/>
        <sz val="11"/>
        <color theme="1"/>
        <rFont val="Calibri"/>
        <family val="2"/>
        <scheme val="minor"/>
      </rPr>
      <t>nom</t>
    </r>
    <r>
      <rPr>
        <sz val="11"/>
        <color theme="1"/>
        <rFont val="Calibri"/>
        <family val="2"/>
        <scheme val="minor"/>
      </rPr>
      <t xml:space="preserve">   </t>
    </r>
  </si>
  <si>
    <t>Part 3: Switching loss</t>
  </si>
  <si>
    <r>
      <t xml:space="preserve">Low side turn on time, </t>
    </r>
    <r>
      <rPr>
        <sz val="11"/>
        <color theme="1"/>
        <rFont val="Calibri"/>
        <family val="2"/>
      </rPr>
      <t>τ</t>
    </r>
    <r>
      <rPr>
        <vertAlign val="subscript"/>
        <sz val="11"/>
        <color theme="1"/>
        <rFont val="Calibri"/>
        <family val="2"/>
      </rPr>
      <t>on</t>
    </r>
    <r>
      <rPr>
        <sz val="11"/>
        <color theme="1"/>
        <rFont val="Calibri"/>
        <family val="2"/>
        <scheme val="minor"/>
      </rPr>
      <t xml:space="preserve">  </t>
    </r>
  </si>
  <si>
    <r>
      <t xml:space="preserve">Low side turn off time, </t>
    </r>
    <r>
      <rPr>
        <sz val="11"/>
        <color theme="1"/>
        <rFont val="Calibri"/>
        <family val="2"/>
      </rPr>
      <t>τ</t>
    </r>
    <r>
      <rPr>
        <vertAlign val="subscript"/>
        <sz val="11"/>
        <color theme="1"/>
        <rFont val="Calibri"/>
        <family val="2"/>
      </rPr>
      <t>off</t>
    </r>
    <r>
      <rPr>
        <sz val="11"/>
        <color theme="1"/>
        <rFont val="Calibri"/>
        <family val="2"/>
        <scheme val="minor"/>
      </rPr>
      <t xml:space="preserve">  </t>
    </r>
  </si>
  <si>
    <r>
      <t>Inductor average current, IL</t>
    </r>
    <r>
      <rPr>
        <vertAlign val="subscript"/>
        <sz val="11"/>
        <color theme="1"/>
        <rFont val="Calibri"/>
        <family val="2"/>
        <scheme val="minor"/>
      </rPr>
      <t>avg</t>
    </r>
  </si>
  <si>
    <r>
      <t>Inductor peak-to-peak current, IL</t>
    </r>
    <r>
      <rPr>
        <vertAlign val="subscript"/>
        <sz val="11"/>
        <color theme="1"/>
        <rFont val="Calibri"/>
        <family val="2"/>
        <scheme val="minor"/>
      </rPr>
      <t>p2p_act_nom</t>
    </r>
  </si>
  <si>
    <t>ns</t>
  </si>
  <si>
    <t>tau_on</t>
  </si>
  <si>
    <t>tau_off</t>
  </si>
  <si>
    <r>
      <t>Low side turn on loss, P</t>
    </r>
    <r>
      <rPr>
        <vertAlign val="subscript"/>
        <sz val="11"/>
        <color theme="5"/>
        <rFont val="Calibri"/>
        <family val="2"/>
        <scheme val="minor"/>
      </rPr>
      <t>loss_LS_on</t>
    </r>
  </si>
  <si>
    <r>
      <t>Low side turn off loss, P</t>
    </r>
    <r>
      <rPr>
        <vertAlign val="subscript"/>
        <sz val="11"/>
        <color theme="5"/>
        <rFont val="Calibri"/>
        <family val="2"/>
        <scheme val="minor"/>
      </rPr>
      <t>loss_LS_off</t>
    </r>
  </si>
  <si>
    <r>
      <t>Total low side switching loss, P</t>
    </r>
    <r>
      <rPr>
        <vertAlign val="subscript"/>
        <sz val="11"/>
        <color theme="5"/>
        <rFont val="Calibri"/>
        <family val="2"/>
        <scheme val="minor"/>
      </rPr>
      <t>loss_LS_switching</t>
    </r>
  </si>
  <si>
    <t>P_loss_LS_off</t>
  </si>
  <si>
    <t>P_loss_LS_on</t>
  </si>
  <si>
    <t>Part 4: Driving (Qg) loss</t>
  </si>
  <si>
    <r>
      <t>Gate charge of low side FET, Q</t>
    </r>
    <r>
      <rPr>
        <vertAlign val="subscript"/>
        <sz val="11"/>
        <color theme="1"/>
        <rFont val="Calibri"/>
        <family val="2"/>
        <scheme val="minor"/>
      </rPr>
      <t>LS_gate</t>
    </r>
  </si>
  <si>
    <r>
      <t>Gate charge of high side FET, Q</t>
    </r>
    <r>
      <rPr>
        <vertAlign val="subscript"/>
        <sz val="11"/>
        <color theme="1"/>
        <rFont val="Calibri"/>
        <family val="2"/>
        <scheme val="minor"/>
      </rPr>
      <t>HS_gate</t>
    </r>
  </si>
  <si>
    <r>
      <t>Maximum driving voltage of low side FET gate, V</t>
    </r>
    <r>
      <rPr>
        <vertAlign val="subscript"/>
        <sz val="11"/>
        <color theme="1"/>
        <rFont val="Calibri"/>
        <family val="2"/>
        <scheme val="minor"/>
      </rPr>
      <t>LS_gate</t>
    </r>
  </si>
  <si>
    <r>
      <t>Maximum driving voltage of high side FET gate, V</t>
    </r>
    <r>
      <rPr>
        <vertAlign val="subscript"/>
        <sz val="11"/>
        <color theme="1"/>
        <rFont val="Calibri"/>
        <family val="2"/>
        <scheme val="minor"/>
      </rPr>
      <t>HS_gate</t>
    </r>
  </si>
  <si>
    <r>
      <t>Driving loss of low side FET, P</t>
    </r>
    <r>
      <rPr>
        <vertAlign val="subscript"/>
        <sz val="11"/>
        <color theme="5"/>
        <rFont val="Calibri"/>
        <family val="2"/>
        <scheme val="minor"/>
      </rPr>
      <t>loss_LS_driving</t>
    </r>
  </si>
  <si>
    <r>
      <t>Driving loss of high side FET, P</t>
    </r>
    <r>
      <rPr>
        <vertAlign val="subscript"/>
        <sz val="11"/>
        <color theme="5"/>
        <rFont val="Calibri"/>
        <family val="2"/>
        <scheme val="minor"/>
      </rPr>
      <t>loss_HS_driving</t>
    </r>
  </si>
  <si>
    <r>
      <t>Total Driving loss, P</t>
    </r>
    <r>
      <rPr>
        <vertAlign val="subscript"/>
        <sz val="11"/>
        <color theme="5"/>
        <rFont val="Calibri"/>
        <family val="2"/>
        <scheme val="minor"/>
      </rPr>
      <t>loss_FET_switching</t>
    </r>
  </si>
  <si>
    <t>Q_LS_gate</t>
  </si>
  <si>
    <t>Q_HS_gate</t>
  </si>
  <si>
    <t>V_LS_gate</t>
  </si>
  <si>
    <t>V_HS_gate</t>
  </si>
  <si>
    <t>P_loss_LS_driving</t>
  </si>
  <si>
    <t>P_loss_HS_driving</t>
  </si>
  <si>
    <t>P_loss_FET_driving</t>
  </si>
  <si>
    <t>Part 5: Switching FET output loss</t>
  </si>
  <si>
    <r>
      <t>Total drain capacitance of low side FET (C</t>
    </r>
    <r>
      <rPr>
        <vertAlign val="subscript"/>
        <sz val="11"/>
        <color theme="1"/>
        <rFont val="Calibri"/>
        <family val="2"/>
        <scheme val="minor"/>
      </rPr>
      <t>gd</t>
    </r>
    <r>
      <rPr>
        <sz val="11"/>
        <color theme="1"/>
        <rFont val="Calibri"/>
        <family val="2"/>
        <scheme val="minor"/>
      </rPr>
      <t>+C</t>
    </r>
    <r>
      <rPr>
        <vertAlign val="subscript"/>
        <sz val="11"/>
        <color theme="1"/>
        <rFont val="Calibri"/>
        <family val="2"/>
        <scheme val="minor"/>
      </rPr>
      <t>ds</t>
    </r>
    <r>
      <rPr>
        <sz val="11"/>
        <color theme="1"/>
        <rFont val="Calibri"/>
        <family val="2"/>
        <scheme val="minor"/>
      </rPr>
      <t>), C</t>
    </r>
    <r>
      <rPr>
        <vertAlign val="subscript"/>
        <sz val="11"/>
        <color theme="1"/>
        <rFont val="Calibri"/>
        <family val="2"/>
        <scheme val="minor"/>
      </rPr>
      <t>LS_oss</t>
    </r>
  </si>
  <si>
    <r>
      <t>Total drain capacitance of high side FET (C</t>
    </r>
    <r>
      <rPr>
        <vertAlign val="subscript"/>
        <sz val="11"/>
        <color theme="1"/>
        <rFont val="Calibri"/>
        <family val="2"/>
        <scheme val="minor"/>
      </rPr>
      <t>gd</t>
    </r>
    <r>
      <rPr>
        <sz val="11"/>
        <color theme="1"/>
        <rFont val="Calibri"/>
        <family val="2"/>
        <scheme val="minor"/>
      </rPr>
      <t>+C</t>
    </r>
    <r>
      <rPr>
        <vertAlign val="subscript"/>
        <sz val="11"/>
        <color theme="1"/>
        <rFont val="Calibri"/>
        <family val="2"/>
        <scheme val="minor"/>
      </rPr>
      <t>ds</t>
    </r>
    <r>
      <rPr>
        <sz val="11"/>
        <color theme="1"/>
        <rFont val="Calibri"/>
        <family val="2"/>
        <scheme val="minor"/>
      </rPr>
      <t>), C</t>
    </r>
    <r>
      <rPr>
        <vertAlign val="subscript"/>
        <sz val="11"/>
        <color theme="1"/>
        <rFont val="Calibri"/>
        <family val="2"/>
        <scheme val="minor"/>
      </rPr>
      <t>HS_oss</t>
    </r>
  </si>
  <si>
    <r>
      <t>Low side FET output loss, P</t>
    </r>
    <r>
      <rPr>
        <vertAlign val="subscript"/>
        <sz val="11"/>
        <color theme="5"/>
        <rFont val="Calibri"/>
        <family val="2"/>
        <scheme val="minor"/>
      </rPr>
      <t>loss_LS_out</t>
    </r>
  </si>
  <si>
    <r>
      <t>High side FET output loss, P</t>
    </r>
    <r>
      <rPr>
        <vertAlign val="subscript"/>
        <sz val="11"/>
        <color theme="5"/>
        <rFont val="Calibri"/>
        <family val="2"/>
        <scheme val="minor"/>
      </rPr>
      <t>loss_HS_out</t>
    </r>
  </si>
  <si>
    <r>
      <t>Total FET output loss, P</t>
    </r>
    <r>
      <rPr>
        <vertAlign val="subscript"/>
        <sz val="11"/>
        <color theme="5"/>
        <rFont val="Calibri"/>
        <family val="2"/>
        <scheme val="minor"/>
      </rPr>
      <t>loss_FET_out</t>
    </r>
  </si>
  <si>
    <t>C_LS_oss</t>
  </si>
  <si>
    <t>C_HS_oss</t>
  </si>
  <si>
    <t>P_loss_LS_out</t>
  </si>
  <si>
    <t>P_loss_HS_out</t>
  </si>
  <si>
    <t>P_loss_FET_out</t>
  </si>
  <si>
    <r>
      <t xml:space="preserve">Low side turn on delay (dead) time, </t>
    </r>
    <r>
      <rPr>
        <sz val="11"/>
        <color theme="1"/>
        <rFont val="Calibri"/>
        <family val="2"/>
      </rPr>
      <t>τ</t>
    </r>
    <r>
      <rPr>
        <vertAlign val="subscript"/>
        <sz val="11"/>
        <color theme="1"/>
        <rFont val="Calibri"/>
        <family val="2"/>
      </rPr>
      <t>LS_on_dead</t>
    </r>
    <r>
      <rPr>
        <sz val="11"/>
        <color theme="1"/>
        <rFont val="Calibri"/>
        <family val="2"/>
        <scheme val="minor"/>
      </rPr>
      <t xml:space="preserve">  </t>
    </r>
  </si>
  <si>
    <r>
      <t xml:space="preserve">High side turn on delay (dead) time, </t>
    </r>
    <r>
      <rPr>
        <sz val="11"/>
        <color theme="1"/>
        <rFont val="Calibri"/>
        <family val="2"/>
      </rPr>
      <t>τ</t>
    </r>
    <r>
      <rPr>
        <vertAlign val="subscript"/>
        <sz val="11"/>
        <color theme="1"/>
        <rFont val="Calibri"/>
        <family val="2"/>
      </rPr>
      <t>HS_on_dead</t>
    </r>
    <r>
      <rPr>
        <sz val="11"/>
        <color theme="1"/>
        <rFont val="Calibri"/>
        <family val="2"/>
        <scheme val="minor"/>
      </rPr>
      <t xml:space="preserve">  </t>
    </r>
  </si>
  <si>
    <t>Part 9: IC static loss</t>
  </si>
  <si>
    <t>Part 10: Feedback resistors loss</t>
  </si>
  <si>
    <r>
      <t>V</t>
    </r>
    <r>
      <rPr>
        <b/>
        <vertAlign val="subscript"/>
        <sz val="11"/>
        <color theme="5"/>
        <rFont val="Calibri"/>
        <family val="2"/>
        <scheme val="minor"/>
      </rPr>
      <t>CC</t>
    </r>
    <r>
      <rPr>
        <b/>
        <sz val="11"/>
        <color theme="5"/>
        <rFont val="Calibri"/>
        <family val="2"/>
        <scheme val="minor"/>
      </rPr>
      <t xml:space="preserve"> (LDO) loss, P</t>
    </r>
    <r>
      <rPr>
        <vertAlign val="subscript"/>
        <sz val="11"/>
        <color theme="5"/>
        <rFont val="Calibri"/>
        <family val="2"/>
        <scheme val="minor"/>
      </rPr>
      <t>loss_VCC</t>
    </r>
  </si>
  <si>
    <r>
      <t>V</t>
    </r>
    <r>
      <rPr>
        <vertAlign val="subscript"/>
        <sz val="11"/>
        <color theme="1"/>
        <rFont val="Calibri"/>
        <family val="2"/>
        <scheme val="minor"/>
      </rPr>
      <t>CC</t>
    </r>
    <r>
      <rPr>
        <sz val="11"/>
        <color theme="1"/>
        <rFont val="Calibri"/>
        <family val="2"/>
        <scheme val="minor"/>
      </rPr>
      <t xml:space="preserve"> power supply, V</t>
    </r>
    <r>
      <rPr>
        <vertAlign val="subscript"/>
        <sz val="11"/>
        <color theme="1"/>
        <rFont val="Calibri"/>
        <family val="2"/>
        <scheme val="minor"/>
      </rPr>
      <t>DD</t>
    </r>
  </si>
  <si>
    <t>V_DD</t>
  </si>
  <si>
    <r>
      <t>VCC output, V</t>
    </r>
    <r>
      <rPr>
        <vertAlign val="subscript"/>
        <sz val="11"/>
        <color theme="1"/>
        <rFont val="Calibri"/>
        <family val="2"/>
        <scheme val="minor"/>
      </rPr>
      <t>CC</t>
    </r>
  </si>
  <si>
    <t>V_CC</t>
  </si>
  <si>
    <t>P_loss_VCC</t>
  </si>
  <si>
    <t>Part 6: VCC (LDO) loss</t>
  </si>
  <si>
    <t>Part 7: Dead time (body diode forward on) loss</t>
  </si>
  <si>
    <t>Part 8: Body diode recovery loss</t>
  </si>
  <si>
    <t>tau_LS_on_dead</t>
  </si>
  <si>
    <t>tau_HS_on_dead</t>
  </si>
  <si>
    <r>
      <t>Low side FET body diode forward voltage, V</t>
    </r>
    <r>
      <rPr>
        <vertAlign val="subscript"/>
        <sz val="11"/>
        <color theme="1"/>
        <rFont val="Calibri"/>
        <family val="2"/>
        <scheme val="minor"/>
      </rPr>
      <t>D_LS</t>
    </r>
  </si>
  <si>
    <r>
      <t>High side FET body diode forward voltage, V</t>
    </r>
    <r>
      <rPr>
        <vertAlign val="subscript"/>
        <sz val="11"/>
        <color theme="1"/>
        <rFont val="Calibri"/>
        <family val="2"/>
        <scheme val="minor"/>
      </rPr>
      <t>D_HS</t>
    </r>
  </si>
  <si>
    <r>
      <t>High side dead time (body-diode on) loss, P</t>
    </r>
    <r>
      <rPr>
        <vertAlign val="subscript"/>
        <sz val="11"/>
        <color theme="5"/>
        <rFont val="Calibri"/>
        <family val="2"/>
        <scheme val="minor"/>
      </rPr>
      <t>loss_HS_dead</t>
    </r>
  </si>
  <si>
    <r>
      <t>Total dead time (body-diode on) loss, P</t>
    </r>
    <r>
      <rPr>
        <vertAlign val="subscript"/>
        <sz val="11"/>
        <color theme="5"/>
        <rFont val="Calibri"/>
        <family val="2"/>
        <scheme val="minor"/>
      </rPr>
      <t>loss_FET_dead</t>
    </r>
  </si>
  <si>
    <t>V_D_LS</t>
  </si>
  <si>
    <t>V_D_HS</t>
  </si>
  <si>
    <t>P_loss_LS_dead</t>
  </si>
  <si>
    <t>P_loss_HS_dead</t>
  </si>
  <si>
    <t>P_loss_FET_dead</t>
  </si>
  <si>
    <r>
      <t>Body diode reverse recovery charge of high side FET, Q</t>
    </r>
    <r>
      <rPr>
        <vertAlign val="subscript"/>
        <sz val="11"/>
        <color theme="1"/>
        <rFont val="Calibri"/>
        <family val="2"/>
      </rPr>
      <t>rr</t>
    </r>
    <r>
      <rPr>
        <sz val="11"/>
        <color theme="1"/>
        <rFont val="Calibri"/>
        <family val="2"/>
        <scheme val="minor"/>
      </rPr>
      <t xml:space="preserve">  </t>
    </r>
  </si>
  <si>
    <t>Qrr</t>
  </si>
  <si>
    <r>
      <t>Body diode reverse recovery loss, P</t>
    </r>
    <r>
      <rPr>
        <vertAlign val="subscript"/>
        <sz val="11"/>
        <color theme="5"/>
        <rFont val="Calibri"/>
        <family val="2"/>
        <scheme val="minor"/>
      </rPr>
      <t>loss_diode_rr</t>
    </r>
  </si>
  <si>
    <t>IQ_in</t>
  </si>
  <si>
    <t>IQ_out</t>
  </si>
  <si>
    <t>µA</t>
  </si>
  <si>
    <r>
      <t>Quiescent current into V</t>
    </r>
    <r>
      <rPr>
        <vertAlign val="subscript"/>
        <sz val="11"/>
        <color theme="1"/>
        <rFont val="Calibri"/>
        <family val="2"/>
        <scheme val="minor"/>
      </rPr>
      <t>IN</t>
    </r>
    <r>
      <rPr>
        <sz val="11"/>
        <color theme="1"/>
        <rFont val="Calibri"/>
        <family val="2"/>
        <scheme val="minor"/>
      </rPr>
      <t xml:space="preserve"> pin, I</t>
    </r>
    <r>
      <rPr>
        <vertAlign val="subscript"/>
        <sz val="11"/>
        <color theme="1"/>
        <rFont val="Calibri"/>
        <family val="2"/>
        <scheme val="minor"/>
      </rPr>
      <t>Q_IN</t>
    </r>
  </si>
  <si>
    <r>
      <t>Quiescent current into V</t>
    </r>
    <r>
      <rPr>
        <vertAlign val="subscript"/>
        <sz val="11"/>
        <color theme="1"/>
        <rFont val="Calibri"/>
        <family val="2"/>
        <scheme val="minor"/>
      </rPr>
      <t>OUT</t>
    </r>
    <r>
      <rPr>
        <sz val="11"/>
        <color theme="1"/>
        <rFont val="Calibri"/>
        <family val="2"/>
        <scheme val="minor"/>
      </rPr>
      <t xml:space="preserve"> pin, I</t>
    </r>
    <r>
      <rPr>
        <vertAlign val="subscript"/>
        <sz val="11"/>
        <color theme="1"/>
        <rFont val="Calibri"/>
        <family val="2"/>
        <scheme val="minor"/>
      </rPr>
      <t>Q_OUT</t>
    </r>
  </si>
  <si>
    <r>
      <t>IC static loss, P</t>
    </r>
    <r>
      <rPr>
        <vertAlign val="subscript"/>
        <sz val="11"/>
        <color theme="5"/>
        <rFont val="Calibri"/>
        <family val="2"/>
        <scheme val="minor"/>
      </rPr>
      <t>loss_quiescent</t>
    </r>
  </si>
  <si>
    <r>
      <t>Feedback resistors, P</t>
    </r>
    <r>
      <rPr>
        <vertAlign val="subscript"/>
        <sz val="11"/>
        <color theme="5"/>
        <rFont val="Calibri"/>
        <family val="2"/>
        <scheme val="minor"/>
      </rPr>
      <t>loss_fb_res</t>
    </r>
  </si>
  <si>
    <t>New Input</t>
  </si>
  <si>
    <r>
      <t xml:space="preserve">Inductor loss </t>
    </r>
    <r>
      <rPr>
        <sz val="11"/>
        <color theme="1"/>
        <rFont val="Calibri"/>
        <family val="2"/>
      </rPr>
      <t>①</t>
    </r>
    <r>
      <rPr>
        <sz val="11"/>
        <color theme="1"/>
        <rFont val="Calibri"/>
        <family val="2"/>
        <scheme val="minor"/>
      </rPr>
      <t xml:space="preserve"> </t>
    </r>
  </si>
  <si>
    <r>
      <t xml:space="preserve">Conduction loss </t>
    </r>
    <r>
      <rPr>
        <sz val="11"/>
        <color theme="1"/>
        <rFont val="Calibri"/>
        <family val="2"/>
      </rPr>
      <t>②</t>
    </r>
    <r>
      <rPr>
        <sz val="11"/>
        <color theme="1"/>
        <rFont val="Calibri"/>
        <family val="2"/>
        <scheme val="minor"/>
      </rPr>
      <t xml:space="preserve"> </t>
    </r>
  </si>
  <si>
    <r>
      <t xml:space="preserve">Switching loss </t>
    </r>
    <r>
      <rPr>
        <sz val="11"/>
        <color theme="1"/>
        <rFont val="Calibri"/>
        <family val="2"/>
      </rPr>
      <t>③</t>
    </r>
    <r>
      <rPr>
        <sz val="11"/>
        <color theme="1"/>
        <rFont val="Calibri"/>
        <family val="2"/>
        <scheme val="minor"/>
      </rPr>
      <t xml:space="preserve"> </t>
    </r>
  </si>
  <si>
    <r>
      <t xml:space="preserve">Drive (Qg) loss </t>
    </r>
    <r>
      <rPr>
        <sz val="11"/>
        <color theme="1"/>
        <rFont val="Calibri"/>
        <family val="2"/>
      </rPr>
      <t>④</t>
    </r>
    <r>
      <rPr>
        <sz val="11"/>
        <color theme="1"/>
        <rFont val="Calibri"/>
        <family val="2"/>
        <scheme val="minor"/>
      </rPr>
      <t xml:space="preserve"> </t>
    </r>
  </si>
  <si>
    <r>
      <t xml:space="preserve">Switching FET output loss </t>
    </r>
    <r>
      <rPr>
        <sz val="11"/>
        <color theme="1"/>
        <rFont val="Calibri"/>
        <family val="2"/>
      </rPr>
      <t>⑤</t>
    </r>
    <r>
      <rPr>
        <sz val="11"/>
        <color theme="1"/>
        <rFont val="Calibri"/>
        <family val="2"/>
        <scheme val="minor"/>
      </rPr>
      <t xml:space="preserve"> </t>
    </r>
  </si>
  <si>
    <r>
      <t xml:space="preserve">VCC (LDO) loss </t>
    </r>
    <r>
      <rPr>
        <sz val="11"/>
        <color theme="1"/>
        <rFont val="Calibri"/>
        <family val="2"/>
      </rPr>
      <t>⑥</t>
    </r>
    <r>
      <rPr>
        <sz val="11"/>
        <color theme="1"/>
        <rFont val="Calibri"/>
        <family val="2"/>
        <scheme val="minor"/>
      </rPr>
      <t xml:space="preserve"> </t>
    </r>
  </si>
  <si>
    <r>
      <t xml:space="preserve">Dead time (body diode forward on) loss </t>
    </r>
    <r>
      <rPr>
        <sz val="11"/>
        <color theme="1"/>
        <rFont val="Calibri"/>
        <family val="2"/>
      </rPr>
      <t>⑦</t>
    </r>
    <r>
      <rPr>
        <sz val="11"/>
        <color theme="1"/>
        <rFont val="Calibri"/>
        <family val="2"/>
        <scheme val="minor"/>
      </rPr>
      <t xml:space="preserve"> </t>
    </r>
  </si>
  <si>
    <r>
      <t xml:space="preserve">Body diode recovery loss </t>
    </r>
    <r>
      <rPr>
        <sz val="11"/>
        <color theme="1"/>
        <rFont val="Calibri"/>
        <family val="2"/>
      </rPr>
      <t>⑧</t>
    </r>
    <r>
      <rPr>
        <sz val="11"/>
        <color theme="1"/>
        <rFont val="Calibri"/>
        <family val="2"/>
        <scheme val="minor"/>
      </rPr>
      <t xml:space="preserve"> </t>
    </r>
  </si>
  <si>
    <r>
      <t xml:space="preserve">IC static loss </t>
    </r>
    <r>
      <rPr>
        <sz val="11"/>
        <color theme="1"/>
        <rFont val="Calibri"/>
        <family val="2"/>
      </rPr>
      <t>⑨</t>
    </r>
    <r>
      <rPr>
        <sz val="11"/>
        <color theme="1"/>
        <rFont val="Calibri"/>
        <family val="2"/>
        <scheme val="minor"/>
      </rPr>
      <t xml:space="preserve"> </t>
    </r>
  </si>
  <si>
    <r>
      <t xml:space="preserve">Feedback resistors loss </t>
    </r>
    <r>
      <rPr>
        <sz val="11"/>
        <color theme="1"/>
        <rFont val="Calibri"/>
        <family val="2"/>
      </rPr>
      <t>⑩</t>
    </r>
    <r>
      <rPr>
        <sz val="11"/>
        <color theme="1"/>
        <rFont val="Calibri"/>
        <family val="2"/>
        <scheme val="minor"/>
      </rPr>
      <t xml:space="preserve"> </t>
    </r>
  </si>
  <si>
    <t>P_loss_quiescent</t>
  </si>
  <si>
    <t>P_loss_fb_res</t>
  </si>
  <si>
    <r>
      <t>Output Capacitor RMS Current, I</t>
    </r>
    <r>
      <rPr>
        <vertAlign val="subscript"/>
        <sz val="11"/>
        <color theme="1"/>
        <rFont val="Calibri"/>
        <family val="2"/>
        <scheme val="minor"/>
      </rPr>
      <t>COUT_rms</t>
    </r>
  </si>
  <si>
    <t>P_loss_total</t>
  </si>
  <si>
    <t>efficiency_cal</t>
  </si>
  <si>
    <t>P_loss_IC_total</t>
  </si>
  <si>
    <t>R_theta_JA</t>
  </si>
  <si>
    <t>temp_rise</t>
  </si>
  <si>
    <t>Input from previous celles</t>
  </si>
  <si>
    <t>fc_set</t>
  </si>
  <si>
    <r>
      <t>Default EVM Inductor AC loss, P</t>
    </r>
    <r>
      <rPr>
        <vertAlign val="subscript"/>
        <sz val="11"/>
        <rFont val="Calibri"/>
        <family val="2"/>
        <scheme val="minor"/>
      </rPr>
      <t>loss_inductor_AC</t>
    </r>
  </si>
  <si>
    <t>P_loss_act_inductor_AC</t>
  </si>
  <si>
    <t>P_loss_act_inductor_DC</t>
  </si>
  <si>
    <r>
      <t>Nominal duty cycle, D</t>
    </r>
    <r>
      <rPr>
        <vertAlign val="subscript"/>
        <sz val="11"/>
        <color theme="1"/>
        <rFont val="Calibri"/>
        <family val="2"/>
        <scheme val="minor"/>
      </rPr>
      <t>nom</t>
    </r>
    <r>
      <rPr>
        <sz val="11"/>
        <color theme="1"/>
        <rFont val="Calibri"/>
        <family val="2"/>
        <scheme val="minor"/>
      </rPr>
      <t xml:space="preserve">   </t>
    </r>
  </si>
  <si>
    <r>
      <t>Actually used inductor AC loss, P</t>
    </r>
    <r>
      <rPr>
        <vertAlign val="subscript"/>
        <sz val="11"/>
        <rFont val="Calibri"/>
        <family val="2"/>
        <scheme val="minor"/>
      </rPr>
      <t>loss_act_inductor_AC</t>
    </r>
  </si>
  <si>
    <r>
      <t>Equivalent sense resistor, R</t>
    </r>
    <r>
      <rPr>
        <vertAlign val="subscript"/>
        <sz val="11"/>
        <color theme="1"/>
        <rFont val="Calibri"/>
        <family val="2"/>
        <scheme val="minor"/>
      </rPr>
      <t>sense</t>
    </r>
  </si>
  <si>
    <r>
      <t>Inductor DC loss, P</t>
    </r>
    <r>
      <rPr>
        <vertAlign val="subscript"/>
        <sz val="11"/>
        <color theme="5"/>
        <rFont val="Calibri"/>
        <family val="2"/>
        <scheme val="minor"/>
      </rPr>
      <t>loss_inductor_AC</t>
    </r>
  </si>
  <si>
    <r>
      <t>Inductor AC loss, P</t>
    </r>
    <r>
      <rPr>
        <vertAlign val="subscript"/>
        <sz val="11"/>
        <color theme="5"/>
        <rFont val="Calibri"/>
        <family val="2"/>
        <scheme val="minor"/>
      </rPr>
      <t>loss_inductor_DC</t>
    </r>
  </si>
  <si>
    <r>
      <t>Vin that makes the ILp2p max, V</t>
    </r>
    <r>
      <rPr>
        <vertAlign val="subscript"/>
        <sz val="11"/>
        <color theme="1"/>
        <rFont val="Calibri"/>
        <family val="2"/>
        <scheme val="minor"/>
      </rPr>
      <t>1</t>
    </r>
  </si>
  <si>
    <r>
      <t>Vin that makes the ILp2p ratio max, V</t>
    </r>
    <r>
      <rPr>
        <vertAlign val="subscript"/>
        <sz val="11"/>
        <color theme="1"/>
        <rFont val="Calibri"/>
        <family val="2"/>
        <scheme val="minor"/>
      </rPr>
      <t>2</t>
    </r>
  </si>
  <si>
    <r>
      <t>Duty when V</t>
    </r>
    <r>
      <rPr>
        <vertAlign val="subscript"/>
        <sz val="11"/>
        <color theme="1"/>
        <rFont val="Calibri"/>
        <family val="2"/>
        <scheme val="minor"/>
      </rPr>
      <t>IN</t>
    </r>
    <r>
      <rPr>
        <sz val="11"/>
        <color theme="1"/>
        <rFont val="Calibri"/>
        <family val="2"/>
        <scheme val="minor"/>
      </rPr>
      <t xml:space="preserve"> = V</t>
    </r>
    <r>
      <rPr>
        <vertAlign val="subscript"/>
        <sz val="11"/>
        <color theme="1"/>
        <rFont val="Calibri"/>
        <family val="2"/>
        <scheme val="minor"/>
      </rPr>
      <t>1</t>
    </r>
  </si>
  <si>
    <r>
      <t>Duty when V</t>
    </r>
    <r>
      <rPr>
        <vertAlign val="subscript"/>
        <sz val="11"/>
        <color theme="1"/>
        <rFont val="Calibri"/>
        <family val="2"/>
        <scheme val="minor"/>
      </rPr>
      <t>IN</t>
    </r>
    <r>
      <rPr>
        <sz val="11"/>
        <color theme="1"/>
        <rFont val="Calibri"/>
        <family val="2"/>
        <scheme val="minor"/>
      </rPr>
      <t xml:space="preserve"> = V</t>
    </r>
    <r>
      <rPr>
        <vertAlign val="subscript"/>
        <sz val="11"/>
        <color theme="1"/>
        <rFont val="Calibri"/>
        <family val="2"/>
        <scheme val="minor"/>
      </rPr>
      <t>2</t>
    </r>
  </si>
  <si>
    <r>
      <t>Input current when V</t>
    </r>
    <r>
      <rPr>
        <vertAlign val="subscript"/>
        <sz val="11"/>
        <color theme="1"/>
        <rFont val="Calibri"/>
        <family val="2"/>
        <scheme val="minor"/>
      </rPr>
      <t>IN</t>
    </r>
    <r>
      <rPr>
        <sz val="11"/>
        <color theme="1"/>
        <rFont val="Calibri"/>
        <family val="2"/>
        <scheme val="minor"/>
      </rPr>
      <t xml:space="preserve"> = V</t>
    </r>
    <r>
      <rPr>
        <vertAlign val="subscript"/>
        <sz val="11"/>
        <color theme="1"/>
        <rFont val="Calibri"/>
        <family val="2"/>
        <scheme val="minor"/>
      </rPr>
      <t>2</t>
    </r>
  </si>
  <si>
    <r>
      <t>Input current when V</t>
    </r>
    <r>
      <rPr>
        <vertAlign val="subscript"/>
        <sz val="11"/>
        <color theme="1"/>
        <rFont val="Calibri"/>
        <family val="2"/>
        <scheme val="minor"/>
      </rPr>
      <t>IN</t>
    </r>
    <r>
      <rPr>
        <sz val="11"/>
        <color theme="1"/>
        <rFont val="Calibri"/>
        <family val="2"/>
        <scheme val="minor"/>
      </rPr>
      <t xml:space="preserve"> = V</t>
    </r>
    <r>
      <rPr>
        <vertAlign val="subscript"/>
        <sz val="11"/>
        <color theme="1"/>
        <rFont val="Calibri"/>
        <family val="2"/>
        <scheme val="minor"/>
      </rPr>
      <t>IN_max</t>
    </r>
  </si>
  <si>
    <r>
      <t>Inductor peak-to-peak current at V</t>
    </r>
    <r>
      <rPr>
        <vertAlign val="subscript"/>
        <sz val="11"/>
        <color theme="1"/>
        <rFont val="Calibri"/>
        <family val="2"/>
        <scheme val="minor"/>
      </rPr>
      <t>1</t>
    </r>
    <r>
      <rPr>
        <sz val="11"/>
        <color theme="1"/>
        <rFont val="Calibri"/>
        <family val="2"/>
        <scheme val="minor"/>
      </rPr>
      <t>, IL</t>
    </r>
    <r>
      <rPr>
        <vertAlign val="subscript"/>
        <sz val="11"/>
        <color theme="1"/>
        <rFont val="Calibri"/>
        <family val="2"/>
        <scheme val="minor"/>
      </rPr>
      <t>p2p_1</t>
    </r>
  </si>
  <si>
    <r>
      <t>Inductor peak-to-peak current at V</t>
    </r>
    <r>
      <rPr>
        <vertAlign val="subscript"/>
        <sz val="11"/>
        <color theme="1"/>
        <rFont val="Calibri"/>
        <family val="2"/>
        <scheme val="minor"/>
      </rPr>
      <t>2</t>
    </r>
    <r>
      <rPr>
        <sz val="11"/>
        <color theme="1"/>
        <rFont val="Calibri"/>
        <family val="2"/>
        <scheme val="minor"/>
      </rPr>
      <t>, IL</t>
    </r>
    <r>
      <rPr>
        <vertAlign val="subscript"/>
        <sz val="11"/>
        <color theme="1"/>
        <rFont val="Calibri"/>
        <family val="2"/>
        <scheme val="minor"/>
      </rPr>
      <t>p2p_2</t>
    </r>
  </si>
  <si>
    <r>
      <t>Low side FET conduction loss, P</t>
    </r>
    <r>
      <rPr>
        <vertAlign val="subscript"/>
        <sz val="11"/>
        <color theme="5"/>
        <rFont val="Calibri"/>
        <family val="2"/>
        <scheme val="minor"/>
      </rPr>
      <t>loss_LS_Rdson</t>
    </r>
  </si>
  <si>
    <r>
      <t>High side FET conduction loss, P</t>
    </r>
    <r>
      <rPr>
        <vertAlign val="subscript"/>
        <sz val="11"/>
        <color theme="5"/>
        <rFont val="Calibri"/>
        <family val="2"/>
        <scheme val="minor"/>
      </rPr>
      <t>loss_HS_Rdson</t>
    </r>
  </si>
  <si>
    <r>
      <t>Total FET conduction loss, P</t>
    </r>
    <r>
      <rPr>
        <vertAlign val="subscript"/>
        <sz val="11"/>
        <color theme="5"/>
        <rFont val="Calibri"/>
        <family val="2"/>
        <scheme val="minor"/>
      </rPr>
      <t>loss_FET_Rdson</t>
    </r>
  </si>
  <si>
    <t>iL_rms_act_nom</t>
  </si>
  <si>
    <t>iin_nom</t>
  </si>
  <si>
    <t>Version Number</t>
  </si>
  <si>
    <t>Version History</t>
  </si>
  <si>
    <t>Version</t>
  </si>
  <si>
    <t>Change List Description</t>
  </si>
  <si>
    <t>1.0</t>
  </si>
  <si>
    <t>Initial Release</t>
  </si>
  <si>
    <r>
      <t>Switching frequency, f</t>
    </r>
    <r>
      <rPr>
        <vertAlign val="subscript"/>
        <sz val="11"/>
        <color theme="1"/>
        <rFont val="Calibri"/>
        <family val="2"/>
        <scheme val="minor"/>
      </rPr>
      <t>sw</t>
    </r>
  </si>
  <si>
    <r>
      <t>DC gain of power stage, A</t>
    </r>
    <r>
      <rPr>
        <vertAlign val="subscript"/>
        <sz val="11"/>
        <rFont val="Calibri"/>
        <family val="2"/>
        <scheme val="minor"/>
      </rPr>
      <t>PS</t>
    </r>
  </si>
  <si>
    <r>
      <t>Right-half-plane zero of power stage, z</t>
    </r>
    <r>
      <rPr>
        <vertAlign val="subscript"/>
        <sz val="11"/>
        <rFont val="Calibri"/>
        <family val="2"/>
        <scheme val="minor"/>
      </rPr>
      <t>RHP</t>
    </r>
  </si>
  <si>
    <r>
      <t>Small pole of power stage, p</t>
    </r>
    <r>
      <rPr>
        <vertAlign val="subscript"/>
        <sz val="11"/>
        <rFont val="Calibri"/>
        <family val="2"/>
        <scheme val="minor"/>
      </rPr>
      <t>small</t>
    </r>
  </si>
  <si>
    <r>
      <t>Large pole of power stage, p</t>
    </r>
    <r>
      <rPr>
        <vertAlign val="subscript"/>
        <sz val="11"/>
        <rFont val="Calibri"/>
        <family val="2"/>
        <scheme val="minor"/>
      </rPr>
      <t>large</t>
    </r>
  </si>
  <si>
    <r>
      <t>R</t>
    </r>
    <r>
      <rPr>
        <b/>
        <vertAlign val="subscript"/>
        <sz val="11"/>
        <color theme="5"/>
        <rFont val="Calibri"/>
        <family val="2"/>
        <scheme val="minor"/>
      </rPr>
      <t>C</t>
    </r>
  </si>
  <si>
    <r>
      <t xml:space="preserve"> C</t>
    </r>
    <r>
      <rPr>
        <b/>
        <vertAlign val="subscript"/>
        <sz val="11"/>
        <color theme="5"/>
        <rFont val="Calibri"/>
        <family val="2"/>
        <scheme val="minor"/>
      </rPr>
      <t>C</t>
    </r>
  </si>
  <si>
    <r>
      <t xml:space="preserve"> C</t>
    </r>
    <r>
      <rPr>
        <b/>
        <vertAlign val="subscript"/>
        <sz val="11"/>
        <color theme="5"/>
        <rFont val="Calibri"/>
        <family val="2"/>
        <scheme val="minor"/>
      </rPr>
      <t>P</t>
    </r>
  </si>
  <si>
    <r>
      <t>DC gain of EA, A</t>
    </r>
    <r>
      <rPr>
        <vertAlign val="subscript"/>
        <sz val="11"/>
        <rFont val="Calibri"/>
        <family val="2"/>
        <scheme val="minor"/>
      </rPr>
      <t>EA</t>
    </r>
  </si>
  <si>
    <r>
      <t>Main pole of EA, p</t>
    </r>
    <r>
      <rPr>
        <vertAlign val="subscript"/>
        <sz val="11"/>
        <rFont val="Calibri"/>
        <family val="2"/>
        <scheme val="minor"/>
      </rPr>
      <t>EA</t>
    </r>
  </si>
  <si>
    <r>
      <t>Zero of compensation, z</t>
    </r>
    <r>
      <rPr>
        <vertAlign val="subscript"/>
        <sz val="11"/>
        <rFont val="Calibri"/>
        <family val="2"/>
        <scheme val="minor"/>
      </rPr>
      <t>comp</t>
    </r>
  </si>
  <si>
    <r>
      <t>Pole of compensation, p</t>
    </r>
    <r>
      <rPr>
        <vertAlign val="subscript"/>
        <sz val="11"/>
        <rFont val="Calibri"/>
        <family val="2"/>
        <scheme val="minor"/>
      </rPr>
      <t>comp</t>
    </r>
  </si>
  <si>
    <r>
      <t>Zero 1 of C</t>
    </r>
    <r>
      <rPr>
        <vertAlign val="subscript"/>
        <sz val="11"/>
        <rFont val="Calibri"/>
        <family val="2"/>
        <scheme val="minor"/>
      </rPr>
      <t>OUT</t>
    </r>
    <r>
      <rPr>
        <sz val="11"/>
        <rFont val="Calibri"/>
        <family val="2"/>
        <scheme val="minor"/>
      </rPr>
      <t xml:space="preserve"> ESR, z</t>
    </r>
    <r>
      <rPr>
        <vertAlign val="subscript"/>
        <sz val="11"/>
        <rFont val="Calibri"/>
        <family val="2"/>
        <scheme val="minor"/>
      </rPr>
      <t>ESR_1</t>
    </r>
  </si>
  <si>
    <r>
      <t>Zero 2 of C</t>
    </r>
    <r>
      <rPr>
        <vertAlign val="subscript"/>
        <sz val="11"/>
        <rFont val="Calibri"/>
        <family val="2"/>
        <scheme val="minor"/>
      </rPr>
      <t>OUT</t>
    </r>
    <r>
      <rPr>
        <sz val="11"/>
        <rFont val="Calibri"/>
        <family val="2"/>
        <scheme val="minor"/>
      </rPr>
      <t xml:space="preserve"> ESR, z</t>
    </r>
    <r>
      <rPr>
        <vertAlign val="subscript"/>
        <sz val="11"/>
        <rFont val="Calibri"/>
        <family val="2"/>
        <scheme val="minor"/>
      </rPr>
      <t>ESR_2</t>
    </r>
  </si>
  <si>
    <r>
      <t>Pole of C</t>
    </r>
    <r>
      <rPr>
        <vertAlign val="subscript"/>
        <sz val="11"/>
        <rFont val="Calibri"/>
        <family val="2"/>
        <scheme val="minor"/>
      </rPr>
      <t>OUT</t>
    </r>
    <r>
      <rPr>
        <sz val="11"/>
        <rFont val="Calibri"/>
        <family val="2"/>
        <scheme val="minor"/>
      </rPr>
      <t xml:space="preserve"> ESR, p</t>
    </r>
    <r>
      <rPr>
        <vertAlign val="subscript"/>
        <sz val="11"/>
        <rFont val="Calibri"/>
        <family val="2"/>
        <scheme val="minor"/>
      </rPr>
      <t>ESR</t>
    </r>
  </si>
  <si>
    <r>
      <t>Zero of feedforward, z</t>
    </r>
    <r>
      <rPr>
        <vertAlign val="subscript"/>
        <sz val="11"/>
        <rFont val="Calibri"/>
        <family val="2"/>
        <scheme val="minor"/>
      </rPr>
      <t>ff</t>
    </r>
  </si>
  <si>
    <r>
      <t>Pole of feedforward, p</t>
    </r>
    <r>
      <rPr>
        <vertAlign val="subscript"/>
        <sz val="11"/>
        <rFont val="Calibri"/>
        <family val="2"/>
        <scheme val="minor"/>
      </rPr>
      <t>ff</t>
    </r>
  </si>
  <si>
    <t>Calculated value</t>
  </si>
  <si>
    <t>kΩ</t>
  </si>
  <si>
    <t>μA</t>
  </si>
  <si>
    <t>Overall bode plot</t>
  </si>
  <si>
    <r>
      <t>Inductor RMS current, IL</t>
    </r>
    <r>
      <rPr>
        <vertAlign val="subscript"/>
        <sz val="11"/>
        <color theme="1"/>
        <rFont val="Calibri"/>
        <family val="2"/>
        <scheme val="minor"/>
      </rPr>
      <t>rms_act_nom</t>
    </r>
  </si>
  <si>
    <t>Step 6: UVLO Resistor Divider Selection (optional, please refer to datasheet section 6.3.3)</t>
  </si>
  <si>
    <t>Selection Tool for TPS61287 MOSFETs</t>
  </si>
  <si>
    <t>User input value</t>
  </si>
  <si>
    <t>Instruments/Comments</t>
  </si>
  <si>
    <t>Input Parameters （LS-FET）</t>
  </si>
  <si>
    <t>Vout</t>
  </si>
  <si>
    <t>Output voltage value</t>
  </si>
  <si>
    <t>Rg</t>
  </si>
  <si>
    <t>Internal and external MOSFET gate resistor</t>
  </si>
  <si>
    <t>Ciss_0V</t>
  </si>
  <si>
    <t>Input capacitance at Vds=0V, read the value from the Ciss-Vds curve</t>
  </si>
  <si>
    <t>Ciss_Vout</t>
  </si>
  <si>
    <t>Input capacitance at Vds=Vout, read the value from the Ciss-Vds curve</t>
  </si>
  <si>
    <t>Crss_0V</t>
  </si>
  <si>
    <t>Reverse transfer capacitance at Vds=0V, read the value from the Crss-Vds curve</t>
  </si>
  <si>
    <t>Crss_Vout</t>
  </si>
  <si>
    <t>Reverse transfer capacitance at Vds=Vout, read the value from the Crss-Vds curve</t>
  </si>
  <si>
    <t>Vmiller</t>
  </si>
  <si>
    <t>Gate plateau voltage</t>
  </si>
  <si>
    <t>Vgs_th</t>
  </si>
  <si>
    <t>Gate-source threshold voltage(min)</t>
  </si>
  <si>
    <t>VCC</t>
  </si>
  <si>
    <t>Calculated Results</t>
  </si>
  <si>
    <t>LS-FET off</t>
  </si>
  <si>
    <t>toff1</t>
  </si>
  <si>
    <t>First interval of turn-off</t>
  </si>
  <si>
    <t>toff2</t>
  </si>
  <si>
    <t>Second interval of turn-off</t>
  </si>
  <si>
    <t>toff3</t>
  </si>
  <si>
    <t>Third interval of turn-off</t>
  </si>
  <si>
    <t>LS-FET on</t>
  </si>
  <si>
    <t>ton1</t>
  </si>
  <si>
    <t>First interval of turn-on</t>
  </si>
  <si>
    <t>ton2</t>
  </si>
  <si>
    <t>Second interval of turn-on</t>
  </si>
  <si>
    <t>ton3</t>
  </si>
  <si>
    <t>Third interval of turn-on</t>
  </si>
  <si>
    <t>ton4</t>
  </si>
  <si>
    <t>Forth interval of turn-on</t>
  </si>
  <si>
    <t>MOSFET is ok?</t>
  </si>
  <si>
    <t>toff_LS</t>
  </si>
  <si>
    <t>ton_LS</t>
  </si>
  <si>
    <r>
      <t xml:space="preserve"> Selected recommended inductor peak-to-peak current ratio, IL</t>
    </r>
    <r>
      <rPr>
        <vertAlign val="subscript"/>
        <sz val="11"/>
        <color theme="1"/>
        <rFont val="Calibri"/>
        <family val="2"/>
        <scheme val="minor"/>
      </rPr>
      <t>p2p_ratio</t>
    </r>
  </si>
  <si>
    <r>
      <t>Calculated maximum inductor peak-to-peak current ripple based on the max ratio, IL</t>
    </r>
    <r>
      <rPr>
        <vertAlign val="subscript"/>
        <sz val="11"/>
        <color theme="1"/>
        <rFont val="Calibri"/>
        <family val="2"/>
        <scheme val="minor"/>
      </rPr>
      <t>p2p_cal</t>
    </r>
  </si>
  <si>
    <r>
      <t>Input nominal average current, I</t>
    </r>
    <r>
      <rPr>
        <vertAlign val="subscript"/>
        <sz val="11"/>
        <color theme="1"/>
        <rFont val="Calibri"/>
        <family val="2"/>
        <scheme val="minor"/>
      </rPr>
      <t>IN_nom</t>
    </r>
  </si>
  <si>
    <r>
      <t>Calculate the minimum input average current, I</t>
    </r>
    <r>
      <rPr>
        <vertAlign val="subscript"/>
        <sz val="11"/>
        <color theme="1"/>
        <rFont val="Calibri"/>
        <family val="2"/>
        <scheme val="minor"/>
      </rPr>
      <t>IN_min</t>
    </r>
  </si>
  <si>
    <r>
      <t>Recommended inductance value, L</t>
    </r>
    <r>
      <rPr>
        <b/>
        <vertAlign val="subscript"/>
        <sz val="11"/>
        <color theme="5"/>
        <rFont val="Calibri"/>
        <family val="2"/>
        <scheme val="minor"/>
      </rPr>
      <t>cal</t>
    </r>
    <r>
      <rPr>
        <b/>
        <sz val="11"/>
        <color theme="5"/>
        <rFont val="Calibri"/>
        <family val="2"/>
        <scheme val="minor"/>
      </rPr>
      <t xml:space="preserve">   </t>
    </r>
  </si>
  <si>
    <t xml:space="preserve">time </t>
  </si>
  <si>
    <t>IL</t>
  </si>
  <si>
    <r>
      <t>Inductor DCR, R</t>
    </r>
    <r>
      <rPr>
        <vertAlign val="subscript"/>
        <sz val="11"/>
        <color theme="1"/>
        <rFont val="Calibri"/>
        <family val="2"/>
        <scheme val="minor"/>
      </rPr>
      <t>L_DCR</t>
    </r>
  </si>
  <si>
    <r>
      <t>Recommended minimum effective output capacitance, C</t>
    </r>
    <r>
      <rPr>
        <b/>
        <vertAlign val="subscript"/>
        <sz val="11"/>
        <color theme="5"/>
        <rFont val="Calibri"/>
        <family val="2"/>
        <scheme val="minor"/>
      </rPr>
      <t>OUT_cal_min</t>
    </r>
    <r>
      <rPr>
        <b/>
        <sz val="11"/>
        <color theme="5"/>
        <rFont val="Calibri"/>
        <family val="2"/>
        <scheme val="minor"/>
      </rPr>
      <t>@V</t>
    </r>
    <r>
      <rPr>
        <b/>
        <vertAlign val="subscript"/>
        <sz val="11"/>
        <color theme="5"/>
        <rFont val="Calibri"/>
        <family val="2"/>
        <scheme val="minor"/>
      </rPr>
      <t>IN_min</t>
    </r>
  </si>
  <si>
    <r>
      <t xml:space="preserve">Here is an example of the </t>
    </r>
    <r>
      <rPr>
        <sz val="11"/>
        <color rgb="FFFF0000"/>
        <rFont val="Calibri"/>
        <family val="2"/>
        <scheme val="minor"/>
      </rPr>
      <t>GRM31CD71H106KE11</t>
    </r>
    <r>
      <rPr>
        <sz val="11"/>
        <color theme="1"/>
        <rFont val="Calibri"/>
        <family val="2"/>
        <scheme val="minor"/>
      </rPr>
      <t>.</t>
    </r>
  </si>
  <si>
    <r>
      <rPr>
        <b/>
        <sz val="12"/>
        <color theme="1"/>
        <rFont val="Calibri"/>
        <family val="2"/>
        <scheme val="minor"/>
      </rPr>
      <t>Pay attention</t>
    </r>
    <r>
      <rPr>
        <sz val="11"/>
        <color theme="1"/>
        <rFont val="Calibri"/>
        <family val="2"/>
        <scheme val="minor"/>
      </rPr>
      <t xml:space="preserve"> to the ceramic capacitors (MLCC) DC bias effect.</t>
    </r>
  </si>
  <si>
    <r>
      <t xml:space="preserve">Here is an example of the </t>
    </r>
    <r>
      <rPr>
        <sz val="11"/>
        <color rgb="FFFF0000"/>
        <rFont val="Calibri"/>
        <family val="2"/>
        <scheme val="minor"/>
      </rPr>
      <t>EEETC1V221P</t>
    </r>
    <r>
      <rPr>
        <sz val="11"/>
        <color theme="1"/>
        <rFont val="Calibri"/>
        <family val="2"/>
        <scheme val="minor"/>
      </rPr>
      <t>.</t>
    </r>
  </si>
  <si>
    <r>
      <t>Feedback top resistor, R</t>
    </r>
    <r>
      <rPr>
        <vertAlign val="subscript"/>
        <sz val="11"/>
        <color theme="1"/>
        <rFont val="Calibri"/>
        <family val="2"/>
        <scheme val="minor"/>
      </rPr>
      <t>FBT</t>
    </r>
  </si>
  <si>
    <r>
      <t>Total ESR of output electrolytic capacitors, R</t>
    </r>
    <r>
      <rPr>
        <vertAlign val="subscript"/>
        <sz val="11"/>
        <color theme="1"/>
        <rFont val="Calibri"/>
        <family val="2"/>
        <scheme val="minor"/>
      </rPr>
      <t>ESR_elec</t>
    </r>
    <r>
      <rPr>
        <sz val="11"/>
        <color theme="1"/>
        <rFont val="Calibri"/>
        <family val="2"/>
        <scheme val="minor"/>
      </rPr>
      <t xml:space="preserve"> </t>
    </r>
  </si>
  <si>
    <r>
      <t>Nominal inductor RMS current, IL</t>
    </r>
    <r>
      <rPr>
        <vertAlign val="subscript"/>
        <sz val="11"/>
        <rFont val="Calibri"/>
        <family val="2"/>
        <scheme val="minor"/>
      </rPr>
      <t>rms_act_nom</t>
    </r>
  </si>
  <si>
    <r>
      <t>Inductor peak-to-peak current at @V</t>
    </r>
    <r>
      <rPr>
        <vertAlign val="subscript"/>
        <sz val="11"/>
        <color theme="1"/>
        <rFont val="Calibri"/>
        <family val="2"/>
        <scheme val="minor"/>
      </rPr>
      <t>IN_nom</t>
    </r>
    <r>
      <rPr>
        <sz val="11"/>
        <color theme="1"/>
        <rFont val="Calibri"/>
        <family val="2"/>
        <scheme val="minor"/>
      </rPr>
      <t>, IL</t>
    </r>
    <r>
      <rPr>
        <vertAlign val="subscript"/>
        <sz val="11"/>
        <color theme="1"/>
        <rFont val="Calibri"/>
        <family val="2"/>
        <scheme val="minor"/>
      </rPr>
      <t>p2p_act</t>
    </r>
  </si>
  <si>
    <r>
      <t>Maximum inductor peak current@V</t>
    </r>
    <r>
      <rPr>
        <vertAlign val="subscript"/>
        <sz val="11"/>
        <color theme="1"/>
        <rFont val="Calibri"/>
        <family val="2"/>
        <scheme val="minor"/>
      </rPr>
      <t>IN_min</t>
    </r>
    <r>
      <rPr>
        <sz val="11"/>
        <color theme="1"/>
        <rFont val="Calibri"/>
        <family val="2"/>
        <scheme val="minor"/>
      </rPr>
      <t>, IL</t>
    </r>
    <r>
      <rPr>
        <vertAlign val="subscript"/>
        <sz val="11"/>
        <color theme="1"/>
        <rFont val="Calibri"/>
        <family val="2"/>
        <scheme val="minor"/>
      </rPr>
      <t>peak_max</t>
    </r>
  </si>
  <si>
    <t>Calculated</t>
  </si>
  <si>
    <t xml:space="preserve">Selected </t>
  </si>
  <si>
    <r>
      <t>Feedback bottom resistor, R</t>
    </r>
    <r>
      <rPr>
        <vertAlign val="subscript"/>
        <sz val="11"/>
        <color theme="1"/>
        <rFont val="Calibri"/>
        <family val="2"/>
        <scheme val="minor"/>
      </rPr>
      <t>FBB</t>
    </r>
  </si>
  <si>
    <t>CMME105T-3R3MS</t>
  </si>
  <si>
    <t>Step 7: Low-Side MOSFET Selection</t>
  </si>
  <si>
    <t>Sum of toff2 + toff3</t>
  </si>
  <si>
    <t>Sum of ton2 + ton3</t>
  </si>
  <si>
    <t>Check if LS-FET off time &lt; 30ns (dead time)</t>
  </si>
  <si>
    <t>BSZ034N04LS</t>
  </si>
  <si>
    <t xml:space="preserve">toff_LS calculated </t>
  </si>
  <si>
    <t>Test condition: VIN=3.6V, VOUT=18V, IOUT=1A</t>
  </si>
  <si>
    <t xml:space="preserve">ton_LS calculated </t>
  </si>
  <si>
    <t xml:space="preserve">toff_LS test </t>
  </si>
  <si>
    <t xml:space="preserve">toon_LS test </t>
  </si>
  <si>
    <t>This tool is designed to aid the user in selecting the MOSFETs for TPS61287 boost converter.</t>
  </si>
  <si>
    <t>R_pullup_slow</t>
  </si>
  <si>
    <t>R_pulldown_slow</t>
  </si>
  <si>
    <t>R_pullup_fast</t>
  </si>
  <si>
    <t>R_pulldown_fast</t>
  </si>
  <si>
    <t>Input capacitance at Vds=0V, Ciss_0V</t>
  </si>
  <si>
    <t>Input capacitance at Vds=Vout, Ciss_Vout</t>
  </si>
  <si>
    <t>Reverse transfer capacitance at Vds=0V, Crss_0V</t>
  </si>
  <si>
    <t>Reverse transfer capacitance at Vds=Vout, Crss_Vout</t>
  </si>
  <si>
    <t>From design parameter</t>
  </si>
  <si>
    <t>toff_LS_GATE</t>
  </si>
  <si>
    <t>Output capacitance at Vds=Vout, Coss_Vout</t>
  </si>
  <si>
    <t>Output capacitance at Vds=0V, Coss_0V</t>
  </si>
  <si>
    <r>
      <t xml:space="preserve">Assumed Efficiency, </t>
    </r>
    <r>
      <rPr>
        <sz val="11"/>
        <color theme="1"/>
        <rFont val="Calibri"/>
        <family val="2"/>
      </rPr>
      <t>η</t>
    </r>
  </si>
  <si>
    <r>
      <t>Maximum calculated output current @V</t>
    </r>
    <r>
      <rPr>
        <b/>
        <vertAlign val="subscript"/>
        <sz val="11"/>
        <color theme="5"/>
        <rFont val="Calibri"/>
        <family val="2"/>
        <scheme val="minor"/>
      </rPr>
      <t>IN_min</t>
    </r>
    <r>
      <rPr>
        <b/>
        <sz val="11"/>
        <color theme="5"/>
        <rFont val="Calibri"/>
        <family val="2"/>
        <scheme val="minor"/>
      </rPr>
      <t>, I</t>
    </r>
    <r>
      <rPr>
        <b/>
        <vertAlign val="subscript"/>
        <sz val="11"/>
        <color theme="5"/>
        <rFont val="Calibri"/>
        <family val="2"/>
        <scheme val="minor"/>
      </rPr>
      <t>OUT_cal_max</t>
    </r>
  </si>
  <si>
    <t>Step 8: Efficiency Analyzer</t>
  </si>
  <si>
    <r>
      <t>Default EVM Inductor DC loss, P</t>
    </r>
    <r>
      <rPr>
        <vertAlign val="subscript"/>
        <sz val="11"/>
        <rFont val="Calibri"/>
        <family val="2"/>
        <scheme val="minor"/>
      </rPr>
      <t>loss_inductor_DC</t>
    </r>
  </si>
  <si>
    <r>
      <t>Actually used inductor DC loss, P</t>
    </r>
    <r>
      <rPr>
        <vertAlign val="subscript"/>
        <sz val="11"/>
        <rFont val="Calibri"/>
        <family val="2"/>
        <scheme val="minor"/>
      </rPr>
      <t>loss_act_inductor_DC</t>
    </r>
  </si>
  <si>
    <r>
      <rPr>
        <b/>
        <sz val="12"/>
        <color theme="1"/>
        <rFont val="Calibri"/>
        <family val="2"/>
        <scheme val="minor"/>
      </rPr>
      <t>Pay attention</t>
    </r>
    <r>
      <rPr>
        <sz val="11"/>
        <color theme="1"/>
        <rFont val="Calibri"/>
        <family val="2"/>
        <scheme val="minor"/>
      </rPr>
      <t xml:space="preserve"> that the electrolytic capacitor ESR increases much with temperature reducing.</t>
    </r>
  </si>
  <si>
    <t>TPS61287</t>
  </si>
  <si>
    <t>device_name</t>
  </si>
  <si>
    <r>
      <t>Sourcing current at the EN/UVLO pin, I</t>
    </r>
    <r>
      <rPr>
        <vertAlign val="subscript"/>
        <sz val="11"/>
        <color theme="1"/>
        <rFont val="Calibri"/>
        <family val="2"/>
        <scheme val="minor"/>
      </rPr>
      <t>EN/UVLO</t>
    </r>
  </si>
  <si>
    <r>
      <t>UVLO rising threshold at the EN/UVLO, V</t>
    </r>
    <r>
      <rPr>
        <vertAlign val="subscript"/>
        <sz val="11"/>
        <color theme="1"/>
        <rFont val="Calibri"/>
        <family val="2"/>
        <scheme val="minor"/>
      </rPr>
      <t>UVLO_RISE</t>
    </r>
  </si>
  <si>
    <r>
      <t>Desired voltage On, V</t>
    </r>
    <r>
      <rPr>
        <vertAlign val="subscript"/>
        <sz val="11"/>
        <color theme="1"/>
        <rFont val="Calibri"/>
        <family val="2"/>
        <scheme val="minor"/>
      </rPr>
      <t>UVLO_ON</t>
    </r>
  </si>
  <si>
    <r>
      <t>Desired voltage OFF, V</t>
    </r>
    <r>
      <rPr>
        <vertAlign val="subscript"/>
        <sz val="11"/>
        <color theme="1"/>
        <rFont val="Calibri"/>
        <family val="2"/>
        <scheme val="minor"/>
      </rPr>
      <t>UVLO_OFF</t>
    </r>
  </si>
  <si>
    <r>
      <t>Calculated top UVLO resistor value, R</t>
    </r>
    <r>
      <rPr>
        <vertAlign val="subscript"/>
        <sz val="11"/>
        <color theme="1"/>
        <rFont val="Calibri"/>
        <family val="2"/>
        <scheme val="minor"/>
      </rPr>
      <t>UVT_CALC</t>
    </r>
  </si>
  <si>
    <r>
      <t>Selected top UVLO resistor value, R</t>
    </r>
    <r>
      <rPr>
        <vertAlign val="subscript"/>
        <sz val="11"/>
        <color theme="1"/>
        <rFont val="Calibri"/>
        <family val="2"/>
        <scheme val="minor"/>
      </rPr>
      <t>UVT</t>
    </r>
  </si>
  <si>
    <r>
      <t>Calculated bottom UVLO Resistor, R</t>
    </r>
    <r>
      <rPr>
        <vertAlign val="subscript"/>
        <sz val="11"/>
        <color theme="1"/>
        <rFont val="Calibri"/>
        <family val="2"/>
        <scheme val="minor"/>
      </rPr>
      <t>UVB_CALC</t>
    </r>
  </si>
  <si>
    <r>
      <t>Selected bottom UVLO resistor value, R</t>
    </r>
    <r>
      <rPr>
        <vertAlign val="subscript"/>
        <sz val="11"/>
        <color theme="1"/>
        <rFont val="Calibri"/>
        <family val="2"/>
        <scheme val="minor"/>
      </rPr>
      <t>UVB</t>
    </r>
  </si>
  <si>
    <r>
      <t>Actual voltage On, V</t>
    </r>
    <r>
      <rPr>
        <vertAlign val="subscript"/>
        <sz val="11"/>
        <color theme="1"/>
        <rFont val="Calibri"/>
        <family val="2"/>
        <scheme val="minor"/>
      </rPr>
      <t>UVLO_ON</t>
    </r>
  </si>
  <si>
    <r>
      <t>Actual voltage Off, V</t>
    </r>
    <r>
      <rPr>
        <vertAlign val="subscript"/>
        <sz val="11"/>
        <color theme="1"/>
        <rFont val="Calibri"/>
        <family val="2"/>
        <scheme val="minor"/>
      </rPr>
      <t>UVLO_OFF</t>
    </r>
  </si>
  <si>
    <r>
      <t>On-State resistance, R</t>
    </r>
    <r>
      <rPr>
        <vertAlign val="subscript"/>
        <sz val="11"/>
        <color theme="2" tint="-0.89999084444715716"/>
        <rFont val="Calibri"/>
        <family val="2"/>
        <scheme val="minor"/>
      </rPr>
      <t>DS(on)</t>
    </r>
    <r>
      <rPr>
        <sz val="11"/>
        <color theme="2" tint="-0.89999084444715716"/>
        <rFont val="Calibri"/>
        <family val="2"/>
        <scheme val="minor"/>
      </rPr>
      <t xml:space="preserve"> </t>
    </r>
  </si>
  <si>
    <r>
      <t>Total gate charge, Q</t>
    </r>
    <r>
      <rPr>
        <vertAlign val="subscript"/>
        <sz val="11"/>
        <color theme="2" tint="-0.89999084444715716"/>
        <rFont val="Calibri"/>
        <family val="2"/>
        <scheme val="minor"/>
      </rPr>
      <t>G</t>
    </r>
    <r>
      <rPr>
        <sz val="11"/>
        <color theme="2" tint="-0.89999084444715716"/>
        <rFont val="Calibri"/>
        <family val="2"/>
        <scheme val="minor"/>
      </rPr>
      <t xml:space="preserve"> </t>
    </r>
  </si>
  <si>
    <r>
      <t>Gate resistance, R</t>
    </r>
    <r>
      <rPr>
        <vertAlign val="subscript"/>
        <sz val="11"/>
        <color theme="2" tint="-0.89999084444715716"/>
        <rFont val="Calibri"/>
        <family val="2"/>
        <scheme val="minor"/>
      </rPr>
      <t>G</t>
    </r>
  </si>
  <si>
    <r>
      <t>External gate resistance on PCB, R</t>
    </r>
    <r>
      <rPr>
        <vertAlign val="subscript"/>
        <sz val="11"/>
        <color theme="2" tint="-0.89999084444715716"/>
        <rFont val="Calibri"/>
        <family val="2"/>
        <scheme val="minor"/>
      </rPr>
      <t>G_PCB</t>
    </r>
  </si>
  <si>
    <r>
      <t>Low side FET gate driving voltage, V</t>
    </r>
    <r>
      <rPr>
        <vertAlign val="subscript"/>
        <sz val="11"/>
        <color theme="2" tint="-0.89996032593768116"/>
        <rFont val="Calibri"/>
        <family val="2"/>
        <scheme val="minor"/>
      </rPr>
      <t>LS_gate</t>
    </r>
  </si>
  <si>
    <r>
      <t>Gate-Source Threshold Voltage, V</t>
    </r>
    <r>
      <rPr>
        <vertAlign val="subscript"/>
        <sz val="11"/>
        <color theme="2" tint="-0.89996032593768116"/>
        <rFont val="Calibri"/>
        <family val="2"/>
        <scheme val="minor"/>
      </rPr>
      <t>GS(TH)</t>
    </r>
  </si>
  <si>
    <r>
      <t>LS-GATE off to HS-GATE on deadtime, t</t>
    </r>
    <r>
      <rPr>
        <vertAlign val="subscript"/>
        <sz val="11"/>
        <rFont val="Calibri"/>
        <family val="2"/>
        <scheme val="minor"/>
      </rPr>
      <t>DLH</t>
    </r>
  </si>
  <si>
    <t>Sum of toff1 + toff2 + toff3</t>
  </si>
  <si>
    <r>
      <t>Gate plateau voltage / miller voltage, V</t>
    </r>
    <r>
      <rPr>
        <vertAlign val="subscript"/>
        <sz val="11"/>
        <color theme="2" tint="-0.89999084444715716"/>
        <rFont val="Calibri"/>
        <family val="2"/>
        <scheme val="minor"/>
      </rPr>
      <t>plateau</t>
    </r>
    <r>
      <rPr>
        <sz val="11"/>
        <color theme="2" tint="-0.89999084444715716"/>
        <rFont val="Calibri"/>
        <family val="2"/>
        <scheme val="minor"/>
      </rPr>
      <t xml:space="preserve"> </t>
    </r>
  </si>
  <si>
    <r>
      <t>Suggested Bandwidth @V</t>
    </r>
    <r>
      <rPr>
        <b/>
        <vertAlign val="subscript"/>
        <sz val="11"/>
        <color theme="5"/>
        <rFont val="Calibri"/>
        <family val="2"/>
        <scheme val="minor"/>
      </rPr>
      <t>in(min)</t>
    </r>
    <r>
      <rPr>
        <b/>
        <sz val="11"/>
        <color theme="5"/>
        <rFont val="Calibri"/>
        <family val="2"/>
        <scheme val="minor"/>
      </rPr>
      <t>, V</t>
    </r>
    <r>
      <rPr>
        <b/>
        <vertAlign val="subscript"/>
        <sz val="11"/>
        <color theme="5"/>
        <rFont val="Calibri"/>
        <family val="2"/>
        <scheme val="minor"/>
      </rPr>
      <t>OUT(max)</t>
    </r>
    <r>
      <rPr>
        <b/>
        <sz val="11"/>
        <color theme="5"/>
        <rFont val="Calibri"/>
        <family val="2"/>
        <scheme val="minor"/>
      </rPr>
      <t>,I</t>
    </r>
    <r>
      <rPr>
        <b/>
        <vertAlign val="subscript"/>
        <sz val="11"/>
        <color theme="5"/>
        <rFont val="Calibri"/>
        <family val="2"/>
        <scheme val="minor"/>
      </rPr>
      <t>OUT(max)</t>
    </r>
    <r>
      <rPr>
        <b/>
        <sz val="11"/>
        <color theme="5"/>
        <rFont val="Calibri"/>
        <family val="2"/>
        <scheme val="minor"/>
      </rPr>
      <t>, f</t>
    </r>
    <r>
      <rPr>
        <b/>
        <vertAlign val="subscript"/>
        <sz val="11"/>
        <color theme="5"/>
        <rFont val="Calibri"/>
        <family val="2"/>
        <scheme val="minor"/>
      </rPr>
      <t>CO_calc</t>
    </r>
  </si>
  <si>
    <r>
      <t>Selected Bandwidth @V</t>
    </r>
    <r>
      <rPr>
        <vertAlign val="subscript"/>
        <sz val="11"/>
        <rFont val="Calibri"/>
        <family val="2"/>
        <scheme val="minor"/>
      </rPr>
      <t>in(min)</t>
    </r>
    <r>
      <rPr>
        <sz val="11"/>
        <rFont val="Calibri"/>
        <family val="2"/>
        <scheme val="minor"/>
      </rPr>
      <t>, V</t>
    </r>
    <r>
      <rPr>
        <vertAlign val="subscript"/>
        <sz val="11"/>
        <rFont val="Calibri"/>
        <family val="2"/>
        <scheme val="minor"/>
      </rPr>
      <t>OUT(max)</t>
    </r>
    <r>
      <rPr>
        <sz val="11"/>
        <rFont val="Calibri"/>
        <family val="2"/>
        <scheme val="minor"/>
      </rPr>
      <t>,I</t>
    </r>
    <r>
      <rPr>
        <vertAlign val="subscript"/>
        <sz val="11"/>
        <rFont val="Calibri"/>
        <family val="2"/>
        <scheme val="minor"/>
      </rPr>
      <t>OUT(max)</t>
    </r>
    <r>
      <rPr>
        <sz val="11"/>
        <rFont val="Calibri"/>
        <family val="2"/>
        <scheme val="minor"/>
      </rPr>
      <t>, f</t>
    </r>
    <r>
      <rPr>
        <vertAlign val="subscript"/>
        <sz val="11"/>
        <rFont val="Calibri"/>
        <family val="2"/>
        <scheme val="minor"/>
      </rPr>
      <t>CO</t>
    </r>
  </si>
  <si>
    <t>DMN4010LFG</t>
  </si>
  <si>
    <t xml:space="preserve">ton_LS test </t>
  </si>
  <si>
    <t xml:space="preserve">toff_LS GATE calculated </t>
  </si>
  <si>
    <t xml:space="preserve">toff_LS_GATE test </t>
  </si>
  <si>
    <t>DMN4008LFG</t>
  </si>
  <si>
    <t>MOSFET#1</t>
  </si>
  <si>
    <t>MOSFET#2</t>
  </si>
  <si>
    <t>MOSFET#3</t>
  </si>
  <si>
    <t>Switching Time Correlation on Bench</t>
  </si>
  <si>
    <r>
      <t>Set nominal valley switching current limit, I</t>
    </r>
    <r>
      <rPr>
        <vertAlign val="subscript"/>
        <sz val="11"/>
        <color theme="1"/>
        <rFont val="Calibri"/>
        <family val="2"/>
        <scheme val="minor"/>
      </rPr>
      <t>limit_nom</t>
    </r>
  </si>
  <si>
    <r>
      <t>Programmable valley current limit resistor, R</t>
    </r>
    <r>
      <rPr>
        <b/>
        <vertAlign val="subscript"/>
        <sz val="11"/>
        <color theme="5"/>
        <rFont val="Calibri"/>
        <family val="2"/>
        <scheme val="minor"/>
      </rPr>
      <t>ILIM</t>
    </r>
    <r>
      <rPr>
        <b/>
        <sz val="11"/>
        <color theme="5"/>
        <rFont val="Calibri"/>
        <family val="2"/>
        <scheme val="minor"/>
      </rPr>
      <t xml:space="preserve"> </t>
    </r>
  </si>
  <si>
    <t>Test condition: VIN=3.3V, VOUT=18V, IOUT=2A</t>
  </si>
  <si>
    <t>fc test</t>
  </si>
  <si>
    <t>fc calculated</t>
  </si>
  <si>
    <t>PM calculated</t>
  </si>
  <si>
    <t>GM calculated</t>
  </si>
  <si>
    <t>PM test</t>
  </si>
  <si>
    <t>GM test</t>
  </si>
  <si>
    <t>Test condition: VIN=8.4V, VOUT=18V, IOUT=4A</t>
  </si>
  <si>
    <t>Test condition: VIN=12V, VOUT=18V, IOUT=6A</t>
  </si>
  <si>
    <t>Bode Plot Correlation on Bench (based on EVM)</t>
  </si>
  <si>
    <t>Efficiency Correlation on Bench (based on EVM)</t>
  </si>
  <si>
    <t>VIN</t>
  </si>
  <si>
    <t>VOUT</t>
  </si>
  <si>
    <t>IOUT</t>
  </si>
  <si>
    <t>EFF_Cal</t>
  </si>
  <si>
    <t>EFF_test</t>
  </si>
  <si>
    <r>
      <t xml:space="preserve"> I</t>
    </r>
    <r>
      <rPr>
        <vertAlign val="subscript"/>
        <sz val="11"/>
        <color theme="1"/>
        <rFont val="Calibri"/>
        <family val="2"/>
        <scheme val="minor"/>
      </rPr>
      <t>OUT_act_max</t>
    </r>
  </si>
  <si>
    <r>
      <t>V</t>
    </r>
    <r>
      <rPr>
        <vertAlign val="subscript"/>
        <sz val="11"/>
        <color theme="1"/>
        <rFont val="Calibri"/>
        <family val="2"/>
        <scheme val="minor"/>
      </rPr>
      <t>OUT</t>
    </r>
  </si>
  <si>
    <r>
      <t>V</t>
    </r>
    <r>
      <rPr>
        <vertAlign val="subscript"/>
        <sz val="11"/>
        <color theme="1"/>
        <rFont val="Calibri"/>
        <family val="2"/>
        <scheme val="minor"/>
      </rPr>
      <t>IN_min</t>
    </r>
  </si>
  <si>
    <t>°C/W</t>
  </si>
  <si>
    <t>IC junction temperature rise</t>
  </si>
  <si>
    <t>°C</t>
  </si>
  <si>
    <r>
      <t>Low-side MOSFET Junction-to-ambient thermal resistance, R</t>
    </r>
    <r>
      <rPr>
        <vertAlign val="subscript"/>
        <sz val="11"/>
        <rFont val="Calibri"/>
        <family val="2"/>
      </rPr>
      <t>Ɵ</t>
    </r>
    <r>
      <rPr>
        <vertAlign val="subscript"/>
        <sz val="11"/>
        <rFont val="Calibri"/>
        <family val="2"/>
        <scheme val="minor"/>
      </rPr>
      <t>JA</t>
    </r>
    <r>
      <rPr>
        <sz val="11"/>
        <rFont val="Calibri"/>
        <family val="2"/>
      </rPr>
      <t>_FET</t>
    </r>
  </si>
  <si>
    <r>
      <t>IC Junction-to-ambient thermal resistance, R</t>
    </r>
    <r>
      <rPr>
        <vertAlign val="subscript"/>
        <sz val="11"/>
        <rFont val="Calibri"/>
        <family val="2"/>
      </rPr>
      <t>Ɵ</t>
    </r>
    <r>
      <rPr>
        <vertAlign val="subscript"/>
        <sz val="11"/>
        <rFont val="Calibri"/>
        <family val="2"/>
        <scheme val="minor"/>
      </rPr>
      <t>JA_IC</t>
    </r>
  </si>
  <si>
    <t>Low-side MOSFET junction temperature rise</t>
  </si>
  <si>
    <r>
      <t>IC  power loss, P</t>
    </r>
    <r>
      <rPr>
        <b/>
        <vertAlign val="subscript"/>
        <sz val="11"/>
        <color theme="5"/>
        <rFont val="Calibri"/>
        <family val="2"/>
        <scheme val="minor"/>
      </rPr>
      <t>loss_IC</t>
    </r>
  </si>
  <si>
    <r>
      <t>Low-side MOSFET  power loss, P</t>
    </r>
    <r>
      <rPr>
        <b/>
        <vertAlign val="subscript"/>
        <sz val="11"/>
        <color theme="5"/>
        <rFont val="Calibri"/>
        <family val="2"/>
        <scheme val="minor"/>
      </rPr>
      <t>loss_LS_FET</t>
    </r>
  </si>
  <si>
    <r>
      <t>Calculated efficiency on PWM@V</t>
    </r>
    <r>
      <rPr>
        <b/>
        <vertAlign val="subscript"/>
        <sz val="11"/>
        <color theme="5"/>
        <rFont val="Calibri"/>
        <family val="2"/>
      </rPr>
      <t>IN_nom</t>
    </r>
    <r>
      <rPr>
        <b/>
        <sz val="11"/>
        <color theme="5"/>
        <rFont val="Calibri"/>
        <family val="2"/>
      </rPr>
      <t>, V</t>
    </r>
    <r>
      <rPr>
        <b/>
        <vertAlign val="subscript"/>
        <sz val="11"/>
        <color theme="5"/>
        <rFont val="Calibri"/>
        <family val="2"/>
      </rPr>
      <t>OUT</t>
    </r>
    <r>
      <rPr>
        <b/>
        <sz val="11"/>
        <color theme="5"/>
        <rFont val="Calibri"/>
        <family val="2"/>
      </rPr>
      <t>, I</t>
    </r>
    <r>
      <rPr>
        <b/>
        <vertAlign val="subscript"/>
        <sz val="11"/>
        <color theme="5"/>
        <rFont val="Calibri"/>
        <family val="2"/>
      </rPr>
      <t>OUT_MAX</t>
    </r>
    <r>
      <rPr>
        <b/>
        <sz val="11"/>
        <color theme="5"/>
        <rFont val="Calibri"/>
        <family val="2"/>
      </rPr>
      <t>, η</t>
    </r>
    <r>
      <rPr>
        <b/>
        <vertAlign val="subscript"/>
        <sz val="11"/>
        <color theme="5"/>
        <rFont val="Calibri"/>
        <family val="2"/>
      </rPr>
      <t>cal</t>
    </r>
  </si>
  <si>
    <r>
      <t>Calculated low side gate turn off time, t</t>
    </r>
    <r>
      <rPr>
        <b/>
        <vertAlign val="subscript"/>
        <sz val="11"/>
        <color theme="5"/>
        <rFont val="Calibri"/>
        <family val="2"/>
        <scheme val="minor"/>
      </rPr>
      <t>off_gate</t>
    </r>
    <r>
      <rPr>
        <b/>
        <sz val="11"/>
        <color theme="5"/>
        <rFont val="Calibri"/>
        <family val="2"/>
        <scheme val="minor"/>
      </rPr>
      <t xml:space="preserve"> (should be smaller than deadtime t</t>
    </r>
    <r>
      <rPr>
        <b/>
        <vertAlign val="subscript"/>
        <sz val="11"/>
        <color theme="5"/>
        <rFont val="Calibri"/>
        <family val="2"/>
        <scheme val="minor"/>
      </rPr>
      <t>DLH</t>
    </r>
    <r>
      <rPr>
        <b/>
        <sz val="11"/>
        <color theme="5"/>
        <rFont val="Calibri"/>
        <family val="2"/>
        <scheme val="minor"/>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</si>
</sst>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00"/>
    <numFmt numFmtId="166" formatCode="###,###,###,###"/>
  </numFmts>
  <fonts count="56" x14ac:knownFonts="1">
    <font>
      <sz val="11"/>
      <color theme="1"/>
      <name val="Calibri"/>
      <family val="2"/>
      <scheme val="minor"/>
    </font>
    <font>
      <b/>
      <sz val="11"/>
      <color theme="0"/>
      <name val="Calibri"/>
      <family val="2"/>
      <scheme val="minor"/>
    </font>
    <font>
      <sz val="11"/>
      <color rgb="FFFF0000"/>
      <name val="Calibri"/>
      <family val="2"/>
      <scheme val="minor"/>
    </font>
    <font>
      <b/>
      <sz val="11"/>
      <color theme="1"/>
      <name val="Calibri"/>
      <family val="2"/>
      <scheme val="minor"/>
    </font>
    <font>
      <sz val="26"/>
      <color theme="0"/>
      <name val="Calibri"/>
      <family val="2"/>
      <scheme val="minor"/>
    </font>
    <font>
      <sz val="18"/>
      <color theme="3" tint="0.39997558519241921"/>
      <name val="Calibri"/>
      <family val="2"/>
      <scheme val="minor"/>
    </font>
    <font>
      <b/>
      <sz val="12"/>
      <color theme="0"/>
      <name val="Calibri"/>
      <family val="2"/>
      <scheme val="minor"/>
    </font>
    <font>
      <sz val="9"/>
      <color indexed="81"/>
      <name val="Tahoma"/>
      <family val="2"/>
    </font>
    <font>
      <b/>
      <sz val="9"/>
      <color indexed="81"/>
      <name val="Tahoma"/>
      <family val="2"/>
    </font>
    <font>
      <b/>
      <sz val="12"/>
      <color rgb="FF0025C0"/>
      <name val="Arial"/>
      <family val="2"/>
    </font>
    <font>
      <vertAlign val="subscript"/>
      <sz val="11"/>
      <color theme="1"/>
      <name val="Calibri"/>
      <family val="2"/>
      <scheme val="minor"/>
    </font>
    <font>
      <sz val="11"/>
      <color theme="1"/>
      <name val="Calibri"/>
      <family val="2"/>
    </font>
    <font>
      <b/>
      <sz val="11"/>
      <color theme="5"/>
      <name val="Calibri"/>
      <family val="2"/>
      <scheme val="minor"/>
    </font>
    <font>
      <sz val="9"/>
      <color indexed="10"/>
      <name val="Tahoma"/>
      <family val="2"/>
    </font>
    <font>
      <b/>
      <sz val="11"/>
      <color rgb="FF0000FF"/>
      <name val="Calibri"/>
      <family val="2"/>
      <scheme val="minor"/>
    </font>
    <font>
      <sz val="11"/>
      <name val="Calibri"/>
      <family val="2"/>
      <scheme val="minor"/>
    </font>
    <font>
      <sz val="11"/>
      <name val="Calibri"/>
      <family val="2"/>
    </font>
    <font>
      <b/>
      <sz val="11"/>
      <color theme="1"/>
      <name val="Arial"/>
      <family val="2"/>
    </font>
    <font>
      <b/>
      <sz val="14"/>
      <color theme="0"/>
      <name val="Calibri"/>
      <family val="2"/>
      <scheme val="minor"/>
    </font>
    <font>
      <b/>
      <vertAlign val="subscript"/>
      <sz val="11"/>
      <color theme="5"/>
      <name val="Calibri"/>
      <family val="2"/>
      <scheme val="minor"/>
    </font>
    <font>
      <vertAlign val="subscript"/>
      <sz val="9"/>
      <color indexed="10"/>
      <name val="Tahoma"/>
      <family val="2"/>
    </font>
    <font>
      <b/>
      <sz val="14"/>
      <color rgb="FFFFFF00"/>
      <name val="Calibri"/>
      <family val="2"/>
      <scheme val="minor"/>
    </font>
    <font>
      <b/>
      <vertAlign val="subscript"/>
      <sz val="9"/>
      <color indexed="81"/>
      <name val="Tahoma"/>
      <family val="2"/>
    </font>
    <font>
      <vertAlign val="subscript"/>
      <sz val="9"/>
      <color indexed="81"/>
      <name val="Tahoma"/>
      <family val="2"/>
    </font>
    <font>
      <b/>
      <u/>
      <sz val="11"/>
      <color rgb="FF0000FF"/>
      <name val="Calibri"/>
      <family val="2"/>
      <scheme val="minor"/>
    </font>
    <font>
      <b/>
      <sz val="16"/>
      <color theme="0"/>
      <name val="Calibri"/>
      <family val="2"/>
      <scheme val="minor"/>
    </font>
    <font>
      <sz val="16"/>
      <color theme="0"/>
      <name val="Calibri"/>
      <family val="2"/>
      <scheme val="minor"/>
    </font>
    <font>
      <sz val="10"/>
      <color theme="0"/>
      <name val="Calibri"/>
      <family val="2"/>
      <scheme val="minor"/>
    </font>
    <font>
      <b/>
      <sz val="14"/>
      <color theme="5"/>
      <name val="Calibri"/>
      <family val="2"/>
      <scheme val="minor"/>
    </font>
    <font>
      <sz val="10"/>
      <name val="Arial"/>
      <family val="2"/>
    </font>
    <font>
      <sz val="11"/>
      <color theme="0"/>
      <name val="Calibri"/>
      <family val="2"/>
      <scheme val="minor"/>
    </font>
    <font>
      <vertAlign val="subscript"/>
      <sz val="11"/>
      <color theme="5"/>
      <name val="Calibri"/>
      <family val="2"/>
      <scheme val="minor"/>
    </font>
    <font>
      <vertAlign val="subscript"/>
      <sz val="11"/>
      <color theme="1"/>
      <name val="Calibri"/>
      <family val="2"/>
    </font>
    <font>
      <b/>
      <sz val="14"/>
      <color theme="9" tint="0.39997558519241921"/>
      <name val="Calibri"/>
      <family val="2"/>
      <scheme val="minor"/>
    </font>
    <font>
      <vertAlign val="subscript"/>
      <sz val="11"/>
      <name val="Calibri"/>
      <family val="2"/>
      <scheme val="minor"/>
    </font>
    <font>
      <vertAlign val="subscript"/>
      <sz val="11"/>
      <name val="Calibri"/>
      <family val="2"/>
    </font>
    <font>
      <sz val="12"/>
      <color theme="1"/>
      <name val="Calibri"/>
      <family val="2"/>
      <scheme val="minor"/>
    </font>
    <font>
      <sz val="10"/>
      <color theme="1"/>
      <name val="Arial"/>
      <family val="2"/>
    </font>
    <font>
      <sz val="11"/>
      <color theme="1"/>
      <name val="Arial"/>
      <family val="2"/>
    </font>
    <font>
      <b/>
      <sz val="10"/>
      <color theme="1"/>
      <name val="Arial"/>
      <family val="2"/>
    </font>
    <font>
      <u/>
      <sz val="11"/>
      <color theme="10"/>
      <name val="Calibri"/>
      <family val="2"/>
      <scheme val="minor"/>
    </font>
    <font>
      <b/>
      <u/>
      <sz val="10"/>
      <color theme="10"/>
      <name val="Arial"/>
      <family val="2"/>
    </font>
    <font>
      <b/>
      <sz val="10"/>
      <color theme="0"/>
      <name val="Arial"/>
      <family val="2"/>
    </font>
    <font>
      <b/>
      <u/>
      <sz val="11"/>
      <color theme="10"/>
      <name val="Arial"/>
      <family val="2"/>
    </font>
    <font>
      <b/>
      <sz val="11"/>
      <color rgb="FF00B050"/>
      <name val="Calibri"/>
      <family val="2"/>
      <scheme val="minor"/>
    </font>
    <font>
      <b/>
      <sz val="12"/>
      <color theme="1"/>
      <name val="Calibri"/>
      <family val="2"/>
      <scheme val="minor"/>
    </font>
    <font>
      <sz val="11"/>
      <color rgb="FF0000CC"/>
      <name val="Calibri"/>
      <family val="2"/>
      <scheme val="minor"/>
    </font>
    <font>
      <sz val="11"/>
      <color theme="2" tint="-0.89999084444715716"/>
      <name val="Calibri"/>
      <family val="2"/>
      <scheme val="minor"/>
    </font>
    <font>
      <sz val="10"/>
      <color theme="2" tint="-0.89999084444715716"/>
      <name val="Arial"/>
      <family val="2"/>
    </font>
    <font>
      <b/>
      <sz val="11"/>
      <color theme="2" tint="-0.89999084444715716"/>
      <name val="Calibri"/>
      <family val="2"/>
      <scheme val="minor"/>
    </font>
    <font>
      <sz val="11"/>
      <name val="Arial"/>
      <family val="2"/>
    </font>
    <font>
      <vertAlign val="subscript"/>
      <sz val="11"/>
      <color theme="2" tint="-0.89999084444715716"/>
      <name val="Calibri"/>
      <family val="2"/>
      <scheme val="minor"/>
    </font>
    <font>
      <vertAlign val="subscript"/>
      <sz val="11"/>
      <color theme="2" tint="-0.89996032593768116"/>
      <name val="Calibri"/>
      <family val="2"/>
      <scheme val="minor"/>
    </font>
    <font>
      <b/>
      <sz val="9"/>
      <color indexed="81"/>
      <name val="Tahoma"/>
      <charset val="1"/>
    </font>
    <font>
      <b/>
      <sz val="11"/>
      <color theme="5"/>
      <name val="Calibri"/>
      <family val="2"/>
    </font>
    <font>
      <b/>
      <vertAlign val="subscript"/>
      <sz val="11"/>
      <color theme="5"/>
      <name val="Calibri"/>
      <family val="2"/>
    </font>
  </fonts>
  <fills count="19">
    <fill>
      <patternFill patternType="none"/>
    </fill>
    <fill>
      <patternFill patternType="gray125"/>
    </fill>
    <fill>
      <patternFill patternType="solid">
        <fgColor rgb="FFFF0000"/>
        <bgColor indexed="64"/>
      </patternFill>
    </fill>
    <fill>
      <patternFill patternType="solid">
        <fgColor theme="0" tint="-0.34998626667073579"/>
        <bgColor indexed="64"/>
      </patternFill>
    </fill>
    <fill>
      <patternFill patternType="solid">
        <fgColor rgb="FFFFFF00"/>
        <bgColor indexed="64"/>
      </patternFill>
    </fill>
    <fill>
      <patternFill patternType="solid">
        <fgColor theme="4" tint="0.59999389629810485"/>
        <bgColor indexed="64"/>
      </patternFill>
    </fill>
    <fill>
      <patternFill patternType="solid">
        <fgColor theme="0"/>
        <bgColor indexed="64"/>
      </patternFill>
    </fill>
    <fill>
      <patternFill patternType="solid">
        <fgColor theme="7"/>
        <bgColor indexed="64"/>
      </patternFill>
    </fill>
    <fill>
      <patternFill patternType="solid">
        <fgColor theme="7" tint="0.79998168889431442"/>
        <bgColor indexed="64"/>
      </patternFill>
    </fill>
    <fill>
      <patternFill patternType="solid">
        <fgColor rgb="FF00B050"/>
        <bgColor indexed="64"/>
      </patternFill>
    </fill>
    <fill>
      <patternFill patternType="solid">
        <fgColor theme="8" tint="0.79998168889431442"/>
        <bgColor indexed="64"/>
      </patternFill>
    </fill>
    <fill>
      <patternFill patternType="solid">
        <fgColor rgb="FF0070C0"/>
        <bgColor indexed="64"/>
      </patternFill>
    </fill>
    <fill>
      <patternFill patternType="solid">
        <fgColor theme="9" tint="0.39997558519241921"/>
        <bgColor indexed="64"/>
      </patternFill>
    </fill>
    <fill>
      <patternFill patternType="solid">
        <fgColor theme="5" tint="0.79998168889431442"/>
        <bgColor indexed="64"/>
      </patternFill>
    </fill>
    <fill>
      <patternFill patternType="solid">
        <fgColor rgb="FFC00000"/>
        <bgColor indexed="64"/>
      </patternFill>
    </fill>
    <fill>
      <patternFill patternType="solid">
        <fgColor rgb="FFDE0000"/>
        <bgColor indexed="64"/>
      </patternFill>
    </fill>
    <fill>
      <patternFill patternType="solid">
        <fgColor theme="1"/>
        <bgColor indexed="64"/>
      </patternFill>
    </fill>
    <fill>
      <patternFill patternType="solid">
        <fgColor theme="5" tint="0.59999389629810485"/>
        <bgColor indexed="64"/>
      </patternFill>
    </fill>
    <fill>
      <patternFill patternType="solid">
        <fgColor theme="9" tint="0.59999389629810485"/>
        <bgColor indexed="64"/>
      </patternFill>
    </fill>
  </fills>
  <borders count="75">
    <border>
      <left/>
      <right/>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indexed="64"/>
      </right>
      <top style="thin">
        <color theme="0"/>
      </top>
      <bottom style="thin">
        <color theme="0"/>
      </bottom>
      <diagonal/>
    </border>
    <border>
      <left style="thin">
        <color indexed="64"/>
      </left>
      <right style="thin">
        <color theme="0"/>
      </right>
      <top style="thin">
        <color indexed="64"/>
      </top>
      <bottom style="thin">
        <color theme="0"/>
      </bottom>
      <diagonal/>
    </border>
    <border>
      <left style="thin">
        <color theme="0"/>
      </left>
      <right style="thin">
        <color theme="0"/>
      </right>
      <top style="thin">
        <color indexed="64"/>
      </top>
      <bottom style="thin">
        <color theme="0"/>
      </bottom>
      <diagonal/>
    </border>
    <border>
      <left style="thin">
        <color theme="0"/>
      </left>
      <right style="thin">
        <color indexed="64"/>
      </right>
      <top style="thin">
        <color indexed="64"/>
      </top>
      <bottom style="thin">
        <color theme="0"/>
      </bottom>
      <diagonal/>
    </border>
    <border>
      <left style="thin">
        <color indexed="64"/>
      </left>
      <right style="thin">
        <color theme="0"/>
      </right>
      <top style="thin">
        <color theme="0"/>
      </top>
      <bottom style="thin">
        <color theme="0"/>
      </bottom>
      <diagonal/>
    </border>
    <border>
      <left style="thin">
        <color indexed="64"/>
      </left>
      <right style="thin">
        <color theme="0"/>
      </right>
      <top style="thin">
        <color theme="0"/>
      </top>
      <bottom style="thin">
        <color indexed="64"/>
      </bottom>
      <diagonal/>
    </border>
    <border>
      <left style="thin">
        <color theme="0"/>
      </left>
      <right style="thin">
        <color theme="0"/>
      </right>
      <top style="thin">
        <color theme="0"/>
      </top>
      <bottom style="thin">
        <color indexed="64"/>
      </bottom>
      <diagonal/>
    </border>
    <border>
      <left style="thin">
        <color theme="0"/>
      </left>
      <right style="thin">
        <color indexed="64"/>
      </right>
      <top style="thin">
        <color theme="0"/>
      </top>
      <bottom style="thin">
        <color indexed="64"/>
      </bottom>
      <diagonal/>
    </border>
    <border>
      <left/>
      <right style="thin">
        <color theme="0"/>
      </right>
      <top style="thin">
        <color theme="0"/>
      </top>
      <bottom style="thin">
        <color theme="0"/>
      </bottom>
      <diagonal/>
    </border>
    <border>
      <left/>
      <right style="thin">
        <color theme="0"/>
      </right>
      <top style="thin">
        <color theme="0"/>
      </top>
      <bottom style="thin">
        <color indexed="64"/>
      </bottom>
      <diagonal/>
    </border>
    <border>
      <left/>
      <right style="thin">
        <color theme="0"/>
      </right>
      <top/>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right style="thin">
        <color theme="0"/>
      </right>
      <top style="thin">
        <color theme="0"/>
      </top>
      <bottom/>
      <diagonal/>
    </border>
    <border>
      <left style="thin">
        <color theme="0"/>
      </left>
      <right/>
      <top style="thin">
        <color theme="0"/>
      </top>
      <bottom style="thin">
        <color theme="0"/>
      </bottom>
      <diagonal/>
    </border>
    <border>
      <left style="thin">
        <color indexed="64"/>
      </left>
      <right style="thin">
        <color indexed="64"/>
      </right>
      <top style="thin">
        <color indexed="64"/>
      </top>
      <bottom style="thin">
        <color theme="0"/>
      </bottom>
      <diagonal/>
    </border>
    <border>
      <left style="thin">
        <color indexed="64"/>
      </left>
      <right style="thin">
        <color indexed="64"/>
      </right>
      <top style="thin">
        <color theme="0"/>
      </top>
      <bottom style="thin">
        <color theme="0"/>
      </bottom>
      <diagonal/>
    </border>
    <border>
      <left style="thin">
        <color indexed="64"/>
      </left>
      <right style="thin">
        <color indexed="64"/>
      </right>
      <top style="thin">
        <color theme="0"/>
      </top>
      <bottom style="thin">
        <color indexed="64"/>
      </bottom>
      <diagonal/>
    </border>
    <border>
      <left style="thin">
        <color theme="0"/>
      </left>
      <right style="thin">
        <color indexed="64"/>
      </right>
      <top style="thin">
        <color theme="0"/>
      </top>
      <bottom/>
      <diagonal/>
    </border>
    <border>
      <left style="thin">
        <color theme="0"/>
      </left>
      <right style="thin">
        <color indexed="64"/>
      </right>
      <top/>
      <bottom style="thin">
        <color theme="0"/>
      </bottom>
      <diagonal/>
    </border>
    <border>
      <left style="thin">
        <color theme="0"/>
      </left>
      <right/>
      <top style="thin">
        <color theme="0"/>
      </top>
      <bottom style="thin">
        <color indexed="64"/>
      </bottom>
      <diagonal/>
    </border>
    <border>
      <left style="thin">
        <color indexed="64"/>
      </left>
      <right style="thin">
        <color theme="0"/>
      </right>
      <top style="thin">
        <color theme="0"/>
      </top>
      <bottom/>
      <diagonal/>
    </border>
    <border>
      <left style="thin">
        <color theme="0"/>
      </left>
      <right/>
      <top/>
      <bottom/>
      <diagonal/>
    </border>
    <border>
      <left/>
      <right/>
      <top style="thin">
        <color theme="0"/>
      </top>
      <bottom style="thin">
        <color theme="0"/>
      </bottom>
      <diagonal/>
    </border>
    <border>
      <left/>
      <right/>
      <top style="thin">
        <color theme="0"/>
      </top>
      <bottom/>
      <diagonal/>
    </border>
    <border>
      <left/>
      <right style="thin">
        <color theme="0"/>
      </right>
      <top/>
      <bottom style="thin">
        <color theme="0"/>
      </bottom>
      <diagonal/>
    </border>
    <border>
      <left style="thin">
        <color indexed="64"/>
      </left>
      <right style="thin">
        <color theme="0"/>
      </right>
      <top/>
      <bottom style="thin">
        <color theme="0"/>
      </bottom>
      <diagonal/>
    </border>
    <border>
      <left style="thin">
        <color indexed="64"/>
      </left>
      <right/>
      <top/>
      <bottom style="thin">
        <color theme="0"/>
      </bottom>
      <diagonal/>
    </border>
    <border>
      <left style="thin">
        <color theme="0"/>
      </left>
      <right/>
      <top style="thin">
        <color theme="0"/>
      </top>
      <bottom/>
      <diagonal/>
    </border>
    <border>
      <left style="thin">
        <color theme="0"/>
      </left>
      <right/>
      <top/>
      <bottom style="thin">
        <color theme="0"/>
      </bottom>
      <diagonal/>
    </border>
    <border>
      <left style="thin">
        <color theme="0"/>
      </left>
      <right style="thin">
        <color theme="0"/>
      </right>
      <top/>
      <bottom/>
      <diagonal/>
    </border>
    <border>
      <left/>
      <right/>
      <top/>
      <bottom style="thin">
        <color theme="0"/>
      </bottom>
      <diagonal/>
    </border>
    <border>
      <left style="thin">
        <color indexed="64"/>
      </left>
      <right/>
      <top style="thin">
        <color indexed="64"/>
      </top>
      <bottom style="thin">
        <color theme="0"/>
      </bottom>
      <diagonal/>
    </border>
    <border>
      <left/>
      <right style="thin">
        <color indexed="64"/>
      </right>
      <top/>
      <bottom style="thin">
        <color theme="0"/>
      </bottom>
      <diagonal/>
    </border>
    <border>
      <left style="thin">
        <color theme="0"/>
      </left>
      <right style="thin">
        <color theme="0"/>
      </right>
      <top/>
      <bottom style="thin">
        <color indexed="64"/>
      </bottom>
      <diagonal/>
    </border>
    <border>
      <left style="thin">
        <color indexed="64"/>
      </left>
      <right style="thin">
        <color theme="0"/>
      </right>
      <top/>
      <bottom/>
      <diagonal/>
    </border>
    <border>
      <left style="thin">
        <color indexed="64"/>
      </left>
      <right style="thin">
        <color indexed="64"/>
      </right>
      <top/>
      <bottom style="thin">
        <color theme="0"/>
      </bottom>
      <diagonal/>
    </border>
    <border>
      <left style="thin">
        <color theme="0"/>
      </left>
      <right style="thin">
        <color indexed="64"/>
      </right>
      <top/>
      <bottom/>
      <diagonal/>
    </border>
    <border>
      <left/>
      <right style="thin">
        <color indexed="64"/>
      </right>
      <top style="thin">
        <color theme="0"/>
      </top>
      <bottom/>
      <diagonal/>
    </border>
  </borders>
  <cellStyleXfs count="4">
    <xf numFmtId="0" fontId="0" fillId="0" borderId="0"/>
    <xf numFmtId="0" fontId="29" fillId="0" borderId="0"/>
    <xf numFmtId="0" fontId="29" fillId="0" borderId="0"/>
    <xf numFmtId="0" fontId="40" fillId="0" borderId="0" applyNumberFormat="0" applyFill="0" applyBorder="0" applyAlignment="0" applyProtection="0"/>
  </cellStyleXfs>
  <cellXfs count="333">
    <xf numFmtId="0" fontId="0" fillId="0" borderId="0" xfId="0"/>
    <xf numFmtId="0" fontId="0" fillId="3" borderId="0" xfId="0" applyFill="1"/>
    <xf numFmtId="0" fontId="5" fillId="4" borderId="1" xfId="0" applyFont="1" applyFill="1" applyBorder="1" applyAlignment="1">
      <alignment vertical="center"/>
    </xf>
    <xf numFmtId="0" fontId="1" fillId="3" borderId="0" xfId="0" applyFont="1" applyFill="1" applyAlignment="1">
      <alignment horizontal="right" vertical="center"/>
    </xf>
    <xf numFmtId="0" fontId="6" fillId="3" borderId="0" xfId="0" applyFont="1" applyFill="1" applyAlignment="1">
      <alignment horizontal="right" vertical="center"/>
    </xf>
    <xf numFmtId="0" fontId="0" fillId="5" borderId="0" xfId="0" applyFill="1"/>
    <xf numFmtId="0" fontId="0" fillId="6" borderId="0" xfId="0" applyFill="1"/>
    <xf numFmtId="0" fontId="0" fillId="0" borderId="5" xfId="0" applyBorder="1"/>
    <xf numFmtId="0" fontId="0" fillId="0" borderId="5" xfId="0" applyBorder="1" applyAlignment="1">
      <alignment horizontal="right" vertical="center"/>
    </xf>
    <xf numFmtId="0" fontId="12" fillId="6" borderId="5" xfId="0" applyFont="1" applyFill="1" applyBorder="1" applyAlignment="1">
      <alignment horizontal="right" vertical="center"/>
    </xf>
    <xf numFmtId="0" fontId="0" fillId="4" borderId="5" xfId="0" applyFill="1" applyBorder="1" applyAlignment="1" applyProtection="1">
      <alignment vertical="center"/>
      <protection locked="0"/>
    </xf>
    <xf numFmtId="0" fontId="0" fillId="0" borderId="5" xfId="0" applyBorder="1" applyAlignment="1">
      <alignment vertical="center"/>
    </xf>
    <xf numFmtId="0" fontId="0" fillId="0" borderId="5" xfId="0" quotePrefix="1" applyBorder="1" applyAlignment="1">
      <alignment vertical="center"/>
    </xf>
    <xf numFmtId="0" fontId="0" fillId="0" borderId="6" xfId="0" applyBorder="1" applyAlignment="1">
      <alignment vertical="center"/>
    </xf>
    <xf numFmtId="0" fontId="0" fillId="0" borderId="5" xfId="0" applyBorder="1" applyAlignment="1">
      <alignment horizontal="left" vertical="center"/>
    </xf>
    <xf numFmtId="0" fontId="11" fillId="0" borderId="5" xfId="0" applyFont="1" applyBorder="1" applyAlignment="1">
      <alignment vertical="center"/>
    </xf>
    <xf numFmtId="0" fontId="17" fillId="6" borderId="5" xfId="0" applyFont="1" applyFill="1" applyBorder="1" applyAlignment="1">
      <alignment horizontal="right" vertical="center"/>
    </xf>
    <xf numFmtId="0" fontId="17" fillId="6" borderId="5" xfId="0" applyFont="1" applyFill="1" applyBorder="1" applyAlignment="1">
      <alignment horizontal="left" vertical="center"/>
    </xf>
    <xf numFmtId="0" fontId="0" fillId="6" borderId="0" xfId="0" applyFill="1" applyAlignment="1">
      <alignment vertical="center"/>
    </xf>
    <xf numFmtId="0" fontId="12" fillId="6" borderId="0" xfId="0" applyFont="1" applyFill="1" applyAlignment="1">
      <alignment horizontal="right" vertical="center"/>
    </xf>
    <xf numFmtId="2" fontId="0" fillId="6" borderId="0" xfId="0" applyNumberFormat="1" applyFill="1" applyAlignment="1">
      <alignment vertical="center"/>
    </xf>
    <xf numFmtId="0" fontId="0" fillId="0" borderId="0" xfId="0" applyAlignment="1">
      <alignment horizontal="left" vertical="center"/>
    </xf>
    <xf numFmtId="0" fontId="0" fillId="0" borderId="5" xfId="0" applyBorder="1" applyAlignment="1">
      <alignment horizontal="center" vertical="center"/>
    </xf>
    <xf numFmtId="0" fontId="0" fillId="8" borderId="5" xfId="0" applyFill="1" applyBorder="1" applyAlignment="1">
      <alignment horizontal="left" vertical="center"/>
    </xf>
    <xf numFmtId="0" fontId="0" fillId="10" borderId="5" xfId="0" applyFill="1" applyBorder="1" applyAlignment="1">
      <alignment horizontal="left" vertical="center"/>
    </xf>
    <xf numFmtId="0" fontId="0" fillId="0" borderId="10" xfId="0" applyBorder="1" applyAlignment="1">
      <alignment horizontal="center" vertical="center"/>
    </xf>
    <xf numFmtId="0" fontId="0" fillId="0" borderId="10" xfId="0" applyBorder="1" applyAlignment="1">
      <alignment horizontal="right" vertical="center"/>
    </xf>
    <xf numFmtId="0" fontId="0" fillId="0" borderId="13" xfId="0" applyBorder="1" applyAlignment="1">
      <alignment vertical="center"/>
    </xf>
    <xf numFmtId="0" fontId="0" fillId="0" borderId="15" xfId="0" applyBorder="1" applyAlignment="1">
      <alignment horizontal="center" vertical="center"/>
    </xf>
    <xf numFmtId="0" fontId="0" fillId="0" borderId="15" xfId="0" applyBorder="1" applyAlignment="1">
      <alignment horizontal="right" vertical="center"/>
    </xf>
    <xf numFmtId="0" fontId="0" fillId="0" borderId="16" xfId="0" applyBorder="1" applyAlignment="1">
      <alignment vertical="center"/>
    </xf>
    <xf numFmtId="0" fontId="0" fillId="0" borderId="11" xfId="0" applyBorder="1" applyAlignment="1">
      <alignment vertical="center"/>
    </xf>
    <xf numFmtId="0" fontId="0" fillId="0" borderId="10" xfId="0" applyBorder="1"/>
    <xf numFmtId="0" fontId="0" fillId="0" borderId="15" xfId="0" applyBorder="1"/>
    <xf numFmtId="0" fontId="0" fillId="0" borderId="16" xfId="0" applyBorder="1"/>
    <xf numFmtId="0" fontId="11" fillId="0" borderId="13" xfId="0" applyFont="1" applyBorder="1"/>
    <xf numFmtId="166" fontId="0" fillId="0" borderId="5" xfId="0" applyNumberFormat="1" applyBorder="1" applyAlignment="1">
      <alignment horizontal="left" vertical="center"/>
    </xf>
    <xf numFmtId="0" fontId="25" fillId="0" borderId="0" xfId="0" applyFont="1" applyAlignment="1">
      <alignment horizontal="center" vertical="center"/>
    </xf>
    <xf numFmtId="0" fontId="26" fillId="0" borderId="0" xfId="0" applyFont="1" applyAlignment="1">
      <alignment horizontal="center" vertical="center"/>
    </xf>
    <xf numFmtId="0" fontId="12" fillId="6" borderId="5" xfId="0" applyFont="1" applyFill="1" applyBorder="1" applyAlignment="1">
      <alignment horizontal="center" vertical="center"/>
    </xf>
    <xf numFmtId="0" fontId="12" fillId="6" borderId="10" xfId="0" applyFont="1" applyFill="1" applyBorder="1" applyAlignment="1">
      <alignment horizontal="center" vertical="center"/>
    </xf>
    <xf numFmtId="0" fontId="0" fillId="0" borderId="19" xfId="0" applyBorder="1" applyAlignment="1">
      <alignment vertical="center"/>
    </xf>
    <xf numFmtId="0" fontId="12" fillId="6" borderId="15" xfId="0" applyFont="1" applyFill="1" applyBorder="1" applyAlignment="1">
      <alignment horizontal="center" vertical="center"/>
    </xf>
    <xf numFmtId="0" fontId="3" fillId="7" borderId="8" xfId="0" applyFont="1" applyFill="1" applyBorder="1"/>
    <xf numFmtId="0" fontId="25" fillId="0" borderId="0" xfId="0" applyFont="1" applyAlignment="1">
      <alignment vertical="center"/>
    </xf>
    <xf numFmtId="0" fontId="0" fillId="6" borderId="0" xfId="0" applyFill="1" applyAlignment="1">
      <alignment horizontal="left"/>
    </xf>
    <xf numFmtId="0" fontId="0" fillId="0" borderId="0" xfId="0" applyAlignment="1">
      <alignment horizontal="left"/>
    </xf>
    <xf numFmtId="0" fontId="0" fillId="0" borderId="5" xfId="0" quotePrefix="1" applyBorder="1" applyAlignment="1">
      <alignment horizontal="left" vertical="center"/>
    </xf>
    <xf numFmtId="0" fontId="0" fillId="4" borderId="5" xfId="0" applyFill="1" applyBorder="1" applyAlignment="1">
      <alignment horizontal="right" vertical="center"/>
    </xf>
    <xf numFmtId="0" fontId="3" fillId="5" borderId="17" xfId="0" applyFont="1" applyFill="1" applyBorder="1" applyAlignment="1">
      <alignment horizontal="center" vertical="center"/>
    </xf>
    <xf numFmtId="0" fontId="3" fillId="5" borderId="18" xfId="0" applyFont="1" applyFill="1" applyBorder="1" applyAlignment="1">
      <alignment horizontal="center" vertical="center"/>
    </xf>
    <xf numFmtId="0" fontId="3" fillId="5" borderId="18" xfId="0" applyFont="1" applyFill="1" applyBorder="1" applyAlignment="1">
      <alignment horizontal="right" vertical="center"/>
    </xf>
    <xf numFmtId="0" fontId="3" fillId="5" borderId="19" xfId="0" applyFont="1" applyFill="1" applyBorder="1" applyAlignment="1">
      <alignment horizontal="left" vertical="center"/>
    </xf>
    <xf numFmtId="0" fontId="30" fillId="0" borderId="0" xfId="0" applyFont="1" applyAlignment="1">
      <alignment horizontal="center" vertical="center"/>
    </xf>
    <xf numFmtId="0" fontId="11" fillId="0" borderId="5" xfId="0" applyFont="1" applyBorder="1" applyAlignment="1">
      <alignment horizontal="left" vertical="center"/>
    </xf>
    <xf numFmtId="0" fontId="25" fillId="12" borderId="22" xfId="0" applyFont="1" applyFill="1" applyBorder="1" applyAlignment="1">
      <alignment vertical="center"/>
    </xf>
    <xf numFmtId="0" fontId="0" fillId="4" borderId="22" xfId="0" applyFill="1" applyBorder="1"/>
    <xf numFmtId="0" fontId="25" fillId="3" borderId="0" xfId="0" applyFont="1" applyFill="1" applyAlignment="1">
      <alignment horizontal="center" vertical="center"/>
    </xf>
    <xf numFmtId="0" fontId="21" fillId="3" borderId="23" xfId="0" applyFont="1" applyFill="1" applyBorder="1" applyAlignment="1">
      <alignment horizontal="left" vertical="center"/>
    </xf>
    <xf numFmtId="0" fontId="0" fillId="3" borderId="0" xfId="0" applyFill="1" applyAlignment="1">
      <alignment horizontal="left"/>
    </xf>
    <xf numFmtId="0" fontId="33" fillId="3" borderId="23" xfId="0" applyFont="1" applyFill="1" applyBorder="1" applyAlignment="1">
      <alignment horizontal="left" vertical="center"/>
    </xf>
    <xf numFmtId="0" fontId="0" fillId="0" borderId="24" xfId="0" applyBorder="1"/>
    <xf numFmtId="0" fontId="0" fillId="0" borderId="25" xfId="0" applyBorder="1"/>
    <xf numFmtId="0" fontId="0" fillId="0" borderId="26" xfId="0" applyBorder="1"/>
    <xf numFmtId="0" fontId="0" fillId="12" borderId="5" xfId="0" applyFill="1" applyBorder="1" applyAlignment="1">
      <alignment horizontal="right" vertical="center"/>
    </xf>
    <xf numFmtId="0" fontId="0" fillId="12" borderId="5" xfId="0" applyFill="1" applyBorder="1" applyAlignment="1" applyProtection="1">
      <alignment vertical="center"/>
      <protection locked="0"/>
    </xf>
    <xf numFmtId="0" fontId="0" fillId="12" borderId="5" xfId="0" applyFill="1" applyBorder="1" applyAlignment="1">
      <alignment vertical="center"/>
    </xf>
    <xf numFmtId="0" fontId="0" fillId="4" borderId="5" xfId="0" applyFill="1" applyBorder="1"/>
    <xf numFmtId="0" fontId="0" fillId="12" borderId="5" xfId="0" applyFill="1" applyBorder="1"/>
    <xf numFmtId="164" fontId="0" fillId="12" borderId="5" xfId="0" applyNumberFormat="1" applyFill="1" applyBorder="1" applyAlignment="1">
      <alignment vertical="center"/>
    </xf>
    <xf numFmtId="0" fontId="0" fillId="13" borderId="5" xfId="0" quotePrefix="1" applyFill="1" applyBorder="1" applyAlignment="1">
      <alignment horizontal="left" vertical="center"/>
    </xf>
    <xf numFmtId="0" fontId="0" fillId="13" borderId="5" xfId="0" applyFill="1" applyBorder="1"/>
    <xf numFmtId="0" fontId="25" fillId="6" borderId="0" xfId="0" applyFont="1" applyFill="1" applyAlignment="1">
      <alignment vertical="center"/>
    </xf>
    <xf numFmtId="1" fontId="0" fillId="0" borderId="5" xfId="0" applyNumberFormat="1" applyBorder="1" applyAlignment="1" applyProtection="1">
      <alignment vertical="center"/>
      <protection hidden="1"/>
    </xf>
    <xf numFmtId="0" fontId="11" fillId="0" borderId="5" xfId="0" applyFont="1" applyBorder="1"/>
    <xf numFmtId="0" fontId="12" fillId="14" borderId="5" xfId="0" applyFont="1" applyFill="1" applyBorder="1" applyAlignment="1">
      <alignment horizontal="right" vertical="center"/>
    </xf>
    <xf numFmtId="0" fontId="0" fillId="14" borderId="5" xfId="0" applyFill="1" applyBorder="1" applyAlignment="1">
      <alignment horizontal="right" vertical="center"/>
    </xf>
    <xf numFmtId="0" fontId="0" fillId="14" borderId="5" xfId="0" applyFill="1" applyBorder="1" applyAlignment="1">
      <alignment horizontal="left" vertical="center"/>
    </xf>
    <xf numFmtId="0" fontId="38" fillId="6" borderId="0" xfId="2" applyFont="1" applyFill="1"/>
    <xf numFmtId="0" fontId="39" fillId="6" borderId="0" xfId="2" applyFont="1" applyFill="1" applyAlignment="1">
      <alignment horizontal="center"/>
    </xf>
    <xf numFmtId="0" fontId="39" fillId="6" borderId="0" xfId="2" applyFont="1" applyFill="1" applyAlignment="1">
      <alignment horizontal="left"/>
    </xf>
    <xf numFmtId="0" fontId="37" fillId="6" borderId="0" xfId="2" applyFont="1" applyFill="1"/>
    <xf numFmtId="0" fontId="41" fillId="6" borderId="0" xfId="3" applyFont="1" applyFill="1" applyBorder="1" applyAlignment="1">
      <alignment vertical="center"/>
    </xf>
    <xf numFmtId="0" fontId="41" fillId="6" borderId="0" xfId="3" applyFont="1" applyFill="1" applyBorder="1" applyAlignment="1">
      <alignment horizontal="right" vertical="center"/>
    </xf>
    <xf numFmtId="0" fontId="38" fillId="6" borderId="0" xfId="2" applyFont="1" applyFill="1" applyAlignment="1">
      <alignment horizontal="center"/>
    </xf>
    <xf numFmtId="0" fontId="38" fillId="6" borderId="0" xfId="2" applyFont="1" applyFill="1" applyAlignment="1">
      <alignment horizontal="left"/>
    </xf>
    <xf numFmtId="0" fontId="37" fillId="6" borderId="0" xfId="2" applyFont="1" applyFill="1" applyAlignment="1">
      <alignment horizontal="center"/>
    </xf>
    <xf numFmtId="0" fontId="29" fillId="6" borderId="0" xfId="2" applyFill="1"/>
    <xf numFmtId="0" fontId="42" fillId="16" borderId="0" xfId="2" applyFont="1" applyFill="1" applyAlignment="1">
      <alignment horizontal="center"/>
    </xf>
    <xf numFmtId="0" fontId="38" fillId="0" borderId="0" xfId="2" applyFont="1"/>
    <xf numFmtId="49" fontId="37" fillId="6" borderId="0" xfId="2" applyNumberFormat="1" applyFont="1" applyFill="1" applyAlignment="1">
      <alignment horizontal="center"/>
    </xf>
    <xf numFmtId="0" fontId="43" fillId="6" borderId="0" xfId="3" applyFont="1" applyFill="1" applyBorder="1" applyAlignment="1">
      <alignment vertical="center"/>
    </xf>
    <xf numFmtId="0" fontId="17" fillId="6" borderId="4" xfId="0" applyFont="1" applyFill="1" applyBorder="1" applyAlignment="1">
      <alignment horizontal="right" vertical="center"/>
    </xf>
    <xf numFmtId="0" fontId="0" fillId="4" borderId="4" xfId="0" applyFill="1" applyBorder="1" applyAlignment="1" applyProtection="1">
      <alignment vertical="center"/>
      <protection locked="0"/>
    </xf>
    <xf numFmtId="164" fontId="0" fillId="0" borderId="4" xfId="0" applyNumberFormat="1" applyBorder="1" applyAlignment="1" applyProtection="1">
      <alignment vertical="center"/>
      <protection hidden="1"/>
    </xf>
    <xf numFmtId="2" fontId="0" fillId="0" borderId="4" xfId="0" applyNumberFormat="1" applyBorder="1" applyAlignment="1" applyProtection="1">
      <alignment vertical="center"/>
      <protection hidden="1"/>
    </xf>
    <xf numFmtId="0" fontId="17" fillId="6" borderId="27" xfId="0" applyFont="1" applyFill="1" applyBorder="1" applyAlignment="1">
      <alignment horizontal="right" vertical="center"/>
    </xf>
    <xf numFmtId="0" fontId="17" fillId="6" borderId="28" xfId="0" applyFont="1" applyFill="1" applyBorder="1" applyAlignment="1">
      <alignment horizontal="right" vertical="center"/>
    </xf>
    <xf numFmtId="0" fontId="17" fillId="6" borderId="29" xfId="0" applyFont="1" applyFill="1" applyBorder="1" applyAlignment="1">
      <alignment horizontal="right" vertical="center"/>
    </xf>
    <xf numFmtId="0" fontId="12" fillId="6" borderId="32" xfId="0" applyFont="1" applyFill="1" applyBorder="1" applyAlignment="1">
      <alignment horizontal="right" vertical="center"/>
    </xf>
    <xf numFmtId="0" fontId="12" fillId="6" borderId="33" xfId="0" applyFont="1" applyFill="1" applyBorder="1" applyAlignment="1">
      <alignment horizontal="right" vertical="center"/>
    </xf>
    <xf numFmtId="0" fontId="12" fillId="6" borderId="34" xfId="0" applyFont="1" applyFill="1" applyBorder="1" applyAlignment="1">
      <alignment horizontal="right" vertical="center"/>
    </xf>
    <xf numFmtId="0" fontId="0" fillId="0" borderId="35" xfId="0" applyBorder="1" applyAlignment="1">
      <alignment horizontal="right" vertical="center"/>
    </xf>
    <xf numFmtId="0" fontId="12" fillId="6" borderId="35" xfId="0" applyFont="1" applyFill="1" applyBorder="1" applyAlignment="1">
      <alignment horizontal="right" vertical="center"/>
    </xf>
    <xf numFmtId="0" fontId="0" fillId="0" borderId="36" xfId="0" applyBorder="1" applyAlignment="1">
      <alignment horizontal="right" vertical="center"/>
    </xf>
    <xf numFmtId="0" fontId="12" fillId="6" borderId="36" xfId="0" applyFont="1" applyFill="1" applyBorder="1" applyAlignment="1">
      <alignment horizontal="right" vertical="center"/>
    </xf>
    <xf numFmtId="0" fontId="0" fillId="0" borderId="40" xfId="0" applyBorder="1" applyAlignment="1">
      <alignment horizontal="right" vertical="center"/>
    </xf>
    <xf numFmtId="0" fontId="12" fillId="6" borderId="40" xfId="0" applyFont="1" applyFill="1" applyBorder="1" applyAlignment="1">
      <alignment horizontal="right" vertical="center"/>
    </xf>
    <xf numFmtId="0" fontId="0" fillId="0" borderId="44" xfId="0" applyBorder="1" applyAlignment="1">
      <alignment horizontal="right" vertical="center"/>
    </xf>
    <xf numFmtId="0" fontId="12" fillId="6" borderId="44" xfId="0" applyFont="1" applyFill="1" applyBorder="1" applyAlignment="1">
      <alignment horizontal="right" vertical="center"/>
    </xf>
    <xf numFmtId="1" fontId="0" fillId="0" borderId="4" xfId="0" applyNumberFormat="1" applyBorder="1" applyAlignment="1" applyProtection="1">
      <alignment vertical="center"/>
      <protection hidden="1"/>
    </xf>
    <xf numFmtId="0" fontId="0" fillId="0" borderId="47" xfId="0" applyBorder="1" applyAlignment="1">
      <alignment horizontal="right" vertical="center"/>
    </xf>
    <xf numFmtId="3" fontId="0" fillId="4" borderId="4" xfId="0" applyNumberFormat="1" applyFill="1" applyBorder="1" applyAlignment="1" applyProtection="1">
      <alignment vertical="center"/>
      <protection locked="0"/>
    </xf>
    <xf numFmtId="4" fontId="0" fillId="0" borderId="4" xfId="0" applyNumberFormat="1" applyBorder="1" applyAlignment="1" applyProtection="1">
      <alignment vertical="center"/>
      <protection hidden="1"/>
    </xf>
    <xf numFmtId="4" fontId="0" fillId="4" borderId="4" xfId="0" applyNumberFormat="1" applyFill="1" applyBorder="1" applyAlignment="1" applyProtection="1">
      <alignment vertical="center"/>
      <protection locked="0"/>
    </xf>
    <xf numFmtId="0" fontId="0" fillId="0" borderId="4" xfId="0" applyBorder="1" applyAlignment="1" applyProtection="1">
      <alignment vertical="center"/>
      <protection hidden="1"/>
    </xf>
    <xf numFmtId="165" fontId="0" fillId="0" borderId="4" xfId="0" applyNumberFormat="1" applyBorder="1" applyAlignment="1" applyProtection="1">
      <alignment vertical="center"/>
      <protection hidden="1"/>
    </xf>
    <xf numFmtId="164" fontId="0" fillId="4" borderId="4" xfId="0" applyNumberFormat="1" applyFill="1" applyBorder="1" applyAlignment="1" applyProtection="1">
      <alignment vertical="center"/>
      <protection locked="0"/>
    </xf>
    <xf numFmtId="164" fontId="0" fillId="0" borderId="4" xfId="0" applyNumberFormat="1" applyBorder="1" applyAlignment="1" applyProtection="1">
      <alignment horizontal="right" vertical="center"/>
      <protection hidden="1"/>
    </xf>
    <xf numFmtId="0" fontId="0" fillId="6" borderId="35" xfId="0" applyFill="1" applyBorder="1" applyAlignment="1">
      <alignment horizontal="right" vertical="center"/>
    </xf>
    <xf numFmtId="0" fontId="0" fillId="0" borderId="35" xfId="0" applyBorder="1"/>
    <xf numFmtId="0" fontId="0" fillId="0" borderId="37" xfId="0" applyBorder="1" applyAlignment="1">
      <alignment horizontal="right" vertical="center"/>
    </xf>
    <xf numFmtId="0" fontId="0" fillId="0" borderId="38" xfId="0" applyBorder="1" applyAlignment="1">
      <alignment horizontal="right" vertical="center"/>
    </xf>
    <xf numFmtId="0" fontId="0" fillId="0" borderId="39" xfId="0" applyBorder="1" applyAlignment="1">
      <alignment horizontal="right" vertical="center"/>
    </xf>
    <xf numFmtId="0" fontId="0" fillId="0" borderId="41" xfId="0" applyBorder="1" applyAlignment="1">
      <alignment horizontal="right" vertical="center"/>
    </xf>
    <xf numFmtId="0" fontId="0" fillId="0" borderId="42" xfId="0" applyBorder="1" applyAlignment="1">
      <alignment horizontal="right" vertical="center"/>
    </xf>
    <xf numFmtId="0" fontId="0" fillId="0" borderId="43" xfId="0" applyBorder="1" applyAlignment="1">
      <alignment horizontal="right" vertical="center"/>
    </xf>
    <xf numFmtId="0" fontId="12" fillId="6" borderId="41" xfId="0" applyFont="1" applyFill="1" applyBorder="1" applyAlignment="1">
      <alignment horizontal="right" vertical="center"/>
    </xf>
    <xf numFmtId="0" fontId="12" fillId="6" borderId="42" xfId="0" applyFont="1" applyFill="1" applyBorder="1" applyAlignment="1">
      <alignment horizontal="right" vertical="center"/>
    </xf>
    <xf numFmtId="0" fontId="12" fillId="6" borderId="43" xfId="0" applyFont="1" applyFill="1" applyBorder="1" applyAlignment="1">
      <alignment horizontal="right" vertical="center"/>
    </xf>
    <xf numFmtId="0" fontId="0" fillId="6" borderId="37" xfId="0" applyFill="1" applyBorder="1" applyAlignment="1">
      <alignment horizontal="right" vertical="center"/>
    </xf>
    <xf numFmtId="0" fontId="0" fillId="6" borderId="38" xfId="0" applyFill="1" applyBorder="1" applyAlignment="1">
      <alignment horizontal="right" vertical="center"/>
    </xf>
    <xf numFmtId="0" fontId="0" fillId="6" borderId="39" xfId="0" applyFill="1" applyBorder="1" applyAlignment="1">
      <alignment horizontal="right" vertical="center"/>
    </xf>
    <xf numFmtId="0" fontId="0" fillId="6" borderId="40" xfId="0" applyFill="1" applyBorder="1" applyAlignment="1">
      <alignment horizontal="right" vertical="center"/>
    </xf>
    <xf numFmtId="0" fontId="0" fillId="6" borderId="36" xfId="0" applyFill="1" applyBorder="1" applyAlignment="1">
      <alignment horizontal="right" vertical="center"/>
    </xf>
    <xf numFmtId="0" fontId="0" fillId="0" borderId="40" xfId="0" applyBorder="1"/>
    <xf numFmtId="0" fontId="0" fillId="0" borderId="51" xfId="0" applyBorder="1" applyAlignment="1">
      <alignment horizontal="right" vertical="center"/>
    </xf>
    <xf numFmtId="0" fontId="0" fillId="0" borderId="52" xfId="0" applyBorder="1" applyAlignment="1">
      <alignment horizontal="right" vertical="center"/>
    </xf>
    <xf numFmtId="0" fontId="12" fillId="6" borderId="52" xfId="0" applyFont="1" applyFill="1" applyBorder="1" applyAlignment="1">
      <alignment horizontal="right" vertical="center"/>
    </xf>
    <xf numFmtId="0" fontId="12" fillId="6" borderId="53" xfId="0" applyFont="1" applyFill="1" applyBorder="1" applyAlignment="1">
      <alignment horizontal="right" vertical="center"/>
    </xf>
    <xf numFmtId="0" fontId="0" fillId="6" borderId="50" xfId="0" applyFill="1" applyBorder="1" applyAlignment="1">
      <alignment horizontal="right" vertical="center"/>
    </xf>
    <xf numFmtId="0" fontId="0" fillId="6" borderId="47" xfId="0" applyFill="1" applyBorder="1" applyAlignment="1">
      <alignment horizontal="right" vertical="center"/>
    </xf>
    <xf numFmtId="0" fontId="0" fillId="6" borderId="54" xfId="0" applyFill="1" applyBorder="1" applyAlignment="1">
      <alignment horizontal="right" vertical="center"/>
    </xf>
    <xf numFmtId="0" fontId="12" fillId="6" borderId="48" xfId="0" applyFont="1" applyFill="1" applyBorder="1" applyAlignment="1">
      <alignment horizontal="right" vertical="center"/>
    </xf>
    <xf numFmtId="0" fontId="0" fillId="6" borderId="0" xfId="0" applyFill="1" applyAlignment="1">
      <alignment horizontal="right" vertical="center"/>
    </xf>
    <xf numFmtId="165" fontId="0" fillId="0" borderId="29" xfId="0" applyNumberFormat="1" applyBorder="1" applyAlignment="1" applyProtection="1">
      <alignment vertical="center"/>
      <protection hidden="1"/>
    </xf>
    <xf numFmtId="0" fontId="0" fillId="0" borderId="8" xfId="0" applyBorder="1" applyAlignment="1">
      <alignment vertical="center"/>
    </xf>
    <xf numFmtId="0" fontId="0" fillId="6" borderId="33" xfId="0" applyFill="1" applyBorder="1" applyAlignment="1">
      <alignment horizontal="right" vertical="center"/>
    </xf>
    <xf numFmtId="164" fontId="0" fillId="4" borderId="34" xfId="0" applyNumberFormat="1" applyFill="1" applyBorder="1" applyAlignment="1" applyProtection="1">
      <alignment vertical="center"/>
      <protection locked="0"/>
    </xf>
    <xf numFmtId="0" fontId="12" fillId="6" borderId="57" xfId="0" applyFont="1" applyFill="1" applyBorder="1" applyAlignment="1">
      <alignment horizontal="right" vertical="center"/>
    </xf>
    <xf numFmtId="0" fontId="12" fillId="6" borderId="47" xfId="0" applyFont="1" applyFill="1" applyBorder="1" applyAlignment="1">
      <alignment horizontal="right" vertical="center"/>
    </xf>
    <xf numFmtId="0" fontId="0" fillId="0" borderId="29" xfId="0" applyBorder="1" applyAlignment="1">
      <alignment vertical="center"/>
    </xf>
    <xf numFmtId="0" fontId="15" fillId="6" borderId="36" xfId="0" applyFont="1" applyFill="1" applyBorder="1" applyAlignment="1">
      <alignment horizontal="right" vertical="center"/>
    </xf>
    <xf numFmtId="0" fontId="15" fillId="6" borderId="54" xfId="0" applyFont="1" applyFill="1" applyBorder="1" applyAlignment="1">
      <alignment horizontal="right" vertical="center"/>
    </xf>
    <xf numFmtId="0" fontId="15" fillId="6" borderId="0" xfId="0" applyFont="1" applyFill="1" applyAlignment="1">
      <alignment horizontal="right" vertical="center"/>
    </xf>
    <xf numFmtId="164" fontId="0" fillId="0" borderId="8" xfId="0" applyNumberFormat="1" applyBorder="1" applyAlignment="1" applyProtection="1">
      <alignment vertical="center"/>
      <protection hidden="1"/>
    </xf>
    <xf numFmtId="0" fontId="15" fillId="6" borderId="55" xfId="0" applyFont="1" applyFill="1" applyBorder="1" applyAlignment="1">
      <alignment horizontal="right" vertical="center"/>
    </xf>
    <xf numFmtId="0" fontId="15" fillId="6" borderId="43" xfId="0" applyFont="1" applyFill="1" applyBorder="1" applyAlignment="1">
      <alignment horizontal="right" vertical="center"/>
    </xf>
    <xf numFmtId="0" fontId="15" fillId="6" borderId="52" xfId="0" applyFont="1" applyFill="1" applyBorder="1" applyAlignment="1">
      <alignment horizontal="right" vertical="center"/>
    </xf>
    <xf numFmtId="0" fontId="15" fillId="6" borderId="53" xfId="0" applyFont="1" applyFill="1" applyBorder="1" applyAlignment="1">
      <alignment horizontal="right" vertical="center"/>
    </xf>
    <xf numFmtId="0" fontId="15" fillId="6" borderId="35" xfId="0" applyFont="1" applyFill="1" applyBorder="1" applyAlignment="1">
      <alignment horizontal="right" vertical="center"/>
    </xf>
    <xf numFmtId="49" fontId="16" fillId="0" borderId="35" xfId="0" applyNumberFormat="1" applyFont="1" applyBorder="1" applyAlignment="1">
      <alignment horizontal="right" vertical="center" wrapText="1"/>
    </xf>
    <xf numFmtId="0" fontId="15" fillId="6" borderId="40" xfId="0" applyFont="1" applyFill="1" applyBorder="1" applyAlignment="1">
      <alignment horizontal="right" vertical="center"/>
    </xf>
    <xf numFmtId="49" fontId="16" fillId="0" borderId="41" xfId="0" applyNumberFormat="1" applyFont="1" applyBorder="1" applyAlignment="1">
      <alignment horizontal="right" vertical="center" wrapText="1"/>
    </xf>
    <xf numFmtId="49" fontId="16" fillId="0" borderId="42" xfId="0" applyNumberFormat="1" applyFont="1" applyBorder="1" applyAlignment="1">
      <alignment horizontal="right" vertical="center" wrapText="1"/>
    </xf>
    <xf numFmtId="0" fontId="0" fillId="6" borderId="0" xfId="0" applyFill="1" applyProtection="1">
      <protection hidden="1"/>
    </xf>
    <xf numFmtId="0" fontId="0" fillId="0" borderId="47" xfId="0" applyBorder="1"/>
    <xf numFmtId="0" fontId="0" fillId="0" borderId="48" xfId="0" applyBorder="1"/>
    <xf numFmtId="0" fontId="0" fillId="0" borderId="59" xfId="0" applyBorder="1"/>
    <xf numFmtId="0" fontId="0" fillId="0" borderId="60" xfId="0" applyBorder="1"/>
    <xf numFmtId="0" fontId="0" fillId="0" borderId="49" xfId="0" applyBorder="1"/>
    <xf numFmtId="0" fontId="0" fillId="0" borderId="44" xfId="0" applyBorder="1"/>
    <xf numFmtId="0" fontId="0" fillId="0" borderId="61" xfId="0" applyBorder="1"/>
    <xf numFmtId="0" fontId="0" fillId="6" borderId="30" xfId="0" applyFill="1" applyBorder="1" applyProtection="1">
      <protection hidden="1"/>
    </xf>
    <xf numFmtId="0" fontId="0" fillId="6" borderId="32" xfId="0" applyFill="1" applyBorder="1" applyProtection="1">
      <protection hidden="1"/>
    </xf>
    <xf numFmtId="0" fontId="0" fillId="6" borderId="33" xfId="0" applyFill="1" applyBorder="1" applyProtection="1">
      <protection hidden="1"/>
    </xf>
    <xf numFmtId="0" fontId="0" fillId="4" borderId="5" xfId="0" applyFill="1" applyBorder="1" applyProtection="1">
      <protection locked="0" hidden="1"/>
    </xf>
    <xf numFmtId="164" fontId="0" fillId="0" borderId="5" xfId="0" applyNumberFormat="1" applyBorder="1" applyProtection="1">
      <protection hidden="1"/>
    </xf>
    <xf numFmtId="2" fontId="0" fillId="6" borderId="5" xfId="0" applyNumberFormat="1" applyFill="1" applyBorder="1" applyProtection="1">
      <protection hidden="1"/>
    </xf>
    <xf numFmtId="2" fontId="0" fillId="4" borderId="5" xfId="0" applyNumberFormat="1" applyFill="1" applyBorder="1" applyProtection="1">
      <protection locked="0" hidden="1"/>
    </xf>
    <xf numFmtId="0" fontId="2" fillId="0" borderId="0" xfId="0" applyFont="1"/>
    <xf numFmtId="0" fontId="0" fillId="17" borderId="0" xfId="0" applyFill="1"/>
    <xf numFmtId="0" fontId="3" fillId="18" borderId="5" xfId="0" applyFont="1" applyFill="1" applyBorder="1"/>
    <xf numFmtId="0" fontId="0" fillId="0" borderId="2" xfId="0" applyBorder="1"/>
    <xf numFmtId="2" fontId="0" fillId="17" borderId="5" xfId="0" applyNumberFormat="1" applyFill="1" applyBorder="1"/>
    <xf numFmtId="0" fontId="15" fillId="0" borderId="5" xfId="0" applyFont="1" applyBorder="1" applyAlignment="1">
      <alignment horizontal="right" vertical="center"/>
    </xf>
    <xf numFmtId="0" fontId="0" fillId="4" borderId="0" xfId="0" applyFill="1"/>
    <xf numFmtId="0" fontId="0" fillId="0" borderId="63" xfId="0" applyBorder="1"/>
    <xf numFmtId="0" fontId="0" fillId="0" borderId="0" xfId="0" applyAlignment="1">
      <alignment vertical="center"/>
    </xf>
    <xf numFmtId="2" fontId="0" fillId="0" borderId="46" xfId="0" applyNumberFormat="1" applyBorder="1" applyAlignment="1" applyProtection="1">
      <alignment vertical="center"/>
      <protection hidden="1"/>
    </xf>
    <xf numFmtId="2" fontId="0" fillId="0" borderId="35" xfId="0" applyNumberFormat="1" applyBorder="1" applyAlignment="1" applyProtection="1">
      <alignment vertical="center"/>
      <protection hidden="1"/>
    </xf>
    <xf numFmtId="0" fontId="0" fillId="0" borderId="44" xfId="0" applyBorder="1" applyAlignment="1">
      <alignment vertical="center"/>
    </xf>
    <xf numFmtId="0" fontId="0" fillId="0" borderId="64" xfId="0" applyBorder="1" applyAlignment="1">
      <alignment horizontal="right" vertical="center"/>
    </xf>
    <xf numFmtId="2" fontId="0" fillId="0" borderId="47" xfId="0" applyNumberFormat="1" applyBorder="1" applyAlignment="1" applyProtection="1">
      <alignment vertical="center"/>
      <protection hidden="1"/>
    </xf>
    <xf numFmtId="0" fontId="0" fillId="0" borderId="46" xfId="0" applyBorder="1" applyAlignment="1">
      <alignment vertical="center"/>
    </xf>
    <xf numFmtId="0" fontId="46" fillId="5" borderId="0" xfId="0" applyFont="1" applyFill="1"/>
    <xf numFmtId="0" fontId="0" fillId="0" borderId="65" xfId="0" applyBorder="1"/>
    <xf numFmtId="0" fontId="15" fillId="0" borderId="58" xfId="0" applyFont="1" applyBorder="1"/>
    <xf numFmtId="0" fontId="15" fillId="6" borderId="47" xfId="0" applyFont="1" applyFill="1" applyBorder="1" applyAlignment="1">
      <alignment horizontal="right" vertical="center"/>
    </xf>
    <xf numFmtId="2" fontId="15" fillId="6" borderId="47" xfId="0" applyNumberFormat="1" applyFont="1" applyFill="1" applyBorder="1" applyAlignment="1" applyProtection="1">
      <alignment vertical="center"/>
      <protection hidden="1"/>
    </xf>
    <xf numFmtId="0" fontId="15" fillId="6" borderId="47" xfId="0" applyFont="1" applyFill="1" applyBorder="1" applyAlignment="1">
      <alignment vertical="center"/>
    </xf>
    <xf numFmtId="0" fontId="15" fillId="0" borderId="0" xfId="0" applyFont="1"/>
    <xf numFmtId="0" fontId="15" fillId="0" borderId="46" xfId="0" applyFont="1" applyBorder="1"/>
    <xf numFmtId="0" fontId="46" fillId="5" borderId="0" xfId="0" applyFont="1" applyFill="1" applyAlignment="1">
      <alignment horizontal="right" vertical="center"/>
    </xf>
    <xf numFmtId="2" fontId="46" fillId="5" borderId="0" xfId="0" applyNumberFormat="1" applyFont="1" applyFill="1" applyAlignment="1" applyProtection="1">
      <alignment vertical="center"/>
      <protection hidden="1"/>
    </xf>
    <xf numFmtId="0" fontId="46" fillId="5" borderId="0" xfId="0" applyFont="1" applyFill="1" applyAlignment="1">
      <alignment vertical="center"/>
    </xf>
    <xf numFmtId="0" fontId="0" fillId="6" borderId="5" xfId="0" applyFill="1" applyBorder="1"/>
    <xf numFmtId="0" fontId="0" fillId="0" borderId="62" xfId="0" applyBorder="1" applyAlignment="1">
      <alignment horizontal="right" vertical="center"/>
    </xf>
    <xf numFmtId="0" fontId="0" fillId="0" borderId="61" xfId="0" applyBorder="1" applyAlignment="1">
      <alignment horizontal="right" vertical="center"/>
    </xf>
    <xf numFmtId="0" fontId="0" fillId="0" borderId="48" xfId="0" applyBorder="1" applyAlignment="1">
      <alignment horizontal="right" vertical="center"/>
    </xf>
    <xf numFmtId="0" fontId="0" fillId="0" borderId="55" xfId="0" applyBorder="1" applyAlignment="1">
      <alignment horizontal="right" vertical="center"/>
    </xf>
    <xf numFmtId="0" fontId="0" fillId="6" borderId="33" xfId="0" applyFill="1" applyBorder="1"/>
    <xf numFmtId="0" fontId="0" fillId="0" borderId="45" xfId="0" applyBorder="1" applyAlignment="1">
      <alignment horizontal="right" vertical="center"/>
    </xf>
    <xf numFmtId="0" fontId="47" fillId="6" borderId="0" xfId="0" applyFont="1" applyFill="1" applyProtection="1">
      <protection hidden="1"/>
    </xf>
    <xf numFmtId="49" fontId="16" fillId="0" borderId="62" xfId="0" applyNumberFormat="1" applyFont="1" applyBorder="1" applyAlignment="1">
      <alignment horizontal="right" vertical="center" wrapText="1"/>
    </xf>
    <xf numFmtId="49" fontId="16" fillId="0" borderId="66" xfId="0" applyNumberFormat="1" applyFont="1" applyBorder="1" applyAlignment="1">
      <alignment horizontal="right" vertical="center" wrapText="1"/>
    </xf>
    <xf numFmtId="49" fontId="16" fillId="0" borderId="48" xfId="0" applyNumberFormat="1" applyFont="1" applyBorder="1" applyAlignment="1">
      <alignment horizontal="right" vertical="center" wrapText="1"/>
    </xf>
    <xf numFmtId="0" fontId="47" fillId="6" borderId="27" xfId="0" applyFont="1" applyFill="1" applyBorder="1" applyProtection="1">
      <protection hidden="1"/>
    </xf>
    <xf numFmtId="0" fontId="47" fillId="6" borderId="28" xfId="0" applyFont="1" applyFill="1" applyBorder="1" applyProtection="1">
      <protection hidden="1"/>
    </xf>
    <xf numFmtId="0" fontId="49" fillId="6" borderId="30" xfId="0" applyFont="1" applyFill="1" applyBorder="1" applyProtection="1">
      <protection hidden="1"/>
    </xf>
    <xf numFmtId="0" fontId="47" fillId="6" borderId="30" xfId="0" applyFont="1" applyFill="1" applyBorder="1" applyProtection="1">
      <protection hidden="1"/>
    </xf>
    <xf numFmtId="0" fontId="0" fillId="0" borderId="62" xfId="0" applyBorder="1"/>
    <xf numFmtId="0" fontId="0" fillId="6" borderId="48" xfId="0" applyFill="1" applyBorder="1" applyAlignment="1">
      <alignment horizontal="right" vertical="center"/>
    </xf>
    <xf numFmtId="0" fontId="0" fillId="6" borderId="65" xfId="0" applyFill="1" applyBorder="1" applyAlignment="1">
      <alignment horizontal="right" vertical="center"/>
    </xf>
    <xf numFmtId="0" fontId="0" fillId="0" borderId="58" xfId="0" applyBorder="1"/>
    <xf numFmtId="0" fontId="0" fillId="0" borderId="67" xfId="0" applyBorder="1"/>
    <xf numFmtId="0" fontId="0" fillId="0" borderId="46" xfId="0" applyBorder="1"/>
    <xf numFmtId="0" fontId="36" fillId="0" borderId="0" xfId="0" applyFont="1" applyAlignment="1">
      <alignment horizontal="center" vertical="center"/>
    </xf>
    <xf numFmtId="164" fontId="0" fillId="6" borderId="48" xfId="0" applyNumberFormat="1" applyFill="1" applyBorder="1" applyAlignment="1">
      <alignment horizontal="right" vertical="center"/>
    </xf>
    <xf numFmtId="0" fontId="0" fillId="0" borderId="32" xfId="0" applyBorder="1" applyAlignment="1">
      <alignment horizontal="center" vertical="center"/>
    </xf>
    <xf numFmtId="0" fontId="0" fillId="0" borderId="65" xfId="0" applyBorder="1" applyAlignment="1">
      <alignment horizontal="right"/>
    </xf>
    <xf numFmtId="164" fontId="0" fillId="0" borderId="68" xfId="0" applyNumberFormat="1" applyBorder="1" applyAlignment="1" applyProtection="1">
      <alignment vertical="center"/>
      <protection locked="0"/>
    </xf>
    <xf numFmtId="0" fontId="0" fillId="0" borderId="51" xfId="0" applyBorder="1" applyAlignment="1">
      <alignment vertical="center"/>
    </xf>
    <xf numFmtId="0" fontId="0" fillId="6" borderId="67" xfId="0" applyFill="1" applyBorder="1"/>
    <xf numFmtId="0" fontId="36" fillId="0" borderId="67" xfId="0" applyFont="1" applyBorder="1" applyAlignment="1">
      <alignment horizontal="center" vertical="center"/>
    </xf>
    <xf numFmtId="0" fontId="12" fillId="6" borderId="67" xfId="0" applyFont="1" applyFill="1" applyBorder="1" applyAlignment="1">
      <alignment horizontal="right" vertical="center"/>
    </xf>
    <xf numFmtId="0" fontId="15" fillId="6" borderId="69" xfId="0" applyFont="1" applyFill="1" applyBorder="1" applyAlignment="1">
      <alignment horizontal="right" vertical="center"/>
    </xf>
    <xf numFmtId="2" fontId="0" fillId="0" borderId="5" xfId="0" applyNumberFormat="1" applyBorder="1"/>
    <xf numFmtId="0" fontId="47" fillId="6" borderId="63" xfId="0" applyFont="1" applyFill="1" applyBorder="1" applyProtection="1">
      <protection hidden="1"/>
    </xf>
    <xf numFmtId="0" fontId="47" fillId="6" borderId="67" xfId="0" applyFont="1" applyFill="1" applyBorder="1" applyProtection="1">
      <protection hidden="1"/>
    </xf>
    <xf numFmtId="0" fontId="0" fillId="6" borderId="35" xfId="0" applyFill="1" applyBorder="1"/>
    <xf numFmtId="0" fontId="0" fillId="6" borderId="44" xfId="0" applyFill="1" applyBorder="1"/>
    <xf numFmtId="0" fontId="0" fillId="0" borderId="70" xfId="0" applyBorder="1" applyAlignment="1" applyProtection="1">
      <alignment vertical="center"/>
      <protection locked="0"/>
    </xf>
    <xf numFmtId="0" fontId="11" fillId="0" borderId="70" xfId="0" applyFont="1" applyBorder="1" applyAlignment="1">
      <alignment vertical="center"/>
    </xf>
    <xf numFmtId="49" fontId="16" fillId="0" borderId="70" xfId="0" applyNumberFormat="1" applyFont="1" applyBorder="1" applyAlignment="1">
      <alignment horizontal="right" vertical="center" wrapText="1"/>
    </xf>
    <xf numFmtId="49" fontId="16" fillId="0" borderId="70" xfId="0" applyNumberFormat="1" applyFont="1" applyBorder="1" applyAlignment="1">
      <alignment horizontal="right" vertical="center"/>
    </xf>
    <xf numFmtId="49" fontId="50" fillId="0" borderId="66" xfId="0" applyNumberFormat="1" applyFont="1" applyBorder="1" applyAlignment="1">
      <alignment horizontal="right" vertical="center" wrapText="1"/>
    </xf>
    <xf numFmtId="49" fontId="50" fillId="0" borderId="42" xfId="0" applyNumberFormat="1" applyFont="1" applyBorder="1" applyAlignment="1">
      <alignment horizontal="right" vertical="center" wrapText="1"/>
    </xf>
    <xf numFmtId="164" fontId="0" fillId="0" borderId="5" xfId="0" applyNumberFormat="1" applyBorder="1" applyAlignment="1" applyProtection="1">
      <alignment vertical="center"/>
      <protection hidden="1"/>
    </xf>
    <xf numFmtId="1" fontId="0" fillId="4" borderId="5" xfId="0" applyNumberFormat="1" applyFill="1" applyBorder="1" applyAlignment="1" applyProtection="1">
      <alignment vertical="center"/>
      <protection locked="0"/>
    </xf>
    <xf numFmtId="0" fontId="0" fillId="0" borderId="6" xfId="0" applyBorder="1"/>
    <xf numFmtId="0" fontId="0" fillId="6" borderId="5" xfId="0" applyFill="1" applyBorder="1" applyProtection="1">
      <protection hidden="1"/>
    </xf>
    <xf numFmtId="0" fontId="11" fillId="6" borderId="5" xfId="0" applyFont="1" applyFill="1" applyBorder="1" applyProtection="1">
      <protection hidden="1"/>
    </xf>
    <xf numFmtId="0" fontId="48" fillId="6" borderId="5" xfId="1" applyFont="1" applyFill="1" applyBorder="1" applyProtection="1">
      <protection hidden="1"/>
    </xf>
    <xf numFmtId="0" fontId="0" fillId="6" borderId="0" xfId="0" applyFill="1" applyAlignment="1" applyProtection="1">
      <alignment horizontal="right"/>
      <protection hidden="1"/>
    </xf>
    <xf numFmtId="0" fontId="0" fillId="6" borderId="33" xfId="0" applyFill="1" applyBorder="1" applyAlignment="1" applyProtection="1">
      <alignment horizontal="right"/>
      <protection hidden="1"/>
    </xf>
    <xf numFmtId="0" fontId="47" fillId="6" borderId="29" xfId="1" applyFont="1" applyFill="1" applyBorder="1" applyAlignment="1" applyProtection="1">
      <alignment horizontal="right"/>
      <protection hidden="1"/>
    </xf>
    <xf numFmtId="0" fontId="47" fillId="6" borderId="31" xfId="1" applyFont="1" applyFill="1" applyBorder="1" applyAlignment="1" applyProtection="1">
      <alignment horizontal="right"/>
      <protection hidden="1"/>
    </xf>
    <xf numFmtId="0" fontId="47" fillId="6" borderId="67" xfId="1" applyFont="1" applyFill="1" applyBorder="1" applyAlignment="1" applyProtection="1">
      <alignment horizontal="right"/>
      <protection hidden="1"/>
    </xf>
    <xf numFmtId="49" fontId="15" fillId="0" borderId="50" xfId="0" applyNumberFormat="1" applyFont="1" applyBorder="1" applyAlignment="1">
      <alignment horizontal="right" vertical="center"/>
    </xf>
    <xf numFmtId="49" fontId="15" fillId="0" borderId="58" xfId="0" applyNumberFormat="1" applyFont="1" applyBorder="1" applyAlignment="1">
      <alignment horizontal="right" vertical="center"/>
    </xf>
    <xf numFmtId="0" fontId="45" fillId="0" borderId="0" xfId="0" applyFont="1"/>
    <xf numFmtId="0" fontId="0" fillId="0" borderId="0" xfId="0" applyAlignment="1">
      <alignment horizontal="right"/>
    </xf>
    <xf numFmtId="0" fontId="0" fillId="0" borderId="50" xfId="0" applyBorder="1" applyAlignment="1">
      <alignment horizontal="right" vertical="center"/>
    </xf>
    <xf numFmtId="0" fontId="0" fillId="0" borderId="35" xfId="0" applyBorder="1" applyAlignment="1" applyProtection="1">
      <alignment vertical="center"/>
      <protection locked="0"/>
    </xf>
    <xf numFmtId="0" fontId="0" fillId="0" borderId="35" xfId="0" applyBorder="1" applyAlignment="1">
      <alignment vertical="center"/>
    </xf>
    <xf numFmtId="0" fontId="15" fillId="6" borderId="57" xfId="0" applyFont="1" applyFill="1" applyBorder="1" applyAlignment="1">
      <alignment horizontal="right" vertical="center"/>
    </xf>
    <xf numFmtId="49" fontId="16" fillId="0" borderId="52" xfId="0" applyNumberFormat="1" applyFont="1" applyBorder="1" applyAlignment="1">
      <alignment horizontal="right" vertical="center"/>
    </xf>
    <xf numFmtId="164" fontId="0" fillId="6" borderId="5" xfId="0" applyNumberFormat="1" applyFill="1" applyBorder="1" applyAlignment="1" applyProtection="1">
      <alignment horizontal="right" vertical="center"/>
      <protection hidden="1"/>
    </xf>
    <xf numFmtId="0" fontId="47" fillId="0" borderId="5" xfId="0" applyFont="1" applyBorder="1" applyProtection="1">
      <protection hidden="1"/>
    </xf>
    <xf numFmtId="0" fontId="47" fillId="4" borderId="5" xfId="0" applyFont="1" applyFill="1" applyBorder="1" applyProtection="1">
      <protection locked="0"/>
    </xf>
    <xf numFmtId="0" fontId="0" fillId="0" borderId="5" xfId="0" applyBorder="1" applyProtection="1">
      <protection hidden="1"/>
    </xf>
    <xf numFmtId="0" fontId="0" fillId="0" borderId="2" xfId="0" applyBorder="1" applyProtection="1">
      <protection hidden="1"/>
    </xf>
    <xf numFmtId="164" fontId="0" fillId="6" borderId="4" xfId="0" applyNumberFormat="1" applyFill="1" applyBorder="1" applyAlignment="1" applyProtection="1">
      <alignment vertical="center"/>
      <protection hidden="1"/>
    </xf>
    <xf numFmtId="0" fontId="0" fillId="4" borderId="4" xfId="0" applyFill="1" applyBorder="1" applyAlignment="1" applyProtection="1">
      <alignment vertical="center"/>
      <protection locked="0" hidden="1"/>
    </xf>
    <xf numFmtId="0" fontId="15" fillId="6" borderId="71" xfId="0" applyFont="1" applyFill="1" applyBorder="1" applyAlignment="1">
      <alignment horizontal="right" vertical="center"/>
    </xf>
    <xf numFmtId="0" fontId="15" fillId="6" borderId="66" xfId="0" applyFont="1" applyFill="1" applyBorder="1" applyAlignment="1">
      <alignment horizontal="right" vertical="center"/>
    </xf>
    <xf numFmtId="49" fontId="16" fillId="0" borderId="72" xfId="0" applyNumberFormat="1" applyFont="1" applyBorder="1" applyAlignment="1">
      <alignment horizontal="right" vertical="center"/>
    </xf>
    <xf numFmtId="49" fontId="16" fillId="0" borderId="36" xfId="0" applyNumberFormat="1" applyFont="1" applyBorder="1" applyAlignment="1">
      <alignment horizontal="right" vertical="center"/>
    </xf>
    <xf numFmtId="0" fontId="12" fillId="0" borderId="56" xfId="0" applyFont="1" applyBorder="1" applyAlignment="1">
      <alignment horizontal="right" vertical="center"/>
    </xf>
    <xf numFmtId="0" fontId="12" fillId="6" borderId="54" xfId="0" applyFont="1" applyFill="1" applyBorder="1" applyAlignment="1">
      <alignment horizontal="right" vertical="center"/>
    </xf>
    <xf numFmtId="49" fontId="54" fillId="0" borderId="73" xfId="0" applyNumberFormat="1" applyFont="1" applyBorder="1" applyAlignment="1">
      <alignment horizontal="right" vertical="center"/>
    </xf>
    <xf numFmtId="0" fontId="12" fillId="6" borderId="74" xfId="0" applyFont="1" applyFill="1" applyBorder="1" applyAlignment="1">
      <alignment horizontal="right" vertical="center"/>
    </xf>
    <xf numFmtId="49" fontId="16" fillId="0" borderId="46" xfId="0" applyNumberFormat="1" applyFont="1" applyBorder="1" applyAlignment="1">
      <alignment horizontal="right" vertical="center" wrapText="1"/>
    </xf>
    <xf numFmtId="49" fontId="54" fillId="0" borderId="50" xfId="0" applyNumberFormat="1" applyFont="1" applyBorder="1" applyAlignment="1">
      <alignment horizontal="right" vertical="center"/>
    </xf>
    <xf numFmtId="49" fontId="54" fillId="0" borderId="36" xfId="0" applyNumberFormat="1" applyFont="1" applyBorder="1" applyAlignment="1">
      <alignment horizontal="right" vertical="center"/>
    </xf>
    <xf numFmtId="0" fontId="9" fillId="0" borderId="2" xfId="0" applyFont="1" applyBorder="1" applyAlignment="1">
      <alignment horizontal="left" vertical="center"/>
    </xf>
    <xf numFmtId="0" fontId="9" fillId="0" borderId="3" xfId="0" applyFont="1" applyBorder="1" applyAlignment="1">
      <alignment horizontal="left" vertical="center"/>
    </xf>
    <xf numFmtId="0" fontId="9" fillId="0" borderId="4" xfId="0" applyFont="1" applyBorder="1" applyAlignment="1">
      <alignment horizontal="left" vertical="center"/>
    </xf>
    <xf numFmtId="0" fontId="14" fillId="5" borderId="2" xfId="0" applyFont="1" applyFill="1" applyBorder="1" applyAlignment="1">
      <alignment horizontal="center" vertical="center"/>
    </xf>
    <xf numFmtId="0" fontId="14" fillId="5" borderId="3" xfId="0" applyFont="1" applyFill="1" applyBorder="1" applyAlignment="1">
      <alignment horizontal="center" vertical="center"/>
    </xf>
    <xf numFmtId="0" fontId="14" fillId="5" borderId="4" xfId="0" applyFont="1" applyFill="1" applyBorder="1" applyAlignment="1">
      <alignment horizontal="center" vertical="center"/>
    </xf>
    <xf numFmtId="0" fontId="21" fillId="3" borderId="7" xfId="0" applyFont="1" applyFill="1" applyBorder="1" applyAlignment="1">
      <alignment horizontal="center" vertical="center"/>
    </xf>
    <xf numFmtId="0" fontId="21" fillId="3" borderId="0" xfId="0" applyFont="1" applyFill="1" applyAlignment="1">
      <alignment horizontal="center" vertical="center"/>
    </xf>
    <xf numFmtId="0" fontId="14" fillId="5" borderId="28" xfId="0" applyFont="1" applyFill="1" applyBorder="1" applyAlignment="1">
      <alignment horizontal="center" vertical="center"/>
    </xf>
    <xf numFmtId="0" fontId="18" fillId="9" borderId="0" xfId="0" applyFont="1" applyFill="1" applyAlignment="1">
      <alignment horizontal="center" vertical="center"/>
    </xf>
    <xf numFmtId="0" fontId="18" fillId="9" borderId="3" xfId="0" applyFont="1" applyFill="1" applyBorder="1" applyAlignment="1">
      <alignment horizontal="center" vertical="center"/>
    </xf>
    <xf numFmtId="0" fontId="18" fillId="9" borderId="4" xfId="0" applyFont="1" applyFill="1" applyBorder="1" applyAlignment="1">
      <alignment horizontal="center" vertical="center"/>
    </xf>
    <xf numFmtId="0" fontId="14" fillId="5" borderId="0" xfId="0" applyFont="1" applyFill="1" applyAlignment="1">
      <alignment horizontal="center" vertical="center"/>
    </xf>
    <xf numFmtId="0" fontId="4" fillId="2" borderId="0" xfId="0" applyFont="1" applyFill="1" applyAlignment="1">
      <alignment horizontal="center" vertical="center"/>
    </xf>
    <xf numFmtId="0" fontId="9" fillId="0" borderId="27" xfId="0" applyFont="1" applyBorder="1" applyAlignment="1">
      <alignment horizontal="left" vertical="center"/>
    </xf>
    <xf numFmtId="0" fontId="9" fillId="0" borderId="28" xfId="0" applyFont="1" applyBorder="1" applyAlignment="1">
      <alignment horizontal="left" vertical="center"/>
    </xf>
    <xf numFmtId="0" fontId="9" fillId="0" borderId="5" xfId="0" applyFont="1" applyBorder="1" applyAlignment="1">
      <alignment horizontal="left" vertical="center"/>
    </xf>
    <xf numFmtId="0" fontId="9" fillId="0" borderId="8" xfId="0" applyFont="1" applyBorder="1" applyAlignment="1">
      <alignment horizontal="left" vertical="center"/>
    </xf>
    <xf numFmtId="0" fontId="30" fillId="0" borderId="0" xfId="0" applyFont="1" applyAlignment="1">
      <alignment horizontal="center" vertical="center"/>
    </xf>
    <xf numFmtId="0" fontId="0" fillId="0" borderId="5" xfId="0" applyBorder="1" applyAlignment="1">
      <alignment horizontal="center" vertical="center"/>
    </xf>
    <xf numFmtId="0" fontId="0" fillId="10" borderId="5" xfId="0" applyFill="1" applyBorder="1" applyAlignment="1">
      <alignment horizontal="center" vertical="center"/>
    </xf>
    <xf numFmtId="0" fontId="0" fillId="0" borderId="8" xfId="0" applyBorder="1" applyAlignment="1">
      <alignment horizontal="center" vertical="center"/>
    </xf>
    <xf numFmtId="0" fontId="0" fillId="0" borderId="6" xfId="0" applyBorder="1" applyAlignment="1">
      <alignment horizontal="center" vertical="center"/>
    </xf>
    <xf numFmtId="0" fontId="28" fillId="6" borderId="17" xfId="0" applyFont="1" applyFill="1" applyBorder="1" applyAlignment="1">
      <alignment horizontal="center" vertical="center"/>
    </xf>
    <xf numFmtId="0" fontId="28" fillId="6" borderId="20" xfId="0" applyFont="1" applyFill="1" applyBorder="1" applyAlignment="1">
      <alignment horizontal="center" vertical="center"/>
    </xf>
    <xf numFmtId="0" fontId="28" fillId="6" borderId="21" xfId="0" applyFont="1" applyFill="1" applyBorder="1" applyAlignment="1">
      <alignment horizontal="center" vertical="center"/>
    </xf>
    <xf numFmtId="0" fontId="3" fillId="0" borderId="9" xfId="0" applyFont="1" applyBorder="1" applyAlignment="1">
      <alignment horizontal="center" vertical="center"/>
    </xf>
    <xf numFmtId="0" fontId="3" fillId="0" borderId="12" xfId="0" applyFont="1" applyBorder="1" applyAlignment="1">
      <alignment horizontal="center" vertical="center"/>
    </xf>
    <xf numFmtId="0" fontId="3" fillId="0" borderId="14" xfId="0" applyFont="1" applyBorder="1" applyAlignment="1">
      <alignment horizontal="center" vertical="center"/>
    </xf>
    <xf numFmtId="0" fontId="3" fillId="0" borderId="9" xfId="0" applyFont="1" applyBorder="1" applyAlignment="1">
      <alignment horizontal="center" vertical="center" wrapText="1"/>
    </xf>
    <xf numFmtId="0" fontId="25" fillId="11" borderId="0" xfId="0" applyFont="1" applyFill="1" applyAlignment="1">
      <alignment horizontal="center" vertical="center"/>
    </xf>
    <xf numFmtId="0" fontId="26" fillId="11" borderId="0" xfId="0" applyFont="1" applyFill="1" applyAlignment="1">
      <alignment horizontal="center" vertical="center"/>
    </xf>
    <xf numFmtId="0" fontId="3" fillId="0" borderId="0" xfId="0" applyFont="1" applyAlignment="1">
      <alignment horizontal="left" vertical="center"/>
    </xf>
    <xf numFmtId="0" fontId="0" fillId="0" borderId="0" xfId="0" applyAlignment="1">
      <alignment horizontal="center" vertical="center"/>
    </xf>
    <xf numFmtId="0" fontId="0" fillId="0" borderId="0" xfId="0" applyAlignment="1">
      <alignment horizontal="left" vertical="center"/>
    </xf>
    <xf numFmtId="0" fontId="0" fillId="0" borderId="30" xfId="0" applyBorder="1" applyAlignment="1">
      <alignment horizontal="left" vertical="center"/>
    </xf>
    <xf numFmtId="0" fontId="44" fillId="0" borderId="2" xfId="0" applyFont="1" applyBorder="1" applyAlignment="1">
      <alignment horizontal="left" vertical="center"/>
    </xf>
    <xf numFmtId="0" fontId="44" fillId="0" borderId="3" xfId="0" applyFont="1" applyBorder="1" applyAlignment="1">
      <alignment horizontal="left" vertical="center"/>
    </xf>
    <xf numFmtId="0" fontId="44" fillId="0" borderId="4" xfId="0" applyFont="1" applyBorder="1" applyAlignment="1">
      <alignment horizontal="left" vertical="center"/>
    </xf>
    <xf numFmtId="0" fontId="9" fillId="5" borderId="5" xfId="0" applyFont="1" applyFill="1" applyBorder="1" applyAlignment="1">
      <alignment horizontal="left" vertical="center"/>
    </xf>
    <xf numFmtId="0" fontId="0" fillId="6" borderId="0" xfId="0" applyFill="1" applyAlignment="1">
      <alignment horizontal="center" vertical="center"/>
    </xf>
    <xf numFmtId="0" fontId="37" fillId="6" borderId="0" xfId="2" applyFont="1" applyFill="1" applyAlignment="1">
      <alignment wrapText="1"/>
    </xf>
    <xf numFmtId="0" fontId="38" fillId="0" borderId="0" xfId="2" applyFont="1" applyAlignment="1">
      <alignment horizontal="center"/>
    </xf>
    <xf numFmtId="0" fontId="38" fillId="15" borderId="0" xfId="2" applyFont="1" applyFill="1" applyAlignment="1">
      <alignment horizontal="center"/>
    </xf>
    <xf numFmtId="0" fontId="42" fillId="16" borderId="0" xfId="2" applyFont="1" applyFill="1" applyAlignment="1">
      <alignment horizontal="left"/>
    </xf>
    <xf numFmtId="0" fontId="37" fillId="6" borderId="0" xfId="2" applyFont="1" applyFill="1" applyAlignment="1">
      <alignment horizontal="left"/>
    </xf>
    <xf numFmtId="164" fontId="0" fillId="4" borderId="5" xfId="0" applyNumberFormat="1" applyFill="1" applyBorder="1" applyAlignment="1" applyProtection="1">
      <alignment vertical="center"/>
      <protection locked="0"/>
    </xf>
  </cellXfs>
  <cellStyles count="4">
    <cellStyle name="Hyperlink 2" xfId="3" xr:uid="{08C85E1F-B41A-40C0-8AE8-BFD81B298868}"/>
    <cellStyle name="Normal" xfId="0" builtinId="0"/>
    <cellStyle name="Normal 2" xfId="1" xr:uid="{29449CF3-4FE0-4DA3-8334-BCFB421E2FFF}"/>
    <cellStyle name="Normal 4" xfId="2" xr:uid="{9A2E875C-42E1-4BC6-B60D-1F6BFABDB2CC}"/>
  </cellStyles>
  <dxfs count="27">
    <dxf>
      <font>
        <b/>
        <i val="0"/>
      </font>
      <fill>
        <patternFill>
          <bgColor rgb="FF00B050"/>
        </patternFill>
      </fill>
    </dxf>
    <dxf>
      <font>
        <b/>
        <i val="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499984740745262"/>
        </patternFill>
      </fill>
    </dxf>
    <dxf>
      <font>
        <b/>
        <i val="0"/>
        <color rgb="FFFF0000"/>
      </font>
    </dxf>
    <dxf>
      <font>
        <b/>
        <i val="0"/>
        <color rgb="FFFF0000"/>
      </font>
    </dxf>
    <dxf>
      <fill>
        <patternFill>
          <bgColor theme="0" tint="-0.499984740745262"/>
        </patternFill>
      </fill>
    </dxf>
    <dxf>
      <fill>
        <patternFill>
          <bgColor theme="0" tint="-0.499984740745262"/>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s>
  <tableStyles count="0" defaultTableStyle="TableStyleMedium2" defaultPivotStyle="PivotStyleLight16"/>
  <colors>
    <mruColors>
      <color rgb="FF0000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3.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4.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600" b="1"/>
              <a:t>Bode Plot, V</a:t>
            </a:r>
            <a:r>
              <a:rPr lang="en-US" sz="1600" b="1" baseline="-25000"/>
              <a:t>IN</a:t>
            </a:r>
            <a:r>
              <a:rPr lang="en-US" sz="1600" b="1" baseline="0"/>
              <a:t> = V</a:t>
            </a:r>
            <a:r>
              <a:rPr lang="en-US" sz="1600" b="1" baseline="-25000"/>
              <a:t>IN_</a:t>
            </a:r>
            <a:r>
              <a:rPr lang="en-US" altLang="zh-CN" sz="1600" b="1" baseline="-25000"/>
              <a:t>min</a:t>
            </a:r>
            <a:endParaRPr lang="en-US" sz="1600" b="1" baseline="-25000"/>
          </a:p>
        </c:rich>
      </c:tx>
      <c:layout>
        <c:manualLayout>
          <c:xMode val="edge"/>
          <c:yMode val="edge"/>
          <c:x val="0.29050487746448045"/>
          <c:y val="6.1117024867554199E-3"/>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0176148065517035"/>
          <c:y val="0.12346639975238767"/>
          <c:w val="0.78210304220761351"/>
          <c:h val="0.70447321397542961"/>
        </c:manualLayout>
      </c:layout>
      <c:scatterChart>
        <c:scatterStyle val="smoothMarker"/>
        <c:varyColors val="0"/>
        <c:ser>
          <c:idx val="0"/>
          <c:order val="0"/>
          <c:tx>
            <c:v>Gain</c:v>
          </c:tx>
          <c:spPr>
            <a:ln w="28575" cap="rnd">
              <a:solidFill>
                <a:srgbClr val="0070C0"/>
              </a:solidFill>
              <a:round/>
            </a:ln>
            <a:effectLst/>
          </c:spPr>
          <c:marker>
            <c:symbol val="none"/>
          </c:marker>
          <c:xVal>
            <c:numRef>
              <c:f>Loop_Response!$I$3:$I$403</c:f>
              <c:numCache>
                <c:formatCode>###,###,###,###</c:formatCode>
                <c:ptCount val="401"/>
                <c:pt idx="0">
                  <c:v>100</c:v>
                </c:pt>
                <c:pt idx="1">
                  <c:v>102.32929922807543</c:v>
                </c:pt>
                <c:pt idx="2">
                  <c:v>104.71285480508999</c:v>
                </c:pt>
                <c:pt idx="3">
                  <c:v>107.15193052376068</c:v>
                </c:pt>
                <c:pt idx="4">
                  <c:v>109.64781961431854</c:v>
                </c:pt>
                <c:pt idx="5">
                  <c:v>112.20184543019636</c:v>
                </c:pt>
                <c:pt idx="6">
                  <c:v>114.81536214968834</c:v>
                </c:pt>
                <c:pt idx="7">
                  <c:v>117.489755493953</c:v>
                </c:pt>
                <c:pt idx="8">
                  <c:v>120.22644346174133</c:v>
                </c:pt>
                <c:pt idx="9">
                  <c:v>123.02687708123818</c:v>
                </c:pt>
                <c:pt idx="10">
                  <c:v>125.8925411794168</c:v>
                </c:pt>
                <c:pt idx="11">
                  <c:v>128.82495516931345</c:v>
                </c:pt>
                <c:pt idx="12">
                  <c:v>131.82567385564076</c:v>
                </c:pt>
                <c:pt idx="13">
                  <c:v>134.89628825916535</c:v>
                </c:pt>
                <c:pt idx="14">
                  <c:v>138.03842646028852</c:v>
                </c:pt>
                <c:pt idx="15">
                  <c:v>141.25375446227542</c:v>
                </c:pt>
                <c:pt idx="16">
                  <c:v>144.54397707459276</c:v>
                </c:pt>
                <c:pt idx="17">
                  <c:v>147.91083881682073</c:v>
                </c:pt>
                <c:pt idx="18">
                  <c:v>151.35612484362088</c:v>
                </c:pt>
                <c:pt idx="19">
                  <c:v>154.88166189124817</c:v>
                </c:pt>
                <c:pt idx="20">
                  <c:v>158.48931924611136</c:v>
                </c:pt>
                <c:pt idx="21">
                  <c:v>162.18100973589299</c:v>
                </c:pt>
                <c:pt idx="22">
                  <c:v>165.95869074375614</c:v>
                </c:pt>
                <c:pt idx="23">
                  <c:v>169.82436524617447</c:v>
                </c:pt>
                <c:pt idx="24">
                  <c:v>173.78008287493756</c:v>
                </c:pt>
                <c:pt idx="25">
                  <c:v>177.82794100389236</c:v>
                </c:pt>
                <c:pt idx="26">
                  <c:v>181.97008586099841</c:v>
                </c:pt>
                <c:pt idx="27">
                  <c:v>186.2087136662868</c:v>
                </c:pt>
                <c:pt idx="28">
                  <c:v>190.54607179632478</c:v>
                </c:pt>
                <c:pt idx="29">
                  <c:v>194.98445997580464</c:v>
                </c:pt>
                <c:pt idx="30">
                  <c:v>199.52623149688804</c:v>
                </c:pt>
                <c:pt idx="31">
                  <c:v>204.17379446695298</c:v>
                </c:pt>
                <c:pt idx="32">
                  <c:v>208.92961308540401</c:v>
                </c:pt>
                <c:pt idx="33">
                  <c:v>213.79620895022333</c:v>
                </c:pt>
                <c:pt idx="34">
                  <c:v>218.77616239495538</c:v>
                </c:pt>
                <c:pt idx="35">
                  <c:v>223.87211385683403</c:v>
                </c:pt>
                <c:pt idx="36">
                  <c:v>229.08676527677738</c:v>
                </c:pt>
                <c:pt idx="37">
                  <c:v>234.42288153199235</c:v>
                </c:pt>
                <c:pt idx="38">
                  <c:v>239.88329190194906</c:v>
                </c:pt>
                <c:pt idx="39">
                  <c:v>245.47089156850305</c:v>
                </c:pt>
                <c:pt idx="40">
                  <c:v>251.188643150958</c:v>
                </c:pt>
                <c:pt idx="41">
                  <c:v>257.03957827688646</c:v>
                </c:pt>
                <c:pt idx="42">
                  <c:v>263.02679918953822</c:v>
                </c:pt>
                <c:pt idx="43">
                  <c:v>269.15348039269156</c:v>
                </c:pt>
                <c:pt idx="44">
                  <c:v>275.42287033381666</c:v>
                </c:pt>
                <c:pt idx="45">
                  <c:v>281.83829312644548</c:v>
                </c:pt>
                <c:pt idx="46">
                  <c:v>288.40315031266067</c:v>
                </c:pt>
                <c:pt idx="47">
                  <c:v>295.12092266663865</c:v>
                </c:pt>
                <c:pt idx="48">
                  <c:v>301.99517204020162</c:v>
                </c:pt>
                <c:pt idx="49">
                  <c:v>309.0295432513592</c:v>
                </c:pt>
                <c:pt idx="50">
                  <c:v>316.22776601683802</c:v>
                </c:pt>
                <c:pt idx="51">
                  <c:v>323.59365692962831</c:v>
                </c:pt>
                <c:pt idx="52">
                  <c:v>331.13112148259125</c:v>
                </c:pt>
                <c:pt idx="53">
                  <c:v>338.84415613920271</c:v>
                </c:pt>
                <c:pt idx="54">
                  <c:v>346.73685045253183</c:v>
                </c:pt>
                <c:pt idx="55">
                  <c:v>354.81338923357555</c:v>
                </c:pt>
                <c:pt idx="56">
                  <c:v>363.07805477010157</c:v>
                </c:pt>
                <c:pt idx="57">
                  <c:v>371.53522909717276</c:v>
                </c:pt>
                <c:pt idx="58">
                  <c:v>380.1893963205614</c:v>
                </c:pt>
                <c:pt idx="59">
                  <c:v>389.04514499428075</c:v>
                </c:pt>
                <c:pt idx="60">
                  <c:v>398.10717055349755</c:v>
                </c:pt>
                <c:pt idx="61">
                  <c:v>407.38027780411301</c:v>
                </c:pt>
                <c:pt idx="62">
                  <c:v>416.86938347033561</c:v>
                </c:pt>
                <c:pt idx="63">
                  <c:v>426.57951880159266</c:v>
                </c:pt>
                <c:pt idx="64">
                  <c:v>436.51583224016611</c:v>
                </c:pt>
                <c:pt idx="65">
                  <c:v>446.68359215096325</c:v>
                </c:pt>
                <c:pt idx="66">
                  <c:v>457.08818961487509</c:v>
                </c:pt>
                <c:pt idx="67">
                  <c:v>467.73514128719819</c:v>
                </c:pt>
                <c:pt idx="68">
                  <c:v>478.63009232263857</c:v>
                </c:pt>
                <c:pt idx="69">
                  <c:v>489.77881936844631</c:v>
                </c:pt>
                <c:pt idx="70">
                  <c:v>501.18723362727235</c:v>
                </c:pt>
                <c:pt idx="71">
                  <c:v>512.86138399136485</c:v>
                </c:pt>
                <c:pt idx="72">
                  <c:v>524.80746024977282</c:v>
                </c:pt>
                <c:pt idx="73">
                  <c:v>537.03179637025289</c:v>
                </c:pt>
                <c:pt idx="74">
                  <c:v>549.54087385762466</c:v>
                </c:pt>
                <c:pt idx="75">
                  <c:v>562.34132519034915</c:v>
                </c:pt>
                <c:pt idx="76">
                  <c:v>575.43993733715695</c:v>
                </c:pt>
                <c:pt idx="77">
                  <c:v>588.84365535558948</c:v>
                </c:pt>
                <c:pt idx="78">
                  <c:v>602.55958607435821</c:v>
                </c:pt>
                <c:pt idx="79">
                  <c:v>616.59500186148261</c:v>
                </c:pt>
                <c:pt idx="80">
                  <c:v>630.95734448019368</c:v>
                </c:pt>
                <c:pt idx="81">
                  <c:v>645.65422903465583</c:v>
                </c:pt>
                <c:pt idx="82">
                  <c:v>660.6934480075962</c:v>
                </c:pt>
                <c:pt idx="83">
                  <c:v>676.0829753919819</c:v>
                </c:pt>
                <c:pt idx="84">
                  <c:v>691.8309709189366</c:v>
                </c:pt>
                <c:pt idx="85">
                  <c:v>707.94578438413862</c:v>
                </c:pt>
                <c:pt idx="86">
                  <c:v>724.4359600749907</c:v>
                </c:pt>
                <c:pt idx="87">
                  <c:v>741.31024130091816</c:v>
                </c:pt>
                <c:pt idx="88">
                  <c:v>758.57757502918366</c:v>
                </c:pt>
                <c:pt idx="89">
                  <c:v>776.2471166286922</c:v>
                </c:pt>
                <c:pt idx="90">
                  <c:v>794.32823472428197</c:v>
                </c:pt>
                <c:pt idx="91">
                  <c:v>812.83051616409966</c:v>
                </c:pt>
                <c:pt idx="92">
                  <c:v>831.76377110267129</c:v>
                </c:pt>
                <c:pt idx="93">
                  <c:v>851.13803820237661</c:v>
                </c:pt>
                <c:pt idx="94">
                  <c:v>870.96358995608068</c:v>
                </c:pt>
                <c:pt idx="95">
                  <c:v>891.25093813374565</c:v>
                </c:pt>
                <c:pt idx="96">
                  <c:v>912.01083935590975</c:v>
                </c:pt>
                <c:pt idx="97">
                  <c:v>933.25430079699174</c:v>
                </c:pt>
                <c:pt idx="98">
                  <c:v>954.99258602143652</c:v>
                </c:pt>
                <c:pt idx="99">
                  <c:v>977.23722095581127</c:v>
                </c:pt>
                <c:pt idx="100">
                  <c:v>1000</c:v>
                </c:pt>
                <c:pt idx="101">
                  <c:v>1023.2929922807544</c:v>
                </c:pt>
                <c:pt idx="102">
                  <c:v>1047.1285480508998</c:v>
                </c:pt>
                <c:pt idx="103">
                  <c:v>1071.5193052376067</c:v>
                </c:pt>
                <c:pt idx="104">
                  <c:v>1096.4781961431861</c:v>
                </c:pt>
                <c:pt idx="105">
                  <c:v>1122.0184543019634</c:v>
                </c:pt>
                <c:pt idx="106">
                  <c:v>1148.1536214968835</c:v>
                </c:pt>
                <c:pt idx="107">
                  <c:v>1174.8975549395293</c:v>
                </c:pt>
                <c:pt idx="108">
                  <c:v>1202.2644346174136</c:v>
                </c:pt>
                <c:pt idx="109">
                  <c:v>1230.2687708123822</c:v>
                </c:pt>
                <c:pt idx="110">
                  <c:v>1258.9254117941678</c:v>
                </c:pt>
                <c:pt idx="111">
                  <c:v>1288.2495516931342</c:v>
                </c:pt>
                <c:pt idx="112">
                  <c:v>1318.2567385564084</c:v>
                </c:pt>
                <c:pt idx="113">
                  <c:v>1348.9628825916539</c:v>
                </c:pt>
                <c:pt idx="114">
                  <c:v>1380.3842646028861</c:v>
                </c:pt>
                <c:pt idx="115">
                  <c:v>1412.5375446227542</c:v>
                </c:pt>
                <c:pt idx="116">
                  <c:v>1445.4397707459284</c:v>
                </c:pt>
                <c:pt idx="117">
                  <c:v>1479.1083881682084</c:v>
                </c:pt>
                <c:pt idx="118">
                  <c:v>1513.5612484362091</c:v>
                </c:pt>
                <c:pt idx="119">
                  <c:v>1548.816618912482</c:v>
                </c:pt>
                <c:pt idx="120">
                  <c:v>1584.8931924611154</c:v>
                </c:pt>
                <c:pt idx="121">
                  <c:v>1621.8100973589303</c:v>
                </c:pt>
                <c:pt idx="122">
                  <c:v>1659.5869074375623</c:v>
                </c:pt>
                <c:pt idx="123">
                  <c:v>1698.2436524617444</c:v>
                </c:pt>
                <c:pt idx="124">
                  <c:v>1737.8008287493767</c:v>
                </c:pt>
                <c:pt idx="125">
                  <c:v>1778.2794100389242</c:v>
                </c:pt>
                <c:pt idx="126">
                  <c:v>1819.700858609983</c:v>
                </c:pt>
                <c:pt idx="127">
                  <c:v>1862.0871366628685</c:v>
                </c:pt>
                <c:pt idx="128">
                  <c:v>1905.460717963248</c:v>
                </c:pt>
                <c:pt idx="129">
                  <c:v>1949.8445997580459</c:v>
                </c:pt>
                <c:pt idx="130">
                  <c:v>1995.2623149688802</c:v>
                </c:pt>
                <c:pt idx="131">
                  <c:v>2041.7379446695315</c:v>
                </c:pt>
                <c:pt idx="132">
                  <c:v>2089.2961308540398</c:v>
                </c:pt>
                <c:pt idx="133">
                  <c:v>2137.962089502234</c:v>
                </c:pt>
                <c:pt idx="134">
                  <c:v>2187.7616239495524</c:v>
                </c:pt>
                <c:pt idx="135">
                  <c:v>2238.7211385683413</c:v>
                </c:pt>
                <c:pt idx="136">
                  <c:v>2290.8676527677744</c:v>
                </c:pt>
                <c:pt idx="137">
                  <c:v>2344.2288153199233</c:v>
                </c:pt>
                <c:pt idx="138">
                  <c:v>2398.8329190194913</c:v>
                </c:pt>
                <c:pt idx="139">
                  <c:v>2454.7089156850329</c:v>
                </c:pt>
                <c:pt idx="140">
                  <c:v>2511.8864315095807</c:v>
                </c:pt>
                <c:pt idx="141">
                  <c:v>2570.3957827688664</c:v>
                </c:pt>
                <c:pt idx="142">
                  <c:v>2630.2679918953818</c:v>
                </c:pt>
                <c:pt idx="143">
                  <c:v>2691.5348039269179</c:v>
                </c:pt>
                <c:pt idx="144">
                  <c:v>2754.2287033381681</c:v>
                </c:pt>
                <c:pt idx="145">
                  <c:v>2818.3829312644552</c:v>
                </c:pt>
                <c:pt idx="146">
                  <c:v>2884.0315031266073</c:v>
                </c:pt>
                <c:pt idx="147">
                  <c:v>2951.2092266663894</c:v>
                </c:pt>
                <c:pt idx="148">
                  <c:v>3019.9517204020167</c:v>
                </c:pt>
                <c:pt idx="149">
                  <c:v>3090.2954325135938</c:v>
                </c:pt>
                <c:pt idx="150">
                  <c:v>3162.2776601683827</c:v>
                </c:pt>
                <c:pt idx="151">
                  <c:v>3235.9365692962824</c:v>
                </c:pt>
                <c:pt idx="152">
                  <c:v>3311.3112148259138</c:v>
                </c:pt>
                <c:pt idx="153">
                  <c:v>3388.4415613920246</c:v>
                </c:pt>
                <c:pt idx="154">
                  <c:v>3467.3685045253183</c:v>
                </c:pt>
                <c:pt idx="155">
                  <c:v>3548.1338923357566</c:v>
                </c:pt>
                <c:pt idx="156">
                  <c:v>3630.7805477010152</c:v>
                </c:pt>
                <c:pt idx="157">
                  <c:v>3715.3522909717267</c:v>
                </c:pt>
                <c:pt idx="158">
                  <c:v>3801.8939632056163</c:v>
                </c:pt>
                <c:pt idx="159">
                  <c:v>3890.4514499428064</c:v>
                </c:pt>
                <c:pt idx="160">
                  <c:v>3981.071705534976</c:v>
                </c:pt>
                <c:pt idx="161">
                  <c:v>4073.8027780411271</c:v>
                </c:pt>
                <c:pt idx="162">
                  <c:v>4168.6938347033574</c:v>
                </c:pt>
                <c:pt idx="163">
                  <c:v>4265.7951880159289</c:v>
                </c:pt>
                <c:pt idx="164">
                  <c:v>4365.1583224016622</c:v>
                </c:pt>
                <c:pt idx="165">
                  <c:v>4466.8359215096334</c:v>
                </c:pt>
                <c:pt idx="166">
                  <c:v>4570.8818961487559</c:v>
                </c:pt>
                <c:pt idx="167">
                  <c:v>4677.3514128719835</c:v>
                </c:pt>
                <c:pt idx="168">
                  <c:v>4786.3009232263885</c:v>
                </c:pt>
                <c:pt idx="169">
                  <c:v>4897.7881936844624</c:v>
                </c:pt>
                <c:pt idx="170">
                  <c:v>5011.8723362727269</c:v>
                </c:pt>
                <c:pt idx="171">
                  <c:v>5128.6138399136516</c:v>
                </c:pt>
                <c:pt idx="172">
                  <c:v>5248.0746024977288</c:v>
                </c:pt>
                <c:pt idx="173">
                  <c:v>5370.3179637025296</c:v>
                </c:pt>
                <c:pt idx="174">
                  <c:v>5495.4087385762532</c:v>
                </c:pt>
                <c:pt idx="175">
                  <c:v>5623.4132519034929</c:v>
                </c:pt>
                <c:pt idx="176">
                  <c:v>5754.3993733715706</c:v>
                </c:pt>
                <c:pt idx="177">
                  <c:v>5888.4365535558954</c:v>
                </c:pt>
                <c:pt idx="178">
                  <c:v>6025.5958607435778</c:v>
                </c:pt>
                <c:pt idx="179">
                  <c:v>6165.9500186148271</c:v>
                </c:pt>
                <c:pt idx="180">
                  <c:v>6309.5734448019321</c:v>
                </c:pt>
                <c:pt idx="181">
                  <c:v>6456.5422903465596</c:v>
                </c:pt>
                <c:pt idx="182">
                  <c:v>6606.9344800759645</c:v>
                </c:pt>
                <c:pt idx="183">
                  <c:v>6760.8297539198211</c:v>
                </c:pt>
                <c:pt idx="184">
                  <c:v>6918.3097091893669</c:v>
                </c:pt>
                <c:pt idx="185">
                  <c:v>7079.4578438413873</c:v>
                </c:pt>
                <c:pt idx="186">
                  <c:v>7244.3596007499027</c:v>
                </c:pt>
                <c:pt idx="187">
                  <c:v>7413.1024130091828</c:v>
                </c:pt>
                <c:pt idx="188">
                  <c:v>7585.7757502918375</c:v>
                </c:pt>
                <c:pt idx="189">
                  <c:v>7762.4711662869231</c:v>
                </c:pt>
                <c:pt idx="190">
                  <c:v>7943.2823472428208</c:v>
                </c:pt>
                <c:pt idx="191">
                  <c:v>8128.3051616409975</c:v>
                </c:pt>
                <c:pt idx="192">
                  <c:v>8317.6377110267131</c:v>
                </c:pt>
                <c:pt idx="193">
                  <c:v>8511.3803820237772</c:v>
                </c:pt>
                <c:pt idx="194">
                  <c:v>8709.6358995608098</c:v>
                </c:pt>
                <c:pt idx="195">
                  <c:v>8912.509381337466</c:v>
                </c:pt>
                <c:pt idx="196">
                  <c:v>9120.1083935590977</c:v>
                </c:pt>
                <c:pt idx="197">
                  <c:v>9332.5430079699199</c:v>
                </c:pt>
                <c:pt idx="198">
                  <c:v>9549.9258602143673</c:v>
                </c:pt>
                <c:pt idx="199">
                  <c:v>9772.3722095581143</c:v>
                </c:pt>
                <c:pt idx="200">
                  <c:v>10000</c:v>
                </c:pt>
                <c:pt idx="201">
                  <c:v>10232.929922807547</c:v>
                </c:pt>
                <c:pt idx="202">
                  <c:v>10471.285480508999</c:v>
                </c:pt>
                <c:pt idx="203">
                  <c:v>10715.193052376069</c:v>
                </c:pt>
                <c:pt idx="204">
                  <c:v>10964.781961431863</c:v>
                </c:pt>
                <c:pt idx="205">
                  <c:v>11220.184543019637</c:v>
                </c:pt>
                <c:pt idx="206">
                  <c:v>11481.536214968839</c:v>
                </c:pt>
                <c:pt idx="207">
                  <c:v>11748.975549395294</c:v>
                </c:pt>
                <c:pt idx="208">
                  <c:v>12022.644346174138</c:v>
                </c:pt>
                <c:pt idx="209">
                  <c:v>12302.687708123824</c:v>
                </c:pt>
                <c:pt idx="210">
                  <c:v>12589.25411794168</c:v>
                </c:pt>
                <c:pt idx="211">
                  <c:v>12882.495516931347</c:v>
                </c:pt>
                <c:pt idx="212">
                  <c:v>13182.567385564089</c:v>
                </c:pt>
                <c:pt idx="213">
                  <c:v>13489.628825916541</c:v>
                </c:pt>
                <c:pt idx="214">
                  <c:v>13803.842646028863</c:v>
                </c:pt>
                <c:pt idx="215">
                  <c:v>14125.375446227545</c:v>
                </c:pt>
                <c:pt idx="216">
                  <c:v>14454.397707459288</c:v>
                </c:pt>
                <c:pt idx="217">
                  <c:v>14791.083881682087</c:v>
                </c:pt>
                <c:pt idx="218">
                  <c:v>15135.612484362093</c:v>
                </c:pt>
                <c:pt idx="219">
                  <c:v>15488.166189124822</c:v>
                </c:pt>
                <c:pt idx="220">
                  <c:v>15848.931924611155</c:v>
                </c:pt>
                <c:pt idx="221">
                  <c:v>16218.100973589308</c:v>
                </c:pt>
                <c:pt idx="222">
                  <c:v>16595.869074375627</c:v>
                </c:pt>
                <c:pt idx="223">
                  <c:v>16982.436524617446</c:v>
                </c:pt>
                <c:pt idx="224">
                  <c:v>17378.008287493773</c:v>
                </c:pt>
                <c:pt idx="225">
                  <c:v>17782.794100389245</c:v>
                </c:pt>
                <c:pt idx="226">
                  <c:v>18197.008586099833</c:v>
                </c:pt>
                <c:pt idx="227">
                  <c:v>18620.871366628686</c:v>
                </c:pt>
                <c:pt idx="228">
                  <c:v>19054.607179632483</c:v>
                </c:pt>
                <c:pt idx="229">
                  <c:v>19498.445997580464</c:v>
                </c:pt>
                <c:pt idx="230">
                  <c:v>19952.623149688803</c:v>
                </c:pt>
                <c:pt idx="231">
                  <c:v>20417.379446695319</c:v>
                </c:pt>
                <c:pt idx="232">
                  <c:v>20892.961308540398</c:v>
                </c:pt>
                <c:pt idx="233">
                  <c:v>21379.620895022344</c:v>
                </c:pt>
                <c:pt idx="234">
                  <c:v>21877.616239495528</c:v>
                </c:pt>
                <c:pt idx="235">
                  <c:v>22387.211385683418</c:v>
                </c:pt>
                <c:pt idx="236">
                  <c:v>22908.676527677748</c:v>
                </c:pt>
                <c:pt idx="237">
                  <c:v>23442.288153199239</c:v>
                </c:pt>
                <c:pt idx="238">
                  <c:v>23988.32919019492</c:v>
                </c:pt>
                <c:pt idx="239">
                  <c:v>24547.089156850339</c:v>
                </c:pt>
                <c:pt idx="240">
                  <c:v>25118.864315095812</c:v>
                </c:pt>
                <c:pt idx="241">
                  <c:v>25703.957827688668</c:v>
                </c:pt>
                <c:pt idx="242">
                  <c:v>26302.679918953821</c:v>
                </c:pt>
                <c:pt idx="243">
                  <c:v>26915.348039269185</c:v>
                </c:pt>
                <c:pt idx="244">
                  <c:v>27542.28703338169</c:v>
                </c:pt>
                <c:pt idx="245">
                  <c:v>28183.829312644561</c:v>
                </c:pt>
                <c:pt idx="246">
                  <c:v>28840.315031266076</c:v>
                </c:pt>
                <c:pt idx="247">
                  <c:v>29512.092266663898</c:v>
                </c:pt>
                <c:pt idx="248">
                  <c:v>30199.517204020176</c:v>
                </c:pt>
                <c:pt idx="249">
                  <c:v>30902.954325135921</c:v>
                </c:pt>
                <c:pt idx="250">
                  <c:v>31622.776601683803</c:v>
                </c:pt>
                <c:pt idx="251">
                  <c:v>32359.365692962834</c:v>
                </c:pt>
                <c:pt idx="252">
                  <c:v>33113.112148259112</c:v>
                </c:pt>
                <c:pt idx="253">
                  <c:v>33884.415613920253</c:v>
                </c:pt>
                <c:pt idx="254">
                  <c:v>34673.685045253224</c:v>
                </c:pt>
                <c:pt idx="255">
                  <c:v>35481.338923357536</c:v>
                </c:pt>
                <c:pt idx="256">
                  <c:v>36307.805477010188</c:v>
                </c:pt>
                <c:pt idx="257">
                  <c:v>37153.522909717241</c:v>
                </c:pt>
                <c:pt idx="258">
                  <c:v>38018.939632056172</c:v>
                </c:pt>
                <c:pt idx="259">
                  <c:v>38904.514499428107</c:v>
                </c:pt>
                <c:pt idx="260">
                  <c:v>39810.717055349771</c:v>
                </c:pt>
                <c:pt idx="261">
                  <c:v>40738.027780411314</c:v>
                </c:pt>
                <c:pt idx="262">
                  <c:v>41686.938347033582</c:v>
                </c:pt>
                <c:pt idx="263">
                  <c:v>42657.9518801593</c:v>
                </c:pt>
                <c:pt idx="264">
                  <c:v>43651.583224016635</c:v>
                </c:pt>
                <c:pt idx="265">
                  <c:v>44668.359215096345</c:v>
                </c:pt>
                <c:pt idx="266">
                  <c:v>45708.81896148753</c:v>
                </c:pt>
                <c:pt idx="267">
                  <c:v>46773.514128719842</c:v>
                </c:pt>
                <c:pt idx="268">
                  <c:v>47863.009232263852</c:v>
                </c:pt>
                <c:pt idx="269">
                  <c:v>48977.881936844635</c:v>
                </c:pt>
                <c:pt idx="270">
                  <c:v>50118.723362727324</c:v>
                </c:pt>
                <c:pt idx="271">
                  <c:v>51286.138399136486</c:v>
                </c:pt>
                <c:pt idx="272">
                  <c:v>52480.74602497735</c:v>
                </c:pt>
                <c:pt idx="273">
                  <c:v>53703.17963702527</c:v>
                </c:pt>
                <c:pt idx="274">
                  <c:v>54954.087385762541</c:v>
                </c:pt>
                <c:pt idx="275">
                  <c:v>56234.132519034989</c:v>
                </c:pt>
                <c:pt idx="276">
                  <c:v>57543.993733715673</c:v>
                </c:pt>
                <c:pt idx="277">
                  <c:v>58884.365535558973</c:v>
                </c:pt>
                <c:pt idx="278">
                  <c:v>60255.958607435852</c:v>
                </c:pt>
                <c:pt idx="279">
                  <c:v>61659.500186148289</c:v>
                </c:pt>
                <c:pt idx="280">
                  <c:v>63095.734448019386</c:v>
                </c:pt>
                <c:pt idx="281">
                  <c:v>64565.422903465616</c:v>
                </c:pt>
                <c:pt idx="282">
                  <c:v>66069.34480075966</c:v>
                </c:pt>
                <c:pt idx="283">
                  <c:v>67608.297539198233</c:v>
                </c:pt>
                <c:pt idx="284">
                  <c:v>69183.097091893695</c:v>
                </c:pt>
                <c:pt idx="285">
                  <c:v>70794.578438413824</c:v>
                </c:pt>
                <c:pt idx="286">
                  <c:v>72443.596007499029</c:v>
                </c:pt>
                <c:pt idx="287">
                  <c:v>74131.02413009177</c:v>
                </c:pt>
                <c:pt idx="288">
                  <c:v>75857.757502918394</c:v>
                </c:pt>
                <c:pt idx="289">
                  <c:v>77624.711662869318</c:v>
                </c:pt>
                <c:pt idx="290">
                  <c:v>79432.82347242815</c:v>
                </c:pt>
                <c:pt idx="291">
                  <c:v>81283.05161641007</c:v>
                </c:pt>
                <c:pt idx="292">
                  <c:v>83176.377110267087</c:v>
                </c:pt>
                <c:pt idx="293">
                  <c:v>85113.803820237779</c:v>
                </c:pt>
                <c:pt idx="294">
                  <c:v>87096.358995608185</c:v>
                </c:pt>
                <c:pt idx="295">
                  <c:v>89125.093813374682</c:v>
                </c:pt>
                <c:pt idx="296">
                  <c:v>91201.083935591087</c:v>
                </c:pt>
                <c:pt idx="297">
                  <c:v>93325.430079699217</c:v>
                </c:pt>
                <c:pt idx="298">
                  <c:v>95499.258602143687</c:v>
                </c:pt>
                <c:pt idx="299">
                  <c:v>97723.722095581164</c:v>
                </c:pt>
                <c:pt idx="300">
                  <c:v>100000</c:v>
                </c:pt>
                <c:pt idx="301">
                  <c:v>102329.29922807548</c:v>
                </c:pt>
                <c:pt idx="302">
                  <c:v>104712.85480509003</c:v>
                </c:pt>
                <c:pt idx="303">
                  <c:v>107151.9305237607</c:v>
                </c:pt>
                <c:pt idx="304">
                  <c:v>109647.81961431856</c:v>
                </c:pt>
                <c:pt idx="305">
                  <c:v>112201.84543019639</c:v>
                </c:pt>
                <c:pt idx="306">
                  <c:v>114815.36214968831</c:v>
                </c:pt>
                <c:pt idx="307">
                  <c:v>117489.75549395318</c:v>
                </c:pt>
                <c:pt idx="308">
                  <c:v>120226.44346174151</c:v>
                </c:pt>
                <c:pt idx="309">
                  <c:v>123026.87708123817</c:v>
                </c:pt>
                <c:pt idx="310">
                  <c:v>125892.54117941672</c:v>
                </c:pt>
                <c:pt idx="311">
                  <c:v>128824.9551693136</c:v>
                </c:pt>
                <c:pt idx="312">
                  <c:v>131825.6738556409</c:v>
                </c:pt>
                <c:pt idx="313">
                  <c:v>134896.28825916557</c:v>
                </c:pt>
                <c:pt idx="314">
                  <c:v>138038.42646028841</c:v>
                </c:pt>
                <c:pt idx="315">
                  <c:v>141253.7544622756</c:v>
                </c:pt>
                <c:pt idx="316">
                  <c:v>144543.9770745929</c:v>
                </c:pt>
                <c:pt idx="317">
                  <c:v>147910.83881682088</c:v>
                </c:pt>
                <c:pt idx="318">
                  <c:v>151356.12484362445</c:v>
                </c:pt>
                <c:pt idx="319">
                  <c:v>154881.66189124854</c:v>
                </c:pt>
                <c:pt idx="320">
                  <c:v>158489.31924611147</c:v>
                </c:pt>
                <c:pt idx="321">
                  <c:v>162181.00973589683</c:v>
                </c:pt>
                <c:pt idx="322">
                  <c:v>165958.69074376026</c:v>
                </c:pt>
                <c:pt idx="323">
                  <c:v>169824.36524617841</c:v>
                </c:pt>
                <c:pt idx="324">
                  <c:v>173780.08287494161</c:v>
                </c:pt>
                <c:pt idx="325">
                  <c:v>177827.94100389644</c:v>
                </c:pt>
                <c:pt idx="326">
                  <c:v>181970.08586100259</c:v>
                </c:pt>
                <c:pt idx="327">
                  <c:v>186208.71366629141</c:v>
                </c:pt>
                <c:pt idx="328">
                  <c:v>190546.07179632946</c:v>
                </c:pt>
                <c:pt idx="329">
                  <c:v>194984.459975809</c:v>
                </c:pt>
                <c:pt idx="330">
                  <c:v>199526.23149689252</c:v>
                </c:pt>
                <c:pt idx="331">
                  <c:v>204173.79446695794</c:v>
                </c:pt>
                <c:pt idx="332">
                  <c:v>208929.61308540907</c:v>
                </c:pt>
                <c:pt idx="333">
                  <c:v>213796.20895022844</c:v>
                </c:pt>
                <c:pt idx="334">
                  <c:v>218776.16239496018</c:v>
                </c:pt>
                <c:pt idx="335">
                  <c:v>223872.11385683939</c:v>
                </c:pt>
                <c:pt idx="336">
                  <c:v>229086.76527678283</c:v>
                </c:pt>
                <c:pt idx="337">
                  <c:v>234422.88153199785</c:v>
                </c:pt>
                <c:pt idx="338">
                  <c:v>239883.29190195477</c:v>
                </c:pt>
                <c:pt idx="339">
                  <c:v>245470.89156850934</c:v>
                </c:pt>
                <c:pt idx="340">
                  <c:v>251188.643150964</c:v>
                </c:pt>
                <c:pt idx="341">
                  <c:v>257039.57827689245</c:v>
                </c:pt>
                <c:pt idx="342">
                  <c:v>263026.79918954434</c:v>
                </c:pt>
                <c:pt idx="343">
                  <c:v>269153.48039269837</c:v>
                </c:pt>
                <c:pt idx="344">
                  <c:v>275422.87033382355</c:v>
                </c:pt>
                <c:pt idx="345">
                  <c:v>281838.29312645196</c:v>
                </c:pt>
                <c:pt idx="346">
                  <c:v>288403.15031266725</c:v>
                </c:pt>
                <c:pt idx="347">
                  <c:v>295120.9226666459</c:v>
                </c:pt>
                <c:pt idx="348">
                  <c:v>301995.17204020906</c:v>
                </c:pt>
                <c:pt idx="349">
                  <c:v>309029.54325136665</c:v>
                </c:pt>
                <c:pt idx="350">
                  <c:v>316227.76601684513</c:v>
                </c:pt>
                <c:pt idx="351">
                  <c:v>323593.65692963556</c:v>
                </c:pt>
                <c:pt idx="352">
                  <c:v>331131.12148259912</c:v>
                </c:pt>
                <c:pt idx="353">
                  <c:v>338844.15613921074</c:v>
                </c:pt>
                <c:pt idx="354">
                  <c:v>346736.85045254003</c:v>
                </c:pt>
                <c:pt idx="355">
                  <c:v>354813.38923358335</c:v>
                </c:pt>
                <c:pt idx="356">
                  <c:v>363078.05477011006</c:v>
                </c:pt>
                <c:pt idx="357">
                  <c:v>371535.22909718135</c:v>
                </c:pt>
                <c:pt idx="358">
                  <c:v>380189.39632057026</c:v>
                </c:pt>
                <c:pt idx="359">
                  <c:v>389045.14499428979</c:v>
                </c:pt>
                <c:pt idx="360">
                  <c:v>398107.17055350728</c:v>
                </c:pt>
                <c:pt idx="361">
                  <c:v>407380.27780413168</c:v>
                </c:pt>
                <c:pt idx="362">
                  <c:v>416869.38347035483</c:v>
                </c:pt>
                <c:pt idx="363">
                  <c:v>426579.51880160259</c:v>
                </c:pt>
                <c:pt idx="364">
                  <c:v>436515.83224017685</c:v>
                </c:pt>
                <c:pt idx="365">
                  <c:v>446683.5921509742</c:v>
                </c:pt>
                <c:pt idx="366">
                  <c:v>457088.18961489608</c:v>
                </c:pt>
                <c:pt idx="367">
                  <c:v>467735.14128722053</c:v>
                </c:pt>
                <c:pt idx="368">
                  <c:v>478630.09232266113</c:v>
                </c:pt>
                <c:pt idx="369">
                  <c:v>489778.81936846947</c:v>
                </c:pt>
                <c:pt idx="370">
                  <c:v>501187.23362729524</c:v>
                </c:pt>
                <c:pt idx="371">
                  <c:v>512861.38399138919</c:v>
                </c:pt>
                <c:pt idx="372">
                  <c:v>524807.46024979744</c:v>
                </c:pt>
                <c:pt idx="373">
                  <c:v>537031.79637027811</c:v>
                </c:pt>
                <c:pt idx="374">
                  <c:v>549540.87385765044</c:v>
                </c:pt>
                <c:pt idx="375">
                  <c:v>562341.32519037649</c:v>
                </c:pt>
                <c:pt idx="376">
                  <c:v>575439.93733718398</c:v>
                </c:pt>
                <c:pt idx="377">
                  <c:v>588843.65535561647</c:v>
                </c:pt>
                <c:pt idx="378">
                  <c:v>602559.58607438591</c:v>
                </c:pt>
                <c:pt idx="379">
                  <c:v>616595.00186151091</c:v>
                </c:pt>
                <c:pt idx="380">
                  <c:v>630957.34448022372</c:v>
                </c:pt>
                <c:pt idx="381">
                  <c:v>645654.22903468553</c:v>
                </c:pt>
                <c:pt idx="382">
                  <c:v>660693.44800762658</c:v>
                </c:pt>
                <c:pt idx="383">
                  <c:v>676082.97539201309</c:v>
                </c:pt>
                <c:pt idx="384">
                  <c:v>691830.97091896972</c:v>
                </c:pt>
                <c:pt idx="385">
                  <c:v>707945.78438417171</c:v>
                </c:pt>
                <c:pt idx="386">
                  <c:v>724435.96007502335</c:v>
                </c:pt>
                <c:pt idx="387">
                  <c:v>741310.24130095146</c:v>
                </c:pt>
                <c:pt idx="388">
                  <c:v>758577.57502921985</c:v>
                </c:pt>
                <c:pt idx="389">
                  <c:v>776247.11662872857</c:v>
                </c:pt>
                <c:pt idx="390">
                  <c:v>794328.23472431907</c:v>
                </c:pt>
                <c:pt idx="391">
                  <c:v>812830.51616413763</c:v>
                </c:pt>
                <c:pt idx="392">
                  <c:v>831763.77110271016</c:v>
                </c:pt>
                <c:pt idx="393">
                  <c:v>851138.0382024165</c:v>
                </c:pt>
                <c:pt idx="394">
                  <c:v>870963.58995612152</c:v>
                </c:pt>
                <c:pt idx="395">
                  <c:v>891250.93813378725</c:v>
                </c:pt>
                <c:pt idx="396">
                  <c:v>912010.83935595397</c:v>
                </c:pt>
                <c:pt idx="397">
                  <c:v>933254.30079703464</c:v>
                </c:pt>
                <c:pt idx="398">
                  <c:v>954992.58602148038</c:v>
                </c:pt>
                <c:pt idx="399">
                  <c:v>977237.22095585614</c:v>
                </c:pt>
                <c:pt idx="400">
                  <c:v>1000000.0000000482</c:v>
                </c:pt>
              </c:numCache>
            </c:numRef>
          </c:xVal>
          <c:yVal>
            <c:numRef>
              <c:f>Loop_Response!$K$3:$K$403</c:f>
              <c:numCache>
                <c:formatCode>General</c:formatCode>
                <c:ptCount val="401"/>
                <c:pt idx="0">
                  <c:v>20.628067856850308</c:v>
                </c:pt>
                <c:pt idx="1">
                  <c:v>20.45943388806932</c:v>
                </c:pt>
                <c:pt idx="2">
                  <c:v>20.291518628904594</c:v>
                </c:pt>
                <c:pt idx="3">
                  <c:v>20.124312807626836</c:v>
                </c:pt>
                <c:pt idx="4">
                  <c:v>19.957805284453272</c:v>
                </c:pt>
                <c:pt idx="5">
                  <c:v>19.791983014444728</c:v>
                </c:pt>
                <c:pt idx="6">
                  <c:v>19.626831019291622</c:v>
                </c:pt>
                <c:pt idx="7">
                  <c:v>19.462332368693943</c:v>
                </c:pt>
                <c:pt idx="8">
                  <c:v>19.298468171982634</c:v>
                </c:pt>
                <c:pt idx="9">
                  <c:v>19.13521758056002</c:v>
                </c:pt>
                <c:pt idx="10">
                  <c:v>18.972557801654819</c:v>
                </c:pt>
                <c:pt idx="11">
                  <c:v>18.810464123794382</c:v>
                </c:pt>
                <c:pt idx="12">
                  <c:v>18.648909954292328</c:v>
                </c:pt>
                <c:pt idx="13">
                  <c:v>18.487866868936607</c:v>
                </c:pt>
                <c:pt idx="14">
                  <c:v>18.32730467394159</c:v>
                </c:pt>
                <c:pt idx="15">
                  <c:v>18.167191480099518</c:v>
                </c:pt>
                <c:pt idx="16">
                  <c:v>18.007493788933591</c:v>
                </c:pt>
                <c:pt idx="17">
                  <c:v>17.848176590520538</c:v>
                </c:pt>
                <c:pt idx="18">
                  <c:v>17.689203472513181</c:v>
                </c:pt>
                <c:pt idx="19">
                  <c:v>17.530536739760578</c:v>
                </c:pt>
                <c:pt idx="20">
                  <c:v>17.372137543792213</c:v>
                </c:pt>
                <c:pt idx="21">
                  <c:v>17.213966021309734</c:v>
                </c:pt>
                <c:pt idx="22">
                  <c:v>17.05598144071406</c:v>
                </c:pt>
                <c:pt idx="23">
                  <c:v>16.898142355591581</c:v>
                </c:pt>
                <c:pt idx="24">
                  <c:v>16.740406763991984</c:v>
                </c:pt>
                <c:pt idx="25">
                  <c:v>16.582732272252574</c:v>
                </c:pt>
                <c:pt idx="26">
                  <c:v>16.425076262063833</c:v>
                </c:pt>
                <c:pt idx="27">
                  <c:v>16.267396059426886</c:v>
                </c:pt>
                <c:pt idx="28">
                  <c:v>16.10964910412811</c:v>
                </c:pt>
                <c:pt idx="29">
                  <c:v>15.951793118349432</c:v>
                </c:pt>
                <c:pt idx="30">
                  <c:v>15.793786273044827</c:v>
                </c:pt>
                <c:pt idx="31">
                  <c:v>15.635587350743748</c:v>
                </c:pt>
                <c:pt idx="32">
                  <c:v>15.477155903490994</c:v>
                </c:pt>
                <c:pt idx="33">
                  <c:v>15.318452404697824</c:v>
                </c:pt>
                <c:pt idx="34">
                  <c:v>15.159438393760052</c:v>
                </c:pt>
                <c:pt idx="35">
                  <c:v>15.000076612394388</c:v>
                </c:pt>
                <c:pt idx="36">
                  <c:v>14.840331131751428</c:v>
                </c:pt>
                <c:pt idx="37">
                  <c:v>14.680167469481727</c:v>
                </c:pt>
                <c:pt idx="38">
                  <c:v>14.51955269605682</c:v>
                </c:pt>
                <c:pt idx="39">
                  <c:v>14.35845552977883</c:v>
                </c:pt>
                <c:pt idx="40">
                  <c:v>14.196846420047191</c:v>
                </c:pt>
                <c:pt idx="41">
                  <c:v>14.034697618587012</c:v>
                </c:pt>
                <c:pt idx="42">
                  <c:v>13.871983238478764</c:v>
                </c:pt>
                <c:pt idx="43">
                  <c:v>13.70867930096045</c:v>
                </c:pt>
                <c:pt idx="44">
                  <c:v>13.544763770100342</c:v>
                </c:pt>
                <c:pt idx="45">
                  <c:v>13.380216575557629</c:v>
                </c:pt>
                <c:pt idx="46">
                  <c:v>13.215019623759332</c:v>
                </c:pt>
                <c:pt idx="47">
                  <c:v>13.0491567979235</c:v>
                </c:pt>
                <c:pt idx="48">
                  <c:v>12.882613947448613</c:v>
                </c:pt>
                <c:pt idx="49">
                  <c:v>12.715378867268031</c:v>
                </c:pt>
                <c:pt idx="50">
                  <c:v>12.54744126783517</c:v>
                </c:pt>
                <c:pt idx="51">
                  <c:v>12.378792736459097</c:v>
                </c:pt>
                <c:pt idx="52">
                  <c:v>12.20942669075235</c:v>
                </c:pt>
                <c:pt idx="53">
                  <c:v>12.039338324982454</c:v>
                </c:pt>
                <c:pt idx="54">
                  <c:v>11.868524550136939</c:v>
                </c:pt>
                <c:pt idx="55">
                  <c:v>11.696983928518613</c:v>
                </c:pt>
                <c:pt idx="56">
                  <c:v>11.524716603684606</c:v>
                </c:pt>
                <c:pt idx="57">
                  <c:v>11.351724226530138</c:v>
                </c:pt>
                <c:pt idx="58">
                  <c:v>11.178009878296828</c:v>
                </c:pt>
                <c:pt idx="59">
                  <c:v>11.003577991256808</c:v>
                </c:pt>
                <c:pt idx="60">
                  <c:v>10.828434267789325</c:v>
                </c:pt>
                <c:pt idx="61">
                  <c:v>10.652585598526025</c:v>
                </c:pt>
                <c:pt idx="62">
                  <c:v>10.47603998019701</c:v>
                </c:pt>
                <c:pt idx="63">
                  <c:v>10.298806433762394</c:v>
                </c:pt>
                <c:pt idx="64">
                  <c:v>10.120894923363934</c:v>
                </c:pt>
                <c:pt idx="65">
                  <c:v>9.9423162765807902</c:v>
                </c:pt>
                <c:pt idx="66">
                  <c:v>9.7630821064214075</c:v>
                </c:pt>
                <c:pt idx="67">
                  <c:v>9.5832047354328456</c:v>
                </c:pt>
                <c:pt idx="68">
                  <c:v>9.4026971222578855</c:v>
                </c:pt>
                <c:pt idx="69">
                  <c:v>9.221572790922135</c:v>
                </c:pt>
                <c:pt idx="70">
                  <c:v>9.0398457630857418</c:v>
                </c:pt>
                <c:pt idx="71">
                  <c:v>8.8575304934504118</c:v>
                </c:pt>
                <c:pt idx="72">
                  <c:v>8.6746418084702626</c:v>
                </c:pt>
                <c:pt idx="73">
                  <c:v>8.4911948484760646</c:v>
                </c:pt>
                <c:pt idx="74">
                  <c:v>8.3072050132868487</c:v>
                </c:pt>
                <c:pt idx="75">
                  <c:v>8.1226879113495727</c:v>
                </c:pt>
                <c:pt idx="76">
                  <c:v>7.9376593124186625</c:v>
                </c:pt>
                <c:pt idx="77">
                  <c:v>7.752135103760124</c:v>
                </c:pt>
                <c:pt idx="78">
                  <c:v>7.5661312498421109</c:v>
                </c:pt>
                <c:pt idx="79">
                  <c:v>7.3796637554531852</c:v>
                </c:pt>
                <c:pt idx="80">
                  <c:v>7.1927486321724556</c:v>
                </c:pt>
                <c:pt idx="81">
                  <c:v>7.0054018681005541</c:v>
                </c:pt>
                <c:pt idx="82">
                  <c:v>6.8176394007487335</c:v>
                </c:pt>
                <c:pt idx="83">
                  <c:v>6.6294770929732181</c:v>
                </c:pt>
                <c:pt idx="84">
                  <c:v>6.440930711834457</c:v>
                </c:pt>
                <c:pt idx="85">
                  <c:v>6.2520159102554462</c:v>
                </c:pt>
                <c:pt idx="86">
                  <c:v>6.0627482113492928</c:v>
                </c:pt>
                <c:pt idx="87">
                  <c:v>5.8731429952839029</c:v>
                </c:pt>
                <c:pt idx="88">
                  <c:v>5.6832154885513004</c:v>
                </c:pt>
                <c:pt idx="89">
                  <c:v>5.4929807555090022</c:v>
                </c:pt>
                <c:pt idx="90">
                  <c:v>5.3024536920631711</c:v>
                </c:pt>
                <c:pt idx="91">
                  <c:v>5.1116490213647614</c:v>
                </c:pt>
                <c:pt idx="92">
                  <c:v>4.9205812913942175</c:v>
                </c:pt>
                <c:pt idx="93">
                  <c:v>4.7292648743134782</c:v>
                </c:pt>
                <c:pt idx="94">
                  <c:v>4.5377139674686831</c:v>
                </c:pt>
                <c:pt idx="95">
                  <c:v>4.3459425959319544</c:v>
                </c:pt>
                <c:pt idx="96">
                  <c:v>4.1539646164757169</c:v>
                </c:pt>
                <c:pt idx="97">
                  <c:v>3.9617937228780811</c:v>
                </c:pt>
                <c:pt idx="98">
                  <c:v>3.7694434524639058</c:v>
                </c:pt>
                <c:pt idx="99">
                  <c:v>3.576927193791374</c:v>
                </c:pt>
                <c:pt idx="100">
                  <c:v>3.3842581953991449</c:v>
                </c:pt>
                <c:pt idx="101">
                  <c:v>3.1914495755354451</c:v>
                </c:pt>
                <c:pt idx="102">
                  <c:v>2.9985143327951675</c:v>
                </c:pt>
                <c:pt idx="103">
                  <c:v>2.8054653575964346</c:v>
                </c:pt>
                <c:pt idx="104">
                  <c:v>2.6123154444334395</c:v>
                </c:pt>
                <c:pt idx="105">
                  <c:v>2.4190773048470144</c:v>
                </c:pt>
                <c:pt idx="106">
                  <c:v>2.2257635810585401</c:v>
                </c:pt>
                <c:pt idx="107">
                  <c:v>2.0323868602181823</c:v>
                </c:pt>
                <c:pt idx="108">
                  <c:v>1.83895968922159</c:v>
                </c:pt>
                <c:pt idx="109">
                  <c:v>1.6454945900533786</c:v>
                </c:pt>
                <c:pt idx="110">
                  <c:v>1.452004075618992</c:v>
                </c:pt>
                <c:pt idx="111">
                  <c:v>1.2585006660301905</c:v>
                </c:pt>
                <c:pt idx="112">
                  <c:v>1.0649969053114632</c:v>
                </c:pt>
                <c:pt idx="113">
                  <c:v>0.8715053784981508</c:v>
                </c:pt>
                <c:pt idx="114">
                  <c:v>0.67803872909830443</c:v>
                </c:pt>
                <c:pt idx="115">
                  <c:v>0.48460967689310164</c:v>
                </c:pt>
                <c:pt idx="116">
                  <c:v>0.29123103605132805</c:v>
                </c:pt>
                <c:pt idx="117">
                  <c:v>9.791573353532837E-2</c:v>
                </c:pt>
                <c:pt idx="118">
                  <c:v>-9.5323172223638453E-2</c:v>
                </c:pt>
                <c:pt idx="119">
                  <c:v>-0.28847247240248225</c:v>
                </c:pt>
                <c:pt idx="120">
                  <c:v>-0.48151878863656422</c:v>
                </c:pt>
                <c:pt idx="121">
                  <c:v>-0.67444855366529011</c:v>
                </c:pt>
                <c:pt idx="122">
                  <c:v>-0.86724799179486989</c:v>
                </c:pt>
                <c:pt idx="123">
                  <c:v>-1.0599030992011746</c:v>
                </c:pt>
                <c:pt idx="124">
                  <c:v>-1.2523996240971782</c:v>
                </c:pt>
                <c:pt idx="125">
                  <c:v>-1.4447230467908565</c:v>
                </c:pt>
                <c:pt idx="126">
                  <c:v>-1.6368585596613581</c:v>
                </c:pt>
                <c:pt idx="127">
                  <c:v>-1.828791047084106</c:v>
                </c:pt>
                <c:pt idx="128">
                  <c:v>-2.0205050653378387</c:v>
                </c:pt>
                <c:pt idx="129">
                  <c:v>-2.211984822529975</c:v>
                </c:pt>
                <c:pt idx="130">
                  <c:v>-2.4032141585804347</c:v>
                </c:pt>
                <c:pt idx="131">
                  <c:v>-2.5941765253076872</c:v>
                </c:pt>
                <c:pt idx="132">
                  <c:v>-2.7848549666653901</c:v>
                </c:pt>
                <c:pt idx="133">
                  <c:v>-2.9752320991832062</c:v>
                </c:pt>
                <c:pt idx="134">
                  <c:v>-3.1652900926693963</c:v>
                </c:pt>
                <c:pt idx="135">
                  <c:v>-3.3550106512399966</c:v>
                </c:pt>
                <c:pt idx="136">
                  <c:v>-3.5443749947440062</c:v>
                </c:pt>
                <c:pt idx="137">
                  <c:v>-3.7333638406611507</c:v>
                </c:pt>
                <c:pt idx="138">
                  <c:v>-3.9219573865552571</c:v>
                </c:pt>
                <c:pt idx="139">
                  <c:v>-4.1101352931737738</c:v>
                </c:pt>
                <c:pt idx="140">
                  <c:v>-4.297876668290443</c:v>
                </c:pt>
                <c:pt idx="141">
                  <c:v>-4.4851600513973517</c:v>
                </c:pt>
                <c:pt idx="142">
                  <c:v>-4.6719633993588277</c:v>
                </c:pt>
                <c:pt idx="143">
                  <c:v>-4.8582640731497584</c:v>
                </c:pt>
                <c:pt idx="144">
                  <c:v>-5.0440388258071724</c:v>
                </c:pt>
                <c:pt idx="145">
                  <c:v>-5.2292637917347351</c:v>
                </c:pt>
                <c:pt idx="146">
                  <c:v>-5.4139144775057559</c:v>
                </c:pt>
                <c:pt idx="147">
                  <c:v>-5.5979657543212848</c:v>
                </c:pt>
                <c:pt idx="148">
                  <c:v>-5.7813918522859487</c:v>
                </c:pt>
                <c:pt idx="149">
                  <c:v>-5.9641663566739247</c:v>
                </c:pt>
                <c:pt idx="150">
                  <c:v>-6.1462622063637022</c:v>
                </c:pt>
                <c:pt idx="151">
                  <c:v>-6.327651694628643</c:v>
                </c:pt>
                <c:pt idx="152">
                  <c:v>-6.5083064724758852</c:v>
                </c:pt>
                <c:pt idx="153">
                  <c:v>-6.6881975547322314</c:v>
                </c:pt>
                <c:pt idx="154">
                  <c:v>-6.8672953290803882</c:v>
                </c:pt>
                <c:pt idx="155">
                  <c:v>-7.0455695682520307</c:v>
                </c:pt>
                <c:pt idx="156">
                  <c:v>-7.222989445586915</c:v>
                </c:pt>
                <c:pt idx="157">
                  <c:v>-7.3995235541670441</c:v>
                </c:pt>
                <c:pt idx="158">
                  <c:v>-7.5751399297344264</c:v>
                </c:pt>
                <c:pt idx="159">
                  <c:v>-7.7498060775972064</c:v>
                </c:pt>
                <c:pt idx="160">
                  <c:v>-7.9234890037238532</c:v>
                </c:pt>
                <c:pt idx="161">
                  <c:v>-8.0961552502168352</c:v>
                </c:pt>
                <c:pt idx="162">
                  <c:v>-8.267770935347361</c:v>
                </c:pt>
                <c:pt idx="163">
                  <c:v>-8.438301798318502</c:v>
                </c:pt>
                <c:pt idx="164">
                  <c:v>-8.6077132489084693</c:v>
                </c:pt>
                <c:pt idx="165">
                  <c:v>-8.7759704221257664</c:v>
                </c:pt>
                <c:pt idx="166">
                  <c:v>-8.9430382379850002</c:v>
                </c:pt>
                <c:pt idx="167">
                  <c:v>-9.1088814664860269</c:v>
                </c:pt>
                <c:pt idx="168">
                  <c:v>-9.2734647978493854</c:v>
                </c:pt>
                <c:pt idx="169">
                  <c:v>-9.4367529180266505</c:v>
                </c:pt>
                <c:pt idx="170">
                  <c:v>-9.5987105894690981</c:v>
                </c:pt>
                <c:pt idx="171">
                  <c:v>-9.7593027370962631</c:v>
                </c:pt>
                <c:pt idx="172">
                  <c:v>-9.9184945393638326</c:v>
                </c:pt>
                <c:pt idx="173">
                  <c:v>-10.076251524283037</c:v>
                </c:pt>
                <c:pt idx="174">
                  <c:v>-10.232539670195415</c:v>
                </c:pt>
                <c:pt idx="175">
                  <c:v>-10.387325511054886</c:v>
                </c:pt>
                <c:pt idx="176">
                  <c:v>-10.54057624591699</c:v>
                </c:pt>
                <c:pt idx="177">
                  <c:v>-10.692259852279843</c:v>
                </c:pt>
                <c:pt idx="178">
                  <c:v>-10.842345202867644</c:v>
                </c:pt>
                <c:pt idx="179">
                  <c:v>-10.990802185392104</c:v>
                </c:pt>
                <c:pt idx="180">
                  <c:v>-11.137601824774302</c:v>
                </c:pt>
                <c:pt idx="181">
                  <c:v>-11.282716407256734</c:v>
                </c:pt>
                <c:pt idx="182">
                  <c:v>-11.426119605786699</c:v>
                </c:pt>
                <c:pt idx="183">
                  <c:v>-11.567786606006052</c:v>
                </c:pt>
                <c:pt idx="184">
                  <c:v>-11.707694232141053</c:v>
                </c:pt>
                <c:pt idx="185">
                  <c:v>-11.845821072050203</c:v>
                </c:pt>
                <c:pt idx="186">
                  <c:v>-11.982147600658349</c:v>
                </c:pt>
                <c:pt idx="187">
                  <c:v>-12.116656300981964</c:v>
                </c:pt>
                <c:pt idx="188">
                  <c:v>-12.24933178193635</c:v>
                </c:pt>
                <c:pt idx="189">
                  <c:v>-12.380160892108426</c:v>
                </c:pt>
                <c:pt idx="190">
                  <c:v>-12.509132828681365</c:v>
                </c:pt>
                <c:pt idx="191">
                  <c:v>-12.636239240708642</c:v>
                </c:pt>
                <c:pt idx="192">
                  <c:v>-12.761474325957046</c:v>
                </c:pt>
                <c:pt idx="193">
                  <c:v>-12.884834920568204</c:v>
                </c:pt>
                <c:pt idx="194">
                  <c:v>-13.006320580828621</c:v>
                </c:pt>
                <c:pt idx="195">
                  <c:v>-13.125933656388611</c:v>
                </c:pt>
                <c:pt idx="196">
                  <c:v>-13.243679354326781</c:v>
                </c:pt>
                <c:pt idx="197">
                  <c:v>-13.359565793525089</c:v>
                </c:pt>
                <c:pt idx="198">
                  <c:v>-13.473604048891501</c:v>
                </c:pt>
                <c:pt idx="199">
                  <c:v>-13.585808185046764</c:v>
                </c:pt>
                <c:pt idx="200">
                  <c:v>-13.69619527917804</c:v>
                </c:pt>
                <c:pt idx="201">
                  <c:v>-13.804785432849004</c:v>
                </c:pt>
                <c:pt idx="202">
                  <c:v>-13.911601772648909</c:v>
                </c:pt>
                <c:pt idx="203">
                  <c:v>-14.016670439654698</c:v>
                </c:pt>
                <c:pt idx="204">
                  <c:v>-14.120020567773564</c:v>
                </c:pt>
                <c:pt idx="205">
                  <c:v>-14.221684251124575</c:v>
                </c:pt>
                <c:pt idx="206">
                  <c:v>-14.321696500706521</c:v>
                </c:pt>
                <c:pt idx="207">
                  <c:v>-14.420095190684503</c:v>
                </c:pt>
                <c:pt idx="208">
                  <c:v>-14.51692099470781</c:v>
                </c:pt>
                <c:pt idx="209">
                  <c:v>-14.612217312745846</c:v>
                </c:pt>
                <c:pt idx="210">
                  <c:v>-14.706030188997662</c:v>
                </c:pt>
                <c:pt idx="211">
                  <c:v>-14.798408221489716</c:v>
                </c:pt>
                <c:pt idx="212">
                  <c:v>-14.889402464031525</c:v>
                </c:pt>
                <c:pt idx="213">
                  <c:v>-14.979066321242602</c:v>
                </c:pt>
                <c:pt idx="214">
                  <c:v>-15.067455437401964</c:v>
                </c:pt>
                <c:pt idx="215">
                  <c:v>-15.154627579900064</c:v>
                </c:pt>
                <c:pt idx="216">
                  <c:v>-15.240642518095267</c:v>
                </c:pt>
                <c:pt idx="217">
                  <c:v>-15.325561898390044</c:v>
                </c:pt>
                <c:pt idx="218">
                  <c:v>-15.40944911634891</c:v>
                </c:pt>
                <c:pt idx="219">
                  <c:v>-15.492369186681032</c:v>
                </c:pt>
                <c:pt idx="220">
                  <c:v>-15.574388611903416</c:v>
                </c:pt>
                <c:pt idx="221">
                  <c:v>-15.655575250490106</c:v>
                </c:pt>
                <c:pt idx="222">
                  <c:v>-15.735998185296417</c:v>
                </c:pt>
                <c:pt idx="223">
                  <c:v>-15.815727593025564</c:v>
                </c:pt>
                <c:pt idx="224">
                  <c:v>-15.894834615482095</c:v>
                </c:pt>
                <c:pt idx="225">
                  <c:v>-15.973391233326927</c:v>
                </c:pt>
                <c:pt idx="226">
                  <c:v>-16.051470143018729</c:v>
                </c:pt>
                <c:pt idx="227">
                  <c:v>-16.129144637592287</c:v>
                </c:pt>
                <c:pt idx="228">
                  <c:v>-16.206488491887402</c:v>
                </c:pt>
                <c:pt idx="229">
                  <c:v>-16.283575852803761</c:v>
                </c:pt>
                <c:pt idx="230">
                  <c:v>-16.360481135114789</c:v>
                </c:pt>
                <c:pt idx="231">
                  <c:v>-16.437278923330044</c:v>
                </c:pt>
                <c:pt idx="232">
                  <c:v>-16.514043880048138</c:v>
                </c:pt>
                <c:pt idx="233">
                  <c:v>-16.590850661193016</c:v>
                </c:pt>
                <c:pt idx="234">
                  <c:v>-16.667773838472623</c:v>
                </c:pt>
                <c:pt idx="235">
                  <c:v>-16.744887829343728</c:v>
                </c:pt>
                <c:pt idx="236">
                  <c:v>-16.822266834705523</c:v>
                </c:pt>
                <c:pt idx="237">
                  <c:v>-16.899984784482477</c:v>
                </c:pt>
                <c:pt idx="238">
                  <c:v>-16.978115291188065</c:v>
                </c:pt>
                <c:pt idx="239">
                  <c:v>-17.056731611491948</c:v>
                </c:pt>
                <c:pt idx="240">
                  <c:v>-17.13590661573657</c:v>
                </c:pt>
                <c:pt idx="241">
                  <c:v>-17.215712765273949</c:v>
                </c:pt>
                <c:pt idx="242">
                  <c:v>-17.296222097410819</c:v>
                </c:pt>
                <c:pt idx="243">
                  <c:v>-17.377506217670238</c:v>
                </c:pt>
                <c:pt idx="244">
                  <c:v>-17.459636298992809</c:v>
                </c:pt>
                <c:pt idx="245">
                  <c:v>-17.542683087418265</c:v>
                </c:pt>
                <c:pt idx="246">
                  <c:v>-17.626716913705156</c:v>
                </c:pt>
                <c:pt idx="247">
                  <c:v>-17.711807710266807</c:v>
                </c:pt>
                <c:pt idx="248">
                  <c:v>-17.79802503272516</c:v>
                </c:pt>
                <c:pt idx="249">
                  <c:v>-17.885438085313652</c:v>
                </c:pt>
                <c:pt idx="250">
                  <c:v>-17.974115749295997</c:v>
                </c:pt>
                <c:pt idx="251">
                  <c:v>-18.064126613511817</c:v>
                </c:pt>
                <c:pt idx="252">
                  <c:v>-18.155539006115497</c:v>
                </c:pt>
                <c:pt idx="253">
                  <c:v>-18.248421026538566</c:v>
                </c:pt>
                <c:pt idx="254">
                  <c:v>-18.34284057668534</c:v>
                </c:pt>
                <c:pt idx="255">
                  <c:v>-18.438865390362121</c:v>
                </c:pt>
                <c:pt idx="256">
                  <c:v>-18.536563059946829</c:v>
                </c:pt>
                <c:pt idx="257">
                  <c:v>-18.636001059325807</c:v>
                </c:pt>
                <c:pt idx="258">
                  <c:v>-18.737246762160868</c:v>
                </c:pt>
                <c:pt idx="259">
                  <c:v>-18.84036745459958</c:v>
                </c:pt>
                <c:pt idx="260">
                  <c:v>-18.945430341606976</c:v>
                </c:pt>
                <c:pt idx="261">
                  <c:v>-19.052502546174811</c:v>
                </c:pt>
                <c:pt idx="262">
                  <c:v>-19.161651100756341</c:v>
                </c:pt>
                <c:pt idx="263">
                  <c:v>-19.272942930374818</c:v>
                </c:pt>
                <c:pt idx="264">
                  <c:v>-19.386444826966692</c:v>
                </c:pt>
                <c:pt idx="265">
                  <c:v>-19.502223414637442</c:v>
                </c:pt>
                <c:pt idx="266">
                  <c:v>-19.620345105632939</c:v>
                </c:pt>
                <c:pt idx="267">
                  <c:v>-19.740876046954497</c:v>
                </c:pt>
                <c:pt idx="268">
                  <c:v>-19.863882057673848</c:v>
                </c:pt>
                <c:pt idx="269">
                  <c:v>-19.989428557129983</c:v>
                </c:pt>
                <c:pt idx="270">
                  <c:v>-20.117580484310629</c:v>
                </c:pt>
                <c:pt idx="271">
                  <c:v>-20.248402208837536</c:v>
                </c:pt>
                <c:pt idx="272">
                  <c:v>-20.381957434082466</c:v>
                </c:pt>
                <c:pt idx="273">
                  <c:v>-20.518309093038056</c:v>
                </c:pt>
                <c:pt idx="274">
                  <c:v>-20.657519237655656</c:v>
                </c:pt>
                <c:pt idx="275">
                  <c:v>-20.799648922436045</c:v>
                </c:pt>
                <c:pt idx="276">
                  <c:v>-20.944758083120519</c:v>
                </c:pt>
                <c:pt idx="277">
                  <c:v>-21.092905411378641</c:v>
                </c:pt>
                <c:pt idx="278">
                  <c:v>-21.244148226421679</c:v>
                </c:pt>
                <c:pt idx="279">
                  <c:v>-21.398542344492554</c:v>
                </c:pt>
                <c:pt idx="280">
                  <c:v>-21.5561419471905</c:v>
                </c:pt>
                <c:pt idx="281">
                  <c:v>-21.716999449582794</c:v>
                </c:pt>
                <c:pt idx="282">
                  <c:v>-21.881165369041597</c:v>
                </c:pt>
                <c:pt idx="283">
                  <c:v>-22.048688195715734</c:v>
                </c:pt>
                <c:pt idx="284">
                  <c:v>-22.219614265514128</c:v>
                </c:pt>
                <c:pt idx="285">
                  <c:v>-22.393987636433458</c:v>
                </c:pt>
                <c:pt idx="286">
                  <c:v>-22.571849969015609</c:v>
                </c:pt>
                <c:pt idx="287">
                  <c:v>-22.753240411667431</c:v>
                </c:pt>
                <c:pt idx="288">
                  <c:v>-22.938195491519494</c:v>
                </c:pt>
                <c:pt idx="289">
                  <c:v>-23.126749011443792</c:v>
                </c:pt>
                <c:pt idx="290">
                  <c:v>-23.318931953791928</c:v>
                </c:pt>
                <c:pt idx="291">
                  <c:v>-23.514772391359042</c:v>
                </c:pt>
                <c:pt idx="292">
                  <c:v>-23.714295406021499</c:v>
                </c:pt>
                <c:pt idx="293">
                  <c:v>-23.917523015444672</c:v>
                </c:pt>
                <c:pt idx="294">
                  <c:v>-24.124474108202833</c:v>
                </c:pt>
                <c:pt idx="295">
                  <c:v>-24.335164387606977</c:v>
                </c:pt>
                <c:pt idx="296">
                  <c:v>-24.549606324488117</c:v>
                </c:pt>
                <c:pt idx="297">
                  <c:v>-24.767809119140978</c:v>
                </c:pt>
                <c:pt idx="298">
                  <c:v>-24.989778672589985</c:v>
                </c:pt>
                <c:pt idx="299">
                  <c:v>-25.215517567301017</c:v>
                </c:pt>
                <c:pt idx="300">
                  <c:v>-25.445025057421791</c:v>
                </c:pt>
                <c:pt idx="301">
                  <c:v>-25.678297068597384</c:v>
                </c:pt>
                <c:pt idx="302">
                  <c:v>-25.915326207367769</c:v>
                </c:pt>
                <c:pt idx="303">
                  <c:v>-26.156101780117702</c:v>
                </c:pt>
                <c:pt idx="304">
                  <c:v>-26.400609821509157</c:v>
                </c:pt>
                <c:pt idx="305">
                  <c:v>-26.648833132287194</c:v>
                </c:pt>
                <c:pt idx="306">
                  <c:v>-26.900751326308708</c:v>
                </c:pt>
                <c:pt idx="307">
                  <c:v>-27.156340886601146</c:v>
                </c:pt>
                <c:pt idx="308">
                  <c:v>-27.415575230214557</c:v>
                </c:pt>
                <c:pt idx="309">
                  <c:v>-27.678424781585409</c:v>
                </c:pt>
                <c:pt idx="310">
                  <c:v>-27.944857054085524</c:v>
                </c:pt>
                <c:pt idx="311">
                  <c:v>-28.214836739383195</c:v>
                </c:pt>
                <c:pt idx="312">
                  <c:v>-28.488325804198844</c:v>
                </c:pt>
                <c:pt idx="313">
                  <c:v>-28.765283593993527</c:v>
                </c:pt>
                <c:pt idx="314">
                  <c:v>-29.045666943084587</c:v>
                </c:pt>
                <c:pt idx="315">
                  <c:v>-29.3294302906449</c:v>
                </c:pt>
                <c:pt idx="316">
                  <c:v>-29.61652580200326</c:v>
                </c:pt>
                <c:pt idx="317">
                  <c:v>-29.906903494632303</c:v>
                </c:pt>
                <c:pt idx="318">
                  <c:v>-30.20051136818109</c:v>
                </c:pt>
                <c:pt idx="319">
                  <c:v>-30.49729553788514</c:v>
                </c:pt>
                <c:pt idx="320">
                  <c:v>-30.797200370676855</c:v>
                </c:pt>
                <c:pt idx="321">
                  <c:v>-31.100168623293065</c:v>
                </c:pt>
                <c:pt idx="322">
                  <c:v>-31.406141581688136</c:v>
                </c:pt>
                <c:pt idx="323">
                  <c:v>-31.71505920105502</c:v>
                </c:pt>
                <c:pt idx="324">
                  <c:v>-32.026860245760588</c:v>
                </c:pt>
                <c:pt idx="325">
                  <c:v>-32.341482428524735</c:v>
                </c:pt>
                <c:pt idx="326">
                  <c:v>-32.658862548187557</c:v>
                </c:pt>
                <c:pt idx="327">
                  <c:v>-32.97893662543693</c:v>
                </c:pt>
                <c:pt idx="328">
                  <c:v>-33.30164003589951</c:v>
                </c:pt>
                <c:pt idx="329">
                  <c:v>-33.626907640035391</c:v>
                </c:pt>
                <c:pt idx="330">
                  <c:v>-33.954673909314899</c:v>
                </c:pt>
                <c:pt idx="331">
                  <c:v>-34.284873048200993</c:v>
                </c:pt>
                <c:pt idx="332">
                  <c:v>-34.617439111506044</c:v>
                </c:pt>
                <c:pt idx="333">
                  <c:v>-34.952306116739969</c:v>
                </c:pt>
                <c:pt idx="334">
                  <c:v>-35.289408151115182</c:v>
                </c:pt>
                <c:pt idx="335">
                  <c:v>-35.628679472925228</c:v>
                </c:pt>
                <c:pt idx="336">
                  <c:v>-35.970054607060973</c:v>
                </c:pt>
                <c:pt idx="337">
                  <c:v>-36.313468434480129</c:v>
                </c:pt>
                <c:pt idx="338">
                  <c:v>-36.658856275490933</c:v>
                </c:pt>
                <c:pt idx="339">
                  <c:v>-37.006153966758163</c:v>
                </c:pt>
                <c:pt idx="340">
                  <c:v>-37.355297931982619</c:v>
                </c:pt>
                <c:pt idx="341">
                  <c:v>-37.706225246246987</c:v>
                </c:pt>
                <c:pt idx="342">
                  <c:v>-38.058873694058512</c:v>
                </c:pt>
                <c:pt idx="343">
                  <c:v>-38.413181821154403</c:v>
                </c:pt>
                <c:pt idx="344">
                  <c:v>-38.769088980168384</c:v>
                </c:pt>
                <c:pt idx="345">
                  <c:v>-39.126535370285495</c:v>
                </c:pt>
                <c:pt idx="346">
                  <c:v>-39.48546207103648</c:v>
                </c:pt>
                <c:pt idx="347">
                  <c:v>-39.84581107040681</c:v>
                </c:pt>
                <c:pt idx="348">
                  <c:v>-40.207525287453848</c:v>
                </c:pt>
                <c:pt idx="349">
                  <c:v>-40.570548589640545</c:v>
                </c:pt>
                <c:pt idx="350">
                  <c:v>-40.934825805107977</c:v>
                </c:pt>
                <c:pt idx="351">
                  <c:v>-41.300302730118467</c:v>
                </c:pt>
                <c:pt idx="352">
                  <c:v>-41.666926131907822</c:v>
                </c:pt>
                <c:pt idx="353">
                  <c:v>-42.034643747191275</c:v>
                </c:pt>
                <c:pt idx="354">
                  <c:v>-42.403404276569383</c:v>
                </c:pt>
                <c:pt idx="355">
                  <c:v>-42.7731573750808</c:v>
                </c:pt>
                <c:pt idx="356">
                  <c:v>-43.143853639148737</c:v>
                </c:pt>
                <c:pt idx="357">
                  <c:v>-43.5154445901629</c:v>
                </c:pt>
                <c:pt idx="358">
                  <c:v>-43.887882654938458</c:v>
                </c:pt>
                <c:pt idx="359">
                  <c:v>-44.261121143284093</c:v>
                </c:pt>
                <c:pt idx="360">
                  <c:v>-44.635114222908442</c:v>
                </c:pt>
                <c:pt idx="361">
                  <c:v>-45.009816891885919</c:v>
                </c:pt>
                <c:pt idx="362">
                  <c:v>-45.385184948894128</c:v>
                </c:pt>
                <c:pt idx="363">
                  <c:v>-45.761174961433809</c:v>
                </c:pt>
                <c:pt idx="364">
                  <c:v>-46.137744232224421</c:v>
                </c:pt>
                <c:pt idx="365">
                  <c:v>-46.514850763965676</c:v>
                </c:pt>
                <c:pt idx="366">
                  <c:v>-46.892453222652819</c:v>
                </c:pt>
                <c:pt idx="367">
                  <c:v>-47.270510899612418</c:v>
                </c:pt>
                <c:pt idx="368">
                  <c:v>-47.648983672433175</c:v>
                </c:pt>
                <c:pt idx="369">
                  <c:v>-48.027831964944347</c:v>
                </c:pt>
                <c:pt idx="370">
                  <c:v>-48.407016706399439</c:v>
                </c:pt>
                <c:pt idx="371">
                  <c:v>-48.786499290010212</c:v>
                </c:pt>
                <c:pt idx="372">
                  <c:v>-49.166241530972229</c:v>
                </c:pt>
                <c:pt idx="373">
                  <c:v>-49.546205624118478</c:v>
                </c:pt>
                <c:pt idx="374">
                  <c:v>-49.92635410133218</c:v>
                </c:pt>
                <c:pt idx="375">
                  <c:v>-50.306649788848006</c:v>
                </c:pt>
                <c:pt idx="376">
                  <c:v>-50.68705576456577</c:v>
                </c:pt>
                <c:pt idx="377">
                  <c:v>-51.067535315501182</c:v>
                </c:pt>
                <c:pt idx="378">
                  <c:v>-51.44805189549389</c:v>
                </c:pt>
                <c:pt idx="379">
                  <c:v>-51.828569083295676</c:v>
                </c:pt>
                <c:pt idx="380">
                  <c:v>-52.209050541158589</c:v>
                </c:pt>
                <c:pt idx="381">
                  <c:v>-52.58945997404615</c:v>
                </c:pt>
                <c:pt idx="382">
                  <c:v>-52.969761089591223</c:v>
                </c:pt>
                <c:pt idx="383">
                  <c:v>-53.349917558926151</c:v>
                </c:pt>
                <c:pt idx="384">
                  <c:v>-53.729892978514414</c:v>
                </c:pt>
                <c:pt idx="385">
                  <c:v>-54.109650833116447</c:v>
                </c:pt>
                <c:pt idx="386">
                  <c:v>-54.489154460025986</c:v>
                </c:pt>
                <c:pt idx="387">
                  <c:v>-54.868367014718068</c:v>
                </c:pt>
                <c:pt idx="388">
                  <c:v>-55.247251438054803</c:v>
                </c:pt>
                <c:pt idx="389">
                  <c:v>-55.625770425200649</c:v>
                </c:pt>
                <c:pt idx="390">
                  <c:v>-56.003886396404468</c:v>
                </c:pt>
                <c:pt idx="391">
                  <c:v>-56.381561469810379</c:v>
                </c:pt>
                <c:pt idx="392">
                  <c:v>-56.758757436467185</c:v>
                </c:pt>
                <c:pt idx="393">
                  <c:v>-57.135435737709599</c:v>
                </c:pt>
                <c:pt idx="394">
                  <c:v>-57.511557445091967</c:v>
                </c:pt>
                <c:pt idx="395">
                  <c:v>-57.887083243058342</c:v>
                </c:pt>
                <c:pt idx="396">
                  <c:v>-58.261973414538794</c:v>
                </c:pt>
                <c:pt idx="397">
                  <c:v>-58.636187829664927</c:v>
                </c:pt>
                <c:pt idx="398">
                  <c:v>-59.009685937799723</c:v>
                </c:pt>
                <c:pt idx="399">
                  <c:v>-59.382426763080517</c:v>
                </c:pt>
                <c:pt idx="400">
                  <c:v>-59.75436890367164</c:v>
                </c:pt>
              </c:numCache>
            </c:numRef>
          </c:yVal>
          <c:smooth val="1"/>
          <c:extLst>
            <c:ext xmlns:c16="http://schemas.microsoft.com/office/drawing/2014/chart" uri="{C3380CC4-5D6E-409C-BE32-E72D297353CC}">
              <c16:uniqueId val="{00000000-37BA-4D75-B431-21FD57867CC7}"/>
            </c:ext>
          </c:extLst>
        </c:ser>
        <c:dLbls>
          <c:showLegendKey val="0"/>
          <c:showVal val="0"/>
          <c:showCatName val="0"/>
          <c:showSerName val="0"/>
          <c:showPercent val="0"/>
          <c:showBubbleSize val="0"/>
        </c:dLbls>
        <c:axId val="1106689647"/>
        <c:axId val="1925061759"/>
      </c:scatterChart>
      <c:scatterChart>
        <c:scatterStyle val="lineMarker"/>
        <c:varyColors val="0"/>
        <c:ser>
          <c:idx val="3"/>
          <c:order val="3"/>
          <c:tx>
            <c:v>PM1</c:v>
          </c:tx>
          <c:spPr>
            <a:ln w="9525" cap="rnd">
              <a:solidFill>
                <a:schemeClr val="bg1">
                  <a:lumMod val="65000"/>
                </a:schemeClr>
              </a:solidFill>
              <a:prstDash val="sysDash"/>
              <a:round/>
            </a:ln>
            <a:effectLst/>
          </c:spPr>
          <c:marker>
            <c:symbol val="none"/>
          </c:marker>
          <c:dPt>
            <c:idx val="1"/>
            <c:marker>
              <c:symbol val="none"/>
            </c:marker>
            <c:bubble3D val="0"/>
            <c:spPr>
              <a:ln w="9525" cap="rnd">
                <a:solidFill>
                  <a:schemeClr val="tx1">
                    <a:lumMod val="50000"/>
                    <a:lumOff val="50000"/>
                  </a:schemeClr>
                </a:solidFill>
                <a:prstDash val="dash"/>
                <a:round/>
              </a:ln>
              <a:effectLst/>
            </c:spPr>
            <c:extLst>
              <c:ext xmlns:c16="http://schemas.microsoft.com/office/drawing/2014/chart" uri="{C3380CC4-5D6E-409C-BE32-E72D297353CC}">
                <c16:uniqueId val="{00000002-37BA-4D75-B431-21FD57867CC7}"/>
              </c:ext>
            </c:extLst>
          </c:dPt>
          <c:xVal>
            <c:numRef>
              <c:f>Loop_Response!$C$42:$C$43</c:f>
              <c:numCache>
                <c:formatCode>General</c:formatCode>
                <c:ptCount val="2"/>
                <c:pt idx="0">
                  <c:v>100</c:v>
                </c:pt>
                <c:pt idx="1">
                  <c:v>1496.3348183022088</c:v>
                </c:pt>
              </c:numCache>
            </c:numRef>
          </c:xVal>
          <c:yVal>
            <c:numRef>
              <c:f>Loop_Response!$D$42:$D$43</c:f>
              <c:numCache>
                <c:formatCode>General</c:formatCode>
                <c:ptCount val="2"/>
                <c:pt idx="0">
                  <c:v>0</c:v>
                </c:pt>
                <c:pt idx="1">
                  <c:v>0</c:v>
                </c:pt>
              </c:numCache>
            </c:numRef>
          </c:yVal>
          <c:smooth val="0"/>
          <c:extLst>
            <c:ext xmlns:c16="http://schemas.microsoft.com/office/drawing/2014/chart" uri="{C3380CC4-5D6E-409C-BE32-E72D297353CC}">
              <c16:uniqueId val="{00000003-37BA-4D75-B431-21FD57867CC7}"/>
            </c:ext>
          </c:extLst>
        </c:ser>
        <c:ser>
          <c:idx val="7"/>
          <c:order val="6"/>
          <c:tx>
            <c:v>GM3</c:v>
          </c:tx>
          <c:spPr>
            <a:ln w="28575" cap="rnd">
              <a:solidFill>
                <a:schemeClr val="accent2">
                  <a:lumMod val="60000"/>
                </a:schemeClr>
              </a:solidFill>
              <a:round/>
            </a:ln>
            <a:effectLst/>
          </c:spPr>
          <c:marker>
            <c:symbol val="none"/>
          </c:marker>
          <c:dPt>
            <c:idx val="1"/>
            <c:marker>
              <c:symbol val="none"/>
            </c:marker>
            <c:bubble3D val="0"/>
            <c:spPr>
              <a:ln w="9525" cap="rnd">
                <a:solidFill>
                  <a:schemeClr val="tx1">
                    <a:lumMod val="50000"/>
                    <a:lumOff val="50000"/>
                  </a:schemeClr>
                </a:solidFill>
                <a:prstDash val="dash"/>
                <a:round/>
              </a:ln>
              <a:effectLst/>
            </c:spPr>
            <c:extLst>
              <c:ext xmlns:c16="http://schemas.microsoft.com/office/drawing/2014/chart" uri="{C3380CC4-5D6E-409C-BE32-E72D297353CC}">
                <c16:uniqueId val="{00000005-37BA-4D75-B431-21FD57867CC7}"/>
              </c:ext>
            </c:extLst>
          </c:dPt>
          <c:xVal>
            <c:numRef>
              <c:f>Loop_Response!$E$46:$E$47</c:f>
              <c:numCache>
                <c:formatCode>General</c:formatCode>
                <c:ptCount val="2"/>
                <c:pt idx="0">
                  <c:v>17989.901343244539</c:v>
                </c:pt>
                <c:pt idx="1">
                  <c:v>100</c:v>
                </c:pt>
              </c:numCache>
            </c:numRef>
          </c:xVal>
          <c:yVal>
            <c:numRef>
              <c:f>Loop_Response!$F$46:$F$47</c:f>
              <c:numCache>
                <c:formatCode>General</c:formatCode>
                <c:ptCount val="2"/>
                <c:pt idx="0">
                  <c:v>-16.051470143018729</c:v>
                </c:pt>
                <c:pt idx="1">
                  <c:v>-16.051470143018729</c:v>
                </c:pt>
              </c:numCache>
            </c:numRef>
          </c:yVal>
          <c:smooth val="0"/>
          <c:extLst>
            <c:ext xmlns:c16="http://schemas.microsoft.com/office/drawing/2014/chart" uri="{C3380CC4-5D6E-409C-BE32-E72D297353CC}">
              <c16:uniqueId val="{00000006-37BA-4D75-B431-21FD57867CC7}"/>
            </c:ext>
          </c:extLst>
        </c:ser>
        <c:ser>
          <c:idx val="6"/>
          <c:order val="7"/>
          <c:tx>
            <c:v>Gain Margin</c:v>
          </c:tx>
          <c:spPr>
            <a:ln w="19050" cap="rnd">
              <a:solidFill>
                <a:srgbClr val="0070C0"/>
              </a:solidFill>
              <a:prstDash val="sysDash"/>
              <a:round/>
            </a:ln>
            <a:effectLst/>
          </c:spPr>
          <c:marker>
            <c:symbol val="none"/>
          </c:marker>
          <c:xVal>
            <c:numRef>
              <c:f>Loop_Response!$E$44:$E$45</c:f>
              <c:numCache>
                <c:formatCode>General</c:formatCode>
                <c:ptCount val="2"/>
                <c:pt idx="0">
                  <c:v>17989.901343244539</c:v>
                </c:pt>
                <c:pt idx="1">
                  <c:v>17989.901343244539</c:v>
                </c:pt>
              </c:numCache>
            </c:numRef>
          </c:xVal>
          <c:yVal>
            <c:numRef>
              <c:f>Loop_Response!$F$44:$F$45</c:f>
              <c:numCache>
                <c:formatCode>General</c:formatCode>
                <c:ptCount val="2"/>
                <c:pt idx="0">
                  <c:v>0</c:v>
                </c:pt>
                <c:pt idx="1">
                  <c:v>-16.051470143018729</c:v>
                </c:pt>
              </c:numCache>
            </c:numRef>
          </c:yVal>
          <c:smooth val="0"/>
          <c:extLst>
            <c:ext xmlns:c16="http://schemas.microsoft.com/office/drawing/2014/chart" uri="{C3380CC4-5D6E-409C-BE32-E72D297353CC}">
              <c16:uniqueId val="{00000007-37BA-4D75-B431-21FD57867CC7}"/>
            </c:ext>
          </c:extLst>
        </c:ser>
        <c:dLbls>
          <c:showLegendKey val="0"/>
          <c:showVal val="0"/>
          <c:showCatName val="0"/>
          <c:showSerName val="0"/>
          <c:showPercent val="0"/>
          <c:showBubbleSize val="0"/>
        </c:dLbls>
        <c:axId val="1106689647"/>
        <c:axId val="1925061759"/>
      </c:scatterChart>
      <c:scatterChart>
        <c:scatterStyle val="smoothMarker"/>
        <c:varyColors val="0"/>
        <c:ser>
          <c:idx val="1"/>
          <c:order val="1"/>
          <c:tx>
            <c:v>Phase - (-180)</c:v>
          </c:tx>
          <c:spPr>
            <a:ln w="28575" cap="rnd">
              <a:solidFill>
                <a:schemeClr val="accent2"/>
              </a:solidFill>
              <a:round/>
            </a:ln>
            <a:effectLst/>
          </c:spPr>
          <c:marker>
            <c:symbol val="none"/>
          </c:marker>
          <c:xVal>
            <c:numRef>
              <c:f>Loop_Response!$I$3:$I$403</c:f>
              <c:numCache>
                <c:formatCode>###,###,###,###</c:formatCode>
                <c:ptCount val="401"/>
                <c:pt idx="0">
                  <c:v>100</c:v>
                </c:pt>
                <c:pt idx="1">
                  <c:v>102.32929922807543</c:v>
                </c:pt>
                <c:pt idx="2">
                  <c:v>104.71285480508999</c:v>
                </c:pt>
                <c:pt idx="3">
                  <c:v>107.15193052376068</c:v>
                </c:pt>
                <c:pt idx="4">
                  <c:v>109.64781961431854</c:v>
                </c:pt>
                <c:pt idx="5">
                  <c:v>112.20184543019636</c:v>
                </c:pt>
                <c:pt idx="6">
                  <c:v>114.81536214968834</c:v>
                </c:pt>
                <c:pt idx="7">
                  <c:v>117.489755493953</c:v>
                </c:pt>
                <c:pt idx="8">
                  <c:v>120.22644346174133</c:v>
                </c:pt>
                <c:pt idx="9">
                  <c:v>123.02687708123818</c:v>
                </c:pt>
                <c:pt idx="10">
                  <c:v>125.8925411794168</c:v>
                </c:pt>
                <c:pt idx="11">
                  <c:v>128.82495516931345</c:v>
                </c:pt>
                <c:pt idx="12">
                  <c:v>131.82567385564076</c:v>
                </c:pt>
                <c:pt idx="13">
                  <c:v>134.89628825916535</c:v>
                </c:pt>
                <c:pt idx="14">
                  <c:v>138.03842646028852</c:v>
                </c:pt>
                <c:pt idx="15">
                  <c:v>141.25375446227542</c:v>
                </c:pt>
                <c:pt idx="16">
                  <c:v>144.54397707459276</c:v>
                </c:pt>
                <c:pt idx="17">
                  <c:v>147.91083881682073</c:v>
                </c:pt>
                <c:pt idx="18">
                  <c:v>151.35612484362088</c:v>
                </c:pt>
                <c:pt idx="19">
                  <c:v>154.88166189124817</c:v>
                </c:pt>
                <c:pt idx="20">
                  <c:v>158.48931924611136</c:v>
                </c:pt>
                <c:pt idx="21">
                  <c:v>162.18100973589299</c:v>
                </c:pt>
                <c:pt idx="22">
                  <c:v>165.95869074375614</c:v>
                </c:pt>
                <c:pt idx="23">
                  <c:v>169.82436524617447</c:v>
                </c:pt>
                <c:pt idx="24">
                  <c:v>173.78008287493756</c:v>
                </c:pt>
                <c:pt idx="25">
                  <c:v>177.82794100389236</c:v>
                </c:pt>
                <c:pt idx="26">
                  <c:v>181.97008586099841</c:v>
                </c:pt>
                <c:pt idx="27">
                  <c:v>186.2087136662868</c:v>
                </c:pt>
                <c:pt idx="28">
                  <c:v>190.54607179632478</c:v>
                </c:pt>
                <c:pt idx="29">
                  <c:v>194.98445997580464</c:v>
                </c:pt>
                <c:pt idx="30">
                  <c:v>199.52623149688804</c:v>
                </c:pt>
                <c:pt idx="31">
                  <c:v>204.17379446695298</c:v>
                </c:pt>
                <c:pt idx="32">
                  <c:v>208.92961308540401</c:v>
                </c:pt>
                <c:pt idx="33">
                  <c:v>213.79620895022333</c:v>
                </c:pt>
                <c:pt idx="34">
                  <c:v>218.77616239495538</c:v>
                </c:pt>
                <c:pt idx="35">
                  <c:v>223.87211385683403</c:v>
                </c:pt>
                <c:pt idx="36">
                  <c:v>229.08676527677738</c:v>
                </c:pt>
                <c:pt idx="37">
                  <c:v>234.42288153199235</c:v>
                </c:pt>
                <c:pt idx="38">
                  <c:v>239.88329190194906</c:v>
                </c:pt>
                <c:pt idx="39">
                  <c:v>245.47089156850305</c:v>
                </c:pt>
                <c:pt idx="40">
                  <c:v>251.188643150958</c:v>
                </c:pt>
                <c:pt idx="41">
                  <c:v>257.03957827688646</c:v>
                </c:pt>
                <c:pt idx="42">
                  <c:v>263.02679918953822</c:v>
                </c:pt>
                <c:pt idx="43">
                  <c:v>269.15348039269156</c:v>
                </c:pt>
                <c:pt idx="44">
                  <c:v>275.42287033381666</c:v>
                </c:pt>
                <c:pt idx="45">
                  <c:v>281.83829312644548</c:v>
                </c:pt>
                <c:pt idx="46">
                  <c:v>288.40315031266067</c:v>
                </c:pt>
                <c:pt idx="47">
                  <c:v>295.12092266663865</c:v>
                </c:pt>
                <c:pt idx="48">
                  <c:v>301.99517204020162</c:v>
                </c:pt>
                <c:pt idx="49">
                  <c:v>309.0295432513592</c:v>
                </c:pt>
                <c:pt idx="50">
                  <c:v>316.22776601683802</c:v>
                </c:pt>
                <c:pt idx="51">
                  <c:v>323.59365692962831</c:v>
                </c:pt>
                <c:pt idx="52">
                  <c:v>331.13112148259125</c:v>
                </c:pt>
                <c:pt idx="53">
                  <c:v>338.84415613920271</c:v>
                </c:pt>
                <c:pt idx="54">
                  <c:v>346.73685045253183</c:v>
                </c:pt>
                <c:pt idx="55">
                  <c:v>354.81338923357555</c:v>
                </c:pt>
                <c:pt idx="56">
                  <c:v>363.07805477010157</c:v>
                </c:pt>
                <c:pt idx="57">
                  <c:v>371.53522909717276</c:v>
                </c:pt>
                <c:pt idx="58">
                  <c:v>380.1893963205614</c:v>
                </c:pt>
                <c:pt idx="59">
                  <c:v>389.04514499428075</c:v>
                </c:pt>
                <c:pt idx="60">
                  <c:v>398.10717055349755</c:v>
                </c:pt>
                <c:pt idx="61">
                  <c:v>407.38027780411301</c:v>
                </c:pt>
                <c:pt idx="62">
                  <c:v>416.86938347033561</c:v>
                </c:pt>
                <c:pt idx="63">
                  <c:v>426.57951880159266</c:v>
                </c:pt>
                <c:pt idx="64">
                  <c:v>436.51583224016611</c:v>
                </c:pt>
                <c:pt idx="65">
                  <c:v>446.68359215096325</c:v>
                </c:pt>
                <c:pt idx="66">
                  <c:v>457.08818961487509</c:v>
                </c:pt>
                <c:pt idx="67">
                  <c:v>467.73514128719819</c:v>
                </c:pt>
                <c:pt idx="68">
                  <c:v>478.63009232263857</c:v>
                </c:pt>
                <c:pt idx="69">
                  <c:v>489.77881936844631</c:v>
                </c:pt>
                <c:pt idx="70">
                  <c:v>501.18723362727235</c:v>
                </c:pt>
                <c:pt idx="71">
                  <c:v>512.86138399136485</c:v>
                </c:pt>
                <c:pt idx="72">
                  <c:v>524.80746024977282</c:v>
                </c:pt>
                <c:pt idx="73">
                  <c:v>537.03179637025289</c:v>
                </c:pt>
                <c:pt idx="74">
                  <c:v>549.54087385762466</c:v>
                </c:pt>
                <c:pt idx="75">
                  <c:v>562.34132519034915</c:v>
                </c:pt>
                <c:pt idx="76">
                  <c:v>575.43993733715695</c:v>
                </c:pt>
                <c:pt idx="77">
                  <c:v>588.84365535558948</c:v>
                </c:pt>
                <c:pt idx="78">
                  <c:v>602.55958607435821</c:v>
                </c:pt>
                <c:pt idx="79">
                  <c:v>616.59500186148261</c:v>
                </c:pt>
                <c:pt idx="80">
                  <c:v>630.95734448019368</c:v>
                </c:pt>
                <c:pt idx="81">
                  <c:v>645.65422903465583</c:v>
                </c:pt>
                <c:pt idx="82">
                  <c:v>660.6934480075962</c:v>
                </c:pt>
                <c:pt idx="83">
                  <c:v>676.0829753919819</c:v>
                </c:pt>
                <c:pt idx="84">
                  <c:v>691.8309709189366</c:v>
                </c:pt>
                <c:pt idx="85">
                  <c:v>707.94578438413862</c:v>
                </c:pt>
                <c:pt idx="86">
                  <c:v>724.4359600749907</c:v>
                </c:pt>
                <c:pt idx="87">
                  <c:v>741.31024130091816</c:v>
                </c:pt>
                <c:pt idx="88">
                  <c:v>758.57757502918366</c:v>
                </c:pt>
                <c:pt idx="89">
                  <c:v>776.2471166286922</c:v>
                </c:pt>
                <c:pt idx="90">
                  <c:v>794.32823472428197</c:v>
                </c:pt>
                <c:pt idx="91">
                  <c:v>812.83051616409966</c:v>
                </c:pt>
                <c:pt idx="92">
                  <c:v>831.76377110267129</c:v>
                </c:pt>
                <c:pt idx="93">
                  <c:v>851.13803820237661</c:v>
                </c:pt>
                <c:pt idx="94">
                  <c:v>870.96358995608068</c:v>
                </c:pt>
                <c:pt idx="95">
                  <c:v>891.25093813374565</c:v>
                </c:pt>
                <c:pt idx="96">
                  <c:v>912.01083935590975</c:v>
                </c:pt>
                <c:pt idx="97">
                  <c:v>933.25430079699174</c:v>
                </c:pt>
                <c:pt idx="98">
                  <c:v>954.99258602143652</c:v>
                </c:pt>
                <c:pt idx="99">
                  <c:v>977.23722095581127</c:v>
                </c:pt>
                <c:pt idx="100">
                  <c:v>1000</c:v>
                </c:pt>
                <c:pt idx="101">
                  <c:v>1023.2929922807544</c:v>
                </c:pt>
                <c:pt idx="102">
                  <c:v>1047.1285480508998</c:v>
                </c:pt>
                <c:pt idx="103">
                  <c:v>1071.5193052376067</c:v>
                </c:pt>
                <c:pt idx="104">
                  <c:v>1096.4781961431861</c:v>
                </c:pt>
                <c:pt idx="105">
                  <c:v>1122.0184543019634</c:v>
                </c:pt>
                <c:pt idx="106">
                  <c:v>1148.1536214968835</c:v>
                </c:pt>
                <c:pt idx="107">
                  <c:v>1174.8975549395293</c:v>
                </c:pt>
                <c:pt idx="108">
                  <c:v>1202.2644346174136</c:v>
                </c:pt>
                <c:pt idx="109">
                  <c:v>1230.2687708123822</c:v>
                </c:pt>
                <c:pt idx="110">
                  <c:v>1258.9254117941678</c:v>
                </c:pt>
                <c:pt idx="111">
                  <c:v>1288.2495516931342</c:v>
                </c:pt>
                <c:pt idx="112">
                  <c:v>1318.2567385564084</c:v>
                </c:pt>
                <c:pt idx="113">
                  <c:v>1348.9628825916539</c:v>
                </c:pt>
                <c:pt idx="114">
                  <c:v>1380.3842646028861</c:v>
                </c:pt>
                <c:pt idx="115">
                  <c:v>1412.5375446227542</c:v>
                </c:pt>
                <c:pt idx="116">
                  <c:v>1445.4397707459284</c:v>
                </c:pt>
                <c:pt idx="117">
                  <c:v>1479.1083881682084</c:v>
                </c:pt>
                <c:pt idx="118">
                  <c:v>1513.5612484362091</c:v>
                </c:pt>
                <c:pt idx="119">
                  <c:v>1548.816618912482</c:v>
                </c:pt>
                <c:pt idx="120">
                  <c:v>1584.8931924611154</c:v>
                </c:pt>
                <c:pt idx="121">
                  <c:v>1621.8100973589303</c:v>
                </c:pt>
                <c:pt idx="122">
                  <c:v>1659.5869074375623</c:v>
                </c:pt>
                <c:pt idx="123">
                  <c:v>1698.2436524617444</c:v>
                </c:pt>
                <c:pt idx="124">
                  <c:v>1737.8008287493767</c:v>
                </c:pt>
                <c:pt idx="125">
                  <c:v>1778.2794100389242</c:v>
                </c:pt>
                <c:pt idx="126">
                  <c:v>1819.700858609983</c:v>
                </c:pt>
                <c:pt idx="127">
                  <c:v>1862.0871366628685</c:v>
                </c:pt>
                <c:pt idx="128">
                  <c:v>1905.460717963248</c:v>
                </c:pt>
                <c:pt idx="129">
                  <c:v>1949.8445997580459</c:v>
                </c:pt>
                <c:pt idx="130">
                  <c:v>1995.2623149688802</c:v>
                </c:pt>
                <c:pt idx="131">
                  <c:v>2041.7379446695315</c:v>
                </c:pt>
                <c:pt idx="132">
                  <c:v>2089.2961308540398</c:v>
                </c:pt>
                <c:pt idx="133">
                  <c:v>2137.962089502234</c:v>
                </c:pt>
                <c:pt idx="134">
                  <c:v>2187.7616239495524</c:v>
                </c:pt>
                <c:pt idx="135">
                  <c:v>2238.7211385683413</c:v>
                </c:pt>
                <c:pt idx="136">
                  <c:v>2290.8676527677744</c:v>
                </c:pt>
                <c:pt idx="137">
                  <c:v>2344.2288153199233</c:v>
                </c:pt>
                <c:pt idx="138">
                  <c:v>2398.8329190194913</c:v>
                </c:pt>
                <c:pt idx="139">
                  <c:v>2454.7089156850329</c:v>
                </c:pt>
                <c:pt idx="140">
                  <c:v>2511.8864315095807</c:v>
                </c:pt>
                <c:pt idx="141">
                  <c:v>2570.3957827688664</c:v>
                </c:pt>
                <c:pt idx="142">
                  <c:v>2630.2679918953818</c:v>
                </c:pt>
                <c:pt idx="143">
                  <c:v>2691.5348039269179</c:v>
                </c:pt>
                <c:pt idx="144">
                  <c:v>2754.2287033381681</c:v>
                </c:pt>
                <c:pt idx="145">
                  <c:v>2818.3829312644552</c:v>
                </c:pt>
                <c:pt idx="146">
                  <c:v>2884.0315031266073</c:v>
                </c:pt>
                <c:pt idx="147">
                  <c:v>2951.2092266663894</c:v>
                </c:pt>
                <c:pt idx="148">
                  <c:v>3019.9517204020167</c:v>
                </c:pt>
                <c:pt idx="149">
                  <c:v>3090.2954325135938</c:v>
                </c:pt>
                <c:pt idx="150">
                  <c:v>3162.2776601683827</c:v>
                </c:pt>
                <c:pt idx="151">
                  <c:v>3235.9365692962824</c:v>
                </c:pt>
                <c:pt idx="152">
                  <c:v>3311.3112148259138</c:v>
                </c:pt>
                <c:pt idx="153">
                  <c:v>3388.4415613920246</c:v>
                </c:pt>
                <c:pt idx="154">
                  <c:v>3467.3685045253183</c:v>
                </c:pt>
                <c:pt idx="155">
                  <c:v>3548.1338923357566</c:v>
                </c:pt>
                <c:pt idx="156">
                  <c:v>3630.7805477010152</c:v>
                </c:pt>
                <c:pt idx="157">
                  <c:v>3715.3522909717267</c:v>
                </c:pt>
                <c:pt idx="158">
                  <c:v>3801.8939632056163</c:v>
                </c:pt>
                <c:pt idx="159">
                  <c:v>3890.4514499428064</c:v>
                </c:pt>
                <c:pt idx="160">
                  <c:v>3981.071705534976</c:v>
                </c:pt>
                <c:pt idx="161">
                  <c:v>4073.8027780411271</c:v>
                </c:pt>
                <c:pt idx="162">
                  <c:v>4168.6938347033574</c:v>
                </c:pt>
                <c:pt idx="163">
                  <c:v>4265.7951880159289</c:v>
                </c:pt>
                <c:pt idx="164">
                  <c:v>4365.1583224016622</c:v>
                </c:pt>
                <c:pt idx="165">
                  <c:v>4466.8359215096334</c:v>
                </c:pt>
                <c:pt idx="166">
                  <c:v>4570.8818961487559</c:v>
                </c:pt>
                <c:pt idx="167">
                  <c:v>4677.3514128719835</c:v>
                </c:pt>
                <c:pt idx="168">
                  <c:v>4786.3009232263885</c:v>
                </c:pt>
                <c:pt idx="169">
                  <c:v>4897.7881936844624</c:v>
                </c:pt>
                <c:pt idx="170">
                  <c:v>5011.8723362727269</c:v>
                </c:pt>
                <c:pt idx="171">
                  <c:v>5128.6138399136516</c:v>
                </c:pt>
                <c:pt idx="172">
                  <c:v>5248.0746024977288</c:v>
                </c:pt>
                <c:pt idx="173">
                  <c:v>5370.3179637025296</c:v>
                </c:pt>
                <c:pt idx="174">
                  <c:v>5495.4087385762532</c:v>
                </c:pt>
                <c:pt idx="175">
                  <c:v>5623.4132519034929</c:v>
                </c:pt>
                <c:pt idx="176">
                  <c:v>5754.3993733715706</c:v>
                </c:pt>
                <c:pt idx="177">
                  <c:v>5888.4365535558954</c:v>
                </c:pt>
                <c:pt idx="178">
                  <c:v>6025.5958607435778</c:v>
                </c:pt>
                <c:pt idx="179">
                  <c:v>6165.9500186148271</c:v>
                </c:pt>
                <c:pt idx="180">
                  <c:v>6309.5734448019321</c:v>
                </c:pt>
                <c:pt idx="181">
                  <c:v>6456.5422903465596</c:v>
                </c:pt>
                <c:pt idx="182">
                  <c:v>6606.9344800759645</c:v>
                </c:pt>
                <c:pt idx="183">
                  <c:v>6760.8297539198211</c:v>
                </c:pt>
                <c:pt idx="184">
                  <c:v>6918.3097091893669</c:v>
                </c:pt>
                <c:pt idx="185">
                  <c:v>7079.4578438413873</c:v>
                </c:pt>
                <c:pt idx="186">
                  <c:v>7244.3596007499027</c:v>
                </c:pt>
                <c:pt idx="187">
                  <c:v>7413.1024130091828</c:v>
                </c:pt>
                <c:pt idx="188">
                  <c:v>7585.7757502918375</c:v>
                </c:pt>
                <c:pt idx="189">
                  <c:v>7762.4711662869231</c:v>
                </c:pt>
                <c:pt idx="190">
                  <c:v>7943.2823472428208</c:v>
                </c:pt>
                <c:pt idx="191">
                  <c:v>8128.3051616409975</c:v>
                </c:pt>
                <c:pt idx="192">
                  <c:v>8317.6377110267131</c:v>
                </c:pt>
                <c:pt idx="193">
                  <c:v>8511.3803820237772</c:v>
                </c:pt>
                <c:pt idx="194">
                  <c:v>8709.6358995608098</c:v>
                </c:pt>
                <c:pt idx="195">
                  <c:v>8912.509381337466</c:v>
                </c:pt>
                <c:pt idx="196">
                  <c:v>9120.1083935590977</c:v>
                </c:pt>
                <c:pt idx="197">
                  <c:v>9332.5430079699199</c:v>
                </c:pt>
                <c:pt idx="198">
                  <c:v>9549.9258602143673</c:v>
                </c:pt>
                <c:pt idx="199">
                  <c:v>9772.3722095581143</c:v>
                </c:pt>
                <c:pt idx="200">
                  <c:v>10000</c:v>
                </c:pt>
                <c:pt idx="201">
                  <c:v>10232.929922807547</c:v>
                </c:pt>
                <c:pt idx="202">
                  <c:v>10471.285480508999</c:v>
                </c:pt>
                <c:pt idx="203">
                  <c:v>10715.193052376069</c:v>
                </c:pt>
                <c:pt idx="204">
                  <c:v>10964.781961431863</c:v>
                </c:pt>
                <c:pt idx="205">
                  <c:v>11220.184543019637</c:v>
                </c:pt>
                <c:pt idx="206">
                  <c:v>11481.536214968839</c:v>
                </c:pt>
                <c:pt idx="207">
                  <c:v>11748.975549395294</c:v>
                </c:pt>
                <c:pt idx="208">
                  <c:v>12022.644346174138</c:v>
                </c:pt>
                <c:pt idx="209">
                  <c:v>12302.687708123824</c:v>
                </c:pt>
                <c:pt idx="210">
                  <c:v>12589.25411794168</c:v>
                </c:pt>
                <c:pt idx="211">
                  <c:v>12882.495516931347</c:v>
                </c:pt>
                <c:pt idx="212">
                  <c:v>13182.567385564089</c:v>
                </c:pt>
                <c:pt idx="213">
                  <c:v>13489.628825916541</c:v>
                </c:pt>
                <c:pt idx="214">
                  <c:v>13803.842646028863</c:v>
                </c:pt>
                <c:pt idx="215">
                  <c:v>14125.375446227545</c:v>
                </c:pt>
                <c:pt idx="216">
                  <c:v>14454.397707459288</c:v>
                </c:pt>
                <c:pt idx="217">
                  <c:v>14791.083881682087</c:v>
                </c:pt>
                <c:pt idx="218">
                  <c:v>15135.612484362093</c:v>
                </c:pt>
                <c:pt idx="219">
                  <c:v>15488.166189124822</c:v>
                </c:pt>
                <c:pt idx="220">
                  <c:v>15848.931924611155</c:v>
                </c:pt>
                <c:pt idx="221">
                  <c:v>16218.100973589308</c:v>
                </c:pt>
                <c:pt idx="222">
                  <c:v>16595.869074375627</c:v>
                </c:pt>
                <c:pt idx="223">
                  <c:v>16982.436524617446</c:v>
                </c:pt>
                <c:pt idx="224">
                  <c:v>17378.008287493773</c:v>
                </c:pt>
                <c:pt idx="225">
                  <c:v>17782.794100389245</c:v>
                </c:pt>
                <c:pt idx="226">
                  <c:v>18197.008586099833</c:v>
                </c:pt>
                <c:pt idx="227">
                  <c:v>18620.871366628686</c:v>
                </c:pt>
                <c:pt idx="228">
                  <c:v>19054.607179632483</c:v>
                </c:pt>
                <c:pt idx="229">
                  <c:v>19498.445997580464</c:v>
                </c:pt>
                <c:pt idx="230">
                  <c:v>19952.623149688803</c:v>
                </c:pt>
                <c:pt idx="231">
                  <c:v>20417.379446695319</c:v>
                </c:pt>
                <c:pt idx="232">
                  <c:v>20892.961308540398</c:v>
                </c:pt>
                <c:pt idx="233">
                  <c:v>21379.620895022344</c:v>
                </c:pt>
                <c:pt idx="234">
                  <c:v>21877.616239495528</c:v>
                </c:pt>
                <c:pt idx="235">
                  <c:v>22387.211385683418</c:v>
                </c:pt>
                <c:pt idx="236">
                  <c:v>22908.676527677748</c:v>
                </c:pt>
                <c:pt idx="237">
                  <c:v>23442.288153199239</c:v>
                </c:pt>
                <c:pt idx="238">
                  <c:v>23988.32919019492</c:v>
                </c:pt>
                <c:pt idx="239">
                  <c:v>24547.089156850339</c:v>
                </c:pt>
                <c:pt idx="240">
                  <c:v>25118.864315095812</c:v>
                </c:pt>
                <c:pt idx="241">
                  <c:v>25703.957827688668</c:v>
                </c:pt>
                <c:pt idx="242">
                  <c:v>26302.679918953821</c:v>
                </c:pt>
                <c:pt idx="243">
                  <c:v>26915.348039269185</c:v>
                </c:pt>
                <c:pt idx="244">
                  <c:v>27542.28703338169</c:v>
                </c:pt>
                <c:pt idx="245">
                  <c:v>28183.829312644561</c:v>
                </c:pt>
                <c:pt idx="246">
                  <c:v>28840.315031266076</c:v>
                </c:pt>
                <c:pt idx="247">
                  <c:v>29512.092266663898</c:v>
                </c:pt>
                <c:pt idx="248">
                  <c:v>30199.517204020176</c:v>
                </c:pt>
                <c:pt idx="249">
                  <c:v>30902.954325135921</c:v>
                </c:pt>
                <c:pt idx="250">
                  <c:v>31622.776601683803</c:v>
                </c:pt>
                <c:pt idx="251">
                  <c:v>32359.365692962834</c:v>
                </c:pt>
                <c:pt idx="252">
                  <c:v>33113.112148259112</c:v>
                </c:pt>
                <c:pt idx="253">
                  <c:v>33884.415613920253</c:v>
                </c:pt>
                <c:pt idx="254">
                  <c:v>34673.685045253224</c:v>
                </c:pt>
                <c:pt idx="255">
                  <c:v>35481.338923357536</c:v>
                </c:pt>
                <c:pt idx="256">
                  <c:v>36307.805477010188</c:v>
                </c:pt>
                <c:pt idx="257">
                  <c:v>37153.522909717241</c:v>
                </c:pt>
                <c:pt idx="258">
                  <c:v>38018.939632056172</c:v>
                </c:pt>
                <c:pt idx="259">
                  <c:v>38904.514499428107</c:v>
                </c:pt>
                <c:pt idx="260">
                  <c:v>39810.717055349771</c:v>
                </c:pt>
                <c:pt idx="261">
                  <c:v>40738.027780411314</c:v>
                </c:pt>
                <c:pt idx="262">
                  <c:v>41686.938347033582</c:v>
                </c:pt>
                <c:pt idx="263">
                  <c:v>42657.9518801593</c:v>
                </c:pt>
                <c:pt idx="264">
                  <c:v>43651.583224016635</c:v>
                </c:pt>
                <c:pt idx="265">
                  <c:v>44668.359215096345</c:v>
                </c:pt>
                <c:pt idx="266">
                  <c:v>45708.81896148753</c:v>
                </c:pt>
                <c:pt idx="267">
                  <c:v>46773.514128719842</c:v>
                </c:pt>
                <c:pt idx="268">
                  <c:v>47863.009232263852</c:v>
                </c:pt>
                <c:pt idx="269">
                  <c:v>48977.881936844635</c:v>
                </c:pt>
                <c:pt idx="270">
                  <c:v>50118.723362727324</c:v>
                </c:pt>
                <c:pt idx="271">
                  <c:v>51286.138399136486</c:v>
                </c:pt>
                <c:pt idx="272">
                  <c:v>52480.74602497735</c:v>
                </c:pt>
                <c:pt idx="273">
                  <c:v>53703.17963702527</c:v>
                </c:pt>
                <c:pt idx="274">
                  <c:v>54954.087385762541</c:v>
                </c:pt>
                <c:pt idx="275">
                  <c:v>56234.132519034989</c:v>
                </c:pt>
                <c:pt idx="276">
                  <c:v>57543.993733715673</c:v>
                </c:pt>
                <c:pt idx="277">
                  <c:v>58884.365535558973</c:v>
                </c:pt>
                <c:pt idx="278">
                  <c:v>60255.958607435852</c:v>
                </c:pt>
                <c:pt idx="279">
                  <c:v>61659.500186148289</c:v>
                </c:pt>
                <c:pt idx="280">
                  <c:v>63095.734448019386</c:v>
                </c:pt>
                <c:pt idx="281">
                  <c:v>64565.422903465616</c:v>
                </c:pt>
                <c:pt idx="282">
                  <c:v>66069.34480075966</c:v>
                </c:pt>
                <c:pt idx="283">
                  <c:v>67608.297539198233</c:v>
                </c:pt>
                <c:pt idx="284">
                  <c:v>69183.097091893695</c:v>
                </c:pt>
                <c:pt idx="285">
                  <c:v>70794.578438413824</c:v>
                </c:pt>
                <c:pt idx="286">
                  <c:v>72443.596007499029</c:v>
                </c:pt>
                <c:pt idx="287">
                  <c:v>74131.02413009177</c:v>
                </c:pt>
                <c:pt idx="288">
                  <c:v>75857.757502918394</c:v>
                </c:pt>
                <c:pt idx="289">
                  <c:v>77624.711662869318</c:v>
                </c:pt>
                <c:pt idx="290">
                  <c:v>79432.82347242815</c:v>
                </c:pt>
                <c:pt idx="291">
                  <c:v>81283.05161641007</c:v>
                </c:pt>
                <c:pt idx="292">
                  <c:v>83176.377110267087</c:v>
                </c:pt>
                <c:pt idx="293">
                  <c:v>85113.803820237779</c:v>
                </c:pt>
                <c:pt idx="294">
                  <c:v>87096.358995608185</c:v>
                </c:pt>
                <c:pt idx="295">
                  <c:v>89125.093813374682</c:v>
                </c:pt>
                <c:pt idx="296">
                  <c:v>91201.083935591087</c:v>
                </c:pt>
                <c:pt idx="297">
                  <c:v>93325.430079699217</c:v>
                </c:pt>
                <c:pt idx="298">
                  <c:v>95499.258602143687</c:v>
                </c:pt>
                <c:pt idx="299">
                  <c:v>97723.722095581164</c:v>
                </c:pt>
                <c:pt idx="300">
                  <c:v>100000</c:v>
                </c:pt>
                <c:pt idx="301">
                  <c:v>102329.29922807548</c:v>
                </c:pt>
                <c:pt idx="302">
                  <c:v>104712.85480509003</c:v>
                </c:pt>
                <c:pt idx="303">
                  <c:v>107151.9305237607</c:v>
                </c:pt>
                <c:pt idx="304">
                  <c:v>109647.81961431856</c:v>
                </c:pt>
                <c:pt idx="305">
                  <c:v>112201.84543019639</c:v>
                </c:pt>
                <c:pt idx="306">
                  <c:v>114815.36214968831</c:v>
                </c:pt>
                <c:pt idx="307">
                  <c:v>117489.75549395318</c:v>
                </c:pt>
                <c:pt idx="308">
                  <c:v>120226.44346174151</c:v>
                </c:pt>
                <c:pt idx="309">
                  <c:v>123026.87708123817</c:v>
                </c:pt>
                <c:pt idx="310">
                  <c:v>125892.54117941672</c:v>
                </c:pt>
                <c:pt idx="311">
                  <c:v>128824.9551693136</c:v>
                </c:pt>
                <c:pt idx="312">
                  <c:v>131825.6738556409</c:v>
                </c:pt>
                <c:pt idx="313">
                  <c:v>134896.28825916557</c:v>
                </c:pt>
                <c:pt idx="314">
                  <c:v>138038.42646028841</c:v>
                </c:pt>
                <c:pt idx="315">
                  <c:v>141253.7544622756</c:v>
                </c:pt>
                <c:pt idx="316">
                  <c:v>144543.9770745929</c:v>
                </c:pt>
                <c:pt idx="317">
                  <c:v>147910.83881682088</c:v>
                </c:pt>
                <c:pt idx="318">
                  <c:v>151356.12484362445</c:v>
                </c:pt>
                <c:pt idx="319">
                  <c:v>154881.66189124854</c:v>
                </c:pt>
                <c:pt idx="320">
                  <c:v>158489.31924611147</c:v>
                </c:pt>
                <c:pt idx="321">
                  <c:v>162181.00973589683</c:v>
                </c:pt>
                <c:pt idx="322">
                  <c:v>165958.69074376026</c:v>
                </c:pt>
                <c:pt idx="323">
                  <c:v>169824.36524617841</c:v>
                </c:pt>
                <c:pt idx="324">
                  <c:v>173780.08287494161</c:v>
                </c:pt>
                <c:pt idx="325">
                  <c:v>177827.94100389644</c:v>
                </c:pt>
                <c:pt idx="326">
                  <c:v>181970.08586100259</c:v>
                </c:pt>
                <c:pt idx="327">
                  <c:v>186208.71366629141</c:v>
                </c:pt>
                <c:pt idx="328">
                  <c:v>190546.07179632946</c:v>
                </c:pt>
                <c:pt idx="329">
                  <c:v>194984.459975809</c:v>
                </c:pt>
                <c:pt idx="330">
                  <c:v>199526.23149689252</c:v>
                </c:pt>
                <c:pt idx="331">
                  <c:v>204173.79446695794</c:v>
                </c:pt>
                <c:pt idx="332">
                  <c:v>208929.61308540907</c:v>
                </c:pt>
                <c:pt idx="333">
                  <c:v>213796.20895022844</c:v>
                </c:pt>
                <c:pt idx="334">
                  <c:v>218776.16239496018</c:v>
                </c:pt>
                <c:pt idx="335">
                  <c:v>223872.11385683939</c:v>
                </c:pt>
                <c:pt idx="336">
                  <c:v>229086.76527678283</c:v>
                </c:pt>
                <c:pt idx="337">
                  <c:v>234422.88153199785</c:v>
                </c:pt>
                <c:pt idx="338">
                  <c:v>239883.29190195477</c:v>
                </c:pt>
                <c:pt idx="339">
                  <c:v>245470.89156850934</c:v>
                </c:pt>
                <c:pt idx="340">
                  <c:v>251188.643150964</c:v>
                </c:pt>
                <c:pt idx="341">
                  <c:v>257039.57827689245</c:v>
                </c:pt>
                <c:pt idx="342">
                  <c:v>263026.79918954434</c:v>
                </c:pt>
                <c:pt idx="343">
                  <c:v>269153.48039269837</c:v>
                </c:pt>
                <c:pt idx="344">
                  <c:v>275422.87033382355</c:v>
                </c:pt>
                <c:pt idx="345">
                  <c:v>281838.29312645196</c:v>
                </c:pt>
                <c:pt idx="346">
                  <c:v>288403.15031266725</c:v>
                </c:pt>
                <c:pt idx="347">
                  <c:v>295120.9226666459</c:v>
                </c:pt>
                <c:pt idx="348">
                  <c:v>301995.17204020906</c:v>
                </c:pt>
                <c:pt idx="349">
                  <c:v>309029.54325136665</c:v>
                </c:pt>
                <c:pt idx="350">
                  <c:v>316227.76601684513</c:v>
                </c:pt>
                <c:pt idx="351">
                  <c:v>323593.65692963556</c:v>
                </c:pt>
                <c:pt idx="352">
                  <c:v>331131.12148259912</c:v>
                </c:pt>
                <c:pt idx="353">
                  <c:v>338844.15613921074</c:v>
                </c:pt>
                <c:pt idx="354">
                  <c:v>346736.85045254003</c:v>
                </c:pt>
                <c:pt idx="355">
                  <c:v>354813.38923358335</c:v>
                </c:pt>
                <c:pt idx="356">
                  <c:v>363078.05477011006</c:v>
                </c:pt>
                <c:pt idx="357">
                  <c:v>371535.22909718135</c:v>
                </c:pt>
                <c:pt idx="358">
                  <c:v>380189.39632057026</c:v>
                </c:pt>
                <c:pt idx="359">
                  <c:v>389045.14499428979</c:v>
                </c:pt>
                <c:pt idx="360">
                  <c:v>398107.17055350728</c:v>
                </c:pt>
                <c:pt idx="361">
                  <c:v>407380.27780413168</c:v>
                </c:pt>
                <c:pt idx="362">
                  <c:v>416869.38347035483</c:v>
                </c:pt>
                <c:pt idx="363">
                  <c:v>426579.51880160259</c:v>
                </c:pt>
                <c:pt idx="364">
                  <c:v>436515.83224017685</c:v>
                </c:pt>
                <c:pt idx="365">
                  <c:v>446683.5921509742</c:v>
                </c:pt>
                <c:pt idx="366">
                  <c:v>457088.18961489608</c:v>
                </c:pt>
                <c:pt idx="367">
                  <c:v>467735.14128722053</c:v>
                </c:pt>
                <c:pt idx="368">
                  <c:v>478630.09232266113</c:v>
                </c:pt>
                <c:pt idx="369">
                  <c:v>489778.81936846947</c:v>
                </c:pt>
                <c:pt idx="370">
                  <c:v>501187.23362729524</c:v>
                </c:pt>
                <c:pt idx="371">
                  <c:v>512861.38399138919</c:v>
                </c:pt>
                <c:pt idx="372">
                  <c:v>524807.46024979744</c:v>
                </c:pt>
                <c:pt idx="373">
                  <c:v>537031.79637027811</c:v>
                </c:pt>
                <c:pt idx="374">
                  <c:v>549540.87385765044</c:v>
                </c:pt>
                <c:pt idx="375">
                  <c:v>562341.32519037649</c:v>
                </c:pt>
                <c:pt idx="376">
                  <c:v>575439.93733718398</c:v>
                </c:pt>
                <c:pt idx="377">
                  <c:v>588843.65535561647</c:v>
                </c:pt>
                <c:pt idx="378">
                  <c:v>602559.58607438591</c:v>
                </c:pt>
                <c:pt idx="379">
                  <c:v>616595.00186151091</c:v>
                </c:pt>
                <c:pt idx="380">
                  <c:v>630957.34448022372</c:v>
                </c:pt>
                <c:pt idx="381">
                  <c:v>645654.22903468553</c:v>
                </c:pt>
                <c:pt idx="382">
                  <c:v>660693.44800762658</c:v>
                </c:pt>
                <c:pt idx="383">
                  <c:v>676082.97539201309</c:v>
                </c:pt>
                <c:pt idx="384">
                  <c:v>691830.97091896972</c:v>
                </c:pt>
                <c:pt idx="385">
                  <c:v>707945.78438417171</c:v>
                </c:pt>
                <c:pt idx="386">
                  <c:v>724435.96007502335</c:v>
                </c:pt>
                <c:pt idx="387">
                  <c:v>741310.24130095146</c:v>
                </c:pt>
                <c:pt idx="388">
                  <c:v>758577.57502921985</c:v>
                </c:pt>
                <c:pt idx="389">
                  <c:v>776247.11662872857</c:v>
                </c:pt>
                <c:pt idx="390">
                  <c:v>794328.23472431907</c:v>
                </c:pt>
                <c:pt idx="391">
                  <c:v>812830.51616413763</c:v>
                </c:pt>
                <c:pt idx="392">
                  <c:v>831763.77110271016</c:v>
                </c:pt>
                <c:pt idx="393">
                  <c:v>851138.0382024165</c:v>
                </c:pt>
                <c:pt idx="394">
                  <c:v>870963.58995612152</c:v>
                </c:pt>
                <c:pt idx="395">
                  <c:v>891250.93813378725</c:v>
                </c:pt>
                <c:pt idx="396">
                  <c:v>912010.83935595397</c:v>
                </c:pt>
                <c:pt idx="397">
                  <c:v>933254.30079703464</c:v>
                </c:pt>
                <c:pt idx="398">
                  <c:v>954992.58602148038</c:v>
                </c:pt>
                <c:pt idx="399">
                  <c:v>977237.22095585614</c:v>
                </c:pt>
                <c:pt idx="400">
                  <c:v>1000000.0000000482</c:v>
                </c:pt>
              </c:numCache>
            </c:numRef>
          </c:xVal>
          <c:yVal>
            <c:numRef>
              <c:f>Loop_Response!$J$3:$J$403</c:f>
              <c:numCache>
                <c:formatCode>General</c:formatCode>
                <c:ptCount val="401"/>
                <c:pt idx="0">
                  <c:v>99.713448623142042</c:v>
                </c:pt>
                <c:pt idx="1">
                  <c:v>99.817054081504523</c:v>
                </c:pt>
                <c:pt idx="2">
                  <c:v>99.917539434488063</c:v>
                </c:pt>
                <c:pt idx="3">
                  <c:v>100.01467875185992</c:v>
                </c:pt>
                <c:pt idx="4">
                  <c:v>100.10824549841597</c:v>
                </c:pt>
                <c:pt idx="5">
                  <c:v>100.19801333085866</c:v>
                </c:pt>
                <c:pt idx="6">
                  <c:v>100.28375693065162</c:v>
                </c:pt>
                <c:pt idx="7">
                  <c:v>100.36525286822844</c:v>
                </c:pt>
                <c:pt idx="8">
                  <c:v>100.44228049333223</c:v>
                </c:pt>
                <c:pt idx="9">
                  <c:v>100.51462284568889</c:v>
                </c:pt>
                <c:pt idx="10">
                  <c:v>100.58206757968843</c:v>
                </c:pt>
                <c:pt idx="11">
                  <c:v>100.64440789627034</c:v>
                </c:pt>
                <c:pt idx="12">
                  <c:v>100.7014434747997</c:v>
                </c:pt>
                <c:pt idx="13">
                  <c:v>100.75298139738219</c:v>
                </c:pt>
                <c:pt idx="14">
                  <c:v>100.79883705781718</c:v>
                </c:pt>
                <c:pt idx="15">
                  <c:v>100.83883504723076</c:v>
                </c:pt>
                <c:pt idx="16">
                  <c:v>100.87281000837449</c:v>
                </c:pt>
                <c:pt idx="17">
                  <c:v>100.90060745062746</c:v>
                </c:pt>
                <c:pt idx="18">
                  <c:v>100.92208451789938</c:v>
                </c:pt>
                <c:pt idx="19">
                  <c:v>100.93711070190724</c:v>
                </c:pt>
                <c:pt idx="20">
                  <c:v>100.94556849368117</c:v>
                </c:pt>
                <c:pt idx="21">
                  <c:v>100.94735396664763</c:v>
                </c:pt>
                <c:pt idx="22">
                  <c:v>100.94237728523468</c:v>
                </c:pt>
                <c:pt idx="23">
                  <c:v>100.93056313363452</c:v>
                </c:pt>
                <c:pt idx="24">
                  <c:v>100.91185106013506</c:v>
                </c:pt>
                <c:pt idx="25">
                  <c:v>100.88619573328614</c:v>
                </c:pt>
                <c:pt idx="26">
                  <c:v>100.85356710707528</c:v>
                </c:pt>
                <c:pt idx="27">
                  <c:v>100.81395049325167</c:v>
                </c:pt>
                <c:pt idx="28">
                  <c:v>100.76734653992446</c:v>
                </c:pt>
                <c:pt idx="29">
                  <c:v>100.71377111656767</c:v>
                </c:pt>
                <c:pt idx="30">
                  <c:v>100.65325510656693</c:v>
                </c:pt>
                <c:pt idx="31">
                  <c:v>100.58584410942719</c:v>
                </c:pt>
                <c:pt idx="32">
                  <c:v>100.51159805570774</c:v>
                </c:pt>
                <c:pt idx="33">
                  <c:v>100.43059073865082</c:v>
                </c:pt>
                <c:pt idx="34">
                  <c:v>100.34290926730088</c:v>
                </c:pt>
                <c:pt idx="35">
                  <c:v>100.24865344666743</c:v>
                </c:pt>
                <c:pt idx="36">
                  <c:v>100.14793509115106</c:v>
                </c:pt>
                <c:pt idx="37">
                  <c:v>100.0408772780192</c:v>
                </c:pt>
                <c:pt idx="38">
                  <c:v>99.92761354818397</c:v>
                </c:pt>
                <c:pt idx="39">
                  <c:v>99.80828706188673</c:v>
                </c:pt>
                <c:pt idx="40">
                  <c:v>99.6830497171389</c:v>
                </c:pt>
                <c:pt idx="41">
                  <c:v>99.552061238898887</c:v>
                </c:pt>
                <c:pt idx="42">
                  <c:v>99.415488246986627</c:v>
                </c:pt>
                <c:pt idx="43">
                  <c:v>99.273503310654277</c:v>
                </c:pt>
                <c:pt idx="44">
                  <c:v>99.12628399754874</c:v>
                </c:pt>
                <c:pt idx="45">
                  <c:v>98.97401192452628</c:v>
                </c:pt>
                <c:pt idx="46">
                  <c:v>98.816871817422665</c:v>
                </c:pt>
                <c:pt idx="47">
                  <c:v>98.655050586452447</c:v>
                </c:pt>
                <c:pt idx="48">
                  <c:v>98.488736423417947</c:v>
                </c:pt>
                <c:pt idx="49">
                  <c:v>98.31811792636708</c:v>
                </c:pt>
                <c:pt idx="50">
                  <c:v>98.14338325675709</c:v>
                </c:pt>
                <c:pt idx="51">
                  <c:v>97.96471933357283</c:v>
                </c:pt>
                <c:pt idx="52">
                  <c:v>97.782311068222072</c:v>
                </c:pt>
                <c:pt idx="53">
                  <c:v>97.596340643401177</c:v>
                </c:pt>
                <c:pt idx="54">
                  <c:v>97.406986838496451</c:v>
                </c:pt>
                <c:pt idx="55">
                  <c:v>97.214424403474538</c:v>
                </c:pt>
                <c:pt idx="56">
                  <c:v>97.018823482623446</c:v>
                </c:pt>
                <c:pt idx="57">
                  <c:v>96.820349088943104</c:v>
                </c:pt>
                <c:pt idx="58">
                  <c:v>96.619160629454811</c:v>
                </c:pt>
                <c:pt idx="59">
                  <c:v>96.415411481211393</c:v>
                </c:pt>
                <c:pt idx="60">
                  <c:v>96.209248617341302</c:v>
                </c:pt>
                <c:pt idx="61">
                  <c:v>96.000812282059385</c:v>
                </c:pt>
                <c:pt idx="62">
                  <c:v>95.790235713222685</c:v>
                </c:pt>
                <c:pt idx="63">
                  <c:v>95.577644910701451</c:v>
                </c:pt>
                <c:pt idx="64">
                  <c:v>95.36315844857566</c:v>
                </c:pt>
                <c:pt idx="65">
                  <c:v>95.146887328952999</c:v>
                </c:pt>
                <c:pt idx="66">
                  <c:v>94.928934875034059</c:v>
                </c:pt>
                <c:pt idx="67">
                  <c:v>94.709396660920973</c:v>
                </c:pt>
                <c:pt idx="68">
                  <c:v>94.488360475579782</c:v>
                </c:pt>
                <c:pt idx="69">
                  <c:v>94.26590631831057</c:v>
                </c:pt>
                <c:pt idx="70">
                  <c:v>94.042106423062535</c:v>
                </c:pt>
                <c:pt idx="71">
                  <c:v>93.817025308940501</c:v>
                </c:pt>
                <c:pt idx="72">
                  <c:v>93.590719854285368</c:v>
                </c:pt>
                <c:pt idx="73">
                  <c:v>93.363239391771103</c:v>
                </c:pt>
                <c:pt idx="74">
                  <c:v>93.134625822040107</c:v>
                </c:pt>
                <c:pt idx="75">
                  <c:v>92.904913743492358</c:v>
                </c:pt>
                <c:pt idx="76">
                  <c:v>92.674130595954722</c:v>
                </c:pt>
                <c:pt idx="77">
                  <c:v>92.442296816073892</c:v>
                </c:pt>
                <c:pt idx="78">
                  <c:v>92.209426002404385</c:v>
                </c:pt>
                <c:pt idx="79">
                  <c:v>91.97552508829466</c:v>
                </c:pt>
                <c:pt idx="80">
                  <c:v>91.740594520810205</c:v>
                </c:pt>
                <c:pt idx="81">
                  <c:v>91.504628444069553</c:v>
                </c:pt>
                <c:pt idx="82">
                  <c:v>91.267614885504756</c:v>
                </c:pt>
                <c:pt idx="83">
                  <c:v>91.029535943693887</c:v>
                </c:pt>
                <c:pt idx="84">
                  <c:v>90.79036797654355</c:v>
                </c:pt>
                <c:pt idx="85">
                  <c:v>90.550081788728235</c:v>
                </c:pt>
                <c:pt idx="86">
                  <c:v>90.308642817415276</c:v>
                </c:pt>
                <c:pt idx="87">
                  <c:v>90.066011315422628</c:v>
                </c:pt>
                <c:pt idx="88">
                  <c:v>89.822142531067115</c:v>
                </c:pt>
                <c:pt idx="89">
                  <c:v>89.576986884066855</c:v>
                </c:pt>
                <c:pt idx="90">
                  <c:v>89.330490136960407</c:v>
                </c:pt>
                <c:pt idx="91">
                  <c:v>89.082593561596482</c:v>
                </c:pt>
                <c:pt idx="92">
                  <c:v>88.833234100335218</c:v>
                </c:pt>
                <c:pt idx="93">
                  <c:v>88.582344521679559</c:v>
                </c:pt>
                <c:pt idx="94">
                  <c:v>88.32985357013051</c:v>
                </c:pt>
                <c:pt idx="95">
                  <c:v>88.075686110123826</c:v>
                </c:pt>
                <c:pt idx="96">
                  <c:v>87.819763263970344</c:v>
                </c:pt>
                <c:pt idx="97">
                  <c:v>87.562002543773943</c:v>
                </c:pt>
                <c:pt idx="98">
                  <c:v>87.302317977354917</c:v>
                </c:pt>
                <c:pt idx="99">
                  <c:v>87.040620228248983</c:v>
                </c:pt>
                <c:pt idx="100">
                  <c:v>86.776816709894703</c:v>
                </c:pt>
                <c:pt idx="101">
                  <c:v>86.51081169415815</c:v>
                </c:pt>
                <c:pt idx="102">
                  <c:v>86.242506414376464</c:v>
                </c:pt>
                <c:pt idx="103">
                  <c:v>85.971799163130754</c:v>
                </c:pt>
                <c:pt idx="104">
                  <c:v>85.698585384985435</c:v>
                </c:pt>
                <c:pt idx="105">
                  <c:v>85.422757764454019</c:v>
                </c:pt>
                <c:pt idx="106">
                  <c:v>85.144206309471258</c:v>
                </c:pt>
                <c:pt idx="107">
                  <c:v>84.862818430670771</c:v>
                </c:pt>
                <c:pt idx="108">
                  <c:v>84.578479016783149</c:v>
                </c:pt>
                <c:pt idx="109">
                  <c:v>84.291070506483621</c:v>
                </c:pt>
                <c:pt idx="110">
                  <c:v>84.000472957031775</c:v>
                </c:pt>
                <c:pt idx="111">
                  <c:v>83.706564110057357</c:v>
                </c:pt>
                <c:pt idx="112">
                  <c:v>83.409219454857208</c:v>
                </c:pt>
                <c:pt idx="113">
                  <c:v>83.108312289576332</c:v>
                </c:pt>
                <c:pt idx="114">
                  <c:v>82.80371378065756</c:v>
                </c:pt>
                <c:pt idx="115">
                  <c:v>82.495293020950143</c:v>
                </c:pt>
                <c:pt idx="116">
                  <c:v>82.182917086876202</c:v>
                </c:pt>
                <c:pt idx="117">
                  <c:v>81.866451095062359</c:v>
                </c:pt>
                <c:pt idx="118">
                  <c:v>81.545758258848466</c:v>
                </c:pt>
                <c:pt idx="119">
                  <c:v>81.22069994509441</c:v>
                </c:pt>
                <c:pt idx="120">
                  <c:v>80.891135731711103</c:v>
                </c:pt>
                <c:pt idx="121">
                  <c:v>80.556923466349019</c:v>
                </c:pt>
                <c:pt idx="122">
                  <c:v>80.21791932668242</c:v>
                </c:pt>
                <c:pt idx="123">
                  <c:v>79.873977882735716</c:v>
                </c:pt>
                <c:pt idx="124">
                  <c:v>79.524952161701236</c:v>
                </c:pt>
                <c:pt idx="125">
                  <c:v>79.170693715706236</c:v>
                </c:pt>
                <c:pt idx="126">
                  <c:v>78.811052692989406</c:v>
                </c:pt>
                <c:pt idx="127">
                  <c:v>78.445877912953989</c:v>
                </c:pt>
                <c:pt idx="128">
                  <c:v>78.075016945567711</c:v>
                </c:pt>
                <c:pt idx="129">
                  <c:v>77.698316195583516</c:v>
                </c:pt>
                <c:pt idx="130">
                  <c:v>77.315620992057788</c:v>
                </c:pt>
                <c:pt idx="131">
                  <c:v>76.926775683644763</c:v>
                </c:pt>
                <c:pt idx="132">
                  <c:v>76.531623740146244</c:v>
                </c:pt>
                <c:pt idx="133">
                  <c:v>76.130007860794038</c:v>
                </c:pt>
                <c:pt idx="134">
                  <c:v>75.721770089741639</c:v>
                </c:pt>
                <c:pt idx="135">
                  <c:v>75.306751939235312</c:v>
                </c:pt>
                <c:pt idx="136">
                  <c:v>74.884794520929646</c:v>
                </c:pt>
                <c:pt idx="137">
                  <c:v>74.455738685801748</c:v>
                </c:pt>
                <c:pt idx="138">
                  <c:v>74.019425173107663</c:v>
                </c:pt>
                <c:pt idx="139">
                  <c:v>73.575694768807864</c:v>
                </c:pt>
                <c:pt idx="140">
                  <c:v>73.124388473870368</c:v>
                </c:pt>
                <c:pt idx="141">
                  <c:v>72.665347682836554</c:v>
                </c:pt>
                <c:pt idx="142">
                  <c:v>72.198414373007338</c:v>
                </c:pt>
                <c:pt idx="143">
                  <c:v>71.723431304574916</c:v>
                </c:pt>
                <c:pt idx="144">
                  <c:v>71.240242231987608</c:v>
                </c:pt>
                <c:pt idx="145">
                  <c:v>70.748692126791781</c:v>
                </c:pt>
                <c:pt idx="146">
                  <c:v>70.24862741214497</c:v>
                </c:pt>
                <c:pt idx="147">
                  <c:v>69.739896209138891</c:v>
                </c:pt>
                <c:pt idx="148">
                  <c:v>69.222348595007105</c:v>
                </c:pt>
                <c:pt idx="149">
                  <c:v>68.695836873220969</c:v>
                </c:pt>
                <c:pt idx="150">
                  <c:v>68.160215855401546</c:v>
                </c:pt>
                <c:pt idx="151">
                  <c:v>67.615343154885835</c:v>
                </c:pt>
                <c:pt idx="152">
                  <c:v>67.061079491693846</c:v>
                </c:pt>
                <c:pt idx="153">
                  <c:v>66.497289008539283</c:v>
                </c:pt>
                <c:pt idx="154">
                  <c:v>65.923839597415082</c:v>
                </c:pt>
                <c:pt idx="155">
                  <c:v>65.340603236167183</c:v>
                </c:pt>
                <c:pt idx="156">
                  <c:v>64.74745633434074</c:v>
                </c:pt>
                <c:pt idx="157">
                  <c:v>64.144280087449687</c:v>
                </c:pt>
                <c:pt idx="158">
                  <c:v>63.530960838676705</c:v>
                </c:pt>
                <c:pt idx="159">
                  <c:v>62.907390446862763</c:v>
                </c:pt>
                <c:pt idx="160">
                  <c:v>62.273466659490353</c:v>
                </c:pt>
                <c:pt idx="161">
                  <c:v>61.629093489206177</c:v>
                </c:pt>
                <c:pt idx="162">
                  <c:v>60.974181592265779</c:v>
                </c:pt>
                <c:pt idx="163">
                  <c:v>60.308648647119966</c:v>
                </c:pt>
                <c:pt idx="164">
                  <c:v>59.632419731197487</c:v>
                </c:pt>
                <c:pt idx="165">
                  <c:v>58.945427693779159</c:v>
                </c:pt>
                <c:pt idx="166">
                  <c:v>58.2476135226986</c:v>
                </c:pt>
                <c:pt idx="167">
                  <c:v>57.538926702457431</c:v>
                </c:pt>
                <c:pt idx="168">
                  <c:v>56.819325561200195</c:v>
                </c:pt>
                <c:pt idx="169">
                  <c:v>56.088777603868124</c:v>
                </c:pt>
                <c:pt idx="170">
                  <c:v>55.347259828737101</c:v>
                </c:pt>
                <c:pt idx="171">
                  <c:v>54.594759024454262</c:v>
                </c:pt>
                <c:pt idx="172">
                  <c:v>53.831272044613776</c:v>
                </c:pt>
                <c:pt idx="173">
                  <c:v>53.056806056870222</c:v>
                </c:pt>
                <c:pt idx="174">
                  <c:v>52.271378763568016</c:v>
                </c:pt>
                <c:pt idx="175">
                  <c:v>51.47501859088311</c:v>
                </c:pt>
                <c:pt idx="176">
                  <c:v>50.66776484351989</c:v>
                </c:pt>
                <c:pt idx="177">
                  <c:v>49.849667822096819</c:v>
                </c:pt>
                <c:pt idx="178">
                  <c:v>49.020788900477086</c:v>
                </c:pt>
                <c:pt idx="179">
                  <c:v>48.181200560469748</c:v>
                </c:pt>
                <c:pt idx="180">
                  <c:v>47.330986381537606</c:v>
                </c:pt>
                <c:pt idx="181">
                  <c:v>46.470240983397076</c:v>
                </c:pt>
                <c:pt idx="182">
                  <c:v>45.599069919694571</c:v>
                </c:pt>
                <c:pt idx="183">
                  <c:v>44.717589521275336</c:v>
                </c:pt>
                <c:pt idx="184">
                  <c:v>43.825926687939599</c:v>
                </c:pt>
                <c:pt idx="185">
                  <c:v>42.924218627990413</c:v>
                </c:pt>
                <c:pt idx="186">
                  <c:v>42.012612545323435</c:v>
                </c:pt>
                <c:pt idx="187">
                  <c:v>41.091265274278996</c:v>
                </c:pt>
                <c:pt idx="188">
                  <c:v>40.160342862973827</c:v>
                </c:pt>
                <c:pt idx="189">
                  <c:v>39.220020106337877</c:v>
                </c:pt>
                <c:pt idx="190">
                  <c:v>38.270480030602897</c:v>
                </c:pt>
                <c:pt idx="191">
                  <c:v>37.311913331506666</c:v>
                </c:pt>
                <c:pt idx="192">
                  <c:v>36.344517768994272</c:v>
                </c:pt>
                <c:pt idx="193">
                  <c:v>35.36849752168979</c:v>
                </c:pt>
                <c:pt idx="194">
                  <c:v>34.384062504889926</c:v>
                </c:pt>
                <c:pt idx="195">
                  <c:v>33.391427656267282</c:v>
                </c:pt>
                <c:pt idx="196">
                  <c:v>32.390812193874353</c:v>
                </c:pt>
                <c:pt idx="197">
                  <c:v>31.38243885138505</c:v>
                </c:pt>
                <c:pt idx="198">
                  <c:v>30.366533095811302</c:v>
                </c:pt>
                <c:pt idx="199">
                  <c:v>29.34332233315823</c:v>
                </c:pt>
                <c:pt idx="200">
                  <c:v>28.313035107653675</c:v>
                </c:pt>
                <c:pt idx="201">
                  <c:v>27.275900300277009</c:v>
                </c:pt>
                <c:pt idx="202">
                  <c:v>26.232146332337194</c:v>
                </c:pt>
                <c:pt idx="203">
                  <c:v>25.18200037979306</c:v>
                </c:pt>
                <c:pt idx="204">
                  <c:v>24.125687603882639</c:v>
                </c:pt>
                <c:pt idx="205">
                  <c:v>23.063430403426565</c:v>
                </c:pt>
                <c:pt idx="206">
                  <c:v>21.995447693898136</c:v>
                </c:pt>
                <c:pt idx="207">
                  <c:v>20.921954218019458</c:v>
                </c:pt>
                <c:pt idx="208">
                  <c:v>19.843159892244277</c:v>
                </c:pt>
                <c:pt idx="209">
                  <c:v>18.759269193043259</c:v>
                </c:pt>
                <c:pt idx="210">
                  <c:v>17.670480586412133</c:v>
                </c:pt>
                <c:pt idx="211">
                  <c:v>16.576986003496824</c:v>
                </c:pt>
                <c:pt idx="212">
                  <c:v>15.478970364673135</c:v>
                </c:pt>
                <c:pt idx="213">
                  <c:v>14.376611153847183</c:v>
                </c:pt>
                <c:pt idx="214">
                  <c:v>13.270078044162274</c:v>
                </c:pt>
                <c:pt idx="215">
                  <c:v>12.1595325757237</c:v>
                </c:pt>
                <c:pt idx="216">
                  <c:v>11.045127885385872</c:v>
                </c:pt>
                <c:pt idx="217">
                  <c:v>9.9270084881063401</c:v>
                </c:pt>
                <c:pt idx="218">
                  <c:v>8.805310108856883</c:v>
                </c:pt>
                <c:pt idx="219">
                  <c:v>7.6801595636105642</c:v>
                </c:pt>
                <c:pt idx="220">
                  <c:v>6.5516746874936818</c:v>
                </c:pt>
                <c:pt idx="221">
                  <c:v>5.4199643078173096</c:v>
                </c:pt>
                <c:pt idx="222">
                  <c:v>4.285128259383292</c:v>
                </c:pt>
                <c:pt idx="223">
                  <c:v>3.1472574392043828</c:v>
                </c:pt>
                <c:pt idx="224">
                  <c:v>2.0064338975837099</c:v>
                </c:pt>
                <c:pt idx="225">
                  <c:v>0.86273096237719926</c:v>
                </c:pt>
                <c:pt idx="226">
                  <c:v>-0.2837866068003585</c:v>
                </c:pt>
                <c:pt idx="227">
                  <c:v>-1.4330624376496885</c:v>
                </c:pt>
                <c:pt idx="228">
                  <c:v>-2.5850483406946054</c:v>
                </c:pt>
                <c:pt idx="229">
                  <c:v>-3.7397040842369726</c:v>
                </c:pt>
                <c:pt idx="230">
                  <c:v>-4.8969971515722968</c:v>
                </c:pt>
                <c:pt idx="231">
                  <c:v>-6.0569024830315534</c:v>
                </c:pt>
                <c:pt idx="232">
                  <c:v>-7.2194022051105229</c:v>
                </c:pt>
                <c:pt idx="233">
                  <c:v>-8.3844853486081199</c:v>
                </c:pt>
                <c:pt idx="234">
                  <c:v>-9.5521475573163492</c:v>
                </c:pt>
                <c:pt idx="235">
                  <c:v>-10.722390788405537</c:v>
                </c:pt>
                <c:pt idx="236">
                  <c:v>-11.895223005226594</c:v>
                </c:pt>
                <c:pt idx="237">
                  <c:v>-13.07065786283194</c:v>
                </c:pt>
                <c:pt idx="238">
                  <c:v>-14.248714386091095</c:v>
                </c:pt>
                <c:pt idx="239">
                  <c:v>-15.429416639873011</c:v>
                </c:pt>
                <c:pt idx="240">
                  <c:v>-16.612793390382915</c:v>
                </c:pt>
                <c:pt idx="241">
                  <c:v>-17.798877756394738</c:v>
                </c:pt>
                <c:pt idx="242">
                  <c:v>-18.987706848813353</c:v>
                </c:pt>
                <c:pt idx="243">
                  <c:v>-20.179321396755082</c:v>
                </c:pt>
                <c:pt idx="244">
                  <c:v>-21.373765358141242</c:v>
                </c:pt>
                <c:pt idx="245">
                  <c:v>-22.571085512685158</c:v>
                </c:pt>
                <c:pt idx="246">
                  <c:v>-23.771331035103284</c:v>
                </c:pt>
                <c:pt idx="247">
                  <c:v>-24.974553046418638</c:v>
                </c:pt>
                <c:pt idx="248">
                  <c:v>-26.180804141338122</c:v>
                </c:pt>
                <c:pt idx="249">
                  <c:v>-27.39013788988477</c:v>
                </c:pt>
                <c:pt idx="250">
                  <c:v>-28.602608311740468</c:v>
                </c:pt>
                <c:pt idx="251">
                  <c:v>-29.818269322114457</c:v>
                </c:pt>
                <c:pt idx="252">
                  <c:v>-31.037174148374934</c:v>
                </c:pt>
                <c:pt idx="253">
                  <c:v>-32.259374717175923</c:v>
                </c:pt>
                <c:pt idx="254">
                  <c:v>-33.484921012352899</c:v>
                </c:pt>
                <c:pt idx="255">
                  <c:v>-34.71386040445379</c:v>
                </c:pt>
                <c:pt idx="256">
                  <c:v>-35.946236953389644</c:v>
                </c:pt>
                <c:pt idx="257">
                  <c:v>-37.182090686325722</c:v>
                </c:pt>
                <c:pt idx="258">
                  <c:v>-38.421456853580594</c:v>
                </c:pt>
                <c:pt idx="259">
                  <c:v>-39.664365165921147</c:v>
                </c:pt>
                <c:pt idx="260">
                  <c:v>-40.910839017254851</c:v>
                </c:pt>
                <c:pt idx="261">
                  <c:v>-42.160894697272603</c:v>
                </c:pt>
                <c:pt idx="262">
                  <c:v>-43.414540599111234</c:v>
                </c:pt>
                <c:pt idx="263">
                  <c:v>-44.671776427540614</c:v>
                </c:pt>
                <c:pt idx="264">
                  <c:v>-45.932592413547063</c:v>
                </c:pt>
                <c:pt idx="265">
                  <c:v>-47.1969685414591</c:v>
                </c:pt>
                <c:pt idx="266">
                  <c:v>-48.464873794945802</c:v>
                </c:pt>
                <c:pt idx="267">
                  <c:v>-49.736265428303575</c:v>
                </c:pt>
                <c:pt idx="268">
                  <c:v>-51.011088269431177</c:v>
                </c:pt>
                <c:pt idx="269">
                  <c:v>-52.289274060777487</c:v>
                </c:pt>
                <c:pt idx="270">
                  <c:v>-53.570740844335205</c:v>
                </c:pt>
                <c:pt idx="271">
                  <c:v>-54.855392396444941</c:v>
                </c:pt>
                <c:pt idx="272">
                  <c:v>-56.143117717790965</c:v>
                </c:pt>
                <c:pt idx="273">
                  <c:v>-57.433790583490186</c:v>
                </c:pt>
                <c:pt idx="274">
                  <c:v>-58.727269157659592</c:v>
                </c:pt>
                <c:pt idx="275">
                  <c:v>-60.023395676242991</c:v>
                </c:pt>
                <c:pt idx="276">
                  <c:v>-61.321996201262891</c:v>
                </c:pt>
                <c:pt idx="277">
                  <c:v>-62.622880448996838</c:v>
                </c:pt>
                <c:pt idx="278">
                  <c:v>-63.925841693908083</c:v>
                </c:pt>
                <c:pt idx="279">
                  <c:v>-65.230656749486656</c:v>
                </c:pt>
                <c:pt idx="280">
                  <c:v>-66.537086026485554</c:v>
                </c:pt>
                <c:pt idx="281">
                  <c:v>-67.844873668396843</c:v>
                </c:pt>
                <c:pt idx="282">
                  <c:v>-69.153747763394634</c:v>
                </c:pt>
                <c:pt idx="283">
                  <c:v>-70.463420631396616</c:v>
                </c:pt>
                <c:pt idx="284">
                  <c:v>-71.773589184366898</c:v>
                </c:pt>
                <c:pt idx="285">
                  <c:v>-73.083935357501133</c:v>
                </c:pt>
                <c:pt idx="286">
                  <c:v>-74.394126608512522</c:v>
                </c:pt>
                <c:pt idx="287">
                  <c:v>-75.703816481863811</c:v>
                </c:pt>
                <c:pt idx="288">
                  <c:v>-77.01264523447658</c:v>
                </c:pt>
                <c:pt idx="289">
                  <c:v>-78.320240519186555</c:v>
                </c:pt>
                <c:pt idx="290">
                  <c:v>-79.626218122000381</c:v>
                </c:pt>
                <c:pt idx="291">
                  <c:v>-80.930182749044093</c:v>
                </c:pt>
                <c:pt idx="292">
                  <c:v>-82.231728858963649</c:v>
                </c:pt>
                <c:pt idx="293">
                  <c:v>-83.53044153645358</c:v>
                </c:pt>
                <c:pt idx="294">
                  <c:v>-84.825897402518109</c:v>
                </c:pt>
                <c:pt idx="295">
                  <c:v>-86.117665557041903</c:v>
                </c:pt>
                <c:pt idx="296">
                  <c:v>-87.405308549216699</c:v>
                </c:pt>
                <c:pt idx="297">
                  <c:v>-88.688383371370691</c:v>
                </c:pt>
                <c:pt idx="298">
                  <c:v>-89.966442471744642</c:v>
                </c:pt>
                <c:pt idx="299">
                  <c:v>-91.239034781767458</c:v>
                </c:pt>
                <c:pt idx="300">
                  <c:v>-92.505706753395657</c:v>
                </c:pt>
                <c:pt idx="301">
                  <c:v>-93.766003402093105</c:v>
                </c:pt>
                <c:pt idx="302">
                  <c:v>-95.01946935104209</c:v>
                </c:pt>
                <c:pt idx="303">
                  <c:v>-96.265649872198949</c:v>
                </c:pt>
                <c:pt idx="304">
                  <c:v>-97.504091919824461</c:v>
                </c:pt>
                <c:pt idx="305">
                  <c:v>-98.734345152155697</c:v>
                </c:pt>
                <c:pt idx="306">
                  <c:v>-99.955962936922234</c:v>
                </c:pt>
                <c:pt idx="307">
                  <c:v>-101.16850333646762</c:v>
                </c:pt>
                <c:pt idx="308">
                  <c:v>-102.37153006830565</c:v>
                </c:pt>
                <c:pt idx="309">
                  <c:v>-103.56461343703836</c:v>
                </c:pt>
                <c:pt idx="310">
                  <c:v>-104.74733123367506</c:v>
                </c:pt>
                <c:pt idx="311">
                  <c:v>-105.91926959854032</c:v>
                </c:pt>
                <c:pt idx="312">
                  <c:v>-107.08002384413095</c:v>
                </c:pt>
                <c:pt idx="313">
                  <c:v>-108.22919923448814</c:v>
                </c:pt>
                <c:pt idx="314">
                  <c:v>-109.36641171788534</c:v>
                </c:pt>
                <c:pt idx="315">
                  <c:v>-110.49128860990432</c:v>
                </c:pt>
                <c:pt idx="316">
                  <c:v>-111.6034692242644</c:v>
                </c:pt>
                <c:pt idx="317">
                  <c:v>-112.70260544910334</c:v>
                </c:pt>
                <c:pt idx="318">
                  <c:v>-113.78836226675242</c:v>
                </c:pt>
                <c:pt idx="319">
                  <c:v>-114.86041821541936</c:v>
                </c:pt>
                <c:pt idx="320">
                  <c:v>-115.91846579160708</c:v>
                </c:pt>
                <c:pt idx="321">
                  <c:v>-116.96221179244323</c:v>
                </c:pt>
                <c:pt idx="322">
                  <c:v>-117.99137759756582</c:v>
                </c:pt>
                <c:pt idx="323">
                  <c:v>-119.00569939058701</c:v>
                </c:pt>
                <c:pt idx="324">
                  <c:v>-120.00492832055326</c:v>
                </c:pt>
                <c:pt idx="325">
                  <c:v>-120.98883060424068</c:v>
                </c:pt>
                <c:pt idx="326">
                  <c:v>-121.95718757048915</c:v>
                </c:pt>
                <c:pt idx="327">
                  <c:v>-122.90979564814182</c:v>
                </c:pt>
                <c:pt idx="328">
                  <c:v>-123.84646629949336</c:v>
                </c:pt>
                <c:pt idx="329">
                  <c:v>-124.76702590145955</c:v>
                </c:pt>
                <c:pt idx="330">
                  <c:v>-125.6713155769567</c:v>
                </c:pt>
                <c:pt idx="331">
                  <c:v>-126.55919097922279</c:v>
                </c:pt>
                <c:pt idx="332">
                  <c:v>-127.43052203202335</c:v>
                </c:pt>
                <c:pt idx="333">
                  <c:v>-128.28519262885456</c:v>
                </c:pt>
                <c:pt idx="334">
                  <c:v>-129.12310029439331</c:v>
                </c:pt>
                <c:pt idx="335">
                  <c:v>-129.94415581154442</c:v>
                </c:pt>
                <c:pt idx="336">
                  <c:v>-130.74828281749615</c:v>
                </c:pt>
                <c:pt idx="337">
                  <c:v>-131.53541737223117</c:v>
                </c:pt>
                <c:pt idx="338">
                  <c:v>-132.30550750293179</c:v>
                </c:pt>
                <c:pt idx="339">
                  <c:v>-133.05851272769181</c:v>
                </c:pt>
                <c:pt idx="340">
                  <c:v>-133.79440356188508</c:v>
                </c:pt>
                <c:pt idx="341">
                  <c:v>-134.51316101046095</c:v>
                </c:pt>
                <c:pt idx="342">
                  <c:v>-135.21477604932682</c:v>
                </c:pt>
                <c:pt idx="343">
                  <c:v>-135.89924909886062</c:v>
                </c:pt>
                <c:pt idx="344">
                  <c:v>-136.56658949245025</c:v>
                </c:pt>
                <c:pt idx="345">
                  <c:v>-137.21681494281216</c:v>
                </c:pt>
                <c:pt idx="346">
                  <c:v>-137.84995100867269</c:v>
                </c:pt>
                <c:pt idx="347">
                  <c:v>-138.46603056423396</c:v>
                </c:pt>
                <c:pt idx="348">
                  <c:v>-139.06509327366689</c:v>
                </c:pt>
                <c:pt idx="349">
                  <c:v>-139.6471850727055</c:v>
                </c:pt>
                <c:pt idx="350">
                  <c:v>-140.21235765923484</c:v>
                </c:pt>
                <c:pt idx="351">
                  <c:v>-140.76066799459841</c:v>
                </c:pt>
                <c:pt idx="352">
                  <c:v>-141.29217781717676</c:v>
                </c:pt>
                <c:pt idx="353">
                  <c:v>-141.80695316962897</c:v>
                </c:pt>
                <c:pt idx="354">
                  <c:v>-142.30506394102821</c:v>
                </c:pt>
                <c:pt idx="355">
                  <c:v>-142.78658342497579</c:v>
                </c:pt>
                <c:pt idx="356">
                  <c:v>-143.25158789463319</c:v>
                </c:pt>
                <c:pt idx="357">
                  <c:v>-143.70015619548076</c:v>
                </c:pt>
                <c:pt idx="358">
                  <c:v>-144.13236935648968</c:v>
                </c:pt>
                <c:pt idx="359">
                  <c:v>-144.54831022027645</c:v>
                </c:pt>
                <c:pt idx="360">
                  <c:v>-144.94806309270848</c:v>
                </c:pt>
                <c:pt idx="361">
                  <c:v>-145.33171341233395</c:v>
                </c:pt>
                <c:pt idx="362">
                  <c:v>-145.69934743992246</c:v>
                </c:pt>
                <c:pt idx="363">
                  <c:v>-146.0510519683337</c:v>
                </c:pt>
                <c:pt idx="364">
                  <c:v>-146.38691405285709</c:v>
                </c:pt>
                <c:pt idx="365">
                  <c:v>-146.7070207621104</c:v>
                </c:pt>
                <c:pt idx="366">
                  <c:v>-147.0114589495432</c:v>
                </c:pt>
                <c:pt idx="367">
                  <c:v>-147.30031504553585</c:v>
                </c:pt>
                <c:pt idx="368">
                  <c:v>-147.57367487006289</c:v>
                </c:pt>
                <c:pt idx="369">
                  <c:v>-147.83162346585073</c:v>
                </c:pt>
                <c:pt idx="370">
                  <c:v>-148.07424495194624</c:v>
                </c:pt>
                <c:pt idx="371">
                  <c:v>-148.30162239758977</c:v>
                </c:pt>
                <c:pt idx="372">
                  <c:v>-148.51383771627698</c:v>
                </c:pt>
                <c:pt idx="373">
                  <c:v>-148.71097157988498</c:v>
                </c:pt>
                <c:pt idx="374">
                  <c:v>-148.89310335273183</c:v>
                </c:pt>
                <c:pt idx="375">
                  <c:v>-149.06031104544002</c:v>
                </c:pt>
                <c:pt idx="376">
                  <c:v>-149.21267128846958</c:v>
                </c:pt>
                <c:pt idx="377">
                  <c:v>-149.35025932519341</c:v>
                </c:pt>
                <c:pt idx="378">
                  <c:v>-149.47314902438461</c:v>
                </c:pt>
                <c:pt idx="379">
                  <c:v>-149.58141291199041</c:v>
                </c:pt>
                <c:pt idx="380">
                  <c:v>-149.67512222207048</c:v>
                </c:pt>
                <c:pt idx="381">
                  <c:v>-149.75434696677431</c:v>
                </c:pt>
                <c:pt idx="382">
                  <c:v>-149.81915602523455</c:v>
                </c:pt>
                <c:pt idx="383">
                  <c:v>-149.86961725124837</c:v>
                </c:pt>
                <c:pt idx="384">
                  <c:v>-149.90579759961213</c:v>
                </c:pt>
                <c:pt idx="385">
                  <c:v>-149.9277632709649</c:v>
                </c:pt>
                <c:pt idx="386">
                  <c:v>-149.93557987498127</c:v>
                </c:pt>
                <c:pt idx="387">
                  <c:v>-149.92931261173618</c:v>
                </c:pt>
                <c:pt idx="388">
                  <c:v>-149.90902647103547</c:v>
                </c:pt>
                <c:pt idx="389">
                  <c:v>-149.87478644948101</c:v>
                </c:pt>
                <c:pt idx="390">
                  <c:v>-149.82665778499529</c:v>
                </c:pt>
                <c:pt idx="391">
                  <c:v>-149.76470620849091</c:v>
                </c:pt>
                <c:pt idx="392">
                  <c:v>-149.6889982123148</c:v>
                </c:pt>
                <c:pt idx="393">
                  <c:v>-149.59960133503787</c:v>
                </c:pt>
                <c:pt idx="394">
                  <c:v>-149.4965844620931</c:v>
                </c:pt>
                <c:pt idx="395">
                  <c:v>-149.38001814168607</c:v>
                </c:pt>
                <c:pt idx="396">
                  <c:v>-149.24997491531605</c:v>
                </c:pt>
                <c:pt idx="397">
                  <c:v>-149.10652966215343</c:v>
                </c:pt>
                <c:pt idx="398">
                  <c:v>-148.94975995640885</c:v>
                </c:pt>
                <c:pt idx="399">
                  <c:v>-148.77974643672431</c:v>
                </c:pt>
                <c:pt idx="400">
                  <c:v>-148.59657318648777</c:v>
                </c:pt>
              </c:numCache>
            </c:numRef>
          </c:yVal>
          <c:smooth val="1"/>
          <c:extLst>
            <c:ext xmlns:c16="http://schemas.microsoft.com/office/drawing/2014/chart" uri="{C3380CC4-5D6E-409C-BE32-E72D297353CC}">
              <c16:uniqueId val="{00000008-37BA-4D75-B431-21FD57867CC7}"/>
            </c:ext>
          </c:extLst>
        </c:ser>
        <c:dLbls>
          <c:showLegendKey val="0"/>
          <c:showVal val="0"/>
          <c:showCatName val="0"/>
          <c:showSerName val="0"/>
          <c:showPercent val="0"/>
          <c:showBubbleSize val="0"/>
        </c:dLbls>
        <c:axId val="1042822479"/>
        <c:axId val="1042822063"/>
      </c:scatterChart>
      <c:scatterChart>
        <c:scatterStyle val="lineMarker"/>
        <c:varyColors val="0"/>
        <c:ser>
          <c:idx val="2"/>
          <c:order val="2"/>
          <c:tx>
            <c:v>Phase Margin</c:v>
          </c:tx>
          <c:spPr>
            <a:ln w="19050" cap="rnd">
              <a:solidFill>
                <a:schemeClr val="accent2"/>
              </a:solidFill>
              <a:prstDash val="sysDash"/>
              <a:round/>
            </a:ln>
            <a:effectLst/>
          </c:spPr>
          <c:marker>
            <c:symbol val="none"/>
          </c:marker>
          <c:xVal>
            <c:numRef>
              <c:f>Loop_Response!$C$44:$C$45</c:f>
              <c:numCache>
                <c:formatCode>General</c:formatCode>
                <c:ptCount val="2"/>
                <c:pt idx="0">
                  <c:v>1496.3348183022088</c:v>
                </c:pt>
                <c:pt idx="1">
                  <c:v>1496.3348183022088</c:v>
                </c:pt>
              </c:numCache>
            </c:numRef>
          </c:xVal>
          <c:yVal>
            <c:numRef>
              <c:f>Loop_Response!$D$44:$D$45</c:f>
              <c:numCache>
                <c:formatCode>General</c:formatCode>
                <c:ptCount val="2"/>
                <c:pt idx="0">
                  <c:v>0</c:v>
                </c:pt>
                <c:pt idx="1">
                  <c:v>81.70610467695542</c:v>
                </c:pt>
              </c:numCache>
            </c:numRef>
          </c:yVal>
          <c:smooth val="0"/>
          <c:extLst>
            <c:ext xmlns:c16="http://schemas.microsoft.com/office/drawing/2014/chart" uri="{C3380CC4-5D6E-409C-BE32-E72D297353CC}">
              <c16:uniqueId val="{00000009-37BA-4D75-B431-21FD57867CC7}"/>
            </c:ext>
          </c:extLst>
        </c:ser>
        <c:ser>
          <c:idx val="4"/>
          <c:order val="4"/>
          <c:tx>
            <c:v>PM3</c:v>
          </c:tx>
          <c:spPr>
            <a:ln w="28575" cap="rnd">
              <a:solidFill>
                <a:schemeClr val="accent5"/>
              </a:solidFill>
              <a:round/>
            </a:ln>
            <a:effectLst/>
          </c:spPr>
          <c:marker>
            <c:symbol val="none"/>
          </c:marker>
          <c:dPt>
            <c:idx val="1"/>
            <c:marker>
              <c:symbol val="none"/>
            </c:marker>
            <c:bubble3D val="0"/>
            <c:spPr>
              <a:ln w="9525" cap="rnd">
                <a:solidFill>
                  <a:schemeClr val="tx1">
                    <a:lumMod val="50000"/>
                    <a:lumOff val="50000"/>
                  </a:schemeClr>
                </a:solidFill>
                <a:prstDash val="dash"/>
                <a:round/>
              </a:ln>
              <a:effectLst/>
            </c:spPr>
            <c:extLst>
              <c:ext xmlns:c16="http://schemas.microsoft.com/office/drawing/2014/chart" uri="{C3380CC4-5D6E-409C-BE32-E72D297353CC}">
                <c16:uniqueId val="{0000000B-37BA-4D75-B431-21FD57867CC7}"/>
              </c:ext>
            </c:extLst>
          </c:dPt>
          <c:xVal>
            <c:numRef>
              <c:f>Loop_Response!$C$46:$C$47</c:f>
              <c:numCache>
                <c:formatCode>General</c:formatCode>
                <c:ptCount val="2"/>
                <c:pt idx="0">
                  <c:v>1496.3348183022088</c:v>
                </c:pt>
                <c:pt idx="1">
                  <c:v>1000000</c:v>
                </c:pt>
              </c:numCache>
            </c:numRef>
          </c:xVal>
          <c:yVal>
            <c:numRef>
              <c:f>Loop_Response!$D$46:$D$47</c:f>
              <c:numCache>
                <c:formatCode>General</c:formatCode>
                <c:ptCount val="2"/>
                <c:pt idx="0">
                  <c:v>81.70610467695542</c:v>
                </c:pt>
                <c:pt idx="1">
                  <c:v>81.70610467695542</c:v>
                </c:pt>
              </c:numCache>
            </c:numRef>
          </c:yVal>
          <c:smooth val="0"/>
          <c:extLst>
            <c:ext xmlns:c16="http://schemas.microsoft.com/office/drawing/2014/chart" uri="{C3380CC4-5D6E-409C-BE32-E72D297353CC}">
              <c16:uniqueId val="{0000000C-37BA-4D75-B431-21FD57867CC7}"/>
            </c:ext>
          </c:extLst>
        </c:ser>
        <c:ser>
          <c:idx val="5"/>
          <c:order val="5"/>
          <c:tx>
            <c:v>GM1</c:v>
          </c:tx>
          <c:spPr>
            <a:ln w="28575" cap="rnd">
              <a:solidFill>
                <a:schemeClr val="accent6"/>
              </a:solidFill>
              <a:round/>
            </a:ln>
            <a:effectLst/>
          </c:spPr>
          <c:marker>
            <c:symbol val="none"/>
          </c:marker>
          <c:dPt>
            <c:idx val="1"/>
            <c:marker>
              <c:symbol val="none"/>
            </c:marker>
            <c:bubble3D val="0"/>
            <c:spPr>
              <a:ln w="9525" cap="rnd">
                <a:solidFill>
                  <a:schemeClr val="tx1">
                    <a:lumMod val="50000"/>
                    <a:lumOff val="50000"/>
                  </a:schemeClr>
                </a:solidFill>
                <a:prstDash val="dash"/>
                <a:round/>
              </a:ln>
              <a:effectLst/>
            </c:spPr>
            <c:extLst>
              <c:ext xmlns:c16="http://schemas.microsoft.com/office/drawing/2014/chart" uri="{C3380CC4-5D6E-409C-BE32-E72D297353CC}">
                <c16:uniqueId val="{0000000E-37BA-4D75-B431-21FD57867CC7}"/>
              </c:ext>
            </c:extLst>
          </c:dPt>
          <c:xVal>
            <c:numRef>
              <c:f>Loop_Response!$E$42:$E$43</c:f>
              <c:numCache>
                <c:formatCode>General</c:formatCode>
                <c:ptCount val="2"/>
                <c:pt idx="0">
                  <c:v>1000000</c:v>
                </c:pt>
                <c:pt idx="1">
                  <c:v>17989.901343244539</c:v>
                </c:pt>
              </c:numCache>
            </c:numRef>
          </c:xVal>
          <c:yVal>
            <c:numRef>
              <c:f>Loop_Response!$F$42:$F$43</c:f>
              <c:numCache>
                <c:formatCode>General</c:formatCode>
                <c:ptCount val="2"/>
                <c:pt idx="0">
                  <c:v>0</c:v>
                </c:pt>
                <c:pt idx="1">
                  <c:v>0</c:v>
                </c:pt>
              </c:numCache>
            </c:numRef>
          </c:yVal>
          <c:smooth val="0"/>
          <c:extLst>
            <c:ext xmlns:c16="http://schemas.microsoft.com/office/drawing/2014/chart" uri="{C3380CC4-5D6E-409C-BE32-E72D297353CC}">
              <c16:uniqueId val="{0000000F-37BA-4D75-B431-21FD57867CC7}"/>
            </c:ext>
          </c:extLst>
        </c:ser>
        <c:dLbls>
          <c:showLegendKey val="0"/>
          <c:showVal val="0"/>
          <c:showCatName val="0"/>
          <c:showSerName val="0"/>
          <c:showPercent val="0"/>
          <c:showBubbleSize val="0"/>
        </c:dLbls>
        <c:axId val="1042822479"/>
        <c:axId val="1042822063"/>
      </c:scatterChart>
      <c:valAx>
        <c:axId val="1106689647"/>
        <c:scaling>
          <c:logBase val="10"/>
          <c:orientation val="minMax"/>
          <c:min val="100"/>
        </c:scaling>
        <c:delete val="0"/>
        <c:axPos val="b"/>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r>
                  <a:rPr lang="en-US" sz="1200" b="1"/>
                  <a:t>Frequency (Hz)</a:t>
                </a:r>
              </a:p>
            </c:rich>
          </c:tx>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title>
        <c:numFmt formatCode="###,###,###,###"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crossAx val="1925061759"/>
        <c:crosses val="autoZero"/>
        <c:crossBetween val="midCat"/>
      </c:valAx>
      <c:valAx>
        <c:axId val="1925061759"/>
        <c:scaling>
          <c:orientation val="minMax"/>
          <c:max val="60"/>
          <c:min val="-6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r>
                  <a:rPr lang="en-US" sz="1200" b="1">
                    <a:solidFill>
                      <a:srgbClr val="0070C0"/>
                    </a:solidFill>
                  </a:rPr>
                  <a:t>Gain</a:t>
                </a:r>
                <a:r>
                  <a:rPr lang="en-US" sz="1200" b="1" baseline="0">
                    <a:solidFill>
                      <a:srgbClr val="0070C0"/>
                    </a:solidFill>
                  </a:rPr>
                  <a:t> (dB)</a:t>
                </a:r>
                <a:endParaRPr lang="en-US" sz="1200" b="1">
                  <a:solidFill>
                    <a:srgbClr val="0070C0"/>
                  </a:solidFill>
                </a:endParaRPr>
              </a:p>
            </c:rich>
          </c:tx>
          <c:overlay val="0"/>
          <c:spPr>
            <a:noFill/>
            <a:ln>
              <a:noFill/>
            </a:ln>
            <a:effectLst/>
          </c:spPr>
          <c:txPr>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out"/>
        <c:minorTickMark val="none"/>
        <c:tickLblPos val="nextTo"/>
        <c:spPr>
          <a:noFill/>
          <a:ln>
            <a:solidFill>
              <a:sysClr val="windowText" lastClr="000000"/>
            </a:solidFill>
          </a:ln>
          <a:effectLst/>
        </c:spPr>
        <c:txPr>
          <a:bodyPr rot="-60000000" spcFirstLastPara="1" vertOverflow="ellipsis" vert="horz" wrap="square" anchor="ctr" anchorCtr="1"/>
          <a:lstStyle/>
          <a:p>
            <a:pPr>
              <a:defRPr sz="1000" b="0" i="0" u="none" strike="noStrike" kern="1200" baseline="0">
                <a:solidFill>
                  <a:srgbClr val="0070C0"/>
                </a:solidFill>
                <a:latin typeface="+mn-lt"/>
                <a:ea typeface="+mn-ea"/>
                <a:cs typeface="+mn-cs"/>
              </a:defRPr>
            </a:pPr>
            <a:endParaRPr lang="en-US"/>
          </a:p>
        </c:txPr>
        <c:crossAx val="1106689647"/>
        <c:crosses val="autoZero"/>
        <c:crossBetween val="midCat"/>
        <c:majorUnit val="10"/>
        <c:minorUnit val="10"/>
      </c:valAx>
      <c:valAx>
        <c:axId val="1042822063"/>
        <c:scaling>
          <c:orientation val="minMax"/>
          <c:max val="180"/>
          <c:min val="-180"/>
        </c:scaling>
        <c:delete val="0"/>
        <c:axPos val="r"/>
        <c:title>
          <c:tx>
            <c:rich>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r>
                  <a:rPr lang="en-US" sz="1200" b="1">
                    <a:solidFill>
                      <a:schemeClr val="accent2"/>
                    </a:solidFill>
                  </a:rPr>
                  <a:t>Phase</a:t>
                </a:r>
                <a:r>
                  <a:rPr lang="en-US" sz="1200" b="1" baseline="0">
                    <a:solidFill>
                      <a:schemeClr val="accent2"/>
                    </a:solidFill>
                  </a:rPr>
                  <a:t> - (-180) (</a:t>
                </a:r>
                <a:r>
                  <a:rPr lang="en-US" sz="1200" b="1" baseline="0">
                    <a:solidFill>
                      <a:schemeClr val="accent2"/>
                    </a:solidFill>
                    <a:latin typeface="Calibri" panose="020F0502020204030204" pitchFamily="34" charset="0"/>
                    <a:cs typeface="Calibri" panose="020F0502020204030204" pitchFamily="34" charset="0"/>
                  </a:rPr>
                  <a:t>˚)</a:t>
                </a:r>
                <a:endParaRPr lang="en-US" sz="1200" b="1">
                  <a:solidFill>
                    <a:schemeClr val="accent2"/>
                  </a:solidFill>
                </a:endParaRPr>
              </a:p>
            </c:rich>
          </c:tx>
          <c:overlay val="0"/>
          <c:spPr>
            <a:noFill/>
            <a:ln>
              <a:noFill/>
            </a:ln>
            <a:effectLst/>
          </c:spPr>
          <c:txPr>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out"/>
        <c:minorTickMark val="none"/>
        <c:tickLblPos val="nextTo"/>
        <c:spPr>
          <a:noFill/>
          <a:ln>
            <a:solidFill>
              <a:sysClr val="windowText" lastClr="000000"/>
            </a:solidFill>
          </a:ln>
          <a:effectLst/>
        </c:spPr>
        <c:txPr>
          <a:bodyPr rot="-60000000" spcFirstLastPara="1" vertOverflow="ellipsis" vert="horz" wrap="square" anchor="ctr" anchorCtr="1"/>
          <a:lstStyle/>
          <a:p>
            <a:pPr>
              <a:defRPr sz="1000" b="0" i="0" u="none" strike="noStrike" kern="1200" baseline="0">
                <a:solidFill>
                  <a:schemeClr val="accent2"/>
                </a:solidFill>
                <a:latin typeface="+mn-lt"/>
                <a:ea typeface="+mn-ea"/>
                <a:cs typeface="+mn-cs"/>
              </a:defRPr>
            </a:pPr>
            <a:endParaRPr lang="en-US"/>
          </a:p>
        </c:txPr>
        <c:crossAx val="1042822479"/>
        <c:crosses val="max"/>
        <c:crossBetween val="midCat"/>
        <c:majorUnit val="30"/>
        <c:minorUnit val="30"/>
      </c:valAx>
      <c:valAx>
        <c:axId val="1042822479"/>
        <c:scaling>
          <c:logBase val="10"/>
          <c:orientation val="minMax"/>
        </c:scaling>
        <c:delete val="1"/>
        <c:axPos val="b"/>
        <c:numFmt formatCode="###,###,###,###" sourceLinked="1"/>
        <c:majorTickMark val="out"/>
        <c:minorTickMark val="none"/>
        <c:tickLblPos val="nextTo"/>
        <c:crossAx val="1042822063"/>
        <c:crosses val="autoZero"/>
        <c:crossBetween val="midCat"/>
      </c:valAx>
      <c:spPr>
        <a:noFill/>
        <a:ln>
          <a:solidFill>
            <a:schemeClr val="tx1"/>
          </a:solidFill>
        </a:ln>
        <a:effectLst/>
      </c:spPr>
    </c:plotArea>
    <c:legend>
      <c:legendPos val="r"/>
      <c:legendEntry>
        <c:idx val="1"/>
        <c:delete val="1"/>
      </c:legendEntry>
      <c:legendEntry>
        <c:idx val="2"/>
        <c:delete val="1"/>
      </c:legendEntry>
      <c:legendEntry>
        <c:idx val="6"/>
        <c:delete val="1"/>
      </c:legendEntry>
      <c:legendEntry>
        <c:idx val="7"/>
        <c:delete val="1"/>
      </c:legendEntry>
      <c:layout>
        <c:manualLayout>
          <c:xMode val="edge"/>
          <c:yMode val="edge"/>
          <c:x val="0.10750211651023953"/>
          <c:y val="0.59570863727634971"/>
          <c:w val="0.23292596593148349"/>
          <c:h val="0.21601593442763473"/>
        </c:manualLayout>
      </c:layout>
      <c:overlay val="0"/>
      <c:spPr>
        <a:solidFill>
          <a:schemeClr val="bg1"/>
        </a:solidFill>
        <a:ln>
          <a:solidFill>
            <a:schemeClr val="tx1">
              <a:lumMod val="65000"/>
              <a:lumOff val="35000"/>
            </a:schemeClr>
          </a:solid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a:pPr>
            <a:r>
              <a:rPr lang="en-US" sz="1600"/>
              <a:t>Inductor</a:t>
            </a:r>
            <a:r>
              <a:rPr lang="en-US" sz="1600" baseline="0"/>
              <a:t> Current Waveform </a:t>
            </a:r>
            <a:endParaRPr lang="en-US" sz="1600"/>
          </a:p>
        </c:rich>
      </c:tx>
      <c:layout>
        <c:manualLayout>
          <c:xMode val="edge"/>
          <c:yMode val="edge"/>
          <c:x val="0.27059598210608321"/>
          <c:y val="1.779114689315521E-2"/>
        </c:manualLayout>
      </c:layout>
      <c:overlay val="0"/>
    </c:title>
    <c:autoTitleDeleted val="0"/>
    <c:plotArea>
      <c:layout>
        <c:manualLayout>
          <c:layoutTarget val="inner"/>
          <c:xMode val="edge"/>
          <c:yMode val="edge"/>
          <c:x val="0.17900234909034954"/>
          <c:y val="0.20713241727137049"/>
          <c:w val="0.76867265097292803"/>
          <c:h val="0.56516186198454677"/>
        </c:manualLayout>
      </c:layout>
      <c:scatterChart>
        <c:scatterStyle val="lineMarker"/>
        <c:varyColors val="0"/>
        <c:ser>
          <c:idx val="0"/>
          <c:order val="0"/>
          <c:tx>
            <c:strRef>
              <c:f>'User''s_Page'!$L$21</c:f>
              <c:strCache>
                <c:ptCount val="1"/>
                <c:pt idx="0">
                  <c:v>IL</c:v>
                </c:pt>
              </c:strCache>
            </c:strRef>
          </c:tx>
          <c:xVal>
            <c:numRef>
              <c:f>'User''s_Page'!$K$22:$K$26</c:f>
              <c:numCache>
                <c:formatCode>General</c:formatCode>
                <c:ptCount val="5"/>
                <c:pt idx="0">
                  <c:v>0</c:v>
                </c:pt>
                <c:pt idx="1">
                  <c:v>2.5625</c:v>
                </c:pt>
                <c:pt idx="2">
                  <c:v>3.125</c:v>
                </c:pt>
                <c:pt idx="3">
                  <c:v>5.6875</c:v>
                </c:pt>
                <c:pt idx="4">
                  <c:v>6.25</c:v>
                </c:pt>
              </c:numCache>
            </c:numRef>
          </c:xVal>
          <c:yVal>
            <c:numRef>
              <c:f>'User''s_Page'!$L$22:$L$26</c:f>
              <c:numCache>
                <c:formatCode>General</c:formatCode>
                <c:ptCount val="5"/>
                <c:pt idx="0">
                  <c:v>9.7133838383838373</c:v>
                </c:pt>
                <c:pt idx="1">
                  <c:v>11.111111111111111</c:v>
                </c:pt>
                <c:pt idx="2">
                  <c:v>9.7133838383838373</c:v>
                </c:pt>
                <c:pt idx="3">
                  <c:v>11.111111111111111</c:v>
                </c:pt>
                <c:pt idx="4">
                  <c:v>9.7133838383838373</c:v>
                </c:pt>
              </c:numCache>
            </c:numRef>
          </c:yVal>
          <c:smooth val="0"/>
          <c:extLst>
            <c:ext xmlns:c16="http://schemas.microsoft.com/office/drawing/2014/chart" uri="{C3380CC4-5D6E-409C-BE32-E72D297353CC}">
              <c16:uniqueId val="{00000000-DE3C-43B1-B5C8-A4D984850FDB}"/>
            </c:ext>
          </c:extLst>
        </c:ser>
        <c:dLbls>
          <c:showLegendKey val="0"/>
          <c:showVal val="0"/>
          <c:showCatName val="0"/>
          <c:showSerName val="0"/>
          <c:showPercent val="0"/>
          <c:showBubbleSize val="0"/>
        </c:dLbls>
        <c:axId val="160112000"/>
        <c:axId val="161723904"/>
      </c:scatterChart>
      <c:valAx>
        <c:axId val="160112000"/>
        <c:scaling>
          <c:orientation val="minMax"/>
        </c:scaling>
        <c:delete val="0"/>
        <c:axPos val="b"/>
        <c:majorGridlines/>
        <c:title>
          <c:tx>
            <c:rich>
              <a:bodyPr/>
              <a:lstStyle/>
              <a:p>
                <a:pPr>
                  <a:defRPr sz="1200"/>
                </a:pPr>
                <a:r>
                  <a:rPr lang="en-US" sz="1200"/>
                  <a:t>Time</a:t>
                </a:r>
                <a:r>
                  <a:rPr lang="en-US" sz="1200" baseline="0"/>
                  <a:t> (us)</a:t>
                </a:r>
                <a:endParaRPr lang="en-US" sz="1200"/>
              </a:p>
            </c:rich>
          </c:tx>
          <c:layout>
            <c:manualLayout>
              <c:xMode val="edge"/>
              <c:yMode val="edge"/>
              <c:x val="0.42567560619545203"/>
              <c:y val="0.8575970339857919"/>
            </c:manualLayout>
          </c:layout>
          <c:overlay val="0"/>
        </c:title>
        <c:numFmt formatCode="General" sourceLinked="1"/>
        <c:majorTickMark val="none"/>
        <c:minorTickMark val="none"/>
        <c:tickLblPos val="nextTo"/>
        <c:txPr>
          <a:bodyPr/>
          <a:lstStyle/>
          <a:p>
            <a:pPr>
              <a:defRPr sz="1000"/>
            </a:pPr>
            <a:endParaRPr lang="en-US"/>
          </a:p>
        </c:txPr>
        <c:crossAx val="161723904"/>
        <c:crosses val="autoZero"/>
        <c:crossBetween val="midCat"/>
      </c:valAx>
      <c:valAx>
        <c:axId val="161723904"/>
        <c:scaling>
          <c:orientation val="minMax"/>
        </c:scaling>
        <c:delete val="0"/>
        <c:axPos val="l"/>
        <c:majorGridlines/>
        <c:title>
          <c:tx>
            <c:rich>
              <a:bodyPr/>
              <a:lstStyle/>
              <a:p>
                <a:pPr>
                  <a:defRPr sz="1200"/>
                </a:pPr>
                <a:r>
                  <a:rPr lang="en-US" altLang="zh-CN" sz="1200"/>
                  <a:t>I</a:t>
                </a:r>
                <a:r>
                  <a:rPr lang="en-US" sz="1200"/>
                  <a:t>nductor</a:t>
                </a:r>
                <a:r>
                  <a:rPr lang="en-US" sz="1200" baseline="0"/>
                  <a:t> current (A)</a:t>
                </a:r>
                <a:endParaRPr lang="en-US" sz="1200"/>
              </a:p>
            </c:rich>
          </c:tx>
          <c:layout>
            <c:manualLayout>
              <c:xMode val="edge"/>
              <c:yMode val="edge"/>
              <c:x val="2.3426683315071053E-2"/>
              <c:y val="9.844943728770375E-2"/>
            </c:manualLayout>
          </c:layout>
          <c:overlay val="0"/>
        </c:title>
        <c:numFmt formatCode="General" sourceLinked="1"/>
        <c:majorTickMark val="none"/>
        <c:minorTickMark val="none"/>
        <c:tickLblPos val="nextTo"/>
        <c:txPr>
          <a:bodyPr/>
          <a:lstStyle/>
          <a:p>
            <a:pPr>
              <a:defRPr sz="1000"/>
            </a:pPr>
            <a:endParaRPr lang="en-US"/>
          </a:p>
        </c:txPr>
        <c:crossAx val="160112000"/>
        <c:crosses val="autoZero"/>
        <c:crossBetween val="midCat"/>
      </c:valAx>
    </c:plotArea>
    <c:legend>
      <c:legendPos val="r"/>
      <c:layout>
        <c:manualLayout>
          <c:xMode val="edge"/>
          <c:yMode val="edge"/>
          <c:x val="0.80477044528456609"/>
          <c:y val="0.67654642646109031"/>
          <c:w val="0.12082025808049331"/>
          <c:h val="8.9015757889604072E-2"/>
        </c:manualLayout>
      </c:layout>
      <c:overlay val="0"/>
      <c:txPr>
        <a:bodyPr/>
        <a:lstStyle/>
        <a:p>
          <a:pPr>
            <a:defRPr sz="1200"/>
          </a:pPr>
          <a:endParaRPr lang="en-US"/>
        </a:p>
      </c:txPr>
    </c:legend>
    <c:plotVisOnly val="1"/>
    <c:dispBlanksAs val="gap"/>
    <c:showDLblsOverMax val="0"/>
  </c:chart>
  <c:spPr>
    <a:ln w="3175">
      <a:solidFill>
        <a:schemeClr val="tx1"/>
      </a:solidFill>
    </a:ln>
  </c:sp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600" b="1"/>
              <a:t>Bode Plot, </a:t>
            </a:r>
            <a:r>
              <a:rPr lang="en-US" sz="1400" b="1" i="0" u="none" strike="noStrike" baseline="0">
                <a:effectLst/>
              </a:rPr>
              <a:t>V</a:t>
            </a:r>
            <a:r>
              <a:rPr lang="en-US" sz="1400" b="1" i="0" u="none" strike="noStrike" baseline="-25000">
                <a:effectLst/>
              </a:rPr>
              <a:t>IN</a:t>
            </a:r>
            <a:r>
              <a:rPr lang="en-US" sz="1400" b="1" i="0" u="none" strike="noStrike" baseline="0">
                <a:effectLst/>
              </a:rPr>
              <a:t> = V</a:t>
            </a:r>
            <a:r>
              <a:rPr lang="en-US" sz="1400" b="1" i="0" u="none" strike="noStrike" baseline="-25000">
                <a:effectLst/>
              </a:rPr>
              <a:t>IN_nom</a:t>
            </a:r>
            <a:r>
              <a:rPr lang="en-US" sz="1600" b="1"/>
              <a:t>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0176148065517035"/>
          <c:y val="0.12346639975238767"/>
          <c:w val="0.78210304220761351"/>
          <c:h val="0.70447321397542961"/>
        </c:manualLayout>
      </c:layout>
      <c:scatterChart>
        <c:scatterStyle val="smoothMarker"/>
        <c:varyColors val="0"/>
        <c:ser>
          <c:idx val="0"/>
          <c:order val="0"/>
          <c:tx>
            <c:v>Gain</c:v>
          </c:tx>
          <c:spPr>
            <a:ln w="28575" cap="rnd">
              <a:solidFill>
                <a:srgbClr val="0070C0"/>
              </a:solidFill>
              <a:round/>
            </a:ln>
            <a:effectLst/>
          </c:spPr>
          <c:marker>
            <c:symbol val="none"/>
          </c:marker>
          <c:xVal>
            <c:numRef>
              <c:f>Loop_Response!$I$3:$I$403</c:f>
              <c:numCache>
                <c:formatCode>###,###,###,###</c:formatCode>
                <c:ptCount val="401"/>
                <c:pt idx="0">
                  <c:v>100</c:v>
                </c:pt>
                <c:pt idx="1">
                  <c:v>102.32929922807543</c:v>
                </c:pt>
                <c:pt idx="2">
                  <c:v>104.71285480508999</c:v>
                </c:pt>
                <c:pt idx="3">
                  <c:v>107.15193052376068</c:v>
                </c:pt>
                <c:pt idx="4">
                  <c:v>109.64781961431854</c:v>
                </c:pt>
                <c:pt idx="5">
                  <c:v>112.20184543019636</c:v>
                </c:pt>
                <c:pt idx="6">
                  <c:v>114.81536214968834</c:v>
                </c:pt>
                <c:pt idx="7">
                  <c:v>117.489755493953</c:v>
                </c:pt>
                <c:pt idx="8">
                  <c:v>120.22644346174133</c:v>
                </c:pt>
                <c:pt idx="9">
                  <c:v>123.02687708123818</c:v>
                </c:pt>
                <c:pt idx="10">
                  <c:v>125.8925411794168</c:v>
                </c:pt>
                <c:pt idx="11">
                  <c:v>128.82495516931345</c:v>
                </c:pt>
                <c:pt idx="12">
                  <c:v>131.82567385564076</c:v>
                </c:pt>
                <c:pt idx="13">
                  <c:v>134.89628825916535</c:v>
                </c:pt>
                <c:pt idx="14">
                  <c:v>138.03842646028852</c:v>
                </c:pt>
                <c:pt idx="15">
                  <c:v>141.25375446227542</c:v>
                </c:pt>
                <c:pt idx="16">
                  <c:v>144.54397707459276</c:v>
                </c:pt>
                <c:pt idx="17">
                  <c:v>147.91083881682073</c:v>
                </c:pt>
                <c:pt idx="18">
                  <c:v>151.35612484362088</c:v>
                </c:pt>
                <c:pt idx="19">
                  <c:v>154.88166189124817</c:v>
                </c:pt>
                <c:pt idx="20">
                  <c:v>158.48931924611136</c:v>
                </c:pt>
                <c:pt idx="21">
                  <c:v>162.18100973589299</c:v>
                </c:pt>
                <c:pt idx="22">
                  <c:v>165.95869074375614</c:v>
                </c:pt>
                <c:pt idx="23">
                  <c:v>169.82436524617447</c:v>
                </c:pt>
                <c:pt idx="24">
                  <c:v>173.78008287493756</c:v>
                </c:pt>
                <c:pt idx="25">
                  <c:v>177.82794100389236</c:v>
                </c:pt>
                <c:pt idx="26">
                  <c:v>181.97008586099841</c:v>
                </c:pt>
                <c:pt idx="27">
                  <c:v>186.2087136662868</c:v>
                </c:pt>
                <c:pt idx="28">
                  <c:v>190.54607179632478</c:v>
                </c:pt>
                <c:pt idx="29">
                  <c:v>194.98445997580464</c:v>
                </c:pt>
                <c:pt idx="30">
                  <c:v>199.52623149688804</c:v>
                </c:pt>
                <c:pt idx="31">
                  <c:v>204.17379446695298</c:v>
                </c:pt>
                <c:pt idx="32">
                  <c:v>208.92961308540401</c:v>
                </c:pt>
                <c:pt idx="33">
                  <c:v>213.79620895022333</c:v>
                </c:pt>
                <c:pt idx="34">
                  <c:v>218.77616239495538</c:v>
                </c:pt>
                <c:pt idx="35">
                  <c:v>223.87211385683403</c:v>
                </c:pt>
                <c:pt idx="36">
                  <c:v>229.08676527677738</c:v>
                </c:pt>
                <c:pt idx="37">
                  <c:v>234.42288153199235</c:v>
                </c:pt>
                <c:pt idx="38">
                  <c:v>239.88329190194906</c:v>
                </c:pt>
                <c:pt idx="39">
                  <c:v>245.47089156850305</c:v>
                </c:pt>
                <c:pt idx="40">
                  <c:v>251.188643150958</c:v>
                </c:pt>
                <c:pt idx="41">
                  <c:v>257.03957827688646</c:v>
                </c:pt>
                <c:pt idx="42">
                  <c:v>263.02679918953822</c:v>
                </c:pt>
                <c:pt idx="43">
                  <c:v>269.15348039269156</c:v>
                </c:pt>
                <c:pt idx="44">
                  <c:v>275.42287033381666</c:v>
                </c:pt>
                <c:pt idx="45">
                  <c:v>281.83829312644548</c:v>
                </c:pt>
                <c:pt idx="46">
                  <c:v>288.40315031266067</c:v>
                </c:pt>
                <c:pt idx="47">
                  <c:v>295.12092266663865</c:v>
                </c:pt>
                <c:pt idx="48">
                  <c:v>301.99517204020162</c:v>
                </c:pt>
                <c:pt idx="49">
                  <c:v>309.0295432513592</c:v>
                </c:pt>
                <c:pt idx="50">
                  <c:v>316.22776601683802</c:v>
                </c:pt>
                <c:pt idx="51">
                  <c:v>323.59365692962831</c:v>
                </c:pt>
                <c:pt idx="52">
                  <c:v>331.13112148259125</c:v>
                </c:pt>
                <c:pt idx="53">
                  <c:v>338.84415613920271</c:v>
                </c:pt>
                <c:pt idx="54">
                  <c:v>346.73685045253183</c:v>
                </c:pt>
                <c:pt idx="55">
                  <c:v>354.81338923357555</c:v>
                </c:pt>
                <c:pt idx="56">
                  <c:v>363.07805477010157</c:v>
                </c:pt>
                <c:pt idx="57">
                  <c:v>371.53522909717276</c:v>
                </c:pt>
                <c:pt idx="58">
                  <c:v>380.1893963205614</c:v>
                </c:pt>
                <c:pt idx="59">
                  <c:v>389.04514499428075</c:v>
                </c:pt>
                <c:pt idx="60">
                  <c:v>398.10717055349755</c:v>
                </c:pt>
                <c:pt idx="61">
                  <c:v>407.38027780411301</c:v>
                </c:pt>
                <c:pt idx="62">
                  <c:v>416.86938347033561</c:v>
                </c:pt>
                <c:pt idx="63">
                  <c:v>426.57951880159266</c:v>
                </c:pt>
                <c:pt idx="64">
                  <c:v>436.51583224016611</c:v>
                </c:pt>
                <c:pt idx="65">
                  <c:v>446.68359215096325</c:v>
                </c:pt>
                <c:pt idx="66">
                  <c:v>457.08818961487509</c:v>
                </c:pt>
                <c:pt idx="67">
                  <c:v>467.73514128719819</c:v>
                </c:pt>
                <c:pt idx="68">
                  <c:v>478.63009232263857</c:v>
                </c:pt>
                <c:pt idx="69">
                  <c:v>489.77881936844631</c:v>
                </c:pt>
                <c:pt idx="70">
                  <c:v>501.18723362727235</c:v>
                </c:pt>
                <c:pt idx="71">
                  <c:v>512.86138399136485</c:v>
                </c:pt>
                <c:pt idx="72">
                  <c:v>524.80746024977282</c:v>
                </c:pt>
                <c:pt idx="73">
                  <c:v>537.03179637025289</c:v>
                </c:pt>
                <c:pt idx="74">
                  <c:v>549.54087385762466</c:v>
                </c:pt>
                <c:pt idx="75">
                  <c:v>562.34132519034915</c:v>
                </c:pt>
                <c:pt idx="76">
                  <c:v>575.43993733715695</c:v>
                </c:pt>
                <c:pt idx="77">
                  <c:v>588.84365535558948</c:v>
                </c:pt>
                <c:pt idx="78">
                  <c:v>602.55958607435821</c:v>
                </c:pt>
                <c:pt idx="79">
                  <c:v>616.59500186148261</c:v>
                </c:pt>
                <c:pt idx="80">
                  <c:v>630.95734448019368</c:v>
                </c:pt>
                <c:pt idx="81">
                  <c:v>645.65422903465583</c:v>
                </c:pt>
                <c:pt idx="82">
                  <c:v>660.6934480075962</c:v>
                </c:pt>
                <c:pt idx="83">
                  <c:v>676.0829753919819</c:v>
                </c:pt>
                <c:pt idx="84">
                  <c:v>691.8309709189366</c:v>
                </c:pt>
                <c:pt idx="85">
                  <c:v>707.94578438413862</c:v>
                </c:pt>
                <c:pt idx="86">
                  <c:v>724.4359600749907</c:v>
                </c:pt>
                <c:pt idx="87">
                  <c:v>741.31024130091816</c:v>
                </c:pt>
                <c:pt idx="88">
                  <c:v>758.57757502918366</c:v>
                </c:pt>
                <c:pt idx="89">
                  <c:v>776.2471166286922</c:v>
                </c:pt>
                <c:pt idx="90">
                  <c:v>794.32823472428197</c:v>
                </c:pt>
                <c:pt idx="91">
                  <c:v>812.83051616409966</c:v>
                </c:pt>
                <c:pt idx="92">
                  <c:v>831.76377110267129</c:v>
                </c:pt>
                <c:pt idx="93">
                  <c:v>851.13803820237661</c:v>
                </c:pt>
                <c:pt idx="94">
                  <c:v>870.96358995608068</c:v>
                </c:pt>
                <c:pt idx="95">
                  <c:v>891.25093813374565</c:v>
                </c:pt>
                <c:pt idx="96">
                  <c:v>912.01083935590975</c:v>
                </c:pt>
                <c:pt idx="97">
                  <c:v>933.25430079699174</c:v>
                </c:pt>
                <c:pt idx="98">
                  <c:v>954.99258602143652</c:v>
                </c:pt>
                <c:pt idx="99">
                  <c:v>977.23722095581127</c:v>
                </c:pt>
                <c:pt idx="100">
                  <c:v>1000</c:v>
                </c:pt>
                <c:pt idx="101">
                  <c:v>1023.2929922807544</c:v>
                </c:pt>
                <c:pt idx="102">
                  <c:v>1047.1285480508998</c:v>
                </c:pt>
                <c:pt idx="103">
                  <c:v>1071.5193052376067</c:v>
                </c:pt>
                <c:pt idx="104">
                  <c:v>1096.4781961431861</c:v>
                </c:pt>
                <c:pt idx="105">
                  <c:v>1122.0184543019634</c:v>
                </c:pt>
                <c:pt idx="106">
                  <c:v>1148.1536214968835</c:v>
                </c:pt>
                <c:pt idx="107">
                  <c:v>1174.8975549395293</c:v>
                </c:pt>
                <c:pt idx="108">
                  <c:v>1202.2644346174136</c:v>
                </c:pt>
                <c:pt idx="109">
                  <c:v>1230.2687708123822</c:v>
                </c:pt>
                <c:pt idx="110">
                  <c:v>1258.9254117941678</c:v>
                </c:pt>
                <c:pt idx="111">
                  <c:v>1288.2495516931342</c:v>
                </c:pt>
                <c:pt idx="112">
                  <c:v>1318.2567385564084</c:v>
                </c:pt>
                <c:pt idx="113">
                  <c:v>1348.9628825916539</c:v>
                </c:pt>
                <c:pt idx="114">
                  <c:v>1380.3842646028861</c:v>
                </c:pt>
                <c:pt idx="115">
                  <c:v>1412.5375446227542</c:v>
                </c:pt>
                <c:pt idx="116">
                  <c:v>1445.4397707459284</c:v>
                </c:pt>
                <c:pt idx="117">
                  <c:v>1479.1083881682084</c:v>
                </c:pt>
                <c:pt idx="118">
                  <c:v>1513.5612484362091</c:v>
                </c:pt>
                <c:pt idx="119">
                  <c:v>1548.816618912482</c:v>
                </c:pt>
                <c:pt idx="120">
                  <c:v>1584.8931924611154</c:v>
                </c:pt>
                <c:pt idx="121">
                  <c:v>1621.8100973589303</c:v>
                </c:pt>
                <c:pt idx="122">
                  <c:v>1659.5869074375623</c:v>
                </c:pt>
                <c:pt idx="123">
                  <c:v>1698.2436524617444</c:v>
                </c:pt>
                <c:pt idx="124">
                  <c:v>1737.8008287493767</c:v>
                </c:pt>
                <c:pt idx="125">
                  <c:v>1778.2794100389242</c:v>
                </c:pt>
                <c:pt idx="126">
                  <c:v>1819.700858609983</c:v>
                </c:pt>
                <c:pt idx="127">
                  <c:v>1862.0871366628685</c:v>
                </c:pt>
                <c:pt idx="128">
                  <c:v>1905.460717963248</c:v>
                </c:pt>
                <c:pt idx="129">
                  <c:v>1949.8445997580459</c:v>
                </c:pt>
                <c:pt idx="130">
                  <c:v>1995.2623149688802</c:v>
                </c:pt>
                <c:pt idx="131">
                  <c:v>2041.7379446695315</c:v>
                </c:pt>
                <c:pt idx="132">
                  <c:v>2089.2961308540398</c:v>
                </c:pt>
                <c:pt idx="133">
                  <c:v>2137.962089502234</c:v>
                </c:pt>
                <c:pt idx="134">
                  <c:v>2187.7616239495524</c:v>
                </c:pt>
                <c:pt idx="135">
                  <c:v>2238.7211385683413</c:v>
                </c:pt>
                <c:pt idx="136">
                  <c:v>2290.8676527677744</c:v>
                </c:pt>
                <c:pt idx="137">
                  <c:v>2344.2288153199233</c:v>
                </c:pt>
                <c:pt idx="138">
                  <c:v>2398.8329190194913</c:v>
                </c:pt>
                <c:pt idx="139">
                  <c:v>2454.7089156850329</c:v>
                </c:pt>
                <c:pt idx="140">
                  <c:v>2511.8864315095807</c:v>
                </c:pt>
                <c:pt idx="141">
                  <c:v>2570.3957827688664</c:v>
                </c:pt>
                <c:pt idx="142">
                  <c:v>2630.2679918953818</c:v>
                </c:pt>
                <c:pt idx="143">
                  <c:v>2691.5348039269179</c:v>
                </c:pt>
                <c:pt idx="144">
                  <c:v>2754.2287033381681</c:v>
                </c:pt>
                <c:pt idx="145">
                  <c:v>2818.3829312644552</c:v>
                </c:pt>
                <c:pt idx="146">
                  <c:v>2884.0315031266073</c:v>
                </c:pt>
                <c:pt idx="147">
                  <c:v>2951.2092266663894</c:v>
                </c:pt>
                <c:pt idx="148">
                  <c:v>3019.9517204020167</c:v>
                </c:pt>
                <c:pt idx="149">
                  <c:v>3090.2954325135938</c:v>
                </c:pt>
                <c:pt idx="150">
                  <c:v>3162.2776601683827</c:v>
                </c:pt>
                <c:pt idx="151">
                  <c:v>3235.9365692962824</c:v>
                </c:pt>
                <c:pt idx="152">
                  <c:v>3311.3112148259138</c:v>
                </c:pt>
                <c:pt idx="153">
                  <c:v>3388.4415613920246</c:v>
                </c:pt>
                <c:pt idx="154">
                  <c:v>3467.3685045253183</c:v>
                </c:pt>
                <c:pt idx="155">
                  <c:v>3548.1338923357566</c:v>
                </c:pt>
                <c:pt idx="156">
                  <c:v>3630.7805477010152</c:v>
                </c:pt>
                <c:pt idx="157">
                  <c:v>3715.3522909717267</c:v>
                </c:pt>
                <c:pt idx="158">
                  <c:v>3801.8939632056163</c:v>
                </c:pt>
                <c:pt idx="159">
                  <c:v>3890.4514499428064</c:v>
                </c:pt>
                <c:pt idx="160">
                  <c:v>3981.071705534976</c:v>
                </c:pt>
                <c:pt idx="161">
                  <c:v>4073.8027780411271</c:v>
                </c:pt>
                <c:pt idx="162">
                  <c:v>4168.6938347033574</c:v>
                </c:pt>
                <c:pt idx="163">
                  <c:v>4265.7951880159289</c:v>
                </c:pt>
                <c:pt idx="164">
                  <c:v>4365.1583224016622</c:v>
                </c:pt>
                <c:pt idx="165">
                  <c:v>4466.8359215096334</c:v>
                </c:pt>
                <c:pt idx="166">
                  <c:v>4570.8818961487559</c:v>
                </c:pt>
                <c:pt idx="167">
                  <c:v>4677.3514128719835</c:v>
                </c:pt>
                <c:pt idx="168">
                  <c:v>4786.3009232263885</c:v>
                </c:pt>
                <c:pt idx="169">
                  <c:v>4897.7881936844624</c:v>
                </c:pt>
                <c:pt idx="170">
                  <c:v>5011.8723362727269</c:v>
                </c:pt>
                <c:pt idx="171">
                  <c:v>5128.6138399136516</c:v>
                </c:pt>
                <c:pt idx="172">
                  <c:v>5248.0746024977288</c:v>
                </c:pt>
                <c:pt idx="173">
                  <c:v>5370.3179637025296</c:v>
                </c:pt>
                <c:pt idx="174">
                  <c:v>5495.4087385762532</c:v>
                </c:pt>
                <c:pt idx="175">
                  <c:v>5623.4132519034929</c:v>
                </c:pt>
                <c:pt idx="176">
                  <c:v>5754.3993733715706</c:v>
                </c:pt>
                <c:pt idx="177">
                  <c:v>5888.4365535558954</c:v>
                </c:pt>
                <c:pt idx="178">
                  <c:v>6025.5958607435778</c:v>
                </c:pt>
                <c:pt idx="179">
                  <c:v>6165.9500186148271</c:v>
                </c:pt>
                <c:pt idx="180">
                  <c:v>6309.5734448019321</c:v>
                </c:pt>
                <c:pt idx="181">
                  <c:v>6456.5422903465596</c:v>
                </c:pt>
                <c:pt idx="182">
                  <c:v>6606.9344800759645</c:v>
                </c:pt>
                <c:pt idx="183">
                  <c:v>6760.8297539198211</c:v>
                </c:pt>
                <c:pt idx="184">
                  <c:v>6918.3097091893669</c:v>
                </c:pt>
                <c:pt idx="185">
                  <c:v>7079.4578438413873</c:v>
                </c:pt>
                <c:pt idx="186">
                  <c:v>7244.3596007499027</c:v>
                </c:pt>
                <c:pt idx="187">
                  <c:v>7413.1024130091828</c:v>
                </c:pt>
                <c:pt idx="188">
                  <c:v>7585.7757502918375</c:v>
                </c:pt>
                <c:pt idx="189">
                  <c:v>7762.4711662869231</c:v>
                </c:pt>
                <c:pt idx="190">
                  <c:v>7943.2823472428208</c:v>
                </c:pt>
                <c:pt idx="191">
                  <c:v>8128.3051616409975</c:v>
                </c:pt>
                <c:pt idx="192">
                  <c:v>8317.6377110267131</c:v>
                </c:pt>
                <c:pt idx="193">
                  <c:v>8511.3803820237772</c:v>
                </c:pt>
                <c:pt idx="194">
                  <c:v>8709.6358995608098</c:v>
                </c:pt>
                <c:pt idx="195">
                  <c:v>8912.509381337466</c:v>
                </c:pt>
                <c:pt idx="196">
                  <c:v>9120.1083935590977</c:v>
                </c:pt>
                <c:pt idx="197">
                  <c:v>9332.5430079699199</c:v>
                </c:pt>
                <c:pt idx="198">
                  <c:v>9549.9258602143673</c:v>
                </c:pt>
                <c:pt idx="199">
                  <c:v>9772.3722095581143</c:v>
                </c:pt>
                <c:pt idx="200">
                  <c:v>10000</c:v>
                </c:pt>
                <c:pt idx="201">
                  <c:v>10232.929922807547</c:v>
                </c:pt>
                <c:pt idx="202">
                  <c:v>10471.285480508999</c:v>
                </c:pt>
                <c:pt idx="203">
                  <c:v>10715.193052376069</c:v>
                </c:pt>
                <c:pt idx="204">
                  <c:v>10964.781961431863</c:v>
                </c:pt>
                <c:pt idx="205">
                  <c:v>11220.184543019637</c:v>
                </c:pt>
                <c:pt idx="206">
                  <c:v>11481.536214968839</c:v>
                </c:pt>
                <c:pt idx="207">
                  <c:v>11748.975549395294</c:v>
                </c:pt>
                <c:pt idx="208">
                  <c:v>12022.644346174138</c:v>
                </c:pt>
                <c:pt idx="209">
                  <c:v>12302.687708123824</c:v>
                </c:pt>
                <c:pt idx="210">
                  <c:v>12589.25411794168</c:v>
                </c:pt>
                <c:pt idx="211">
                  <c:v>12882.495516931347</c:v>
                </c:pt>
                <c:pt idx="212">
                  <c:v>13182.567385564089</c:v>
                </c:pt>
                <c:pt idx="213">
                  <c:v>13489.628825916541</c:v>
                </c:pt>
                <c:pt idx="214">
                  <c:v>13803.842646028863</c:v>
                </c:pt>
                <c:pt idx="215">
                  <c:v>14125.375446227545</c:v>
                </c:pt>
                <c:pt idx="216">
                  <c:v>14454.397707459288</c:v>
                </c:pt>
                <c:pt idx="217">
                  <c:v>14791.083881682087</c:v>
                </c:pt>
                <c:pt idx="218">
                  <c:v>15135.612484362093</c:v>
                </c:pt>
                <c:pt idx="219">
                  <c:v>15488.166189124822</c:v>
                </c:pt>
                <c:pt idx="220">
                  <c:v>15848.931924611155</c:v>
                </c:pt>
                <c:pt idx="221">
                  <c:v>16218.100973589308</c:v>
                </c:pt>
                <c:pt idx="222">
                  <c:v>16595.869074375627</c:v>
                </c:pt>
                <c:pt idx="223">
                  <c:v>16982.436524617446</c:v>
                </c:pt>
                <c:pt idx="224">
                  <c:v>17378.008287493773</c:v>
                </c:pt>
                <c:pt idx="225">
                  <c:v>17782.794100389245</c:v>
                </c:pt>
                <c:pt idx="226">
                  <c:v>18197.008586099833</c:v>
                </c:pt>
                <c:pt idx="227">
                  <c:v>18620.871366628686</c:v>
                </c:pt>
                <c:pt idx="228">
                  <c:v>19054.607179632483</c:v>
                </c:pt>
                <c:pt idx="229">
                  <c:v>19498.445997580464</c:v>
                </c:pt>
                <c:pt idx="230">
                  <c:v>19952.623149688803</c:v>
                </c:pt>
                <c:pt idx="231">
                  <c:v>20417.379446695319</c:v>
                </c:pt>
                <c:pt idx="232">
                  <c:v>20892.961308540398</c:v>
                </c:pt>
                <c:pt idx="233">
                  <c:v>21379.620895022344</c:v>
                </c:pt>
                <c:pt idx="234">
                  <c:v>21877.616239495528</c:v>
                </c:pt>
                <c:pt idx="235">
                  <c:v>22387.211385683418</c:v>
                </c:pt>
                <c:pt idx="236">
                  <c:v>22908.676527677748</c:v>
                </c:pt>
                <c:pt idx="237">
                  <c:v>23442.288153199239</c:v>
                </c:pt>
                <c:pt idx="238">
                  <c:v>23988.32919019492</c:v>
                </c:pt>
                <c:pt idx="239">
                  <c:v>24547.089156850339</c:v>
                </c:pt>
                <c:pt idx="240">
                  <c:v>25118.864315095812</c:v>
                </c:pt>
                <c:pt idx="241">
                  <c:v>25703.957827688668</c:v>
                </c:pt>
                <c:pt idx="242">
                  <c:v>26302.679918953821</c:v>
                </c:pt>
                <c:pt idx="243">
                  <c:v>26915.348039269185</c:v>
                </c:pt>
                <c:pt idx="244">
                  <c:v>27542.28703338169</c:v>
                </c:pt>
                <c:pt idx="245">
                  <c:v>28183.829312644561</c:v>
                </c:pt>
                <c:pt idx="246">
                  <c:v>28840.315031266076</c:v>
                </c:pt>
                <c:pt idx="247">
                  <c:v>29512.092266663898</c:v>
                </c:pt>
                <c:pt idx="248">
                  <c:v>30199.517204020176</c:v>
                </c:pt>
                <c:pt idx="249">
                  <c:v>30902.954325135921</c:v>
                </c:pt>
                <c:pt idx="250">
                  <c:v>31622.776601683803</c:v>
                </c:pt>
                <c:pt idx="251">
                  <c:v>32359.365692962834</c:v>
                </c:pt>
                <c:pt idx="252">
                  <c:v>33113.112148259112</c:v>
                </c:pt>
                <c:pt idx="253">
                  <c:v>33884.415613920253</c:v>
                </c:pt>
                <c:pt idx="254">
                  <c:v>34673.685045253224</c:v>
                </c:pt>
                <c:pt idx="255">
                  <c:v>35481.338923357536</c:v>
                </c:pt>
                <c:pt idx="256">
                  <c:v>36307.805477010188</c:v>
                </c:pt>
                <c:pt idx="257">
                  <c:v>37153.522909717241</c:v>
                </c:pt>
                <c:pt idx="258">
                  <c:v>38018.939632056172</c:v>
                </c:pt>
                <c:pt idx="259">
                  <c:v>38904.514499428107</c:v>
                </c:pt>
                <c:pt idx="260">
                  <c:v>39810.717055349771</c:v>
                </c:pt>
                <c:pt idx="261">
                  <c:v>40738.027780411314</c:v>
                </c:pt>
                <c:pt idx="262">
                  <c:v>41686.938347033582</c:v>
                </c:pt>
                <c:pt idx="263">
                  <c:v>42657.9518801593</c:v>
                </c:pt>
                <c:pt idx="264">
                  <c:v>43651.583224016635</c:v>
                </c:pt>
                <c:pt idx="265">
                  <c:v>44668.359215096345</c:v>
                </c:pt>
                <c:pt idx="266">
                  <c:v>45708.81896148753</c:v>
                </c:pt>
                <c:pt idx="267">
                  <c:v>46773.514128719842</c:v>
                </c:pt>
                <c:pt idx="268">
                  <c:v>47863.009232263852</c:v>
                </c:pt>
                <c:pt idx="269">
                  <c:v>48977.881936844635</c:v>
                </c:pt>
                <c:pt idx="270">
                  <c:v>50118.723362727324</c:v>
                </c:pt>
                <c:pt idx="271">
                  <c:v>51286.138399136486</c:v>
                </c:pt>
                <c:pt idx="272">
                  <c:v>52480.74602497735</c:v>
                </c:pt>
                <c:pt idx="273">
                  <c:v>53703.17963702527</c:v>
                </c:pt>
                <c:pt idx="274">
                  <c:v>54954.087385762541</c:v>
                </c:pt>
                <c:pt idx="275">
                  <c:v>56234.132519034989</c:v>
                </c:pt>
                <c:pt idx="276">
                  <c:v>57543.993733715673</c:v>
                </c:pt>
                <c:pt idx="277">
                  <c:v>58884.365535558973</c:v>
                </c:pt>
                <c:pt idx="278">
                  <c:v>60255.958607435852</c:v>
                </c:pt>
                <c:pt idx="279">
                  <c:v>61659.500186148289</c:v>
                </c:pt>
                <c:pt idx="280">
                  <c:v>63095.734448019386</c:v>
                </c:pt>
                <c:pt idx="281">
                  <c:v>64565.422903465616</c:v>
                </c:pt>
                <c:pt idx="282">
                  <c:v>66069.34480075966</c:v>
                </c:pt>
                <c:pt idx="283">
                  <c:v>67608.297539198233</c:v>
                </c:pt>
                <c:pt idx="284">
                  <c:v>69183.097091893695</c:v>
                </c:pt>
                <c:pt idx="285">
                  <c:v>70794.578438413824</c:v>
                </c:pt>
                <c:pt idx="286">
                  <c:v>72443.596007499029</c:v>
                </c:pt>
                <c:pt idx="287">
                  <c:v>74131.02413009177</c:v>
                </c:pt>
                <c:pt idx="288">
                  <c:v>75857.757502918394</c:v>
                </c:pt>
                <c:pt idx="289">
                  <c:v>77624.711662869318</c:v>
                </c:pt>
                <c:pt idx="290">
                  <c:v>79432.82347242815</c:v>
                </c:pt>
                <c:pt idx="291">
                  <c:v>81283.05161641007</c:v>
                </c:pt>
                <c:pt idx="292">
                  <c:v>83176.377110267087</c:v>
                </c:pt>
                <c:pt idx="293">
                  <c:v>85113.803820237779</c:v>
                </c:pt>
                <c:pt idx="294">
                  <c:v>87096.358995608185</c:v>
                </c:pt>
                <c:pt idx="295">
                  <c:v>89125.093813374682</c:v>
                </c:pt>
                <c:pt idx="296">
                  <c:v>91201.083935591087</c:v>
                </c:pt>
                <c:pt idx="297">
                  <c:v>93325.430079699217</c:v>
                </c:pt>
                <c:pt idx="298">
                  <c:v>95499.258602143687</c:v>
                </c:pt>
                <c:pt idx="299">
                  <c:v>97723.722095581164</c:v>
                </c:pt>
                <c:pt idx="300">
                  <c:v>100000</c:v>
                </c:pt>
                <c:pt idx="301">
                  <c:v>102329.29922807548</c:v>
                </c:pt>
                <c:pt idx="302">
                  <c:v>104712.85480509003</c:v>
                </c:pt>
                <c:pt idx="303">
                  <c:v>107151.9305237607</c:v>
                </c:pt>
                <c:pt idx="304">
                  <c:v>109647.81961431856</c:v>
                </c:pt>
                <c:pt idx="305">
                  <c:v>112201.84543019639</c:v>
                </c:pt>
                <c:pt idx="306">
                  <c:v>114815.36214968831</c:v>
                </c:pt>
                <c:pt idx="307">
                  <c:v>117489.75549395318</c:v>
                </c:pt>
                <c:pt idx="308">
                  <c:v>120226.44346174151</c:v>
                </c:pt>
                <c:pt idx="309">
                  <c:v>123026.87708123817</c:v>
                </c:pt>
                <c:pt idx="310">
                  <c:v>125892.54117941672</c:v>
                </c:pt>
                <c:pt idx="311">
                  <c:v>128824.9551693136</c:v>
                </c:pt>
                <c:pt idx="312">
                  <c:v>131825.6738556409</c:v>
                </c:pt>
                <c:pt idx="313">
                  <c:v>134896.28825916557</c:v>
                </c:pt>
                <c:pt idx="314">
                  <c:v>138038.42646028841</c:v>
                </c:pt>
                <c:pt idx="315">
                  <c:v>141253.7544622756</c:v>
                </c:pt>
                <c:pt idx="316">
                  <c:v>144543.9770745929</c:v>
                </c:pt>
                <c:pt idx="317">
                  <c:v>147910.83881682088</c:v>
                </c:pt>
                <c:pt idx="318">
                  <c:v>151356.12484362445</c:v>
                </c:pt>
                <c:pt idx="319">
                  <c:v>154881.66189124854</c:v>
                </c:pt>
                <c:pt idx="320">
                  <c:v>158489.31924611147</c:v>
                </c:pt>
                <c:pt idx="321">
                  <c:v>162181.00973589683</c:v>
                </c:pt>
                <c:pt idx="322">
                  <c:v>165958.69074376026</c:v>
                </c:pt>
                <c:pt idx="323">
                  <c:v>169824.36524617841</c:v>
                </c:pt>
                <c:pt idx="324">
                  <c:v>173780.08287494161</c:v>
                </c:pt>
                <c:pt idx="325">
                  <c:v>177827.94100389644</c:v>
                </c:pt>
                <c:pt idx="326">
                  <c:v>181970.08586100259</c:v>
                </c:pt>
                <c:pt idx="327">
                  <c:v>186208.71366629141</c:v>
                </c:pt>
                <c:pt idx="328">
                  <c:v>190546.07179632946</c:v>
                </c:pt>
                <c:pt idx="329">
                  <c:v>194984.459975809</c:v>
                </c:pt>
                <c:pt idx="330">
                  <c:v>199526.23149689252</c:v>
                </c:pt>
                <c:pt idx="331">
                  <c:v>204173.79446695794</c:v>
                </c:pt>
                <c:pt idx="332">
                  <c:v>208929.61308540907</c:v>
                </c:pt>
                <c:pt idx="333">
                  <c:v>213796.20895022844</c:v>
                </c:pt>
                <c:pt idx="334">
                  <c:v>218776.16239496018</c:v>
                </c:pt>
                <c:pt idx="335">
                  <c:v>223872.11385683939</c:v>
                </c:pt>
                <c:pt idx="336">
                  <c:v>229086.76527678283</c:v>
                </c:pt>
                <c:pt idx="337">
                  <c:v>234422.88153199785</c:v>
                </c:pt>
                <c:pt idx="338">
                  <c:v>239883.29190195477</c:v>
                </c:pt>
                <c:pt idx="339">
                  <c:v>245470.89156850934</c:v>
                </c:pt>
                <c:pt idx="340">
                  <c:v>251188.643150964</c:v>
                </c:pt>
                <c:pt idx="341">
                  <c:v>257039.57827689245</c:v>
                </c:pt>
                <c:pt idx="342">
                  <c:v>263026.79918954434</c:v>
                </c:pt>
                <c:pt idx="343">
                  <c:v>269153.48039269837</c:v>
                </c:pt>
                <c:pt idx="344">
                  <c:v>275422.87033382355</c:v>
                </c:pt>
                <c:pt idx="345">
                  <c:v>281838.29312645196</c:v>
                </c:pt>
                <c:pt idx="346">
                  <c:v>288403.15031266725</c:v>
                </c:pt>
                <c:pt idx="347">
                  <c:v>295120.9226666459</c:v>
                </c:pt>
                <c:pt idx="348">
                  <c:v>301995.17204020906</c:v>
                </c:pt>
                <c:pt idx="349">
                  <c:v>309029.54325136665</c:v>
                </c:pt>
                <c:pt idx="350">
                  <c:v>316227.76601684513</c:v>
                </c:pt>
                <c:pt idx="351">
                  <c:v>323593.65692963556</c:v>
                </c:pt>
                <c:pt idx="352">
                  <c:v>331131.12148259912</c:v>
                </c:pt>
                <c:pt idx="353">
                  <c:v>338844.15613921074</c:v>
                </c:pt>
                <c:pt idx="354">
                  <c:v>346736.85045254003</c:v>
                </c:pt>
                <c:pt idx="355">
                  <c:v>354813.38923358335</c:v>
                </c:pt>
                <c:pt idx="356">
                  <c:v>363078.05477011006</c:v>
                </c:pt>
                <c:pt idx="357">
                  <c:v>371535.22909718135</c:v>
                </c:pt>
                <c:pt idx="358">
                  <c:v>380189.39632057026</c:v>
                </c:pt>
                <c:pt idx="359">
                  <c:v>389045.14499428979</c:v>
                </c:pt>
                <c:pt idx="360">
                  <c:v>398107.17055350728</c:v>
                </c:pt>
                <c:pt idx="361">
                  <c:v>407380.27780413168</c:v>
                </c:pt>
                <c:pt idx="362">
                  <c:v>416869.38347035483</c:v>
                </c:pt>
                <c:pt idx="363">
                  <c:v>426579.51880160259</c:v>
                </c:pt>
                <c:pt idx="364">
                  <c:v>436515.83224017685</c:v>
                </c:pt>
                <c:pt idx="365">
                  <c:v>446683.5921509742</c:v>
                </c:pt>
                <c:pt idx="366">
                  <c:v>457088.18961489608</c:v>
                </c:pt>
                <c:pt idx="367">
                  <c:v>467735.14128722053</c:v>
                </c:pt>
                <c:pt idx="368">
                  <c:v>478630.09232266113</c:v>
                </c:pt>
                <c:pt idx="369">
                  <c:v>489778.81936846947</c:v>
                </c:pt>
                <c:pt idx="370">
                  <c:v>501187.23362729524</c:v>
                </c:pt>
                <c:pt idx="371">
                  <c:v>512861.38399138919</c:v>
                </c:pt>
                <c:pt idx="372">
                  <c:v>524807.46024979744</c:v>
                </c:pt>
                <c:pt idx="373">
                  <c:v>537031.79637027811</c:v>
                </c:pt>
                <c:pt idx="374">
                  <c:v>549540.87385765044</c:v>
                </c:pt>
                <c:pt idx="375">
                  <c:v>562341.32519037649</c:v>
                </c:pt>
                <c:pt idx="376">
                  <c:v>575439.93733718398</c:v>
                </c:pt>
                <c:pt idx="377">
                  <c:v>588843.65535561647</c:v>
                </c:pt>
                <c:pt idx="378">
                  <c:v>602559.58607438591</c:v>
                </c:pt>
                <c:pt idx="379">
                  <c:v>616595.00186151091</c:v>
                </c:pt>
                <c:pt idx="380">
                  <c:v>630957.34448022372</c:v>
                </c:pt>
                <c:pt idx="381">
                  <c:v>645654.22903468553</c:v>
                </c:pt>
                <c:pt idx="382">
                  <c:v>660693.44800762658</c:v>
                </c:pt>
                <c:pt idx="383">
                  <c:v>676082.97539201309</c:v>
                </c:pt>
                <c:pt idx="384">
                  <c:v>691830.97091896972</c:v>
                </c:pt>
                <c:pt idx="385">
                  <c:v>707945.78438417171</c:v>
                </c:pt>
                <c:pt idx="386">
                  <c:v>724435.96007502335</c:v>
                </c:pt>
                <c:pt idx="387">
                  <c:v>741310.24130095146</c:v>
                </c:pt>
                <c:pt idx="388">
                  <c:v>758577.57502921985</c:v>
                </c:pt>
                <c:pt idx="389">
                  <c:v>776247.11662872857</c:v>
                </c:pt>
                <c:pt idx="390">
                  <c:v>794328.23472431907</c:v>
                </c:pt>
                <c:pt idx="391">
                  <c:v>812830.51616413763</c:v>
                </c:pt>
                <c:pt idx="392">
                  <c:v>831763.77110271016</c:v>
                </c:pt>
                <c:pt idx="393">
                  <c:v>851138.0382024165</c:v>
                </c:pt>
                <c:pt idx="394">
                  <c:v>870963.58995612152</c:v>
                </c:pt>
                <c:pt idx="395">
                  <c:v>891250.93813378725</c:v>
                </c:pt>
                <c:pt idx="396">
                  <c:v>912010.83935595397</c:v>
                </c:pt>
                <c:pt idx="397">
                  <c:v>933254.30079703464</c:v>
                </c:pt>
                <c:pt idx="398">
                  <c:v>954992.58602148038</c:v>
                </c:pt>
                <c:pt idx="399">
                  <c:v>977237.22095585614</c:v>
                </c:pt>
                <c:pt idx="400">
                  <c:v>1000000.0000000482</c:v>
                </c:pt>
              </c:numCache>
            </c:numRef>
          </c:xVal>
          <c:yVal>
            <c:numRef>
              <c:f>Loop_Response!$K$3:$K$403</c:f>
              <c:numCache>
                <c:formatCode>General</c:formatCode>
                <c:ptCount val="401"/>
                <c:pt idx="0">
                  <c:v>20.628067856850308</c:v>
                </c:pt>
                <c:pt idx="1">
                  <c:v>20.45943388806932</c:v>
                </c:pt>
                <c:pt idx="2">
                  <c:v>20.291518628904594</c:v>
                </c:pt>
                <c:pt idx="3">
                  <c:v>20.124312807626836</c:v>
                </c:pt>
                <c:pt idx="4">
                  <c:v>19.957805284453272</c:v>
                </c:pt>
                <c:pt idx="5">
                  <c:v>19.791983014444728</c:v>
                </c:pt>
                <c:pt idx="6">
                  <c:v>19.626831019291622</c:v>
                </c:pt>
                <c:pt idx="7">
                  <c:v>19.462332368693943</c:v>
                </c:pt>
                <c:pt idx="8">
                  <c:v>19.298468171982634</c:v>
                </c:pt>
                <c:pt idx="9">
                  <c:v>19.13521758056002</c:v>
                </c:pt>
                <c:pt idx="10">
                  <c:v>18.972557801654819</c:v>
                </c:pt>
                <c:pt idx="11">
                  <c:v>18.810464123794382</c:v>
                </c:pt>
                <c:pt idx="12">
                  <c:v>18.648909954292328</c:v>
                </c:pt>
                <c:pt idx="13">
                  <c:v>18.487866868936607</c:v>
                </c:pt>
                <c:pt idx="14">
                  <c:v>18.32730467394159</c:v>
                </c:pt>
                <c:pt idx="15">
                  <c:v>18.167191480099518</c:v>
                </c:pt>
                <c:pt idx="16">
                  <c:v>18.007493788933591</c:v>
                </c:pt>
                <c:pt idx="17">
                  <c:v>17.848176590520538</c:v>
                </c:pt>
                <c:pt idx="18">
                  <c:v>17.689203472513181</c:v>
                </c:pt>
                <c:pt idx="19">
                  <c:v>17.530536739760578</c:v>
                </c:pt>
                <c:pt idx="20">
                  <c:v>17.372137543792213</c:v>
                </c:pt>
                <c:pt idx="21">
                  <c:v>17.213966021309734</c:v>
                </c:pt>
                <c:pt idx="22">
                  <c:v>17.05598144071406</c:v>
                </c:pt>
                <c:pt idx="23">
                  <c:v>16.898142355591581</c:v>
                </c:pt>
                <c:pt idx="24">
                  <c:v>16.740406763991984</c:v>
                </c:pt>
                <c:pt idx="25">
                  <c:v>16.582732272252574</c:v>
                </c:pt>
                <c:pt idx="26">
                  <c:v>16.425076262063833</c:v>
                </c:pt>
                <c:pt idx="27">
                  <c:v>16.267396059426886</c:v>
                </c:pt>
                <c:pt idx="28">
                  <c:v>16.10964910412811</c:v>
                </c:pt>
                <c:pt idx="29">
                  <c:v>15.951793118349432</c:v>
                </c:pt>
                <c:pt idx="30">
                  <c:v>15.793786273044827</c:v>
                </c:pt>
                <c:pt idx="31">
                  <c:v>15.635587350743748</c:v>
                </c:pt>
                <c:pt idx="32">
                  <c:v>15.477155903490994</c:v>
                </c:pt>
                <c:pt idx="33">
                  <c:v>15.318452404697824</c:v>
                </c:pt>
                <c:pt idx="34">
                  <c:v>15.159438393760052</c:v>
                </c:pt>
                <c:pt idx="35">
                  <c:v>15.000076612394388</c:v>
                </c:pt>
                <c:pt idx="36">
                  <c:v>14.840331131751428</c:v>
                </c:pt>
                <c:pt idx="37">
                  <c:v>14.680167469481727</c:v>
                </c:pt>
                <c:pt idx="38">
                  <c:v>14.51955269605682</c:v>
                </c:pt>
                <c:pt idx="39">
                  <c:v>14.35845552977883</c:v>
                </c:pt>
                <c:pt idx="40">
                  <c:v>14.196846420047191</c:v>
                </c:pt>
                <c:pt idx="41">
                  <c:v>14.034697618587012</c:v>
                </c:pt>
                <c:pt idx="42">
                  <c:v>13.871983238478764</c:v>
                </c:pt>
                <c:pt idx="43">
                  <c:v>13.70867930096045</c:v>
                </c:pt>
                <c:pt idx="44">
                  <c:v>13.544763770100342</c:v>
                </c:pt>
                <c:pt idx="45">
                  <c:v>13.380216575557629</c:v>
                </c:pt>
                <c:pt idx="46">
                  <c:v>13.215019623759332</c:v>
                </c:pt>
                <c:pt idx="47">
                  <c:v>13.0491567979235</c:v>
                </c:pt>
                <c:pt idx="48">
                  <c:v>12.882613947448613</c:v>
                </c:pt>
                <c:pt idx="49">
                  <c:v>12.715378867268031</c:v>
                </c:pt>
                <c:pt idx="50">
                  <c:v>12.54744126783517</c:v>
                </c:pt>
                <c:pt idx="51">
                  <c:v>12.378792736459097</c:v>
                </c:pt>
                <c:pt idx="52">
                  <c:v>12.20942669075235</c:v>
                </c:pt>
                <c:pt idx="53">
                  <c:v>12.039338324982454</c:v>
                </c:pt>
                <c:pt idx="54">
                  <c:v>11.868524550136939</c:v>
                </c:pt>
                <c:pt idx="55">
                  <c:v>11.696983928518613</c:v>
                </c:pt>
                <c:pt idx="56">
                  <c:v>11.524716603684606</c:v>
                </c:pt>
                <c:pt idx="57">
                  <c:v>11.351724226530138</c:v>
                </c:pt>
                <c:pt idx="58">
                  <c:v>11.178009878296828</c:v>
                </c:pt>
                <c:pt idx="59">
                  <c:v>11.003577991256808</c:v>
                </c:pt>
                <c:pt idx="60">
                  <c:v>10.828434267789325</c:v>
                </c:pt>
                <c:pt idx="61">
                  <c:v>10.652585598526025</c:v>
                </c:pt>
                <c:pt idx="62">
                  <c:v>10.47603998019701</c:v>
                </c:pt>
                <c:pt idx="63">
                  <c:v>10.298806433762394</c:v>
                </c:pt>
                <c:pt idx="64">
                  <c:v>10.120894923363934</c:v>
                </c:pt>
                <c:pt idx="65">
                  <c:v>9.9423162765807902</c:v>
                </c:pt>
                <c:pt idx="66">
                  <c:v>9.7630821064214075</c:v>
                </c:pt>
                <c:pt idx="67">
                  <c:v>9.5832047354328456</c:v>
                </c:pt>
                <c:pt idx="68">
                  <c:v>9.4026971222578855</c:v>
                </c:pt>
                <c:pt idx="69">
                  <c:v>9.221572790922135</c:v>
                </c:pt>
                <c:pt idx="70">
                  <c:v>9.0398457630857418</c:v>
                </c:pt>
                <c:pt idx="71">
                  <c:v>8.8575304934504118</c:v>
                </c:pt>
                <c:pt idx="72">
                  <c:v>8.6746418084702626</c:v>
                </c:pt>
                <c:pt idx="73">
                  <c:v>8.4911948484760646</c:v>
                </c:pt>
                <c:pt idx="74">
                  <c:v>8.3072050132868487</c:v>
                </c:pt>
                <c:pt idx="75">
                  <c:v>8.1226879113495727</c:v>
                </c:pt>
                <c:pt idx="76">
                  <c:v>7.9376593124186625</c:v>
                </c:pt>
                <c:pt idx="77">
                  <c:v>7.752135103760124</c:v>
                </c:pt>
                <c:pt idx="78">
                  <c:v>7.5661312498421109</c:v>
                </c:pt>
                <c:pt idx="79">
                  <c:v>7.3796637554531852</c:v>
                </c:pt>
                <c:pt idx="80">
                  <c:v>7.1927486321724556</c:v>
                </c:pt>
                <c:pt idx="81">
                  <c:v>7.0054018681005541</c:v>
                </c:pt>
                <c:pt idx="82">
                  <c:v>6.8176394007487335</c:v>
                </c:pt>
                <c:pt idx="83">
                  <c:v>6.6294770929732181</c:v>
                </c:pt>
                <c:pt idx="84">
                  <c:v>6.440930711834457</c:v>
                </c:pt>
                <c:pt idx="85">
                  <c:v>6.2520159102554462</c:v>
                </c:pt>
                <c:pt idx="86">
                  <c:v>6.0627482113492928</c:v>
                </c:pt>
                <c:pt idx="87">
                  <c:v>5.8731429952839029</c:v>
                </c:pt>
                <c:pt idx="88">
                  <c:v>5.6832154885513004</c:v>
                </c:pt>
                <c:pt idx="89">
                  <c:v>5.4929807555090022</c:v>
                </c:pt>
                <c:pt idx="90">
                  <c:v>5.3024536920631711</c:v>
                </c:pt>
                <c:pt idx="91">
                  <c:v>5.1116490213647614</c:v>
                </c:pt>
                <c:pt idx="92">
                  <c:v>4.9205812913942175</c:v>
                </c:pt>
                <c:pt idx="93">
                  <c:v>4.7292648743134782</c:v>
                </c:pt>
                <c:pt idx="94">
                  <c:v>4.5377139674686831</c:v>
                </c:pt>
                <c:pt idx="95">
                  <c:v>4.3459425959319544</c:v>
                </c:pt>
                <c:pt idx="96">
                  <c:v>4.1539646164757169</c:v>
                </c:pt>
                <c:pt idx="97">
                  <c:v>3.9617937228780811</c:v>
                </c:pt>
                <c:pt idx="98">
                  <c:v>3.7694434524639058</c:v>
                </c:pt>
                <c:pt idx="99">
                  <c:v>3.576927193791374</c:v>
                </c:pt>
                <c:pt idx="100">
                  <c:v>3.3842581953991449</c:v>
                </c:pt>
                <c:pt idx="101">
                  <c:v>3.1914495755354451</c:v>
                </c:pt>
                <c:pt idx="102">
                  <c:v>2.9985143327951675</c:v>
                </c:pt>
                <c:pt idx="103">
                  <c:v>2.8054653575964346</c:v>
                </c:pt>
                <c:pt idx="104">
                  <c:v>2.6123154444334395</c:v>
                </c:pt>
                <c:pt idx="105">
                  <c:v>2.4190773048470144</c:v>
                </c:pt>
                <c:pt idx="106">
                  <c:v>2.2257635810585401</c:v>
                </c:pt>
                <c:pt idx="107">
                  <c:v>2.0323868602181823</c:v>
                </c:pt>
                <c:pt idx="108">
                  <c:v>1.83895968922159</c:v>
                </c:pt>
                <c:pt idx="109">
                  <c:v>1.6454945900533786</c:v>
                </c:pt>
                <c:pt idx="110">
                  <c:v>1.452004075618992</c:v>
                </c:pt>
                <c:pt idx="111">
                  <c:v>1.2585006660301905</c:v>
                </c:pt>
                <c:pt idx="112">
                  <c:v>1.0649969053114632</c:v>
                </c:pt>
                <c:pt idx="113">
                  <c:v>0.8715053784981508</c:v>
                </c:pt>
                <c:pt idx="114">
                  <c:v>0.67803872909830443</c:v>
                </c:pt>
                <c:pt idx="115">
                  <c:v>0.48460967689310164</c:v>
                </c:pt>
                <c:pt idx="116">
                  <c:v>0.29123103605132805</c:v>
                </c:pt>
                <c:pt idx="117">
                  <c:v>9.791573353532837E-2</c:v>
                </c:pt>
                <c:pt idx="118">
                  <c:v>-9.5323172223638453E-2</c:v>
                </c:pt>
                <c:pt idx="119">
                  <c:v>-0.28847247240248225</c:v>
                </c:pt>
                <c:pt idx="120">
                  <c:v>-0.48151878863656422</c:v>
                </c:pt>
                <c:pt idx="121">
                  <c:v>-0.67444855366529011</c:v>
                </c:pt>
                <c:pt idx="122">
                  <c:v>-0.86724799179486989</c:v>
                </c:pt>
                <c:pt idx="123">
                  <c:v>-1.0599030992011746</c:v>
                </c:pt>
                <c:pt idx="124">
                  <c:v>-1.2523996240971782</c:v>
                </c:pt>
                <c:pt idx="125">
                  <c:v>-1.4447230467908565</c:v>
                </c:pt>
                <c:pt idx="126">
                  <c:v>-1.6368585596613581</c:v>
                </c:pt>
                <c:pt idx="127">
                  <c:v>-1.828791047084106</c:v>
                </c:pt>
                <c:pt idx="128">
                  <c:v>-2.0205050653378387</c:v>
                </c:pt>
                <c:pt idx="129">
                  <c:v>-2.211984822529975</c:v>
                </c:pt>
                <c:pt idx="130">
                  <c:v>-2.4032141585804347</c:v>
                </c:pt>
                <c:pt idx="131">
                  <c:v>-2.5941765253076872</c:v>
                </c:pt>
                <c:pt idx="132">
                  <c:v>-2.7848549666653901</c:v>
                </c:pt>
                <c:pt idx="133">
                  <c:v>-2.9752320991832062</c:v>
                </c:pt>
                <c:pt idx="134">
                  <c:v>-3.1652900926693963</c:v>
                </c:pt>
                <c:pt idx="135">
                  <c:v>-3.3550106512399966</c:v>
                </c:pt>
                <c:pt idx="136">
                  <c:v>-3.5443749947440062</c:v>
                </c:pt>
                <c:pt idx="137">
                  <c:v>-3.7333638406611507</c:v>
                </c:pt>
                <c:pt idx="138">
                  <c:v>-3.9219573865552571</c:v>
                </c:pt>
                <c:pt idx="139">
                  <c:v>-4.1101352931737738</c:v>
                </c:pt>
                <c:pt idx="140">
                  <c:v>-4.297876668290443</c:v>
                </c:pt>
                <c:pt idx="141">
                  <c:v>-4.4851600513973517</c:v>
                </c:pt>
                <c:pt idx="142">
                  <c:v>-4.6719633993588277</c:v>
                </c:pt>
                <c:pt idx="143">
                  <c:v>-4.8582640731497584</c:v>
                </c:pt>
                <c:pt idx="144">
                  <c:v>-5.0440388258071724</c:v>
                </c:pt>
                <c:pt idx="145">
                  <c:v>-5.2292637917347351</c:v>
                </c:pt>
                <c:pt idx="146">
                  <c:v>-5.4139144775057559</c:v>
                </c:pt>
                <c:pt idx="147">
                  <c:v>-5.5979657543212848</c:v>
                </c:pt>
                <c:pt idx="148">
                  <c:v>-5.7813918522859487</c:v>
                </c:pt>
                <c:pt idx="149">
                  <c:v>-5.9641663566739247</c:v>
                </c:pt>
                <c:pt idx="150">
                  <c:v>-6.1462622063637022</c:v>
                </c:pt>
                <c:pt idx="151">
                  <c:v>-6.327651694628643</c:v>
                </c:pt>
                <c:pt idx="152">
                  <c:v>-6.5083064724758852</c:v>
                </c:pt>
                <c:pt idx="153">
                  <c:v>-6.6881975547322314</c:v>
                </c:pt>
                <c:pt idx="154">
                  <c:v>-6.8672953290803882</c:v>
                </c:pt>
                <c:pt idx="155">
                  <c:v>-7.0455695682520307</c:v>
                </c:pt>
                <c:pt idx="156">
                  <c:v>-7.222989445586915</c:v>
                </c:pt>
                <c:pt idx="157">
                  <c:v>-7.3995235541670441</c:v>
                </c:pt>
                <c:pt idx="158">
                  <c:v>-7.5751399297344264</c:v>
                </c:pt>
                <c:pt idx="159">
                  <c:v>-7.7498060775972064</c:v>
                </c:pt>
                <c:pt idx="160">
                  <c:v>-7.9234890037238532</c:v>
                </c:pt>
                <c:pt idx="161">
                  <c:v>-8.0961552502168352</c:v>
                </c:pt>
                <c:pt idx="162">
                  <c:v>-8.267770935347361</c:v>
                </c:pt>
                <c:pt idx="163">
                  <c:v>-8.438301798318502</c:v>
                </c:pt>
                <c:pt idx="164">
                  <c:v>-8.6077132489084693</c:v>
                </c:pt>
                <c:pt idx="165">
                  <c:v>-8.7759704221257664</c:v>
                </c:pt>
                <c:pt idx="166">
                  <c:v>-8.9430382379850002</c:v>
                </c:pt>
                <c:pt idx="167">
                  <c:v>-9.1088814664860269</c:v>
                </c:pt>
                <c:pt idx="168">
                  <c:v>-9.2734647978493854</c:v>
                </c:pt>
                <c:pt idx="169">
                  <c:v>-9.4367529180266505</c:v>
                </c:pt>
                <c:pt idx="170">
                  <c:v>-9.5987105894690981</c:v>
                </c:pt>
                <c:pt idx="171">
                  <c:v>-9.7593027370962631</c:v>
                </c:pt>
                <c:pt idx="172">
                  <c:v>-9.9184945393638326</c:v>
                </c:pt>
                <c:pt idx="173">
                  <c:v>-10.076251524283037</c:v>
                </c:pt>
                <c:pt idx="174">
                  <c:v>-10.232539670195415</c:v>
                </c:pt>
                <c:pt idx="175">
                  <c:v>-10.387325511054886</c:v>
                </c:pt>
                <c:pt idx="176">
                  <c:v>-10.54057624591699</c:v>
                </c:pt>
                <c:pt idx="177">
                  <c:v>-10.692259852279843</c:v>
                </c:pt>
                <c:pt idx="178">
                  <c:v>-10.842345202867644</c:v>
                </c:pt>
                <c:pt idx="179">
                  <c:v>-10.990802185392104</c:v>
                </c:pt>
                <c:pt idx="180">
                  <c:v>-11.137601824774302</c:v>
                </c:pt>
                <c:pt idx="181">
                  <c:v>-11.282716407256734</c:v>
                </c:pt>
                <c:pt idx="182">
                  <c:v>-11.426119605786699</c:v>
                </c:pt>
                <c:pt idx="183">
                  <c:v>-11.567786606006052</c:v>
                </c:pt>
                <c:pt idx="184">
                  <c:v>-11.707694232141053</c:v>
                </c:pt>
                <c:pt idx="185">
                  <c:v>-11.845821072050203</c:v>
                </c:pt>
                <c:pt idx="186">
                  <c:v>-11.982147600658349</c:v>
                </c:pt>
                <c:pt idx="187">
                  <c:v>-12.116656300981964</c:v>
                </c:pt>
                <c:pt idx="188">
                  <c:v>-12.24933178193635</c:v>
                </c:pt>
                <c:pt idx="189">
                  <c:v>-12.380160892108426</c:v>
                </c:pt>
                <c:pt idx="190">
                  <c:v>-12.509132828681365</c:v>
                </c:pt>
                <c:pt idx="191">
                  <c:v>-12.636239240708642</c:v>
                </c:pt>
                <c:pt idx="192">
                  <c:v>-12.761474325957046</c:v>
                </c:pt>
                <c:pt idx="193">
                  <c:v>-12.884834920568204</c:v>
                </c:pt>
                <c:pt idx="194">
                  <c:v>-13.006320580828621</c:v>
                </c:pt>
                <c:pt idx="195">
                  <c:v>-13.125933656388611</c:v>
                </c:pt>
                <c:pt idx="196">
                  <c:v>-13.243679354326781</c:v>
                </c:pt>
                <c:pt idx="197">
                  <c:v>-13.359565793525089</c:v>
                </c:pt>
                <c:pt idx="198">
                  <c:v>-13.473604048891501</c:v>
                </c:pt>
                <c:pt idx="199">
                  <c:v>-13.585808185046764</c:v>
                </c:pt>
                <c:pt idx="200">
                  <c:v>-13.69619527917804</c:v>
                </c:pt>
                <c:pt idx="201">
                  <c:v>-13.804785432849004</c:v>
                </c:pt>
                <c:pt idx="202">
                  <c:v>-13.911601772648909</c:v>
                </c:pt>
                <c:pt idx="203">
                  <c:v>-14.016670439654698</c:v>
                </c:pt>
                <c:pt idx="204">
                  <c:v>-14.120020567773564</c:v>
                </c:pt>
                <c:pt idx="205">
                  <c:v>-14.221684251124575</c:v>
                </c:pt>
                <c:pt idx="206">
                  <c:v>-14.321696500706521</c:v>
                </c:pt>
                <c:pt idx="207">
                  <c:v>-14.420095190684503</c:v>
                </c:pt>
                <c:pt idx="208">
                  <c:v>-14.51692099470781</c:v>
                </c:pt>
                <c:pt idx="209">
                  <c:v>-14.612217312745846</c:v>
                </c:pt>
                <c:pt idx="210">
                  <c:v>-14.706030188997662</c:v>
                </c:pt>
                <c:pt idx="211">
                  <c:v>-14.798408221489716</c:v>
                </c:pt>
                <c:pt idx="212">
                  <c:v>-14.889402464031525</c:v>
                </c:pt>
                <c:pt idx="213">
                  <c:v>-14.979066321242602</c:v>
                </c:pt>
                <c:pt idx="214">
                  <c:v>-15.067455437401964</c:v>
                </c:pt>
                <c:pt idx="215">
                  <c:v>-15.154627579900064</c:v>
                </c:pt>
                <c:pt idx="216">
                  <c:v>-15.240642518095267</c:v>
                </c:pt>
                <c:pt idx="217">
                  <c:v>-15.325561898390044</c:v>
                </c:pt>
                <c:pt idx="218">
                  <c:v>-15.40944911634891</c:v>
                </c:pt>
                <c:pt idx="219">
                  <c:v>-15.492369186681032</c:v>
                </c:pt>
                <c:pt idx="220">
                  <c:v>-15.574388611903416</c:v>
                </c:pt>
                <c:pt idx="221">
                  <c:v>-15.655575250490106</c:v>
                </c:pt>
                <c:pt idx="222">
                  <c:v>-15.735998185296417</c:v>
                </c:pt>
                <c:pt idx="223">
                  <c:v>-15.815727593025564</c:v>
                </c:pt>
                <c:pt idx="224">
                  <c:v>-15.894834615482095</c:v>
                </c:pt>
                <c:pt idx="225">
                  <c:v>-15.973391233326927</c:v>
                </c:pt>
                <c:pt idx="226">
                  <c:v>-16.051470143018729</c:v>
                </c:pt>
                <c:pt idx="227">
                  <c:v>-16.129144637592287</c:v>
                </c:pt>
                <c:pt idx="228">
                  <c:v>-16.206488491887402</c:v>
                </c:pt>
                <c:pt idx="229">
                  <c:v>-16.283575852803761</c:v>
                </c:pt>
                <c:pt idx="230">
                  <c:v>-16.360481135114789</c:v>
                </c:pt>
                <c:pt idx="231">
                  <c:v>-16.437278923330044</c:v>
                </c:pt>
                <c:pt idx="232">
                  <c:v>-16.514043880048138</c:v>
                </c:pt>
                <c:pt idx="233">
                  <c:v>-16.590850661193016</c:v>
                </c:pt>
                <c:pt idx="234">
                  <c:v>-16.667773838472623</c:v>
                </c:pt>
                <c:pt idx="235">
                  <c:v>-16.744887829343728</c:v>
                </c:pt>
                <c:pt idx="236">
                  <c:v>-16.822266834705523</c:v>
                </c:pt>
                <c:pt idx="237">
                  <c:v>-16.899984784482477</c:v>
                </c:pt>
                <c:pt idx="238">
                  <c:v>-16.978115291188065</c:v>
                </c:pt>
                <c:pt idx="239">
                  <c:v>-17.056731611491948</c:v>
                </c:pt>
                <c:pt idx="240">
                  <c:v>-17.13590661573657</c:v>
                </c:pt>
                <c:pt idx="241">
                  <c:v>-17.215712765273949</c:v>
                </c:pt>
                <c:pt idx="242">
                  <c:v>-17.296222097410819</c:v>
                </c:pt>
                <c:pt idx="243">
                  <c:v>-17.377506217670238</c:v>
                </c:pt>
                <c:pt idx="244">
                  <c:v>-17.459636298992809</c:v>
                </c:pt>
                <c:pt idx="245">
                  <c:v>-17.542683087418265</c:v>
                </c:pt>
                <c:pt idx="246">
                  <c:v>-17.626716913705156</c:v>
                </c:pt>
                <c:pt idx="247">
                  <c:v>-17.711807710266807</c:v>
                </c:pt>
                <c:pt idx="248">
                  <c:v>-17.79802503272516</c:v>
                </c:pt>
                <c:pt idx="249">
                  <c:v>-17.885438085313652</c:v>
                </c:pt>
                <c:pt idx="250">
                  <c:v>-17.974115749295997</c:v>
                </c:pt>
                <c:pt idx="251">
                  <c:v>-18.064126613511817</c:v>
                </c:pt>
                <c:pt idx="252">
                  <c:v>-18.155539006115497</c:v>
                </c:pt>
                <c:pt idx="253">
                  <c:v>-18.248421026538566</c:v>
                </c:pt>
                <c:pt idx="254">
                  <c:v>-18.34284057668534</c:v>
                </c:pt>
                <c:pt idx="255">
                  <c:v>-18.438865390362121</c:v>
                </c:pt>
                <c:pt idx="256">
                  <c:v>-18.536563059946829</c:v>
                </c:pt>
                <c:pt idx="257">
                  <c:v>-18.636001059325807</c:v>
                </c:pt>
                <c:pt idx="258">
                  <c:v>-18.737246762160868</c:v>
                </c:pt>
                <c:pt idx="259">
                  <c:v>-18.84036745459958</c:v>
                </c:pt>
                <c:pt idx="260">
                  <c:v>-18.945430341606976</c:v>
                </c:pt>
                <c:pt idx="261">
                  <c:v>-19.052502546174811</c:v>
                </c:pt>
                <c:pt idx="262">
                  <c:v>-19.161651100756341</c:v>
                </c:pt>
                <c:pt idx="263">
                  <c:v>-19.272942930374818</c:v>
                </c:pt>
                <c:pt idx="264">
                  <c:v>-19.386444826966692</c:v>
                </c:pt>
                <c:pt idx="265">
                  <c:v>-19.502223414637442</c:v>
                </c:pt>
                <c:pt idx="266">
                  <c:v>-19.620345105632939</c:v>
                </c:pt>
                <c:pt idx="267">
                  <c:v>-19.740876046954497</c:v>
                </c:pt>
                <c:pt idx="268">
                  <c:v>-19.863882057673848</c:v>
                </c:pt>
                <c:pt idx="269">
                  <c:v>-19.989428557129983</c:v>
                </c:pt>
                <c:pt idx="270">
                  <c:v>-20.117580484310629</c:v>
                </c:pt>
                <c:pt idx="271">
                  <c:v>-20.248402208837536</c:v>
                </c:pt>
                <c:pt idx="272">
                  <c:v>-20.381957434082466</c:v>
                </c:pt>
                <c:pt idx="273">
                  <c:v>-20.518309093038056</c:v>
                </c:pt>
                <c:pt idx="274">
                  <c:v>-20.657519237655656</c:v>
                </c:pt>
                <c:pt idx="275">
                  <c:v>-20.799648922436045</c:v>
                </c:pt>
                <c:pt idx="276">
                  <c:v>-20.944758083120519</c:v>
                </c:pt>
                <c:pt idx="277">
                  <c:v>-21.092905411378641</c:v>
                </c:pt>
                <c:pt idx="278">
                  <c:v>-21.244148226421679</c:v>
                </c:pt>
                <c:pt idx="279">
                  <c:v>-21.398542344492554</c:v>
                </c:pt>
                <c:pt idx="280">
                  <c:v>-21.5561419471905</c:v>
                </c:pt>
                <c:pt idx="281">
                  <c:v>-21.716999449582794</c:v>
                </c:pt>
                <c:pt idx="282">
                  <c:v>-21.881165369041597</c:v>
                </c:pt>
                <c:pt idx="283">
                  <c:v>-22.048688195715734</c:v>
                </c:pt>
                <c:pt idx="284">
                  <c:v>-22.219614265514128</c:v>
                </c:pt>
                <c:pt idx="285">
                  <c:v>-22.393987636433458</c:v>
                </c:pt>
                <c:pt idx="286">
                  <c:v>-22.571849969015609</c:v>
                </c:pt>
                <c:pt idx="287">
                  <c:v>-22.753240411667431</c:v>
                </c:pt>
                <c:pt idx="288">
                  <c:v>-22.938195491519494</c:v>
                </c:pt>
                <c:pt idx="289">
                  <c:v>-23.126749011443792</c:v>
                </c:pt>
                <c:pt idx="290">
                  <c:v>-23.318931953791928</c:v>
                </c:pt>
                <c:pt idx="291">
                  <c:v>-23.514772391359042</c:v>
                </c:pt>
                <c:pt idx="292">
                  <c:v>-23.714295406021499</c:v>
                </c:pt>
                <c:pt idx="293">
                  <c:v>-23.917523015444672</c:v>
                </c:pt>
                <c:pt idx="294">
                  <c:v>-24.124474108202833</c:v>
                </c:pt>
                <c:pt idx="295">
                  <c:v>-24.335164387606977</c:v>
                </c:pt>
                <c:pt idx="296">
                  <c:v>-24.549606324488117</c:v>
                </c:pt>
                <c:pt idx="297">
                  <c:v>-24.767809119140978</c:v>
                </c:pt>
                <c:pt idx="298">
                  <c:v>-24.989778672589985</c:v>
                </c:pt>
                <c:pt idx="299">
                  <c:v>-25.215517567301017</c:v>
                </c:pt>
                <c:pt idx="300">
                  <c:v>-25.445025057421791</c:v>
                </c:pt>
                <c:pt idx="301">
                  <c:v>-25.678297068597384</c:v>
                </c:pt>
                <c:pt idx="302">
                  <c:v>-25.915326207367769</c:v>
                </c:pt>
                <c:pt idx="303">
                  <c:v>-26.156101780117702</c:v>
                </c:pt>
                <c:pt idx="304">
                  <c:v>-26.400609821509157</c:v>
                </c:pt>
                <c:pt idx="305">
                  <c:v>-26.648833132287194</c:v>
                </c:pt>
                <c:pt idx="306">
                  <c:v>-26.900751326308708</c:v>
                </c:pt>
                <c:pt idx="307">
                  <c:v>-27.156340886601146</c:v>
                </c:pt>
                <c:pt idx="308">
                  <c:v>-27.415575230214557</c:v>
                </c:pt>
                <c:pt idx="309">
                  <c:v>-27.678424781585409</c:v>
                </c:pt>
                <c:pt idx="310">
                  <c:v>-27.944857054085524</c:v>
                </c:pt>
                <c:pt idx="311">
                  <c:v>-28.214836739383195</c:v>
                </c:pt>
                <c:pt idx="312">
                  <c:v>-28.488325804198844</c:v>
                </c:pt>
                <c:pt idx="313">
                  <c:v>-28.765283593993527</c:v>
                </c:pt>
                <c:pt idx="314">
                  <c:v>-29.045666943084587</c:v>
                </c:pt>
                <c:pt idx="315">
                  <c:v>-29.3294302906449</c:v>
                </c:pt>
                <c:pt idx="316">
                  <c:v>-29.61652580200326</c:v>
                </c:pt>
                <c:pt idx="317">
                  <c:v>-29.906903494632303</c:v>
                </c:pt>
                <c:pt idx="318">
                  <c:v>-30.20051136818109</c:v>
                </c:pt>
                <c:pt idx="319">
                  <c:v>-30.49729553788514</c:v>
                </c:pt>
                <c:pt idx="320">
                  <c:v>-30.797200370676855</c:v>
                </c:pt>
                <c:pt idx="321">
                  <c:v>-31.100168623293065</c:v>
                </c:pt>
                <c:pt idx="322">
                  <c:v>-31.406141581688136</c:v>
                </c:pt>
                <c:pt idx="323">
                  <c:v>-31.71505920105502</c:v>
                </c:pt>
                <c:pt idx="324">
                  <c:v>-32.026860245760588</c:v>
                </c:pt>
                <c:pt idx="325">
                  <c:v>-32.341482428524735</c:v>
                </c:pt>
                <c:pt idx="326">
                  <c:v>-32.658862548187557</c:v>
                </c:pt>
                <c:pt idx="327">
                  <c:v>-32.97893662543693</c:v>
                </c:pt>
                <c:pt idx="328">
                  <c:v>-33.30164003589951</c:v>
                </c:pt>
                <c:pt idx="329">
                  <c:v>-33.626907640035391</c:v>
                </c:pt>
                <c:pt idx="330">
                  <c:v>-33.954673909314899</c:v>
                </c:pt>
                <c:pt idx="331">
                  <c:v>-34.284873048200993</c:v>
                </c:pt>
                <c:pt idx="332">
                  <c:v>-34.617439111506044</c:v>
                </c:pt>
                <c:pt idx="333">
                  <c:v>-34.952306116739969</c:v>
                </c:pt>
                <c:pt idx="334">
                  <c:v>-35.289408151115182</c:v>
                </c:pt>
                <c:pt idx="335">
                  <c:v>-35.628679472925228</c:v>
                </c:pt>
                <c:pt idx="336">
                  <c:v>-35.970054607060973</c:v>
                </c:pt>
                <c:pt idx="337">
                  <c:v>-36.313468434480129</c:v>
                </c:pt>
                <c:pt idx="338">
                  <c:v>-36.658856275490933</c:v>
                </c:pt>
                <c:pt idx="339">
                  <c:v>-37.006153966758163</c:v>
                </c:pt>
                <c:pt idx="340">
                  <c:v>-37.355297931982619</c:v>
                </c:pt>
                <c:pt idx="341">
                  <c:v>-37.706225246246987</c:v>
                </c:pt>
                <c:pt idx="342">
                  <c:v>-38.058873694058512</c:v>
                </c:pt>
                <c:pt idx="343">
                  <c:v>-38.413181821154403</c:v>
                </c:pt>
                <c:pt idx="344">
                  <c:v>-38.769088980168384</c:v>
                </c:pt>
                <c:pt idx="345">
                  <c:v>-39.126535370285495</c:v>
                </c:pt>
                <c:pt idx="346">
                  <c:v>-39.48546207103648</c:v>
                </c:pt>
                <c:pt idx="347">
                  <c:v>-39.84581107040681</c:v>
                </c:pt>
                <c:pt idx="348">
                  <c:v>-40.207525287453848</c:v>
                </c:pt>
                <c:pt idx="349">
                  <c:v>-40.570548589640545</c:v>
                </c:pt>
                <c:pt idx="350">
                  <c:v>-40.934825805107977</c:v>
                </c:pt>
                <c:pt idx="351">
                  <c:v>-41.300302730118467</c:v>
                </c:pt>
                <c:pt idx="352">
                  <c:v>-41.666926131907822</c:v>
                </c:pt>
                <c:pt idx="353">
                  <c:v>-42.034643747191275</c:v>
                </c:pt>
                <c:pt idx="354">
                  <c:v>-42.403404276569383</c:v>
                </c:pt>
                <c:pt idx="355">
                  <c:v>-42.7731573750808</c:v>
                </c:pt>
                <c:pt idx="356">
                  <c:v>-43.143853639148737</c:v>
                </c:pt>
                <c:pt idx="357">
                  <c:v>-43.5154445901629</c:v>
                </c:pt>
                <c:pt idx="358">
                  <c:v>-43.887882654938458</c:v>
                </c:pt>
                <c:pt idx="359">
                  <c:v>-44.261121143284093</c:v>
                </c:pt>
                <c:pt idx="360">
                  <c:v>-44.635114222908442</c:v>
                </c:pt>
                <c:pt idx="361">
                  <c:v>-45.009816891885919</c:v>
                </c:pt>
                <c:pt idx="362">
                  <c:v>-45.385184948894128</c:v>
                </c:pt>
                <c:pt idx="363">
                  <c:v>-45.761174961433809</c:v>
                </c:pt>
                <c:pt idx="364">
                  <c:v>-46.137744232224421</c:v>
                </c:pt>
                <c:pt idx="365">
                  <c:v>-46.514850763965676</c:v>
                </c:pt>
                <c:pt idx="366">
                  <c:v>-46.892453222652819</c:v>
                </c:pt>
                <c:pt idx="367">
                  <c:v>-47.270510899612418</c:v>
                </c:pt>
                <c:pt idx="368">
                  <c:v>-47.648983672433175</c:v>
                </c:pt>
                <c:pt idx="369">
                  <c:v>-48.027831964944347</c:v>
                </c:pt>
                <c:pt idx="370">
                  <c:v>-48.407016706399439</c:v>
                </c:pt>
                <c:pt idx="371">
                  <c:v>-48.786499290010212</c:v>
                </c:pt>
                <c:pt idx="372">
                  <c:v>-49.166241530972229</c:v>
                </c:pt>
                <c:pt idx="373">
                  <c:v>-49.546205624118478</c:v>
                </c:pt>
                <c:pt idx="374">
                  <c:v>-49.92635410133218</c:v>
                </c:pt>
                <c:pt idx="375">
                  <c:v>-50.306649788848006</c:v>
                </c:pt>
                <c:pt idx="376">
                  <c:v>-50.68705576456577</c:v>
                </c:pt>
                <c:pt idx="377">
                  <c:v>-51.067535315501182</c:v>
                </c:pt>
                <c:pt idx="378">
                  <c:v>-51.44805189549389</c:v>
                </c:pt>
                <c:pt idx="379">
                  <c:v>-51.828569083295676</c:v>
                </c:pt>
                <c:pt idx="380">
                  <c:v>-52.209050541158589</c:v>
                </c:pt>
                <c:pt idx="381">
                  <c:v>-52.58945997404615</c:v>
                </c:pt>
                <c:pt idx="382">
                  <c:v>-52.969761089591223</c:v>
                </c:pt>
                <c:pt idx="383">
                  <c:v>-53.349917558926151</c:v>
                </c:pt>
                <c:pt idx="384">
                  <c:v>-53.729892978514414</c:v>
                </c:pt>
                <c:pt idx="385">
                  <c:v>-54.109650833116447</c:v>
                </c:pt>
                <c:pt idx="386">
                  <c:v>-54.489154460025986</c:v>
                </c:pt>
                <c:pt idx="387">
                  <c:v>-54.868367014718068</c:v>
                </c:pt>
                <c:pt idx="388">
                  <c:v>-55.247251438054803</c:v>
                </c:pt>
                <c:pt idx="389">
                  <c:v>-55.625770425200649</c:v>
                </c:pt>
                <c:pt idx="390">
                  <c:v>-56.003886396404468</c:v>
                </c:pt>
                <c:pt idx="391">
                  <c:v>-56.381561469810379</c:v>
                </c:pt>
                <c:pt idx="392">
                  <c:v>-56.758757436467185</c:v>
                </c:pt>
                <c:pt idx="393">
                  <c:v>-57.135435737709599</c:v>
                </c:pt>
                <c:pt idx="394">
                  <c:v>-57.511557445091967</c:v>
                </c:pt>
                <c:pt idx="395">
                  <c:v>-57.887083243058342</c:v>
                </c:pt>
                <c:pt idx="396">
                  <c:v>-58.261973414538794</c:v>
                </c:pt>
                <c:pt idx="397">
                  <c:v>-58.636187829664927</c:v>
                </c:pt>
                <c:pt idx="398">
                  <c:v>-59.009685937799723</c:v>
                </c:pt>
                <c:pt idx="399">
                  <c:v>-59.382426763080517</c:v>
                </c:pt>
                <c:pt idx="400">
                  <c:v>-59.75436890367164</c:v>
                </c:pt>
              </c:numCache>
            </c:numRef>
          </c:yVal>
          <c:smooth val="1"/>
          <c:extLst>
            <c:ext xmlns:c16="http://schemas.microsoft.com/office/drawing/2014/chart" uri="{C3380CC4-5D6E-409C-BE32-E72D297353CC}">
              <c16:uniqueId val="{00000000-F242-439F-BCD3-AB405D699144}"/>
            </c:ext>
          </c:extLst>
        </c:ser>
        <c:dLbls>
          <c:showLegendKey val="0"/>
          <c:showVal val="0"/>
          <c:showCatName val="0"/>
          <c:showSerName val="0"/>
          <c:showPercent val="0"/>
          <c:showBubbleSize val="0"/>
        </c:dLbls>
        <c:axId val="1106689647"/>
        <c:axId val="1925061759"/>
      </c:scatterChart>
      <c:scatterChart>
        <c:scatterStyle val="lineMarker"/>
        <c:varyColors val="0"/>
        <c:ser>
          <c:idx val="3"/>
          <c:order val="3"/>
          <c:tx>
            <c:v>PM1</c:v>
          </c:tx>
          <c:spPr>
            <a:ln w="9525" cap="rnd">
              <a:solidFill>
                <a:schemeClr val="bg1">
                  <a:lumMod val="65000"/>
                </a:schemeClr>
              </a:solidFill>
              <a:prstDash val="sysDash"/>
              <a:round/>
            </a:ln>
            <a:effectLst/>
          </c:spPr>
          <c:marker>
            <c:symbol val="none"/>
          </c:marker>
          <c:dPt>
            <c:idx val="1"/>
            <c:marker>
              <c:symbol val="none"/>
            </c:marker>
            <c:bubble3D val="0"/>
            <c:spPr>
              <a:ln w="9525" cap="rnd">
                <a:solidFill>
                  <a:schemeClr val="tx1">
                    <a:lumMod val="50000"/>
                    <a:lumOff val="50000"/>
                  </a:schemeClr>
                </a:solidFill>
                <a:prstDash val="dash"/>
                <a:round/>
              </a:ln>
              <a:effectLst/>
            </c:spPr>
            <c:extLst>
              <c:ext xmlns:c16="http://schemas.microsoft.com/office/drawing/2014/chart" uri="{C3380CC4-5D6E-409C-BE32-E72D297353CC}">
                <c16:uniqueId val="{0000000B-F242-439F-BCD3-AB405D699144}"/>
              </c:ext>
            </c:extLst>
          </c:dPt>
          <c:xVal>
            <c:numRef>
              <c:f>Loop_Response!$C$42:$C$43</c:f>
              <c:numCache>
                <c:formatCode>General</c:formatCode>
                <c:ptCount val="2"/>
                <c:pt idx="0">
                  <c:v>100</c:v>
                </c:pt>
                <c:pt idx="1">
                  <c:v>1496.3348183022088</c:v>
                </c:pt>
              </c:numCache>
            </c:numRef>
          </c:xVal>
          <c:yVal>
            <c:numRef>
              <c:f>Loop_Response!$D$42:$D$43</c:f>
              <c:numCache>
                <c:formatCode>General</c:formatCode>
                <c:ptCount val="2"/>
                <c:pt idx="0">
                  <c:v>0</c:v>
                </c:pt>
                <c:pt idx="1">
                  <c:v>0</c:v>
                </c:pt>
              </c:numCache>
            </c:numRef>
          </c:yVal>
          <c:smooth val="0"/>
          <c:extLst>
            <c:ext xmlns:c16="http://schemas.microsoft.com/office/drawing/2014/chart" uri="{C3380CC4-5D6E-409C-BE32-E72D297353CC}">
              <c16:uniqueId val="{00000005-F242-439F-BCD3-AB405D699144}"/>
            </c:ext>
          </c:extLst>
        </c:ser>
        <c:ser>
          <c:idx val="7"/>
          <c:order val="6"/>
          <c:tx>
            <c:v>GM3</c:v>
          </c:tx>
          <c:spPr>
            <a:ln w="28575" cap="rnd">
              <a:solidFill>
                <a:schemeClr val="accent2">
                  <a:lumMod val="60000"/>
                </a:schemeClr>
              </a:solidFill>
              <a:round/>
            </a:ln>
            <a:effectLst/>
          </c:spPr>
          <c:marker>
            <c:symbol val="none"/>
          </c:marker>
          <c:dPt>
            <c:idx val="1"/>
            <c:marker>
              <c:symbol val="none"/>
            </c:marker>
            <c:bubble3D val="0"/>
            <c:spPr>
              <a:ln w="9525" cap="rnd">
                <a:solidFill>
                  <a:schemeClr val="tx1">
                    <a:lumMod val="50000"/>
                    <a:lumOff val="50000"/>
                  </a:schemeClr>
                </a:solidFill>
                <a:prstDash val="dash"/>
                <a:round/>
              </a:ln>
              <a:effectLst/>
            </c:spPr>
            <c:extLst>
              <c:ext xmlns:c16="http://schemas.microsoft.com/office/drawing/2014/chart" uri="{C3380CC4-5D6E-409C-BE32-E72D297353CC}">
                <c16:uniqueId val="{0000000E-F242-439F-BCD3-AB405D699144}"/>
              </c:ext>
            </c:extLst>
          </c:dPt>
          <c:xVal>
            <c:numRef>
              <c:f>Loop_Response!$E$46:$E$47</c:f>
              <c:numCache>
                <c:formatCode>General</c:formatCode>
                <c:ptCount val="2"/>
                <c:pt idx="0">
                  <c:v>17989.901343244539</c:v>
                </c:pt>
                <c:pt idx="1">
                  <c:v>100</c:v>
                </c:pt>
              </c:numCache>
            </c:numRef>
          </c:xVal>
          <c:yVal>
            <c:numRef>
              <c:f>Loop_Response!$F$46:$F$47</c:f>
              <c:numCache>
                <c:formatCode>General</c:formatCode>
                <c:ptCount val="2"/>
                <c:pt idx="0">
                  <c:v>-16.051470143018729</c:v>
                </c:pt>
                <c:pt idx="1">
                  <c:v>-16.051470143018729</c:v>
                </c:pt>
              </c:numCache>
            </c:numRef>
          </c:yVal>
          <c:smooth val="0"/>
          <c:extLst>
            <c:ext xmlns:c16="http://schemas.microsoft.com/office/drawing/2014/chart" uri="{C3380CC4-5D6E-409C-BE32-E72D297353CC}">
              <c16:uniqueId val="{0000000A-F242-439F-BCD3-AB405D699144}"/>
            </c:ext>
          </c:extLst>
        </c:ser>
        <c:ser>
          <c:idx val="6"/>
          <c:order val="7"/>
          <c:tx>
            <c:v>Gain Margin</c:v>
          </c:tx>
          <c:spPr>
            <a:ln w="19050" cap="rnd">
              <a:solidFill>
                <a:srgbClr val="0070C0"/>
              </a:solidFill>
              <a:prstDash val="sysDash"/>
              <a:round/>
            </a:ln>
            <a:effectLst/>
          </c:spPr>
          <c:marker>
            <c:symbol val="none"/>
          </c:marker>
          <c:xVal>
            <c:numRef>
              <c:f>Loop_Response!$E$44:$E$45</c:f>
              <c:numCache>
                <c:formatCode>General</c:formatCode>
                <c:ptCount val="2"/>
                <c:pt idx="0">
                  <c:v>17989.901343244539</c:v>
                </c:pt>
                <c:pt idx="1">
                  <c:v>17989.901343244539</c:v>
                </c:pt>
              </c:numCache>
            </c:numRef>
          </c:xVal>
          <c:yVal>
            <c:numRef>
              <c:f>Loop_Response!$F$44:$F$45</c:f>
              <c:numCache>
                <c:formatCode>General</c:formatCode>
                <c:ptCount val="2"/>
                <c:pt idx="0">
                  <c:v>0</c:v>
                </c:pt>
                <c:pt idx="1">
                  <c:v>-16.051470143018729</c:v>
                </c:pt>
              </c:numCache>
            </c:numRef>
          </c:yVal>
          <c:smooth val="0"/>
          <c:extLst>
            <c:ext xmlns:c16="http://schemas.microsoft.com/office/drawing/2014/chart" uri="{C3380CC4-5D6E-409C-BE32-E72D297353CC}">
              <c16:uniqueId val="{00000011-F242-439F-BCD3-AB405D699144}"/>
            </c:ext>
          </c:extLst>
        </c:ser>
        <c:dLbls>
          <c:showLegendKey val="0"/>
          <c:showVal val="0"/>
          <c:showCatName val="0"/>
          <c:showSerName val="0"/>
          <c:showPercent val="0"/>
          <c:showBubbleSize val="0"/>
        </c:dLbls>
        <c:axId val="1106689647"/>
        <c:axId val="1925061759"/>
      </c:scatterChart>
      <c:scatterChart>
        <c:scatterStyle val="smoothMarker"/>
        <c:varyColors val="0"/>
        <c:ser>
          <c:idx val="1"/>
          <c:order val="1"/>
          <c:tx>
            <c:v>Phase - (-180)</c:v>
          </c:tx>
          <c:spPr>
            <a:ln w="28575" cap="rnd">
              <a:solidFill>
                <a:schemeClr val="accent2"/>
              </a:solidFill>
              <a:round/>
            </a:ln>
            <a:effectLst/>
          </c:spPr>
          <c:marker>
            <c:symbol val="none"/>
          </c:marker>
          <c:xVal>
            <c:numRef>
              <c:f>Loop_Response!$I$3:$I$403</c:f>
              <c:numCache>
                <c:formatCode>###,###,###,###</c:formatCode>
                <c:ptCount val="401"/>
                <c:pt idx="0">
                  <c:v>100</c:v>
                </c:pt>
                <c:pt idx="1">
                  <c:v>102.32929922807543</c:v>
                </c:pt>
                <c:pt idx="2">
                  <c:v>104.71285480508999</c:v>
                </c:pt>
                <c:pt idx="3">
                  <c:v>107.15193052376068</c:v>
                </c:pt>
                <c:pt idx="4">
                  <c:v>109.64781961431854</c:v>
                </c:pt>
                <c:pt idx="5">
                  <c:v>112.20184543019636</c:v>
                </c:pt>
                <c:pt idx="6">
                  <c:v>114.81536214968834</c:v>
                </c:pt>
                <c:pt idx="7">
                  <c:v>117.489755493953</c:v>
                </c:pt>
                <c:pt idx="8">
                  <c:v>120.22644346174133</c:v>
                </c:pt>
                <c:pt idx="9">
                  <c:v>123.02687708123818</c:v>
                </c:pt>
                <c:pt idx="10">
                  <c:v>125.8925411794168</c:v>
                </c:pt>
                <c:pt idx="11">
                  <c:v>128.82495516931345</c:v>
                </c:pt>
                <c:pt idx="12">
                  <c:v>131.82567385564076</c:v>
                </c:pt>
                <c:pt idx="13">
                  <c:v>134.89628825916535</c:v>
                </c:pt>
                <c:pt idx="14">
                  <c:v>138.03842646028852</c:v>
                </c:pt>
                <c:pt idx="15">
                  <c:v>141.25375446227542</c:v>
                </c:pt>
                <c:pt idx="16">
                  <c:v>144.54397707459276</c:v>
                </c:pt>
                <c:pt idx="17">
                  <c:v>147.91083881682073</c:v>
                </c:pt>
                <c:pt idx="18">
                  <c:v>151.35612484362088</c:v>
                </c:pt>
                <c:pt idx="19">
                  <c:v>154.88166189124817</c:v>
                </c:pt>
                <c:pt idx="20">
                  <c:v>158.48931924611136</c:v>
                </c:pt>
                <c:pt idx="21">
                  <c:v>162.18100973589299</c:v>
                </c:pt>
                <c:pt idx="22">
                  <c:v>165.95869074375614</c:v>
                </c:pt>
                <c:pt idx="23">
                  <c:v>169.82436524617447</c:v>
                </c:pt>
                <c:pt idx="24">
                  <c:v>173.78008287493756</c:v>
                </c:pt>
                <c:pt idx="25">
                  <c:v>177.82794100389236</c:v>
                </c:pt>
                <c:pt idx="26">
                  <c:v>181.97008586099841</c:v>
                </c:pt>
                <c:pt idx="27">
                  <c:v>186.2087136662868</c:v>
                </c:pt>
                <c:pt idx="28">
                  <c:v>190.54607179632478</c:v>
                </c:pt>
                <c:pt idx="29">
                  <c:v>194.98445997580464</c:v>
                </c:pt>
                <c:pt idx="30">
                  <c:v>199.52623149688804</c:v>
                </c:pt>
                <c:pt idx="31">
                  <c:v>204.17379446695298</c:v>
                </c:pt>
                <c:pt idx="32">
                  <c:v>208.92961308540401</c:v>
                </c:pt>
                <c:pt idx="33">
                  <c:v>213.79620895022333</c:v>
                </c:pt>
                <c:pt idx="34">
                  <c:v>218.77616239495538</c:v>
                </c:pt>
                <c:pt idx="35">
                  <c:v>223.87211385683403</c:v>
                </c:pt>
                <c:pt idx="36">
                  <c:v>229.08676527677738</c:v>
                </c:pt>
                <c:pt idx="37">
                  <c:v>234.42288153199235</c:v>
                </c:pt>
                <c:pt idx="38">
                  <c:v>239.88329190194906</c:v>
                </c:pt>
                <c:pt idx="39">
                  <c:v>245.47089156850305</c:v>
                </c:pt>
                <c:pt idx="40">
                  <c:v>251.188643150958</c:v>
                </c:pt>
                <c:pt idx="41">
                  <c:v>257.03957827688646</c:v>
                </c:pt>
                <c:pt idx="42">
                  <c:v>263.02679918953822</c:v>
                </c:pt>
                <c:pt idx="43">
                  <c:v>269.15348039269156</c:v>
                </c:pt>
                <c:pt idx="44">
                  <c:v>275.42287033381666</c:v>
                </c:pt>
                <c:pt idx="45">
                  <c:v>281.83829312644548</c:v>
                </c:pt>
                <c:pt idx="46">
                  <c:v>288.40315031266067</c:v>
                </c:pt>
                <c:pt idx="47">
                  <c:v>295.12092266663865</c:v>
                </c:pt>
                <c:pt idx="48">
                  <c:v>301.99517204020162</c:v>
                </c:pt>
                <c:pt idx="49">
                  <c:v>309.0295432513592</c:v>
                </c:pt>
                <c:pt idx="50">
                  <c:v>316.22776601683802</c:v>
                </c:pt>
                <c:pt idx="51">
                  <c:v>323.59365692962831</c:v>
                </c:pt>
                <c:pt idx="52">
                  <c:v>331.13112148259125</c:v>
                </c:pt>
                <c:pt idx="53">
                  <c:v>338.84415613920271</c:v>
                </c:pt>
                <c:pt idx="54">
                  <c:v>346.73685045253183</c:v>
                </c:pt>
                <c:pt idx="55">
                  <c:v>354.81338923357555</c:v>
                </c:pt>
                <c:pt idx="56">
                  <c:v>363.07805477010157</c:v>
                </c:pt>
                <c:pt idx="57">
                  <c:v>371.53522909717276</c:v>
                </c:pt>
                <c:pt idx="58">
                  <c:v>380.1893963205614</c:v>
                </c:pt>
                <c:pt idx="59">
                  <c:v>389.04514499428075</c:v>
                </c:pt>
                <c:pt idx="60">
                  <c:v>398.10717055349755</c:v>
                </c:pt>
                <c:pt idx="61">
                  <c:v>407.38027780411301</c:v>
                </c:pt>
                <c:pt idx="62">
                  <c:v>416.86938347033561</c:v>
                </c:pt>
                <c:pt idx="63">
                  <c:v>426.57951880159266</c:v>
                </c:pt>
                <c:pt idx="64">
                  <c:v>436.51583224016611</c:v>
                </c:pt>
                <c:pt idx="65">
                  <c:v>446.68359215096325</c:v>
                </c:pt>
                <c:pt idx="66">
                  <c:v>457.08818961487509</c:v>
                </c:pt>
                <c:pt idx="67">
                  <c:v>467.73514128719819</c:v>
                </c:pt>
                <c:pt idx="68">
                  <c:v>478.63009232263857</c:v>
                </c:pt>
                <c:pt idx="69">
                  <c:v>489.77881936844631</c:v>
                </c:pt>
                <c:pt idx="70">
                  <c:v>501.18723362727235</c:v>
                </c:pt>
                <c:pt idx="71">
                  <c:v>512.86138399136485</c:v>
                </c:pt>
                <c:pt idx="72">
                  <c:v>524.80746024977282</c:v>
                </c:pt>
                <c:pt idx="73">
                  <c:v>537.03179637025289</c:v>
                </c:pt>
                <c:pt idx="74">
                  <c:v>549.54087385762466</c:v>
                </c:pt>
                <c:pt idx="75">
                  <c:v>562.34132519034915</c:v>
                </c:pt>
                <c:pt idx="76">
                  <c:v>575.43993733715695</c:v>
                </c:pt>
                <c:pt idx="77">
                  <c:v>588.84365535558948</c:v>
                </c:pt>
                <c:pt idx="78">
                  <c:v>602.55958607435821</c:v>
                </c:pt>
                <c:pt idx="79">
                  <c:v>616.59500186148261</c:v>
                </c:pt>
                <c:pt idx="80">
                  <c:v>630.95734448019368</c:v>
                </c:pt>
                <c:pt idx="81">
                  <c:v>645.65422903465583</c:v>
                </c:pt>
                <c:pt idx="82">
                  <c:v>660.6934480075962</c:v>
                </c:pt>
                <c:pt idx="83">
                  <c:v>676.0829753919819</c:v>
                </c:pt>
                <c:pt idx="84">
                  <c:v>691.8309709189366</c:v>
                </c:pt>
                <c:pt idx="85">
                  <c:v>707.94578438413862</c:v>
                </c:pt>
                <c:pt idx="86">
                  <c:v>724.4359600749907</c:v>
                </c:pt>
                <c:pt idx="87">
                  <c:v>741.31024130091816</c:v>
                </c:pt>
                <c:pt idx="88">
                  <c:v>758.57757502918366</c:v>
                </c:pt>
                <c:pt idx="89">
                  <c:v>776.2471166286922</c:v>
                </c:pt>
                <c:pt idx="90">
                  <c:v>794.32823472428197</c:v>
                </c:pt>
                <c:pt idx="91">
                  <c:v>812.83051616409966</c:v>
                </c:pt>
                <c:pt idx="92">
                  <c:v>831.76377110267129</c:v>
                </c:pt>
                <c:pt idx="93">
                  <c:v>851.13803820237661</c:v>
                </c:pt>
                <c:pt idx="94">
                  <c:v>870.96358995608068</c:v>
                </c:pt>
                <c:pt idx="95">
                  <c:v>891.25093813374565</c:v>
                </c:pt>
                <c:pt idx="96">
                  <c:v>912.01083935590975</c:v>
                </c:pt>
                <c:pt idx="97">
                  <c:v>933.25430079699174</c:v>
                </c:pt>
                <c:pt idx="98">
                  <c:v>954.99258602143652</c:v>
                </c:pt>
                <c:pt idx="99">
                  <c:v>977.23722095581127</c:v>
                </c:pt>
                <c:pt idx="100">
                  <c:v>1000</c:v>
                </c:pt>
                <c:pt idx="101">
                  <c:v>1023.2929922807544</c:v>
                </c:pt>
                <c:pt idx="102">
                  <c:v>1047.1285480508998</c:v>
                </c:pt>
                <c:pt idx="103">
                  <c:v>1071.5193052376067</c:v>
                </c:pt>
                <c:pt idx="104">
                  <c:v>1096.4781961431861</c:v>
                </c:pt>
                <c:pt idx="105">
                  <c:v>1122.0184543019634</c:v>
                </c:pt>
                <c:pt idx="106">
                  <c:v>1148.1536214968835</c:v>
                </c:pt>
                <c:pt idx="107">
                  <c:v>1174.8975549395293</c:v>
                </c:pt>
                <c:pt idx="108">
                  <c:v>1202.2644346174136</c:v>
                </c:pt>
                <c:pt idx="109">
                  <c:v>1230.2687708123822</c:v>
                </c:pt>
                <c:pt idx="110">
                  <c:v>1258.9254117941678</c:v>
                </c:pt>
                <c:pt idx="111">
                  <c:v>1288.2495516931342</c:v>
                </c:pt>
                <c:pt idx="112">
                  <c:v>1318.2567385564084</c:v>
                </c:pt>
                <c:pt idx="113">
                  <c:v>1348.9628825916539</c:v>
                </c:pt>
                <c:pt idx="114">
                  <c:v>1380.3842646028861</c:v>
                </c:pt>
                <c:pt idx="115">
                  <c:v>1412.5375446227542</c:v>
                </c:pt>
                <c:pt idx="116">
                  <c:v>1445.4397707459284</c:v>
                </c:pt>
                <c:pt idx="117">
                  <c:v>1479.1083881682084</c:v>
                </c:pt>
                <c:pt idx="118">
                  <c:v>1513.5612484362091</c:v>
                </c:pt>
                <c:pt idx="119">
                  <c:v>1548.816618912482</c:v>
                </c:pt>
                <c:pt idx="120">
                  <c:v>1584.8931924611154</c:v>
                </c:pt>
                <c:pt idx="121">
                  <c:v>1621.8100973589303</c:v>
                </c:pt>
                <c:pt idx="122">
                  <c:v>1659.5869074375623</c:v>
                </c:pt>
                <c:pt idx="123">
                  <c:v>1698.2436524617444</c:v>
                </c:pt>
                <c:pt idx="124">
                  <c:v>1737.8008287493767</c:v>
                </c:pt>
                <c:pt idx="125">
                  <c:v>1778.2794100389242</c:v>
                </c:pt>
                <c:pt idx="126">
                  <c:v>1819.700858609983</c:v>
                </c:pt>
                <c:pt idx="127">
                  <c:v>1862.0871366628685</c:v>
                </c:pt>
                <c:pt idx="128">
                  <c:v>1905.460717963248</c:v>
                </c:pt>
                <c:pt idx="129">
                  <c:v>1949.8445997580459</c:v>
                </c:pt>
                <c:pt idx="130">
                  <c:v>1995.2623149688802</c:v>
                </c:pt>
                <c:pt idx="131">
                  <c:v>2041.7379446695315</c:v>
                </c:pt>
                <c:pt idx="132">
                  <c:v>2089.2961308540398</c:v>
                </c:pt>
                <c:pt idx="133">
                  <c:v>2137.962089502234</c:v>
                </c:pt>
                <c:pt idx="134">
                  <c:v>2187.7616239495524</c:v>
                </c:pt>
                <c:pt idx="135">
                  <c:v>2238.7211385683413</c:v>
                </c:pt>
                <c:pt idx="136">
                  <c:v>2290.8676527677744</c:v>
                </c:pt>
                <c:pt idx="137">
                  <c:v>2344.2288153199233</c:v>
                </c:pt>
                <c:pt idx="138">
                  <c:v>2398.8329190194913</c:v>
                </c:pt>
                <c:pt idx="139">
                  <c:v>2454.7089156850329</c:v>
                </c:pt>
                <c:pt idx="140">
                  <c:v>2511.8864315095807</c:v>
                </c:pt>
                <c:pt idx="141">
                  <c:v>2570.3957827688664</c:v>
                </c:pt>
                <c:pt idx="142">
                  <c:v>2630.2679918953818</c:v>
                </c:pt>
                <c:pt idx="143">
                  <c:v>2691.5348039269179</c:v>
                </c:pt>
                <c:pt idx="144">
                  <c:v>2754.2287033381681</c:v>
                </c:pt>
                <c:pt idx="145">
                  <c:v>2818.3829312644552</c:v>
                </c:pt>
                <c:pt idx="146">
                  <c:v>2884.0315031266073</c:v>
                </c:pt>
                <c:pt idx="147">
                  <c:v>2951.2092266663894</c:v>
                </c:pt>
                <c:pt idx="148">
                  <c:v>3019.9517204020167</c:v>
                </c:pt>
                <c:pt idx="149">
                  <c:v>3090.2954325135938</c:v>
                </c:pt>
                <c:pt idx="150">
                  <c:v>3162.2776601683827</c:v>
                </c:pt>
                <c:pt idx="151">
                  <c:v>3235.9365692962824</c:v>
                </c:pt>
                <c:pt idx="152">
                  <c:v>3311.3112148259138</c:v>
                </c:pt>
                <c:pt idx="153">
                  <c:v>3388.4415613920246</c:v>
                </c:pt>
                <c:pt idx="154">
                  <c:v>3467.3685045253183</c:v>
                </c:pt>
                <c:pt idx="155">
                  <c:v>3548.1338923357566</c:v>
                </c:pt>
                <c:pt idx="156">
                  <c:v>3630.7805477010152</c:v>
                </c:pt>
                <c:pt idx="157">
                  <c:v>3715.3522909717267</c:v>
                </c:pt>
                <c:pt idx="158">
                  <c:v>3801.8939632056163</c:v>
                </c:pt>
                <c:pt idx="159">
                  <c:v>3890.4514499428064</c:v>
                </c:pt>
                <c:pt idx="160">
                  <c:v>3981.071705534976</c:v>
                </c:pt>
                <c:pt idx="161">
                  <c:v>4073.8027780411271</c:v>
                </c:pt>
                <c:pt idx="162">
                  <c:v>4168.6938347033574</c:v>
                </c:pt>
                <c:pt idx="163">
                  <c:v>4265.7951880159289</c:v>
                </c:pt>
                <c:pt idx="164">
                  <c:v>4365.1583224016622</c:v>
                </c:pt>
                <c:pt idx="165">
                  <c:v>4466.8359215096334</c:v>
                </c:pt>
                <c:pt idx="166">
                  <c:v>4570.8818961487559</c:v>
                </c:pt>
                <c:pt idx="167">
                  <c:v>4677.3514128719835</c:v>
                </c:pt>
                <c:pt idx="168">
                  <c:v>4786.3009232263885</c:v>
                </c:pt>
                <c:pt idx="169">
                  <c:v>4897.7881936844624</c:v>
                </c:pt>
                <c:pt idx="170">
                  <c:v>5011.8723362727269</c:v>
                </c:pt>
                <c:pt idx="171">
                  <c:v>5128.6138399136516</c:v>
                </c:pt>
                <c:pt idx="172">
                  <c:v>5248.0746024977288</c:v>
                </c:pt>
                <c:pt idx="173">
                  <c:v>5370.3179637025296</c:v>
                </c:pt>
                <c:pt idx="174">
                  <c:v>5495.4087385762532</c:v>
                </c:pt>
                <c:pt idx="175">
                  <c:v>5623.4132519034929</c:v>
                </c:pt>
                <c:pt idx="176">
                  <c:v>5754.3993733715706</c:v>
                </c:pt>
                <c:pt idx="177">
                  <c:v>5888.4365535558954</c:v>
                </c:pt>
                <c:pt idx="178">
                  <c:v>6025.5958607435778</c:v>
                </c:pt>
                <c:pt idx="179">
                  <c:v>6165.9500186148271</c:v>
                </c:pt>
                <c:pt idx="180">
                  <c:v>6309.5734448019321</c:v>
                </c:pt>
                <c:pt idx="181">
                  <c:v>6456.5422903465596</c:v>
                </c:pt>
                <c:pt idx="182">
                  <c:v>6606.9344800759645</c:v>
                </c:pt>
                <c:pt idx="183">
                  <c:v>6760.8297539198211</c:v>
                </c:pt>
                <c:pt idx="184">
                  <c:v>6918.3097091893669</c:v>
                </c:pt>
                <c:pt idx="185">
                  <c:v>7079.4578438413873</c:v>
                </c:pt>
                <c:pt idx="186">
                  <c:v>7244.3596007499027</c:v>
                </c:pt>
                <c:pt idx="187">
                  <c:v>7413.1024130091828</c:v>
                </c:pt>
                <c:pt idx="188">
                  <c:v>7585.7757502918375</c:v>
                </c:pt>
                <c:pt idx="189">
                  <c:v>7762.4711662869231</c:v>
                </c:pt>
                <c:pt idx="190">
                  <c:v>7943.2823472428208</c:v>
                </c:pt>
                <c:pt idx="191">
                  <c:v>8128.3051616409975</c:v>
                </c:pt>
                <c:pt idx="192">
                  <c:v>8317.6377110267131</c:v>
                </c:pt>
                <c:pt idx="193">
                  <c:v>8511.3803820237772</c:v>
                </c:pt>
                <c:pt idx="194">
                  <c:v>8709.6358995608098</c:v>
                </c:pt>
                <c:pt idx="195">
                  <c:v>8912.509381337466</c:v>
                </c:pt>
                <c:pt idx="196">
                  <c:v>9120.1083935590977</c:v>
                </c:pt>
                <c:pt idx="197">
                  <c:v>9332.5430079699199</c:v>
                </c:pt>
                <c:pt idx="198">
                  <c:v>9549.9258602143673</c:v>
                </c:pt>
                <c:pt idx="199">
                  <c:v>9772.3722095581143</c:v>
                </c:pt>
                <c:pt idx="200">
                  <c:v>10000</c:v>
                </c:pt>
                <c:pt idx="201">
                  <c:v>10232.929922807547</c:v>
                </c:pt>
                <c:pt idx="202">
                  <c:v>10471.285480508999</c:v>
                </c:pt>
                <c:pt idx="203">
                  <c:v>10715.193052376069</c:v>
                </c:pt>
                <c:pt idx="204">
                  <c:v>10964.781961431863</c:v>
                </c:pt>
                <c:pt idx="205">
                  <c:v>11220.184543019637</c:v>
                </c:pt>
                <c:pt idx="206">
                  <c:v>11481.536214968839</c:v>
                </c:pt>
                <c:pt idx="207">
                  <c:v>11748.975549395294</c:v>
                </c:pt>
                <c:pt idx="208">
                  <c:v>12022.644346174138</c:v>
                </c:pt>
                <c:pt idx="209">
                  <c:v>12302.687708123824</c:v>
                </c:pt>
                <c:pt idx="210">
                  <c:v>12589.25411794168</c:v>
                </c:pt>
                <c:pt idx="211">
                  <c:v>12882.495516931347</c:v>
                </c:pt>
                <c:pt idx="212">
                  <c:v>13182.567385564089</c:v>
                </c:pt>
                <c:pt idx="213">
                  <c:v>13489.628825916541</c:v>
                </c:pt>
                <c:pt idx="214">
                  <c:v>13803.842646028863</c:v>
                </c:pt>
                <c:pt idx="215">
                  <c:v>14125.375446227545</c:v>
                </c:pt>
                <c:pt idx="216">
                  <c:v>14454.397707459288</c:v>
                </c:pt>
                <c:pt idx="217">
                  <c:v>14791.083881682087</c:v>
                </c:pt>
                <c:pt idx="218">
                  <c:v>15135.612484362093</c:v>
                </c:pt>
                <c:pt idx="219">
                  <c:v>15488.166189124822</c:v>
                </c:pt>
                <c:pt idx="220">
                  <c:v>15848.931924611155</c:v>
                </c:pt>
                <c:pt idx="221">
                  <c:v>16218.100973589308</c:v>
                </c:pt>
                <c:pt idx="222">
                  <c:v>16595.869074375627</c:v>
                </c:pt>
                <c:pt idx="223">
                  <c:v>16982.436524617446</c:v>
                </c:pt>
                <c:pt idx="224">
                  <c:v>17378.008287493773</c:v>
                </c:pt>
                <c:pt idx="225">
                  <c:v>17782.794100389245</c:v>
                </c:pt>
                <c:pt idx="226">
                  <c:v>18197.008586099833</c:v>
                </c:pt>
                <c:pt idx="227">
                  <c:v>18620.871366628686</c:v>
                </c:pt>
                <c:pt idx="228">
                  <c:v>19054.607179632483</c:v>
                </c:pt>
                <c:pt idx="229">
                  <c:v>19498.445997580464</c:v>
                </c:pt>
                <c:pt idx="230">
                  <c:v>19952.623149688803</c:v>
                </c:pt>
                <c:pt idx="231">
                  <c:v>20417.379446695319</c:v>
                </c:pt>
                <c:pt idx="232">
                  <c:v>20892.961308540398</c:v>
                </c:pt>
                <c:pt idx="233">
                  <c:v>21379.620895022344</c:v>
                </c:pt>
                <c:pt idx="234">
                  <c:v>21877.616239495528</c:v>
                </c:pt>
                <c:pt idx="235">
                  <c:v>22387.211385683418</c:v>
                </c:pt>
                <c:pt idx="236">
                  <c:v>22908.676527677748</c:v>
                </c:pt>
                <c:pt idx="237">
                  <c:v>23442.288153199239</c:v>
                </c:pt>
                <c:pt idx="238">
                  <c:v>23988.32919019492</c:v>
                </c:pt>
                <c:pt idx="239">
                  <c:v>24547.089156850339</c:v>
                </c:pt>
                <c:pt idx="240">
                  <c:v>25118.864315095812</c:v>
                </c:pt>
                <c:pt idx="241">
                  <c:v>25703.957827688668</c:v>
                </c:pt>
                <c:pt idx="242">
                  <c:v>26302.679918953821</c:v>
                </c:pt>
                <c:pt idx="243">
                  <c:v>26915.348039269185</c:v>
                </c:pt>
                <c:pt idx="244">
                  <c:v>27542.28703338169</c:v>
                </c:pt>
                <c:pt idx="245">
                  <c:v>28183.829312644561</c:v>
                </c:pt>
                <c:pt idx="246">
                  <c:v>28840.315031266076</c:v>
                </c:pt>
                <c:pt idx="247">
                  <c:v>29512.092266663898</c:v>
                </c:pt>
                <c:pt idx="248">
                  <c:v>30199.517204020176</c:v>
                </c:pt>
                <c:pt idx="249">
                  <c:v>30902.954325135921</c:v>
                </c:pt>
                <c:pt idx="250">
                  <c:v>31622.776601683803</c:v>
                </c:pt>
                <c:pt idx="251">
                  <c:v>32359.365692962834</c:v>
                </c:pt>
                <c:pt idx="252">
                  <c:v>33113.112148259112</c:v>
                </c:pt>
                <c:pt idx="253">
                  <c:v>33884.415613920253</c:v>
                </c:pt>
                <c:pt idx="254">
                  <c:v>34673.685045253224</c:v>
                </c:pt>
                <c:pt idx="255">
                  <c:v>35481.338923357536</c:v>
                </c:pt>
                <c:pt idx="256">
                  <c:v>36307.805477010188</c:v>
                </c:pt>
                <c:pt idx="257">
                  <c:v>37153.522909717241</c:v>
                </c:pt>
                <c:pt idx="258">
                  <c:v>38018.939632056172</c:v>
                </c:pt>
                <c:pt idx="259">
                  <c:v>38904.514499428107</c:v>
                </c:pt>
                <c:pt idx="260">
                  <c:v>39810.717055349771</c:v>
                </c:pt>
                <c:pt idx="261">
                  <c:v>40738.027780411314</c:v>
                </c:pt>
                <c:pt idx="262">
                  <c:v>41686.938347033582</c:v>
                </c:pt>
                <c:pt idx="263">
                  <c:v>42657.9518801593</c:v>
                </c:pt>
                <c:pt idx="264">
                  <c:v>43651.583224016635</c:v>
                </c:pt>
                <c:pt idx="265">
                  <c:v>44668.359215096345</c:v>
                </c:pt>
                <c:pt idx="266">
                  <c:v>45708.81896148753</c:v>
                </c:pt>
                <c:pt idx="267">
                  <c:v>46773.514128719842</c:v>
                </c:pt>
                <c:pt idx="268">
                  <c:v>47863.009232263852</c:v>
                </c:pt>
                <c:pt idx="269">
                  <c:v>48977.881936844635</c:v>
                </c:pt>
                <c:pt idx="270">
                  <c:v>50118.723362727324</c:v>
                </c:pt>
                <c:pt idx="271">
                  <c:v>51286.138399136486</c:v>
                </c:pt>
                <c:pt idx="272">
                  <c:v>52480.74602497735</c:v>
                </c:pt>
                <c:pt idx="273">
                  <c:v>53703.17963702527</c:v>
                </c:pt>
                <c:pt idx="274">
                  <c:v>54954.087385762541</c:v>
                </c:pt>
                <c:pt idx="275">
                  <c:v>56234.132519034989</c:v>
                </c:pt>
                <c:pt idx="276">
                  <c:v>57543.993733715673</c:v>
                </c:pt>
                <c:pt idx="277">
                  <c:v>58884.365535558973</c:v>
                </c:pt>
                <c:pt idx="278">
                  <c:v>60255.958607435852</c:v>
                </c:pt>
                <c:pt idx="279">
                  <c:v>61659.500186148289</c:v>
                </c:pt>
                <c:pt idx="280">
                  <c:v>63095.734448019386</c:v>
                </c:pt>
                <c:pt idx="281">
                  <c:v>64565.422903465616</c:v>
                </c:pt>
                <c:pt idx="282">
                  <c:v>66069.34480075966</c:v>
                </c:pt>
                <c:pt idx="283">
                  <c:v>67608.297539198233</c:v>
                </c:pt>
                <c:pt idx="284">
                  <c:v>69183.097091893695</c:v>
                </c:pt>
                <c:pt idx="285">
                  <c:v>70794.578438413824</c:v>
                </c:pt>
                <c:pt idx="286">
                  <c:v>72443.596007499029</c:v>
                </c:pt>
                <c:pt idx="287">
                  <c:v>74131.02413009177</c:v>
                </c:pt>
                <c:pt idx="288">
                  <c:v>75857.757502918394</c:v>
                </c:pt>
                <c:pt idx="289">
                  <c:v>77624.711662869318</c:v>
                </c:pt>
                <c:pt idx="290">
                  <c:v>79432.82347242815</c:v>
                </c:pt>
                <c:pt idx="291">
                  <c:v>81283.05161641007</c:v>
                </c:pt>
                <c:pt idx="292">
                  <c:v>83176.377110267087</c:v>
                </c:pt>
                <c:pt idx="293">
                  <c:v>85113.803820237779</c:v>
                </c:pt>
                <c:pt idx="294">
                  <c:v>87096.358995608185</c:v>
                </c:pt>
                <c:pt idx="295">
                  <c:v>89125.093813374682</c:v>
                </c:pt>
                <c:pt idx="296">
                  <c:v>91201.083935591087</c:v>
                </c:pt>
                <c:pt idx="297">
                  <c:v>93325.430079699217</c:v>
                </c:pt>
                <c:pt idx="298">
                  <c:v>95499.258602143687</c:v>
                </c:pt>
                <c:pt idx="299">
                  <c:v>97723.722095581164</c:v>
                </c:pt>
                <c:pt idx="300">
                  <c:v>100000</c:v>
                </c:pt>
                <c:pt idx="301">
                  <c:v>102329.29922807548</c:v>
                </c:pt>
                <c:pt idx="302">
                  <c:v>104712.85480509003</c:v>
                </c:pt>
                <c:pt idx="303">
                  <c:v>107151.9305237607</c:v>
                </c:pt>
                <c:pt idx="304">
                  <c:v>109647.81961431856</c:v>
                </c:pt>
                <c:pt idx="305">
                  <c:v>112201.84543019639</c:v>
                </c:pt>
                <c:pt idx="306">
                  <c:v>114815.36214968831</c:v>
                </c:pt>
                <c:pt idx="307">
                  <c:v>117489.75549395318</c:v>
                </c:pt>
                <c:pt idx="308">
                  <c:v>120226.44346174151</c:v>
                </c:pt>
                <c:pt idx="309">
                  <c:v>123026.87708123817</c:v>
                </c:pt>
                <c:pt idx="310">
                  <c:v>125892.54117941672</c:v>
                </c:pt>
                <c:pt idx="311">
                  <c:v>128824.9551693136</c:v>
                </c:pt>
                <c:pt idx="312">
                  <c:v>131825.6738556409</c:v>
                </c:pt>
                <c:pt idx="313">
                  <c:v>134896.28825916557</c:v>
                </c:pt>
                <c:pt idx="314">
                  <c:v>138038.42646028841</c:v>
                </c:pt>
                <c:pt idx="315">
                  <c:v>141253.7544622756</c:v>
                </c:pt>
                <c:pt idx="316">
                  <c:v>144543.9770745929</c:v>
                </c:pt>
                <c:pt idx="317">
                  <c:v>147910.83881682088</c:v>
                </c:pt>
                <c:pt idx="318">
                  <c:v>151356.12484362445</c:v>
                </c:pt>
                <c:pt idx="319">
                  <c:v>154881.66189124854</c:v>
                </c:pt>
                <c:pt idx="320">
                  <c:v>158489.31924611147</c:v>
                </c:pt>
                <c:pt idx="321">
                  <c:v>162181.00973589683</c:v>
                </c:pt>
                <c:pt idx="322">
                  <c:v>165958.69074376026</c:v>
                </c:pt>
                <c:pt idx="323">
                  <c:v>169824.36524617841</c:v>
                </c:pt>
                <c:pt idx="324">
                  <c:v>173780.08287494161</c:v>
                </c:pt>
                <c:pt idx="325">
                  <c:v>177827.94100389644</c:v>
                </c:pt>
                <c:pt idx="326">
                  <c:v>181970.08586100259</c:v>
                </c:pt>
                <c:pt idx="327">
                  <c:v>186208.71366629141</c:v>
                </c:pt>
                <c:pt idx="328">
                  <c:v>190546.07179632946</c:v>
                </c:pt>
                <c:pt idx="329">
                  <c:v>194984.459975809</c:v>
                </c:pt>
                <c:pt idx="330">
                  <c:v>199526.23149689252</c:v>
                </c:pt>
                <c:pt idx="331">
                  <c:v>204173.79446695794</c:v>
                </c:pt>
                <c:pt idx="332">
                  <c:v>208929.61308540907</c:v>
                </c:pt>
                <c:pt idx="333">
                  <c:v>213796.20895022844</c:v>
                </c:pt>
                <c:pt idx="334">
                  <c:v>218776.16239496018</c:v>
                </c:pt>
                <c:pt idx="335">
                  <c:v>223872.11385683939</c:v>
                </c:pt>
                <c:pt idx="336">
                  <c:v>229086.76527678283</c:v>
                </c:pt>
                <c:pt idx="337">
                  <c:v>234422.88153199785</c:v>
                </c:pt>
                <c:pt idx="338">
                  <c:v>239883.29190195477</c:v>
                </c:pt>
                <c:pt idx="339">
                  <c:v>245470.89156850934</c:v>
                </c:pt>
                <c:pt idx="340">
                  <c:v>251188.643150964</c:v>
                </c:pt>
                <c:pt idx="341">
                  <c:v>257039.57827689245</c:v>
                </c:pt>
                <c:pt idx="342">
                  <c:v>263026.79918954434</c:v>
                </c:pt>
                <c:pt idx="343">
                  <c:v>269153.48039269837</c:v>
                </c:pt>
                <c:pt idx="344">
                  <c:v>275422.87033382355</c:v>
                </c:pt>
                <c:pt idx="345">
                  <c:v>281838.29312645196</c:v>
                </c:pt>
                <c:pt idx="346">
                  <c:v>288403.15031266725</c:v>
                </c:pt>
                <c:pt idx="347">
                  <c:v>295120.9226666459</c:v>
                </c:pt>
                <c:pt idx="348">
                  <c:v>301995.17204020906</c:v>
                </c:pt>
                <c:pt idx="349">
                  <c:v>309029.54325136665</c:v>
                </c:pt>
                <c:pt idx="350">
                  <c:v>316227.76601684513</c:v>
                </c:pt>
                <c:pt idx="351">
                  <c:v>323593.65692963556</c:v>
                </c:pt>
                <c:pt idx="352">
                  <c:v>331131.12148259912</c:v>
                </c:pt>
                <c:pt idx="353">
                  <c:v>338844.15613921074</c:v>
                </c:pt>
                <c:pt idx="354">
                  <c:v>346736.85045254003</c:v>
                </c:pt>
                <c:pt idx="355">
                  <c:v>354813.38923358335</c:v>
                </c:pt>
                <c:pt idx="356">
                  <c:v>363078.05477011006</c:v>
                </c:pt>
                <c:pt idx="357">
                  <c:v>371535.22909718135</c:v>
                </c:pt>
                <c:pt idx="358">
                  <c:v>380189.39632057026</c:v>
                </c:pt>
                <c:pt idx="359">
                  <c:v>389045.14499428979</c:v>
                </c:pt>
                <c:pt idx="360">
                  <c:v>398107.17055350728</c:v>
                </c:pt>
                <c:pt idx="361">
                  <c:v>407380.27780413168</c:v>
                </c:pt>
                <c:pt idx="362">
                  <c:v>416869.38347035483</c:v>
                </c:pt>
                <c:pt idx="363">
                  <c:v>426579.51880160259</c:v>
                </c:pt>
                <c:pt idx="364">
                  <c:v>436515.83224017685</c:v>
                </c:pt>
                <c:pt idx="365">
                  <c:v>446683.5921509742</c:v>
                </c:pt>
                <c:pt idx="366">
                  <c:v>457088.18961489608</c:v>
                </c:pt>
                <c:pt idx="367">
                  <c:v>467735.14128722053</c:v>
                </c:pt>
                <c:pt idx="368">
                  <c:v>478630.09232266113</c:v>
                </c:pt>
                <c:pt idx="369">
                  <c:v>489778.81936846947</c:v>
                </c:pt>
                <c:pt idx="370">
                  <c:v>501187.23362729524</c:v>
                </c:pt>
                <c:pt idx="371">
                  <c:v>512861.38399138919</c:v>
                </c:pt>
                <c:pt idx="372">
                  <c:v>524807.46024979744</c:v>
                </c:pt>
                <c:pt idx="373">
                  <c:v>537031.79637027811</c:v>
                </c:pt>
                <c:pt idx="374">
                  <c:v>549540.87385765044</c:v>
                </c:pt>
                <c:pt idx="375">
                  <c:v>562341.32519037649</c:v>
                </c:pt>
                <c:pt idx="376">
                  <c:v>575439.93733718398</c:v>
                </c:pt>
                <c:pt idx="377">
                  <c:v>588843.65535561647</c:v>
                </c:pt>
                <c:pt idx="378">
                  <c:v>602559.58607438591</c:v>
                </c:pt>
                <c:pt idx="379">
                  <c:v>616595.00186151091</c:v>
                </c:pt>
                <c:pt idx="380">
                  <c:v>630957.34448022372</c:v>
                </c:pt>
                <c:pt idx="381">
                  <c:v>645654.22903468553</c:v>
                </c:pt>
                <c:pt idx="382">
                  <c:v>660693.44800762658</c:v>
                </c:pt>
                <c:pt idx="383">
                  <c:v>676082.97539201309</c:v>
                </c:pt>
                <c:pt idx="384">
                  <c:v>691830.97091896972</c:v>
                </c:pt>
                <c:pt idx="385">
                  <c:v>707945.78438417171</c:v>
                </c:pt>
                <c:pt idx="386">
                  <c:v>724435.96007502335</c:v>
                </c:pt>
                <c:pt idx="387">
                  <c:v>741310.24130095146</c:v>
                </c:pt>
                <c:pt idx="388">
                  <c:v>758577.57502921985</c:v>
                </c:pt>
                <c:pt idx="389">
                  <c:v>776247.11662872857</c:v>
                </c:pt>
                <c:pt idx="390">
                  <c:v>794328.23472431907</c:v>
                </c:pt>
                <c:pt idx="391">
                  <c:v>812830.51616413763</c:v>
                </c:pt>
                <c:pt idx="392">
                  <c:v>831763.77110271016</c:v>
                </c:pt>
                <c:pt idx="393">
                  <c:v>851138.0382024165</c:v>
                </c:pt>
                <c:pt idx="394">
                  <c:v>870963.58995612152</c:v>
                </c:pt>
                <c:pt idx="395">
                  <c:v>891250.93813378725</c:v>
                </c:pt>
                <c:pt idx="396">
                  <c:v>912010.83935595397</c:v>
                </c:pt>
                <c:pt idx="397">
                  <c:v>933254.30079703464</c:v>
                </c:pt>
                <c:pt idx="398">
                  <c:v>954992.58602148038</c:v>
                </c:pt>
                <c:pt idx="399">
                  <c:v>977237.22095585614</c:v>
                </c:pt>
                <c:pt idx="400">
                  <c:v>1000000.0000000482</c:v>
                </c:pt>
              </c:numCache>
            </c:numRef>
          </c:xVal>
          <c:yVal>
            <c:numRef>
              <c:f>Loop_Response!$J$3:$J$403</c:f>
              <c:numCache>
                <c:formatCode>General</c:formatCode>
                <c:ptCount val="401"/>
                <c:pt idx="0">
                  <c:v>99.713448623142042</c:v>
                </c:pt>
                <c:pt idx="1">
                  <c:v>99.817054081504523</c:v>
                </c:pt>
                <c:pt idx="2">
                  <c:v>99.917539434488063</c:v>
                </c:pt>
                <c:pt idx="3">
                  <c:v>100.01467875185992</c:v>
                </c:pt>
                <c:pt idx="4">
                  <c:v>100.10824549841597</c:v>
                </c:pt>
                <c:pt idx="5">
                  <c:v>100.19801333085866</c:v>
                </c:pt>
                <c:pt idx="6">
                  <c:v>100.28375693065162</c:v>
                </c:pt>
                <c:pt idx="7">
                  <c:v>100.36525286822844</c:v>
                </c:pt>
                <c:pt idx="8">
                  <c:v>100.44228049333223</c:v>
                </c:pt>
                <c:pt idx="9">
                  <c:v>100.51462284568889</c:v>
                </c:pt>
                <c:pt idx="10">
                  <c:v>100.58206757968843</c:v>
                </c:pt>
                <c:pt idx="11">
                  <c:v>100.64440789627034</c:v>
                </c:pt>
                <c:pt idx="12">
                  <c:v>100.7014434747997</c:v>
                </c:pt>
                <c:pt idx="13">
                  <c:v>100.75298139738219</c:v>
                </c:pt>
                <c:pt idx="14">
                  <c:v>100.79883705781718</c:v>
                </c:pt>
                <c:pt idx="15">
                  <c:v>100.83883504723076</c:v>
                </c:pt>
                <c:pt idx="16">
                  <c:v>100.87281000837449</c:v>
                </c:pt>
                <c:pt idx="17">
                  <c:v>100.90060745062746</c:v>
                </c:pt>
                <c:pt idx="18">
                  <c:v>100.92208451789938</c:v>
                </c:pt>
                <c:pt idx="19">
                  <c:v>100.93711070190724</c:v>
                </c:pt>
                <c:pt idx="20">
                  <c:v>100.94556849368117</c:v>
                </c:pt>
                <c:pt idx="21">
                  <c:v>100.94735396664763</c:v>
                </c:pt>
                <c:pt idx="22">
                  <c:v>100.94237728523468</c:v>
                </c:pt>
                <c:pt idx="23">
                  <c:v>100.93056313363452</c:v>
                </c:pt>
                <c:pt idx="24">
                  <c:v>100.91185106013506</c:v>
                </c:pt>
                <c:pt idx="25">
                  <c:v>100.88619573328614</c:v>
                </c:pt>
                <c:pt idx="26">
                  <c:v>100.85356710707528</c:v>
                </c:pt>
                <c:pt idx="27">
                  <c:v>100.81395049325167</c:v>
                </c:pt>
                <c:pt idx="28">
                  <c:v>100.76734653992446</c:v>
                </c:pt>
                <c:pt idx="29">
                  <c:v>100.71377111656767</c:v>
                </c:pt>
                <c:pt idx="30">
                  <c:v>100.65325510656693</c:v>
                </c:pt>
                <c:pt idx="31">
                  <c:v>100.58584410942719</c:v>
                </c:pt>
                <c:pt idx="32">
                  <c:v>100.51159805570774</c:v>
                </c:pt>
                <c:pt idx="33">
                  <c:v>100.43059073865082</c:v>
                </c:pt>
                <c:pt idx="34">
                  <c:v>100.34290926730088</c:v>
                </c:pt>
                <c:pt idx="35">
                  <c:v>100.24865344666743</c:v>
                </c:pt>
                <c:pt idx="36">
                  <c:v>100.14793509115106</c:v>
                </c:pt>
                <c:pt idx="37">
                  <c:v>100.0408772780192</c:v>
                </c:pt>
                <c:pt idx="38">
                  <c:v>99.92761354818397</c:v>
                </c:pt>
                <c:pt idx="39">
                  <c:v>99.80828706188673</c:v>
                </c:pt>
                <c:pt idx="40">
                  <c:v>99.6830497171389</c:v>
                </c:pt>
                <c:pt idx="41">
                  <c:v>99.552061238898887</c:v>
                </c:pt>
                <c:pt idx="42">
                  <c:v>99.415488246986627</c:v>
                </c:pt>
                <c:pt idx="43">
                  <c:v>99.273503310654277</c:v>
                </c:pt>
                <c:pt idx="44">
                  <c:v>99.12628399754874</c:v>
                </c:pt>
                <c:pt idx="45">
                  <c:v>98.97401192452628</c:v>
                </c:pt>
                <c:pt idx="46">
                  <c:v>98.816871817422665</c:v>
                </c:pt>
                <c:pt idx="47">
                  <c:v>98.655050586452447</c:v>
                </c:pt>
                <c:pt idx="48">
                  <c:v>98.488736423417947</c:v>
                </c:pt>
                <c:pt idx="49">
                  <c:v>98.31811792636708</c:v>
                </c:pt>
                <c:pt idx="50">
                  <c:v>98.14338325675709</c:v>
                </c:pt>
                <c:pt idx="51">
                  <c:v>97.96471933357283</c:v>
                </c:pt>
                <c:pt idx="52">
                  <c:v>97.782311068222072</c:v>
                </c:pt>
                <c:pt idx="53">
                  <c:v>97.596340643401177</c:v>
                </c:pt>
                <c:pt idx="54">
                  <c:v>97.406986838496451</c:v>
                </c:pt>
                <c:pt idx="55">
                  <c:v>97.214424403474538</c:v>
                </c:pt>
                <c:pt idx="56">
                  <c:v>97.018823482623446</c:v>
                </c:pt>
                <c:pt idx="57">
                  <c:v>96.820349088943104</c:v>
                </c:pt>
                <c:pt idx="58">
                  <c:v>96.619160629454811</c:v>
                </c:pt>
                <c:pt idx="59">
                  <c:v>96.415411481211393</c:v>
                </c:pt>
                <c:pt idx="60">
                  <c:v>96.209248617341302</c:v>
                </c:pt>
                <c:pt idx="61">
                  <c:v>96.000812282059385</c:v>
                </c:pt>
                <c:pt idx="62">
                  <c:v>95.790235713222685</c:v>
                </c:pt>
                <c:pt idx="63">
                  <c:v>95.577644910701451</c:v>
                </c:pt>
                <c:pt idx="64">
                  <c:v>95.36315844857566</c:v>
                </c:pt>
                <c:pt idx="65">
                  <c:v>95.146887328952999</c:v>
                </c:pt>
                <c:pt idx="66">
                  <c:v>94.928934875034059</c:v>
                </c:pt>
                <c:pt idx="67">
                  <c:v>94.709396660920973</c:v>
                </c:pt>
                <c:pt idx="68">
                  <c:v>94.488360475579782</c:v>
                </c:pt>
                <c:pt idx="69">
                  <c:v>94.26590631831057</c:v>
                </c:pt>
                <c:pt idx="70">
                  <c:v>94.042106423062535</c:v>
                </c:pt>
                <c:pt idx="71">
                  <c:v>93.817025308940501</c:v>
                </c:pt>
                <c:pt idx="72">
                  <c:v>93.590719854285368</c:v>
                </c:pt>
                <c:pt idx="73">
                  <c:v>93.363239391771103</c:v>
                </c:pt>
                <c:pt idx="74">
                  <c:v>93.134625822040107</c:v>
                </c:pt>
                <c:pt idx="75">
                  <c:v>92.904913743492358</c:v>
                </c:pt>
                <c:pt idx="76">
                  <c:v>92.674130595954722</c:v>
                </c:pt>
                <c:pt idx="77">
                  <c:v>92.442296816073892</c:v>
                </c:pt>
                <c:pt idx="78">
                  <c:v>92.209426002404385</c:v>
                </c:pt>
                <c:pt idx="79">
                  <c:v>91.97552508829466</c:v>
                </c:pt>
                <c:pt idx="80">
                  <c:v>91.740594520810205</c:v>
                </c:pt>
                <c:pt idx="81">
                  <c:v>91.504628444069553</c:v>
                </c:pt>
                <c:pt idx="82">
                  <c:v>91.267614885504756</c:v>
                </c:pt>
                <c:pt idx="83">
                  <c:v>91.029535943693887</c:v>
                </c:pt>
                <c:pt idx="84">
                  <c:v>90.79036797654355</c:v>
                </c:pt>
                <c:pt idx="85">
                  <c:v>90.550081788728235</c:v>
                </c:pt>
                <c:pt idx="86">
                  <c:v>90.308642817415276</c:v>
                </c:pt>
                <c:pt idx="87">
                  <c:v>90.066011315422628</c:v>
                </c:pt>
                <c:pt idx="88">
                  <c:v>89.822142531067115</c:v>
                </c:pt>
                <c:pt idx="89">
                  <c:v>89.576986884066855</c:v>
                </c:pt>
                <c:pt idx="90">
                  <c:v>89.330490136960407</c:v>
                </c:pt>
                <c:pt idx="91">
                  <c:v>89.082593561596482</c:v>
                </c:pt>
                <c:pt idx="92">
                  <c:v>88.833234100335218</c:v>
                </c:pt>
                <c:pt idx="93">
                  <c:v>88.582344521679559</c:v>
                </c:pt>
                <c:pt idx="94">
                  <c:v>88.32985357013051</c:v>
                </c:pt>
                <c:pt idx="95">
                  <c:v>88.075686110123826</c:v>
                </c:pt>
                <c:pt idx="96">
                  <c:v>87.819763263970344</c:v>
                </c:pt>
                <c:pt idx="97">
                  <c:v>87.562002543773943</c:v>
                </c:pt>
                <c:pt idx="98">
                  <c:v>87.302317977354917</c:v>
                </c:pt>
                <c:pt idx="99">
                  <c:v>87.040620228248983</c:v>
                </c:pt>
                <c:pt idx="100">
                  <c:v>86.776816709894703</c:v>
                </c:pt>
                <c:pt idx="101">
                  <c:v>86.51081169415815</c:v>
                </c:pt>
                <c:pt idx="102">
                  <c:v>86.242506414376464</c:v>
                </c:pt>
                <c:pt idx="103">
                  <c:v>85.971799163130754</c:v>
                </c:pt>
                <c:pt idx="104">
                  <c:v>85.698585384985435</c:v>
                </c:pt>
                <c:pt idx="105">
                  <c:v>85.422757764454019</c:v>
                </c:pt>
                <c:pt idx="106">
                  <c:v>85.144206309471258</c:v>
                </c:pt>
                <c:pt idx="107">
                  <c:v>84.862818430670771</c:v>
                </c:pt>
                <c:pt idx="108">
                  <c:v>84.578479016783149</c:v>
                </c:pt>
                <c:pt idx="109">
                  <c:v>84.291070506483621</c:v>
                </c:pt>
                <c:pt idx="110">
                  <c:v>84.000472957031775</c:v>
                </c:pt>
                <c:pt idx="111">
                  <c:v>83.706564110057357</c:v>
                </c:pt>
                <c:pt idx="112">
                  <c:v>83.409219454857208</c:v>
                </c:pt>
                <c:pt idx="113">
                  <c:v>83.108312289576332</c:v>
                </c:pt>
                <c:pt idx="114">
                  <c:v>82.80371378065756</c:v>
                </c:pt>
                <c:pt idx="115">
                  <c:v>82.495293020950143</c:v>
                </c:pt>
                <c:pt idx="116">
                  <c:v>82.182917086876202</c:v>
                </c:pt>
                <c:pt idx="117">
                  <c:v>81.866451095062359</c:v>
                </c:pt>
                <c:pt idx="118">
                  <c:v>81.545758258848466</c:v>
                </c:pt>
                <c:pt idx="119">
                  <c:v>81.22069994509441</c:v>
                </c:pt>
                <c:pt idx="120">
                  <c:v>80.891135731711103</c:v>
                </c:pt>
                <c:pt idx="121">
                  <c:v>80.556923466349019</c:v>
                </c:pt>
                <c:pt idx="122">
                  <c:v>80.21791932668242</c:v>
                </c:pt>
                <c:pt idx="123">
                  <c:v>79.873977882735716</c:v>
                </c:pt>
                <c:pt idx="124">
                  <c:v>79.524952161701236</c:v>
                </c:pt>
                <c:pt idx="125">
                  <c:v>79.170693715706236</c:v>
                </c:pt>
                <c:pt idx="126">
                  <c:v>78.811052692989406</c:v>
                </c:pt>
                <c:pt idx="127">
                  <c:v>78.445877912953989</c:v>
                </c:pt>
                <c:pt idx="128">
                  <c:v>78.075016945567711</c:v>
                </c:pt>
                <c:pt idx="129">
                  <c:v>77.698316195583516</c:v>
                </c:pt>
                <c:pt idx="130">
                  <c:v>77.315620992057788</c:v>
                </c:pt>
                <c:pt idx="131">
                  <c:v>76.926775683644763</c:v>
                </c:pt>
                <c:pt idx="132">
                  <c:v>76.531623740146244</c:v>
                </c:pt>
                <c:pt idx="133">
                  <c:v>76.130007860794038</c:v>
                </c:pt>
                <c:pt idx="134">
                  <c:v>75.721770089741639</c:v>
                </c:pt>
                <c:pt idx="135">
                  <c:v>75.306751939235312</c:v>
                </c:pt>
                <c:pt idx="136">
                  <c:v>74.884794520929646</c:v>
                </c:pt>
                <c:pt idx="137">
                  <c:v>74.455738685801748</c:v>
                </c:pt>
                <c:pt idx="138">
                  <c:v>74.019425173107663</c:v>
                </c:pt>
                <c:pt idx="139">
                  <c:v>73.575694768807864</c:v>
                </c:pt>
                <c:pt idx="140">
                  <c:v>73.124388473870368</c:v>
                </c:pt>
                <c:pt idx="141">
                  <c:v>72.665347682836554</c:v>
                </c:pt>
                <c:pt idx="142">
                  <c:v>72.198414373007338</c:v>
                </c:pt>
                <c:pt idx="143">
                  <c:v>71.723431304574916</c:v>
                </c:pt>
                <c:pt idx="144">
                  <c:v>71.240242231987608</c:v>
                </c:pt>
                <c:pt idx="145">
                  <c:v>70.748692126791781</c:v>
                </c:pt>
                <c:pt idx="146">
                  <c:v>70.24862741214497</c:v>
                </c:pt>
                <c:pt idx="147">
                  <c:v>69.739896209138891</c:v>
                </c:pt>
                <c:pt idx="148">
                  <c:v>69.222348595007105</c:v>
                </c:pt>
                <c:pt idx="149">
                  <c:v>68.695836873220969</c:v>
                </c:pt>
                <c:pt idx="150">
                  <c:v>68.160215855401546</c:v>
                </c:pt>
                <c:pt idx="151">
                  <c:v>67.615343154885835</c:v>
                </c:pt>
                <c:pt idx="152">
                  <c:v>67.061079491693846</c:v>
                </c:pt>
                <c:pt idx="153">
                  <c:v>66.497289008539283</c:v>
                </c:pt>
                <c:pt idx="154">
                  <c:v>65.923839597415082</c:v>
                </c:pt>
                <c:pt idx="155">
                  <c:v>65.340603236167183</c:v>
                </c:pt>
                <c:pt idx="156">
                  <c:v>64.74745633434074</c:v>
                </c:pt>
                <c:pt idx="157">
                  <c:v>64.144280087449687</c:v>
                </c:pt>
                <c:pt idx="158">
                  <c:v>63.530960838676705</c:v>
                </c:pt>
                <c:pt idx="159">
                  <c:v>62.907390446862763</c:v>
                </c:pt>
                <c:pt idx="160">
                  <c:v>62.273466659490353</c:v>
                </c:pt>
                <c:pt idx="161">
                  <c:v>61.629093489206177</c:v>
                </c:pt>
                <c:pt idx="162">
                  <c:v>60.974181592265779</c:v>
                </c:pt>
                <c:pt idx="163">
                  <c:v>60.308648647119966</c:v>
                </c:pt>
                <c:pt idx="164">
                  <c:v>59.632419731197487</c:v>
                </c:pt>
                <c:pt idx="165">
                  <c:v>58.945427693779159</c:v>
                </c:pt>
                <c:pt idx="166">
                  <c:v>58.2476135226986</c:v>
                </c:pt>
                <c:pt idx="167">
                  <c:v>57.538926702457431</c:v>
                </c:pt>
                <c:pt idx="168">
                  <c:v>56.819325561200195</c:v>
                </c:pt>
                <c:pt idx="169">
                  <c:v>56.088777603868124</c:v>
                </c:pt>
                <c:pt idx="170">
                  <c:v>55.347259828737101</c:v>
                </c:pt>
                <c:pt idx="171">
                  <c:v>54.594759024454262</c:v>
                </c:pt>
                <c:pt idx="172">
                  <c:v>53.831272044613776</c:v>
                </c:pt>
                <c:pt idx="173">
                  <c:v>53.056806056870222</c:v>
                </c:pt>
                <c:pt idx="174">
                  <c:v>52.271378763568016</c:v>
                </c:pt>
                <c:pt idx="175">
                  <c:v>51.47501859088311</c:v>
                </c:pt>
                <c:pt idx="176">
                  <c:v>50.66776484351989</c:v>
                </c:pt>
                <c:pt idx="177">
                  <c:v>49.849667822096819</c:v>
                </c:pt>
                <c:pt idx="178">
                  <c:v>49.020788900477086</c:v>
                </c:pt>
                <c:pt idx="179">
                  <c:v>48.181200560469748</c:v>
                </c:pt>
                <c:pt idx="180">
                  <c:v>47.330986381537606</c:v>
                </c:pt>
                <c:pt idx="181">
                  <c:v>46.470240983397076</c:v>
                </c:pt>
                <c:pt idx="182">
                  <c:v>45.599069919694571</c:v>
                </c:pt>
                <c:pt idx="183">
                  <c:v>44.717589521275336</c:v>
                </c:pt>
                <c:pt idx="184">
                  <c:v>43.825926687939599</c:v>
                </c:pt>
                <c:pt idx="185">
                  <c:v>42.924218627990413</c:v>
                </c:pt>
                <c:pt idx="186">
                  <c:v>42.012612545323435</c:v>
                </c:pt>
                <c:pt idx="187">
                  <c:v>41.091265274278996</c:v>
                </c:pt>
                <c:pt idx="188">
                  <c:v>40.160342862973827</c:v>
                </c:pt>
                <c:pt idx="189">
                  <c:v>39.220020106337877</c:v>
                </c:pt>
                <c:pt idx="190">
                  <c:v>38.270480030602897</c:v>
                </c:pt>
                <c:pt idx="191">
                  <c:v>37.311913331506666</c:v>
                </c:pt>
                <c:pt idx="192">
                  <c:v>36.344517768994272</c:v>
                </c:pt>
                <c:pt idx="193">
                  <c:v>35.36849752168979</c:v>
                </c:pt>
                <c:pt idx="194">
                  <c:v>34.384062504889926</c:v>
                </c:pt>
                <c:pt idx="195">
                  <c:v>33.391427656267282</c:v>
                </c:pt>
                <c:pt idx="196">
                  <c:v>32.390812193874353</c:v>
                </c:pt>
                <c:pt idx="197">
                  <c:v>31.38243885138505</c:v>
                </c:pt>
                <c:pt idx="198">
                  <c:v>30.366533095811302</c:v>
                </c:pt>
                <c:pt idx="199">
                  <c:v>29.34332233315823</c:v>
                </c:pt>
                <c:pt idx="200">
                  <c:v>28.313035107653675</c:v>
                </c:pt>
                <c:pt idx="201">
                  <c:v>27.275900300277009</c:v>
                </c:pt>
                <c:pt idx="202">
                  <c:v>26.232146332337194</c:v>
                </c:pt>
                <c:pt idx="203">
                  <c:v>25.18200037979306</c:v>
                </c:pt>
                <c:pt idx="204">
                  <c:v>24.125687603882639</c:v>
                </c:pt>
                <c:pt idx="205">
                  <c:v>23.063430403426565</c:v>
                </c:pt>
                <c:pt idx="206">
                  <c:v>21.995447693898136</c:v>
                </c:pt>
                <c:pt idx="207">
                  <c:v>20.921954218019458</c:v>
                </c:pt>
                <c:pt idx="208">
                  <c:v>19.843159892244277</c:v>
                </c:pt>
                <c:pt idx="209">
                  <c:v>18.759269193043259</c:v>
                </c:pt>
                <c:pt idx="210">
                  <c:v>17.670480586412133</c:v>
                </c:pt>
                <c:pt idx="211">
                  <c:v>16.576986003496824</c:v>
                </c:pt>
                <c:pt idx="212">
                  <c:v>15.478970364673135</c:v>
                </c:pt>
                <c:pt idx="213">
                  <c:v>14.376611153847183</c:v>
                </c:pt>
                <c:pt idx="214">
                  <c:v>13.270078044162274</c:v>
                </c:pt>
                <c:pt idx="215">
                  <c:v>12.1595325757237</c:v>
                </c:pt>
                <c:pt idx="216">
                  <c:v>11.045127885385872</c:v>
                </c:pt>
                <c:pt idx="217">
                  <c:v>9.9270084881063401</c:v>
                </c:pt>
                <c:pt idx="218">
                  <c:v>8.805310108856883</c:v>
                </c:pt>
                <c:pt idx="219">
                  <c:v>7.6801595636105642</c:v>
                </c:pt>
                <c:pt idx="220">
                  <c:v>6.5516746874936818</c:v>
                </c:pt>
                <c:pt idx="221">
                  <c:v>5.4199643078173096</c:v>
                </c:pt>
                <c:pt idx="222">
                  <c:v>4.285128259383292</c:v>
                </c:pt>
                <c:pt idx="223">
                  <c:v>3.1472574392043828</c:v>
                </c:pt>
                <c:pt idx="224">
                  <c:v>2.0064338975837099</c:v>
                </c:pt>
                <c:pt idx="225">
                  <c:v>0.86273096237719926</c:v>
                </c:pt>
                <c:pt idx="226">
                  <c:v>-0.2837866068003585</c:v>
                </c:pt>
                <c:pt idx="227">
                  <c:v>-1.4330624376496885</c:v>
                </c:pt>
                <c:pt idx="228">
                  <c:v>-2.5850483406946054</c:v>
                </c:pt>
                <c:pt idx="229">
                  <c:v>-3.7397040842369726</c:v>
                </c:pt>
                <c:pt idx="230">
                  <c:v>-4.8969971515722968</c:v>
                </c:pt>
                <c:pt idx="231">
                  <c:v>-6.0569024830315534</c:v>
                </c:pt>
                <c:pt idx="232">
                  <c:v>-7.2194022051105229</c:v>
                </c:pt>
                <c:pt idx="233">
                  <c:v>-8.3844853486081199</c:v>
                </c:pt>
                <c:pt idx="234">
                  <c:v>-9.5521475573163492</c:v>
                </c:pt>
                <c:pt idx="235">
                  <c:v>-10.722390788405537</c:v>
                </c:pt>
                <c:pt idx="236">
                  <c:v>-11.895223005226594</c:v>
                </c:pt>
                <c:pt idx="237">
                  <c:v>-13.07065786283194</c:v>
                </c:pt>
                <c:pt idx="238">
                  <c:v>-14.248714386091095</c:v>
                </c:pt>
                <c:pt idx="239">
                  <c:v>-15.429416639873011</c:v>
                </c:pt>
                <c:pt idx="240">
                  <c:v>-16.612793390382915</c:v>
                </c:pt>
                <c:pt idx="241">
                  <c:v>-17.798877756394738</c:v>
                </c:pt>
                <c:pt idx="242">
                  <c:v>-18.987706848813353</c:v>
                </c:pt>
                <c:pt idx="243">
                  <c:v>-20.179321396755082</c:v>
                </c:pt>
                <c:pt idx="244">
                  <c:v>-21.373765358141242</c:v>
                </c:pt>
                <c:pt idx="245">
                  <c:v>-22.571085512685158</c:v>
                </c:pt>
                <c:pt idx="246">
                  <c:v>-23.771331035103284</c:v>
                </c:pt>
                <c:pt idx="247">
                  <c:v>-24.974553046418638</c:v>
                </c:pt>
                <c:pt idx="248">
                  <c:v>-26.180804141338122</c:v>
                </c:pt>
                <c:pt idx="249">
                  <c:v>-27.39013788988477</c:v>
                </c:pt>
                <c:pt idx="250">
                  <c:v>-28.602608311740468</c:v>
                </c:pt>
                <c:pt idx="251">
                  <c:v>-29.818269322114457</c:v>
                </c:pt>
                <c:pt idx="252">
                  <c:v>-31.037174148374934</c:v>
                </c:pt>
                <c:pt idx="253">
                  <c:v>-32.259374717175923</c:v>
                </c:pt>
                <c:pt idx="254">
                  <c:v>-33.484921012352899</c:v>
                </c:pt>
                <c:pt idx="255">
                  <c:v>-34.71386040445379</c:v>
                </c:pt>
                <c:pt idx="256">
                  <c:v>-35.946236953389644</c:v>
                </c:pt>
                <c:pt idx="257">
                  <c:v>-37.182090686325722</c:v>
                </c:pt>
                <c:pt idx="258">
                  <c:v>-38.421456853580594</c:v>
                </c:pt>
                <c:pt idx="259">
                  <c:v>-39.664365165921147</c:v>
                </c:pt>
                <c:pt idx="260">
                  <c:v>-40.910839017254851</c:v>
                </c:pt>
                <c:pt idx="261">
                  <c:v>-42.160894697272603</c:v>
                </c:pt>
                <c:pt idx="262">
                  <c:v>-43.414540599111234</c:v>
                </c:pt>
                <c:pt idx="263">
                  <c:v>-44.671776427540614</c:v>
                </c:pt>
                <c:pt idx="264">
                  <c:v>-45.932592413547063</c:v>
                </c:pt>
                <c:pt idx="265">
                  <c:v>-47.1969685414591</c:v>
                </c:pt>
                <c:pt idx="266">
                  <c:v>-48.464873794945802</c:v>
                </c:pt>
                <c:pt idx="267">
                  <c:v>-49.736265428303575</c:v>
                </c:pt>
                <c:pt idx="268">
                  <c:v>-51.011088269431177</c:v>
                </c:pt>
                <c:pt idx="269">
                  <c:v>-52.289274060777487</c:v>
                </c:pt>
                <c:pt idx="270">
                  <c:v>-53.570740844335205</c:v>
                </c:pt>
                <c:pt idx="271">
                  <c:v>-54.855392396444941</c:v>
                </c:pt>
                <c:pt idx="272">
                  <c:v>-56.143117717790965</c:v>
                </c:pt>
                <c:pt idx="273">
                  <c:v>-57.433790583490186</c:v>
                </c:pt>
                <c:pt idx="274">
                  <c:v>-58.727269157659592</c:v>
                </c:pt>
                <c:pt idx="275">
                  <c:v>-60.023395676242991</c:v>
                </c:pt>
                <c:pt idx="276">
                  <c:v>-61.321996201262891</c:v>
                </c:pt>
                <c:pt idx="277">
                  <c:v>-62.622880448996838</c:v>
                </c:pt>
                <c:pt idx="278">
                  <c:v>-63.925841693908083</c:v>
                </c:pt>
                <c:pt idx="279">
                  <c:v>-65.230656749486656</c:v>
                </c:pt>
                <c:pt idx="280">
                  <c:v>-66.537086026485554</c:v>
                </c:pt>
                <c:pt idx="281">
                  <c:v>-67.844873668396843</c:v>
                </c:pt>
                <c:pt idx="282">
                  <c:v>-69.153747763394634</c:v>
                </c:pt>
                <c:pt idx="283">
                  <c:v>-70.463420631396616</c:v>
                </c:pt>
                <c:pt idx="284">
                  <c:v>-71.773589184366898</c:v>
                </c:pt>
                <c:pt idx="285">
                  <c:v>-73.083935357501133</c:v>
                </c:pt>
                <c:pt idx="286">
                  <c:v>-74.394126608512522</c:v>
                </c:pt>
                <c:pt idx="287">
                  <c:v>-75.703816481863811</c:v>
                </c:pt>
                <c:pt idx="288">
                  <c:v>-77.01264523447658</c:v>
                </c:pt>
                <c:pt idx="289">
                  <c:v>-78.320240519186555</c:v>
                </c:pt>
                <c:pt idx="290">
                  <c:v>-79.626218122000381</c:v>
                </c:pt>
                <c:pt idx="291">
                  <c:v>-80.930182749044093</c:v>
                </c:pt>
                <c:pt idx="292">
                  <c:v>-82.231728858963649</c:v>
                </c:pt>
                <c:pt idx="293">
                  <c:v>-83.53044153645358</c:v>
                </c:pt>
                <c:pt idx="294">
                  <c:v>-84.825897402518109</c:v>
                </c:pt>
                <c:pt idx="295">
                  <c:v>-86.117665557041903</c:v>
                </c:pt>
                <c:pt idx="296">
                  <c:v>-87.405308549216699</c:v>
                </c:pt>
                <c:pt idx="297">
                  <c:v>-88.688383371370691</c:v>
                </c:pt>
                <c:pt idx="298">
                  <c:v>-89.966442471744642</c:v>
                </c:pt>
                <c:pt idx="299">
                  <c:v>-91.239034781767458</c:v>
                </c:pt>
                <c:pt idx="300">
                  <c:v>-92.505706753395657</c:v>
                </c:pt>
                <c:pt idx="301">
                  <c:v>-93.766003402093105</c:v>
                </c:pt>
                <c:pt idx="302">
                  <c:v>-95.01946935104209</c:v>
                </c:pt>
                <c:pt idx="303">
                  <c:v>-96.265649872198949</c:v>
                </c:pt>
                <c:pt idx="304">
                  <c:v>-97.504091919824461</c:v>
                </c:pt>
                <c:pt idx="305">
                  <c:v>-98.734345152155697</c:v>
                </c:pt>
                <c:pt idx="306">
                  <c:v>-99.955962936922234</c:v>
                </c:pt>
                <c:pt idx="307">
                  <c:v>-101.16850333646762</c:v>
                </c:pt>
                <c:pt idx="308">
                  <c:v>-102.37153006830565</c:v>
                </c:pt>
                <c:pt idx="309">
                  <c:v>-103.56461343703836</c:v>
                </c:pt>
                <c:pt idx="310">
                  <c:v>-104.74733123367506</c:v>
                </c:pt>
                <c:pt idx="311">
                  <c:v>-105.91926959854032</c:v>
                </c:pt>
                <c:pt idx="312">
                  <c:v>-107.08002384413095</c:v>
                </c:pt>
                <c:pt idx="313">
                  <c:v>-108.22919923448814</c:v>
                </c:pt>
                <c:pt idx="314">
                  <c:v>-109.36641171788534</c:v>
                </c:pt>
                <c:pt idx="315">
                  <c:v>-110.49128860990432</c:v>
                </c:pt>
                <c:pt idx="316">
                  <c:v>-111.6034692242644</c:v>
                </c:pt>
                <c:pt idx="317">
                  <c:v>-112.70260544910334</c:v>
                </c:pt>
                <c:pt idx="318">
                  <c:v>-113.78836226675242</c:v>
                </c:pt>
                <c:pt idx="319">
                  <c:v>-114.86041821541936</c:v>
                </c:pt>
                <c:pt idx="320">
                  <c:v>-115.91846579160708</c:v>
                </c:pt>
                <c:pt idx="321">
                  <c:v>-116.96221179244323</c:v>
                </c:pt>
                <c:pt idx="322">
                  <c:v>-117.99137759756582</c:v>
                </c:pt>
                <c:pt idx="323">
                  <c:v>-119.00569939058701</c:v>
                </c:pt>
                <c:pt idx="324">
                  <c:v>-120.00492832055326</c:v>
                </c:pt>
                <c:pt idx="325">
                  <c:v>-120.98883060424068</c:v>
                </c:pt>
                <c:pt idx="326">
                  <c:v>-121.95718757048915</c:v>
                </c:pt>
                <c:pt idx="327">
                  <c:v>-122.90979564814182</c:v>
                </c:pt>
                <c:pt idx="328">
                  <c:v>-123.84646629949336</c:v>
                </c:pt>
                <c:pt idx="329">
                  <c:v>-124.76702590145955</c:v>
                </c:pt>
                <c:pt idx="330">
                  <c:v>-125.6713155769567</c:v>
                </c:pt>
                <c:pt idx="331">
                  <c:v>-126.55919097922279</c:v>
                </c:pt>
                <c:pt idx="332">
                  <c:v>-127.43052203202335</c:v>
                </c:pt>
                <c:pt idx="333">
                  <c:v>-128.28519262885456</c:v>
                </c:pt>
                <c:pt idx="334">
                  <c:v>-129.12310029439331</c:v>
                </c:pt>
                <c:pt idx="335">
                  <c:v>-129.94415581154442</c:v>
                </c:pt>
                <c:pt idx="336">
                  <c:v>-130.74828281749615</c:v>
                </c:pt>
                <c:pt idx="337">
                  <c:v>-131.53541737223117</c:v>
                </c:pt>
                <c:pt idx="338">
                  <c:v>-132.30550750293179</c:v>
                </c:pt>
                <c:pt idx="339">
                  <c:v>-133.05851272769181</c:v>
                </c:pt>
                <c:pt idx="340">
                  <c:v>-133.79440356188508</c:v>
                </c:pt>
                <c:pt idx="341">
                  <c:v>-134.51316101046095</c:v>
                </c:pt>
                <c:pt idx="342">
                  <c:v>-135.21477604932682</c:v>
                </c:pt>
                <c:pt idx="343">
                  <c:v>-135.89924909886062</c:v>
                </c:pt>
                <c:pt idx="344">
                  <c:v>-136.56658949245025</c:v>
                </c:pt>
                <c:pt idx="345">
                  <c:v>-137.21681494281216</c:v>
                </c:pt>
                <c:pt idx="346">
                  <c:v>-137.84995100867269</c:v>
                </c:pt>
                <c:pt idx="347">
                  <c:v>-138.46603056423396</c:v>
                </c:pt>
                <c:pt idx="348">
                  <c:v>-139.06509327366689</c:v>
                </c:pt>
                <c:pt idx="349">
                  <c:v>-139.6471850727055</c:v>
                </c:pt>
                <c:pt idx="350">
                  <c:v>-140.21235765923484</c:v>
                </c:pt>
                <c:pt idx="351">
                  <c:v>-140.76066799459841</c:v>
                </c:pt>
                <c:pt idx="352">
                  <c:v>-141.29217781717676</c:v>
                </c:pt>
                <c:pt idx="353">
                  <c:v>-141.80695316962897</c:v>
                </c:pt>
                <c:pt idx="354">
                  <c:v>-142.30506394102821</c:v>
                </c:pt>
                <c:pt idx="355">
                  <c:v>-142.78658342497579</c:v>
                </c:pt>
                <c:pt idx="356">
                  <c:v>-143.25158789463319</c:v>
                </c:pt>
                <c:pt idx="357">
                  <c:v>-143.70015619548076</c:v>
                </c:pt>
                <c:pt idx="358">
                  <c:v>-144.13236935648968</c:v>
                </c:pt>
                <c:pt idx="359">
                  <c:v>-144.54831022027645</c:v>
                </c:pt>
                <c:pt idx="360">
                  <c:v>-144.94806309270848</c:v>
                </c:pt>
                <c:pt idx="361">
                  <c:v>-145.33171341233395</c:v>
                </c:pt>
                <c:pt idx="362">
                  <c:v>-145.69934743992246</c:v>
                </c:pt>
                <c:pt idx="363">
                  <c:v>-146.0510519683337</c:v>
                </c:pt>
                <c:pt idx="364">
                  <c:v>-146.38691405285709</c:v>
                </c:pt>
                <c:pt idx="365">
                  <c:v>-146.7070207621104</c:v>
                </c:pt>
                <c:pt idx="366">
                  <c:v>-147.0114589495432</c:v>
                </c:pt>
                <c:pt idx="367">
                  <c:v>-147.30031504553585</c:v>
                </c:pt>
                <c:pt idx="368">
                  <c:v>-147.57367487006289</c:v>
                </c:pt>
                <c:pt idx="369">
                  <c:v>-147.83162346585073</c:v>
                </c:pt>
                <c:pt idx="370">
                  <c:v>-148.07424495194624</c:v>
                </c:pt>
                <c:pt idx="371">
                  <c:v>-148.30162239758977</c:v>
                </c:pt>
                <c:pt idx="372">
                  <c:v>-148.51383771627698</c:v>
                </c:pt>
                <c:pt idx="373">
                  <c:v>-148.71097157988498</c:v>
                </c:pt>
                <c:pt idx="374">
                  <c:v>-148.89310335273183</c:v>
                </c:pt>
                <c:pt idx="375">
                  <c:v>-149.06031104544002</c:v>
                </c:pt>
                <c:pt idx="376">
                  <c:v>-149.21267128846958</c:v>
                </c:pt>
                <c:pt idx="377">
                  <c:v>-149.35025932519341</c:v>
                </c:pt>
                <c:pt idx="378">
                  <c:v>-149.47314902438461</c:v>
                </c:pt>
                <c:pt idx="379">
                  <c:v>-149.58141291199041</c:v>
                </c:pt>
                <c:pt idx="380">
                  <c:v>-149.67512222207048</c:v>
                </c:pt>
                <c:pt idx="381">
                  <c:v>-149.75434696677431</c:v>
                </c:pt>
                <c:pt idx="382">
                  <c:v>-149.81915602523455</c:v>
                </c:pt>
                <c:pt idx="383">
                  <c:v>-149.86961725124837</c:v>
                </c:pt>
                <c:pt idx="384">
                  <c:v>-149.90579759961213</c:v>
                </c:pt>
                <c:pt idx="385">
                  <c:v>-149.9277632709649</c:v>
                </c:pt>
                <c:pt idx="386">
                  <c:v>-149.93557987498127</c:v>
                </c:pt>
                <c:pt idx="387">
                  <c:v>-149.92931261173618</c:v>
                </c:pt>
                <c:pt idx="388">
                  <c:v>-149.90902647103547</c:v>
                </c:pt>
                <c:pt idx="389">
                  <c:v>-149.87478644948101</c:v>
                </c:pt>
                <c:pt idx="390">
                  <c:v>-149.82665778499529</c:v>
                </c:pt>
                <c:pt idx="391">
                  <c:v>-149.76470620849091</c:v>
                </c:pt>
                <c:pt idx="392">
                  <c:v>-149.6889982123148</c:v>
                </c:pt>
                <c:pt idx="393">
                  <c:v>-149.59960133503787</c:v>
                </c:pt>
                <c:pt idx="394">
                  <c:v>-149.4965844620931</c:v>
                </c:pt>
                <c:pt idx="395">
                  <c:v>-149.38001814168607</c:v>
                </c:pt>
                <c:pt idx="396">
                  <c:v>-149.24997491531605</c:v>
                </c:pt>
                <c:pt idx="397">
                  <c:v>-149.10652966215343</c:v>
                </c:pt>
                <c:pt idx="398">
                  <c:v>-148.94975995640885</c:v>
                </c:pt>
                <c:pt idx="399">
                  <c:v>-148.77974643672431</c:v>
                </c:pt>
                <c:pt idx="400">
                  <c:v>-148.59657318648777</c:v>
                </c:pt>
              </c:numCache>
            </c:numRef>
          </c:yVal>
          <c:smooth val="1"/>
          <c:extLst>
            <c:ext xmlns:c16="http://schemas.microsoft.com/office/drawing/2014/chart" uri="{C3380CC4-5D6E-409C-BE32-E72D297353CC}">
              <c16:uniqueId val="{00000001-F242-439F-BCD3-AB405D699144}"/>
            </c:ext>
          </c:extLst>
        </c:ser>
        <c:dLbls>
          <c:showLegendKey val="0"/>
          <c:showVal val="0"/>
          <c:showCatName val="0"/>
          <c:showSerName val="0"/>
          <c:showPercent val="0"/>
          <c:showBubbleSize val="0"/>
        </c:dLbls>
        <c:axId val="1042822479"/>
        <c:axId val="1042822063"/>
      </c:scatterChart>
      <c:scatterChart>
        <c:scatterStyle val="lineMarker"/>
        <c:varyColors val="0"/>
        <c:ser>
          <c:idx val="2"/>
          <c:order val="2"/>
          <c:tx>
            <c:v>Phase Margin</c:v>
          </c:tx>
          <c:spPr>
            <a:ln w="19050" cap="rnd">
              <a:solidFill>
                <a:schemeClr val="accent2"/>
              </a:solidFill>
              <a:prstDash val="sysDash"/>
              <a:round/>
            </a:ln>
            <a:effectLst/>
          </c:spPr>
          <c:marker>
            <c:symbol val="none"/>
          </c:marker>
          <c:xVal>
            <c:numRef>
              <c:f>Loop_Response!$C$44:$C$45</c:f>
              <c:numCache>
                <c:formatCode>General</c:formatCode>
                <c:ptCount val="2"/>
                <c:pt idx="0">
                  <c:v>1496.3348183022088</c:v>
                </c:pt>
                <c:pt idx="1">
                  <c:v>1496.3348183022088</c:v>
                </c:pt>
              </c:numCache>
            </c:numRef>
          </c:xVal>
          <c:yVal>
            <c:numRef>
              <c:f>Loop_Response!$D$44:$D$45</c:f>
              <c:numCache>
                <c:formatCode>General</c:formatCode>
                <c:ptCount val="2"/>
                <c:pt idx="0">
                  <c:v>0</c:v>
                </c:pt>
                <c:pt idx="1">
                  <c:v>81.70610467695542</c:v>
                </c:pt>
              </c:numCache>
            </c:numRef>
          </c:yVal>
          <c:smooth val="0"/>
          <c:extLst>
            <c:ext xmlns:c16="http://schemas.microsoft.com/office/drawing/2014/chart" uri="{C3380CC4-5D6E-409C-BE32-E72D297353CC}">
              <c16:uniqueId val="{00000010-F242-439F-BCD3-AB405D699144}"/>
            </c:ext>
          </c:extLst>
        </c:ser>
        <c:ser>
          <c:idx val="4"/>
          <c:order val="4"/>
          <c:tx>
            <c:v>PM3</c:v>
          </c:tx>
          <c:spPr>
            <a:ln w="28575" cap="rnd">
              <a:solidFill>
                <a:schemeClr val="accent5"/>
              </a:solidFill>
              <a:round/>
            </a:ln>
            <a:effectLst/>
          </c:spPr>
          <c:marker>
            <c:symbol val="none"/>
          </c:marker>
          <c:dPt>
            <c:idx val="1"/>
            <c:marker>
              <c:symbol val="none"/>
            </c:marker>
            <c:bubble3D val="0"/>
            <c:spPr>
              <a:ln w="9525" cap="rnd">
                <a:solidFill>
                  <a:schemeClr val="tx1">
                    <a:lumMod val="50000"/>
                    <a:lumOff val="50000"/>
                  </a:schemeClr>
                </a:solidFill>
                <a:prstDash val="dash"/>
                <a:round/>
              </a:ln>
              <a:effectLst/>
            </c:spPr>
            <c:extLst>
              <c:ext xmlns:c16="http://schemas.microsoft.com/office/drawing/2014/chart" uri="{C3380CC4-5D6E-409C-BE32-E72D297353CC}">
                <c16:uniqueId val="{0000000C-F242-439F-BCD3-AB405D699144}"/>
              </c:ext>
            </c:extLst>
          </c:dPt>
          <c:xVal>
            <c:numRef>
              <c:f>Loop_Response!$C$46:$C$47</c:f>
              <c:numCache>
                <c:formatCode>General</c:formatCode>
                <c:ptCount val="2"/>
                <c:pt idx="0">
                  <c:v>1496.3348183022088</c:v>
                </c:pt>
                <c:pt idx="1">
                  <c:v>1000000</c:v>
                </c:pt>
              </c:numCache>
            </c:numRef>
          </c:xVal>
          <c:yVal>
            <c:numRef>
              <c:f>Loop_Response!$D$46:$D$47</c:f>
              <c:numCache>
                <c:formatCode>General</c:formatCode>
                <c:ptCount val="2"/>
                <c:pt idx="0">
                  <c:v>81.70610467695542</c:v>
                </c:pt>
                <c:pt idx="1">
                  <c:v>81.70610467695542</c:v>
                </c:pt>
              </c:numCache>
            </c:numRef>
          </c:yVal>
          <c:smooth val="0"/>
          <c:extLst>
            <c:ext xmlns:c16="http://schemas.microsoft.com/office/drawing/2014/chart" uri="{C3380CC4-5D6E-409C-BE32-E72D297353CC}">
              <c16:uniqueId val="{00000007-F242-439F-BCD3-AB405D699144}"/>
            </c:ext>
          </c:extLst>
        </c:ser>
        <c:ser>
          <c:idx val="5"/>
          <c:order val="5"/>
          <c:tx>
            <c:v>GM1</c:v>
          </c:tx>
          <c:spPr>
            <a:ln w="28575" cap="rnd">
              <a:solidFill>
                <a:schemeClr val="accent6"/>
              </a:solidFill>
              <a:round/>
            </a:ln>
            <a:effectLst/>
          </c:spPr>
          <c:marker>
            <c:symbol val="none"/>
          </c:marker>
          <c:dPt>
            <c:idx val="1"/>
            <c:marker>
              <c:symbol val="none"/>
            </c:marker>
            <c:bubble3D val="0"/>
            <c:spPr>
              <a:ln w="9525" cap="rnd">
                <a:solidFill>
                  <a:schemeClr val="tx1">
                    <a:lumMod val="50000"/>
                    <a:lumOff val="50000"/>
                  </a:schemeClr>
                </a:solidFill>
                <a:prstDash val="dash"/>
                <a:round/>
              </a:ln>
              <a:effectLst/>
            </c:spPr>
            <c:extLst>
              <c:ext xmlns:c16="http://schemas.microsoft.com/office/drawing/2014/chart" uri="{C3380CC4-5D6E-409C-BE32-E72D297353CC}">
                <c16:uniqueId val="{0000000D-F242-439F-BCD3-AB405D699144}"/>
              </c:ext>
            </c:extLst>
          </c:dPt>
          <c:xVal>
            <c:numRef>
              <c:f>Loop_Response!$E$42:$E$43</c:f>
              <c:numCache>
                <c:formatCode>General</c:formatCode>
                <c:ptCount val="2"/>
                <c:pt idx="0">
                  <c:v>1000000</c:v>
                </c:pt>
                <c:pt idx="1">
                  <c:v>17989.901343244539</c:v>
                </c:pt>
              </c:numCache>
            </c:numRef>
          </c:xVal>
          <c:yVal>
            <c:numRef>
              <c:f>Loop_Response!$F$42:$F$43</c:f>
              <c:numCache>
                <c:formatCode>General</c:formatCode>
                <c:ptCount val="2"/>
                <c:pt idx="0">
                  <c:v>0</c:v>
                </c:pt>
                <c:pt idx="1">
                  <c:v>0</c:v>
                </c:pt>
              </c:numCache>
            </c:numRef>
          </c:yVal>
          <c:smooth val="0"/>
          <c:extLst>
            <c:ext xmlns:c16="http://schemas.microsoft.com/office/drawing/2014/chart" uri="{C3380CC4-5D6E-409C-BE32-E72D297353CC}">
              <c16:uniqueId val="{00000008-F242-439F-BCD3-AB405D699144}"/>
            </c:ext>
          </c:extLst>
        </c:ser>
        <c:dLbls>
          <c:showLegendKey val="0"/>
          <c:showVal val="0"/>
          <c:showCatName val="0"/>
          <c:showSerName val="0"/>
          <c:showPercent val="0"/>
          <c:showBubbleSize val="0"/>
        </c:dLbls>
        <c:axId val="1042822479"/>
        <c:axId val="1042822063"/>
      </c:scatterChart>
      <c:valAx>
        <c:axId val="1106689647"/>
        <c:scaling>
          <c:logBase val="10"/>
          <c:orientation val="minMax"/>
          <c:min val="100"/>
        </c:scaling>
        <c:delete val="0"/>
        <c:axPos val="b"/>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r>
                  <a:rPr lang="en-US" sz="1200" b="1"/>
                  <a:t>Frequency (Hz)</a:t>
                </a:r>
              </a:p>
            </c:rich>
          </c:tx>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title>
        <c:numFmt formatCode="###,###,###,###"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crossAx val="1925061759"/>
        <c:crosses val="autoZero"/>
        <c:crossBetween val="midCat"/>
      </c:valAx>
      <c:valAx>
        <c:axId val="1925061759"/>
        <c:scaling>
          <c:orientation val="minMax"/>
          <c:max val="60"/>
          <c:min val="-6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r>
                  <a:rPr lang="en-US" sz="1200" b="1">
                    <a:solidFill>
                      <a:srgbClr val="0070C0"/>
                    </a:solidFill>
                  </a:rPr>
                  <a:t>Gain</a:t>
                </a:r>
                <a:r>
                  <a:rPr lang="en-US" sz="1200" b="1" baseline="0">
                    <a:solidFill>
                      <a:srgbClr val="0070C0"/>
                    </a:solidFill>
                  </a:rPr>
                  <a:t> (dB)</a:t>
                </a:r>
                <a:endParaRPr lang="en-US" sz="1200" b="1">
                  <a:solidFill>
                    <a:srgbClr val="0070C0"/>
                  </a:solidFill>
                </a:endParaRPr>
              </a:p>
            </c:rich>
          </c:tx>
          <c:overlay val="0"/>
          <c:spPr>
            <a:noFill/>
            <a:ln>
              <a:noFill/>
            </a:ln>
            <a:effectLst/>
          </c:spPr>
          <c:txPr>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out"/>
        <c:minorTickMark val="none"/>
        <c:tickLblPos val="nextTo"/>
        <c:spPr>
          <a:noFill/>
          <a:ln>
            <a:solidFill>
              <a:sysClr val="windowText" lastClr="000000"/>
            </a:solidFill>
          </a:ln>
          <a:effectLst/>
        </c:spPr>
        <c:txPr>
          <a:bodyPr rot="-60000000" spcFirstLastPara="1" vertOverflow="ellipsis" vert="horz" wrap="square" anchor="ctr" anchorCtr="1"/>
          <a:lstStyle/>
          <a:p>
            <a:pPr>
              <a:defRPr sz="1000" b="0" i="0" u="none" strike="noStrike" kern="1200" baseline="0">
                <a:solidFill>
                  <a:srgbClr val="0070C0"/>
                </a:solidFill>
                <a:latin typeface="+mn-lt"/>
                <a:ea typeface="+mn-ea"/>
                <a:cs typeface="+mn-cs"/>
              </a:defRPr>
            </a:pPr>
            <a:endParaRPr lang="en-US"/>
          </a:p>
        </c:txPr>
        <c:crossAx val="1106689647"/>
        <c:crosses val="autoZero"/>
        <c:crossBetween val="midCat"/>
        <c:majorUnit val="10"/>
        <c:minorUnit val="10"/>
      </c:valAx>
      <c:valAx>
        <c:axId val="1042822063"/>
        <c:scaling>
          <c:orientation val="minMax"/>
          <c:max val="180"/>
          <c:min val="-180"/>
        </c:scaling>
        <c:delete val="0"/>
        <c:axPos val="r"/>
        <c:title>
          <c:tx>
            <c:rich>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r>
                  <a:rPr lang="en-US" sz="1200" b="1">
                    <a:solidFill>
                      <a:schemeClr val="accent2"/>
                    </a:solidFill>
                  </a:rPr>
                  <a:t>Phase</a:t>
                </a:r>
                <a:r>
                  <a:rPr lang="en-US" sz="1200" b="1" baseline="0">
                    <a:solidFill>
                      <a:schemeClr val="accent2"/>
                    </a:solidFill>
                  </a:rPr>
                  <a:t> - (-180) (</a:t>
                </a:r>
                <a:r>
                  <a:rPr lang="en-US" sz="1200" b="1" baseline="0">
                    <a:solidFill>
                      <a:schemeClr val="accent2"/>
                    </a:solidFill>
                    <a:latin typeface="Calibri" panose="020F0502020204030204" pitchFamily="34" charset="0"/>
                    <a:cs typeface="Calibri" panose="020F0502020204030204" pitchFamily="34" charset="0"/>
                  </a:rPr>
                  <a:t>˚)</a:t>
                </a:r>
                <a:endParaRPr lang="en-US" sz="1200" b="1">
                  <a:solidFill>
                    <a:schemeClr val="accent2"/>
                  </a:solidFill>
                </a:endParaRPr>
              </a:p>
            </c:rich>
          </c:tx>
          <c:overlay val="0"/>
          <c:spPr>
            <a:noFill/>
            <a:ln>
              <a:noFill/>
            </a:ln>
            <a:effectLst/>
          </c:spPr>
          <c:txPr>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out"/>
        <c:minorTickMark val="none"/>
        <c:tickLblPos val="nextTo"/>
        <c:spPr>
          <a:noFill/>
          <a:ln>
            <a:solidFill>
              <a:sysClr val="windowText" lastClr="000000"/>
            </a:solidFill>
          </a:ln>
          <a:effectLst/>
        </c:spPr>
        <c:txPr>
          <a:bodyPr rot="-60000000" spcFirstLastPara="1" vertOverflow="ellipsis" vert="horz" wrap="square" anchor="ctr" anchorCtr="1"/>
          <a:lstStyle/>
          <a:p>
            <a:pPr>
              <a:defRPr sz="1000" b="0" i="0" u="none" strike="noStrike" kern="1200" baseline="0">
                <a:solidFill>
                  <a:schemeClr val="accent2"/>
                </a:solidFill>
                <a:latin typeface="+mn-lt"/>
                <a:ea typeface="+mn-ea"/>
                <a:cs typeface="+mn-cs"/>
              </a:defRPr>
            </a:pPr>
            <a:endParaRPr lang="en-US"/>
          </a:p>
        </c:txPr>
        <c:crossAx val="1042822479"/>
        <c:crosses val="max"/>
        <c:crossBetween val="midCat"/>
        <c:majorUnit val="30"/>
        <c:minorUnit val="30"/>
      </c:valAx>
      <c:valAx>
        <c:axId val="1042822479"/>
        <c:scaling>
          <c:logBase val="10"/>
          <c:orientation val="minMax"/>
        </c:scaling>
        <c:delete val="1"/>
        <c:axPos val="b"/>
        <c:numFmt formatCode="###,###,###,###" sourceLinked="1"/>
        <c:majorTickMark val="out"/>
        <c:minorTickMark val="none"/>
        <c:tickLblPos val="nextTo"/>
        <c:crossAx val="1042822063"/>
        <c:crosses val="autoZero"/>
        <c:crossBetween val="midCat"/>
      </c:valAx>
      <c:spPr>
        <a:noFill/>
        <a:ln>
          <a:solidFill>
            <a:schemeClr val="tx1"/>
          </a:solidFill>
        </a:ln>
        <a:effectLst/>
      </c:spPr>
    </c:plotArea>
    <c:legend>
      <c:legendPos val="r"/>
      <c:legendEntry>
        <c:idx val="1"/>
        <c:delete val="1"/>
      </c:legendEntry>
      <c:legendEntry>
        <c:idx val="2"/>
        <c:delete val="1"/>
      </c:legendEntry>
      <c:legendEntry>
        <c:idx val="6"/>
        <c:delete val="1"/>
      </c:legendEntry>
      <c:legendEntry>
        <c:idx val="7"/>
        <c:delete val="1"/>
      </c:legendEntry>
      <c:layout>
        <c:manualLayout>
          <c:xMode val="edge"/>
          <c:yMode val="edge"/>
          <c:x val="0.12372260583432337"/>
          <c:y val="0.57048287252532592"/>
          <c:w val="0.22484628739987852"/>
          <c:h val="0.23169220427004267"/>
        </c:manualLayout>
      </c:layout>
      <c:overlay val="0"/>
      <c:spPr>
        <a:solidFill>
          <a:schemeClr val="bg1"/>
        </a:solidFill>
        <a:ln>
          <a:solidFill>
            <a:schemeClr val="tx1">
              <a:lumMod val="65000"/>
              <a:lumOff val="35000"/>
            </a:schemeClr>
          </a:solid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zh-CN"/>
              <a:t>Loss Percent</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8.4976673206295206E-2"/>
          <c:y val="0.13270359994196387"/>
          <c:w val="0.42579668950883326"/>
          <c:h val="0.84470554096396711"/>
        </c:manualLayout>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E863-4D1C-A7E7-E35434CBB036}"/>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E863-4D1C-A7E7-E35434CBB036}"/>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E863-4D1C-A7E7-E35434CBB036}"/>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E863-4D1C-A7E7-E35434CBB036}"/>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E863-4D1C-A7E7-E35434CBB036}"/>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E863-4D1C-A7E7-E35434CBB036}"/>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E863-4D1C-A7E7-E35434CBB036}"/>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E863-4D1C-A7E7-E35434CBB036}"/>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11-E863-4D1C-A7E7-E35434CBB036}"/>
              </c:ext>
            </c:extLst>
          </c:dPt>
          <c:dPt>
            <c:idx val="9"/>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13-E863-4D1C-A7E7-E35434CBB036}"/>
              </c:ext>
            </c:extLst>
          </c:dPt>
          <c:dLbls>
            <c:numFmt formatCode="0.0%" sourceLinked="0"/>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Efficiency!$A$12:$A$21</c:f>
              <c:strCache>
                <c:ptCount val="10"/>
                <c:pt idx="0">
                  <c:v>Inductor loss ① </c:v>
                </c:pt>
                <c:pt idx="1">
                  <c:v>Conduction loss ② </c:v>
                </c:pt>
                <c:pt idx="2">
                  <c:v>Switching loss ③ </c:v>
                </c:pt>
                <c:pt idx="3">
                  <c:v>Drive (Qg) loss ④ </c:v>
                </c:pt>
                <c:pt idx="4">
                  <c:v>Switching FET output loss ⑤ </c:v>
                </c:pt>
                <c:pt idx="5">
                  <c:v>VCC (LDO) loss ⑥ </c:v>
                </c:pt>
                <c:pt idx="6">
                  <c:v>Dead time (body diode forward on) loss ⑦ </c:v>
                </c:pt>
                <c:pt idx="7">
                  <c:v>Body diode recovery loss ⑧ </c:v>
                </c:pt>
                <c:pt idx="8">
                  <c:v>IC static loss ⑨ </c:v>
                </c:pt>
                <c:pt idx="9">
                  <c:v>Feedback resistors loss ⑩ </c:v>
                </c:pt>
              </c:strCache>
            </c:strRef>
          </c:cat>
          <c:val>
            <c:numRef>
              <c:f>Efficiency!$B$12:$B$21</c:f>
              <c:numCache>
                <c:formatCode>General</c:formatCode>
                <c:ptCount val="10"/>
                <c:pt idx="0">
                  <c:v>990.02643844767056</c:v>
                </c:pt>
                <c:pt idx="1">
                  <c:v>1168.3279277391975</c:v>
                </c:pt>
                <c:pt idx="2">
                  <c:v>763.34959556286935</c:v>
                </c:pt>
                <c:pt idx="3">
                  <c:v>25.7056</c:v>
                </c:pt>
                <c:pt idx="4">
                  <c:v>72.576000000000008</c:v>
                </c:pt>
                <c:pt idx="5">
                  <c:v>74.88</c:v>
                </c:pt>
                <c:pt idx="6">
                  <c:v>222.68305454545455</c:v>
                </c:pt>
                <c:pt idx="7">
                  <c:v>5.76</c:v>
                </c:pt>
                <c:pt idx="8">
                  <c:v>3.7907999999999999</c:v>
                </c:pt>
                <c:pt idx="9">
                  <c:v>1.2587412587412585</c:v>
                </c:pt>
              </c:numCache>
            </c:numRef>
          </c:val>
          <c:extLst>
            <c:ext xmlns:c16="http://schemas.microsoft.com/office/drawing/2014/chart" uri="{C3380CC4-5D6E-409C-BE32-E72D297353CC}">
              <c16:uniqueId val="{00000000-9C0C-492A-BE1B-1188625B3CE2}"/>
            </c:ext>
          </c:extLst>
        </c:ser>
        <c:dLbls>
          <c:dLblPos val="bestFit"/>
          <c:showLegendKey val="0"/>
          <c:showVal val="1"/>
          <c:showCatName val="0"/>
          <c:showSerName val="0"/>
          <c:showPercent val="0"/>
          <c:showBubbleSize val="0"/>
          <c:showLeaderLines val="1"/>
        </c:dLbls>
        <c:firstSliceAng val="0"/>
      </c:pieChart>
      <c:spPr>
        <a:noFill/>
        <a:ln>
          <a:noFill/>
        </a:ln>
        <a:effectLst/>
      </c:spPr>
    </c:plotArea>
    <c:legend>
      <c:legendPos val="r"/>
      <c:layout>
        <c:manualLayout>
          <c:xMode val="edge"/>
          <c:yMode val="edge"/>
          <c:x val="0.55844078549087728"/>
          <c:y val="5.7268254698616086E-2"/>
          <c:w val="0.42293482457747211"/>
          <c:h val="0.8789095692871095"/>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trlProps/ctrlProp1.xml><?xml version="1.0" encoding="utf-8"?>
<formControlPr xmlns="http://schemas.microsoft.com/office/spreadsheetml/2009/9/main" objectType="Spin" dx="35" fmlaLink="$G$6" max="30000" page="10" val="3"/>
</file>

<file path=xl/ctrlProps/ctrlProp2.xml><?xml version="1.0" encoding="utf-8"?>
<formControlPr xmlns="http://schemas.microsoft.com/office/spreadsheetml/2009/9/main" objectType="Spin" dx="35" fmlaLink="$G$9" max="30000" page="10" val="2"/>
</file>

<file path=xl/ctrlProps/ctrlProp3.xml><?xml version="1.0" encoding="utf-8"?>
<formControlPr xmlns="http://schemas.microsoft.com/office/spreadsheetml/2009/9/main" objectType="Spin" dx="35" fmlaLink="$G$8" max="30000" page="10" val="18"/>
</file>

<file path=xl/ctrlProps/ctrlProp4.xml><?xml version="1.0" encoding="utf-8"?>
<formControlPr xmlns="http://schemas.microsoft.com/office/spreadsheetml/2009/9/main" objectType="Spin" dx="35" fmlaLink="$G$5" max="30000" page="10" val="3"/>
</file>

<file path=xl/ctrlProps/ctrlProp5.xml><?xml version="1.0" encoding="utf-8"?>
<formControlPr xmlns="http://schemas.microsoft.com/office/spreadsheetml/2009/9/main" objectType="Spin" dx="35" fmlaLink="$G$9" max="30000" page="10" val="2"/>
</file>

<file path=xl/ctrlProps/ctrlProp6.xml><?xml version="1.0" encoding="utf-8"?>
<formControlPr xmlns="http://schemas.microsoft.com/office/spreadsheetml/2009/9/main" objectType="Spin" dx="35" fmlaLink="$G$8" max="30000" page="10" val="18"/>
</file>

<file path=xl/drawings/_rels/drawing1.xml.rels><?xml version="1.0" encoding="UTF-8" standalone="yes"?>
<Relationships xmlns="http://schemas.openxmlformats.org/package/2006/relationships"><Relationship Id="rId8" Type="http://schemas.openxmlformats.org/officeDocument/2006/relationships/image" Target="../media/image9.png"/><Relationship Id="rId13" Type="http://schemas.openxmlformats.org/officeDocument/2006/relationships/image" Target="../media/image12.png"/><Relationship Id="rId3" Type="http://schemas.openxmlformats.org/officeDocument/2006/relationships/image" Target="../media/image4.png"/><Relationship Id="rId7" Type="http://schemas.openxmlformats.org/officeDocument/2006/relationships/image" Target="../media/image8.png"/><Relationship Id="rId12" Type="http://schemas.openxmlformats.org/officeDocument/2006/relationships/image" Target="../media/image11.png"/><Relationship Id="rId2" Type="http://schemas.openxmlformats.org/officeDocument/2006/relationships/image" Target="../media/image3.png"/><Relationship Id="rId1" Type="http://schemas.openxmlformats.org/officeDocument/2006/relationships/image" Target="../media/image2.png"/><Relationship Id="rId6" Type="http://schemas.openxmlformats.org/officeDocument/2006/relationships/image" Target="../media/image7.png"/><Relationship Id="rId11" Type="http://schemas.openxmlformats.org/officeDocument/2006/relationships/chart" Target="../charts/chart2.xml"/><Relationship Id="rId5" Type="http://schemas.openxmlformats.org/officeDocument/2006/relationships/image" Target="../media/image6.png"/><Relationship Id="rId15" Type="http://schemas.openxmlformats.org/officeDocument/2006/relationships/image" Target="../media/image14.png"/><Relationship Id="rId10" Type="http://schemas.openxmlformats.org/officeDocument/2006/relationships/chart" Target="../charts/chart1.xml"/><Relationship Id="rId4" Type="http://schemas.openxmlformats.org/officeDocument/2006/relationships/image" Target="../media/image5.png"/><Relationship Id="rId9" Type="http://schemas.openxmlformats.org/officeDocument/2006/relationships/image" Target="../media/image10.png"/><Relationship Id="rId14" Type="http://schemas.openxmlformats.org/officeDocument/2006/relationships/image" Target="../media/image13.png"/></Relationships>
</file>

<file path=xl/drawings/_rels/drawing2.xml.rels><?xml version="1.0" encoding="UTF-8" standalone="yes"?>
<Relationships xmlns="http://schemas.openxmlformats.org/package/2006/relationships"><Relationship Id="rId8" Type="http://schemas.openxmlformats.org/officeDocument/2006/relationships/image" Target="../media/image21.png"/><Relationship Id="rId3" Type="http://schemas.openxmlformats.org/officeDocument/2006/relationships/image" Target="../media/image16.png"/><Relationship Id="rId7" Type="http://schemas.openxmlformats.org/officeDocument/2006/relationships/image" Target="../media/image20.jpeg"/><Relationship Id="rId12" Type="http://schemas.openxmlformats.org/officeDocument/2006/relationships/image" Target="../media/image25.png"/><Relationship Id="rId2" Type="http://schemas.openxmlformats.org/officeDocument/2006/relationships/image" Target="../media/image15.png"/><Relationship Id="rId1" Type="http://schemas.openxmlformats.org/officeDocument/2006/relationships/chart" Target="../charts/chart3.xml"/><Relationship Id="rId6" Type="http://schemas.openxmlformats.org/officeDocument/2006/relationships/image" Target="../media/image19.png"/><Relationship Id="rId11" Type="http://schemas.openxmlformats.org/officeDocument/2006/relationships/image" Target="../media/image24.jpeg"/><Relationship Id="rId5" Type="http://schemas.openxmlformats.org/officeDocument/2006/relationships/image" Target="../media/image18.png"/><Relationship Id="rId10" Type="http://schemas.openxmlformats.org/officeDocument/2006/relationships/image" Target="../media/image23.png"/><Relationship Id="rId4" Type="http://schemas.openxmlformats.org/officeDocument/2006/relationships/image" Target="../media/image17.png"/><Relationship Id="rId9" Type="http://schemas.openxmlformats.org/officeDocument/2006/relationships/image" Target="../media/image22.jpeg"/></Relationships>
</file>

<file path=xl/drawings/_rels/drawing3.xml.rels><?xml version="1.0" encoding="UTF-8" standalone="yes"?>
<Relationships xmlns="http://schemas.openxmlformats.org/package/2006/relationships"><Relationship Id="rId8" Type="http://schemas.openxmlformats.org/officeDocument/2006/relationships/image" Target="../media/image33.png"/><Relationship Id="rId3" Type="http://schemas.openxmlformats.org/officeDocument/2006/relationships/image" Target="../media/image28.png"/><Relationship Id="rId7" Type="http://schemas.openxmlformats.org/officeDocument/2006/relationships/image" Target="../media/image32.png"/><Relationship Id="rId2" Type="http://schemas.openxmlformats.org/officeDocument/2006/relationships/image" Target="../media/image27.png"/><Relationship Id="rId1" Type="http://schemas.openxmlformats.org/officeDocument/2006/relationships/image" Target="../media/image26.png"/><Relationship Id="rId6" Type="http://schemas.openxmlformats.org/officeDocument/2006/relationships/image" Target="../media/image31.png"/><Relationship Id="rId5" Type="http://schemas.openxmlformats.org/officeDocument/2006/relationships/image" Target="../media/image30.png"/><Relationship Id="rId10" Type="http://schemas.openxmlformats.org/officeDocument/2006/relationships/image" Target="../media/image35.png"/><Relationship Id="rId4" Type="http://schemas.openxmlformats.org/officeDocument/2006/relationships/image" Target="../media/image29.png"/><Relationship Id="rId9" Type="http://schemas.openxmlformats.org/officeDocument/2006/relationships/image" Target="../media/image34.png"/></Relationships>
</file>

<file path=xl/drawings/_rels/drawing4.xml.rels><?xml version="1.0" encoding="UTF-8" standalone="yes"?>
<Relationships xmlns="http://schemas.openxmlformats.org/package/2006/relationships"><Relationship Id="rId8" Type="http://schemas.openxmlformats.org/officeDocument/2006/relationships/image" Target="../media/image43.png"/><Relationship Id="rId13" Type="http://schemas.openxmlformats.org/officeDocument/2006/relationships/image" Target="../media/image48.png"/><Relationship Id="rId18" Type="http://schemas.openxmlformats.org/officeDocument/2006/relationships/image" Target="../media/image52.png"/><Relationship Id="rId3" Type="http://schemas.openxmlformats.org/officeDocument/2006/relationships/image" Target="../media/image38.png"/><Relationship Id="rId7" Type="http://schemas.openxmlformats.org/officeDocument/2006/relationships/image" Target="../media/image42.png"/><Relationship Id="rId12" Type="http://schemas.openxmlformats.org/officeDocument/2006/relationships/image" Target="../media/image47.png"/><Relationship Id="rId17" Type="http://schemas.openxmlformats.org/officeDocument/2006/relationships/image" Target="../media/image51.png"/><Relationship Id="rId2" Type="http://schemas.openxmlformats.org/officeDocument/2006/relationships/image" Target="../media/image37.png"/><Relationship Id="rId16" Type="http://schemas.openxmlformats.org/officeDocument/2006/relationships/chart" Target="../charts/chart4.xml"/><Relationship Id="rId1" Type="http://schemas.openxmlformats.org/officeDocument/2006/relationships/image" Target="../media/image36.png"/><Relationship Id="rId6" Type="http://schemas.openxmlformats.org/officeDocument/2006/relationships/image" Target="../media/image41.png"/><Relationship Id="rId11" Type="http://schemas.openxmlformats.org/officeDocument/2006/relationships/image" Target="../media/image46.png"/><Relationship Id="rId5" Type="http://schemas.openxmlformats.org/officeDocument/2006/relationships/image" Target="../media/image40.png"/><Relationship Id="rId15" Type="http://schemas.openxmlformats.org/officeDocument/2006/relationships/image" Target="../media/image50.png"/><Relationship Id="rId10" Type="http://schemas.openxmlformats.org/officeDocument/2006/relationships/image" Target="../media/image45.png"/><Relationship Id="rId19" Type="http://schemas.openxmlformats.org/officeDocument/2006/relationships/image" Target="../media/image53.png"/><Relationship Id="rId4" Type="http://schemas.openxmlformats.org/officeDocument/2006/relationships/image" Target="../media/image39.png"/><Relationship Id="rId9" Type="http://schemas.openxmlformats.org/officeDocument/2006/relationships/image" Target="../media/image44.png"/><Relationship Id="rId14" Type="http://schemas.openxmlformats.org/officeDocument/2006/relationships/image" Target="../media/image49.png"/></Relationships>
</file>

<file path=xl/drawings/_rels/drawing5.xml.rels><?xml version="1.0" encoding="UTF-8" standalone="yes"?>
<Relationships xmlns="http://schemas.openxmlformats.org/package/2006/relationships"><Relationship Id="rId3" Type="http://schemas.openxmlformats.org/officeDocument/2006/relationships/hyperlink" Target="http://www.ti.com/corp/docs/legal/copyright.shtml" TargetMode="External"/><Relationship Id="rId2" Type="http://schemas.openxmlformats.org/officeDocument/2006/relationships/image" Target="../media/image54.gif"/><Relationship Id="rId1" Type="http://schemas.openxmlformats.org/officeDocument/2006/relationships/hyperlink" Target="http://www.ti.com"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771525</xdr:colOff>
      <xdr:row>0</xdr:row>
      <xdr:rowOff>0</xdr:rowOff>
    </xdr:from>
    <xdr:to>
      <xdr:col>2</xdr:col>
      <xdr:colOff>571956</xdr:colOff>
      <xdr:row>0</xdr:row>
      <xdr:rowOff>535490</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771525" y="0"/>
          <a:ext cx="1933617" cy="535490"/>
        </a:xfrm>
        <a:prstGeom prst="rect">
          <a:avLst/>
        </a:prstGeom>
      </xdr:spPr>
    </xdr:pic>
    <xdr:clientData/>
  </xdr:twoCellAnchor>
  <xdr:twoCellAnchor editAs="oneCell">
    <xdr:from>
      <xdr:col>8</xdr:col>
      <xdr:colOff>161714</xdr:colOff>
      <xdr:row>44</xdr:row>
      <xdr:rowOff>34868</xdr:rowOff>
    </xdr:from>
    <xdr:to>
      <xdr:col>12</xdr:col>
      <xdr:colOff>238737</xdr:colOff>
      <xdr:row>52</xdr:row>
      <xdr:rowOff>191787</xdr:rowOff>
    </xdr:to>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2"/>
        <a:stretch>
          <a:fillRect/>
        </a:stretch>
      </xdr:blipFill>
      <xdr:spPr>
        <a:xfrm>
          <a:off x="7616062" y="11539411"/>
          <a:ext cx="2755915" cy="1929397"/>
        </a:xfrm>
        <a:prstGeom prst="rect">
          <a:avLst/>
        </a:prstGeom>
      </xdr:spPr>
    </xdr:pic>
    <xdr:clientData/>
  </xdr:twoCellAnchor>
  <xdr:twoCellAnchor editAs="oneCell">
    <xdr:from>
      <xdr:col>8</xdr:col>
      <xdr:colOff>75826</xdr:colOff>
      <xdr:row>54</xdr:row>
      <xdr:rowOff>38941</xdr:rowOff>
    </xdr:from>
    <xdr:to>
      <xdr:col>12</xdr:col>
      <xdr:colOff>76199</xdr:colOff>
      <xdr:row>62</xdr:row>
      <xdr:rowOff>167057</xdr:rowOff>
    </xdr:to>
    <xdr:pic>
      <xdr:nvPicPr>
        <xdr:cNvPr id="10" name="Picture 9">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3"/>
        <a:stretch>
          <a:fillRect/>
        </a:stretch>
      </xdr:blipFill>
      <xdr:spPr>
        <a:xfrm>
          <a:off x="7010026" y="12526216"/>
          <a:ext cx="2657849" cy="1956916"/>
        </a:xfrm>
        <a:prstGeom prst="rect">
          <a:avLst/>
        </a:prstGeom>
      </xdr:spPr>
    </xdr:pic>
    <xdr:clientData/>
  </xdr:twoCellAnchor>
  <xdr:twoCellAnchor editAs="oneCell">
    <xdr:from>
      <xdr:col>8</xdr:col>
      <xdr:colOff>184879</xdr:colOff>
      <xdr:row>63</xdr:row>
      <xdr:rowOff>186418</xdr:rowOff>
    </xdr:from>
    <xdr:to>
      <xdr:col>12</xdr:col>
      <xdr:colOff>275628</xdr:colOff>
      <xdr:row>70</xdr:row>
      <xdr:rowOff>155027</xdr:rowOff>
    </xdr:to>
    <xdr:pic>
      <xdr:nvPicPr>
        <xdr:cNvPr id="13" name="Picture 12">
          <a:extLst>
            <a:ext uri="{FF2B5EF4-FFF2-40B4-BE49-F238E27FC236}">
              <a16:creationId xmlns:a16="http://schemas.microsoft.com/office/drawing/2014/main" id="{00000000-0008-0000-0000-00000D000000}"/>
            </a:ext>
          </a:extLst>
        </xdr:cNvPr>
        <xdr:cNvPicPr>
          <a:picLocks noChangeAspect="1"/>
        </xdr:cNvPicPr>
      </xdr:nvPicPr>
      <xdr:blipFill>
        <a:blip xmlns:r="http://schemas.openxmlformats.org/officeDocument/2006/relationships" r:embed="rId4"/>
        <a:stretch>
          <a:fillRect/>
        </a:stretch>
      </xdr:blipFill>
      <xdr:spPr>
        <a:xfrm>
          <a:off x="7119079" y="14731093"/>
          <a:ext cx="2748225" cy="1530709"/>
        </a:xfrm>
        <a:prstGeom prst="rect">
          <a:avLst/>
        </a:prstGeom>
      </xdr:spPr>
    </xdr:pic>
    <xdr:clientData/>
  </xdr:twoCellAnchor>
  <xdr:twoCellAnchor editAs="oneCell">
    <xdr:from>
      <xdr:col>13</xdr:col>
      <xdr:colOff>547599</xdr:colOff>
      <xdr:row>65</xdr:row>
      <xdr:rowOff>77917</xdr:rowOff>
    </xdr:from>
    <xdr:to>
      <xdr:col>17</xdr:col>
      <xdr:colOff>371024</xdr:colOff>
      <xdr:row>70</xdr:row>
      <xdr:rowOff>20223</xdr:rowOff>
    </xdr:to>
    <xdr:pic>
      <xdr:nvPicPr>
        <xdr:cNvPr id="14" name="Picture 13">
          <a:extLst>
            <a:ext uri="{FF2B5EF4-FFF2-40B4-BE49-F238E27FC236}">
              <a16:creationId xmlns:a16="http://schemas.microsoft.com/office/drawing/2014/main" id="{00000000-0008-0000-0000-00000E000000}"/>
            </a:ext>
          </a:extLst>
        </xdr:cNvPr>
        <xdr:cNvPicPr>
          <a:picLocks noChangeAspect="1"/>
        </xdr:cNvPicPr>
      </xdr:nvPicPr>
      <xdr:blipFill>
        <a:blip xmlns:r="http://schemas.openxmlformats.org/officeDocument/2006/relationships" r:embed="rId5"/>
        <a:stretch>
          <a:fillRect/>
        </a:stretch>
      </xdr:blipFill>
      <xdr:spPr>
        <a:xfrm>
          <a:off x="10720299" y="15041692"/>
          <a:ext cx="2576150" cy="1085306"/>
        </a:xfrm>
        <a:prstGeom prst="rect">
          <a:avLst/>
        </a:prstGeom>
      </xdr:spPr>
    </xdr:pic>
    <xdr:clientData/>
  </xdr:twoCellAnchor>
  <xdr:twoCellAnchor editAs="oneCell">
    <xdr:from>
      <xdr:col>8</xdr:col>
      <xdr:colOff>431525</xdr:colOff>
      <xdr:row>72</xdr:row>
      <xdr:rowOff>75077</xdr:rowOff>
    </xdr:from>
    <xdr:to>
      <xdr:col>10</xdr:col>
      <xdr:colOff>228601</xdr:colOff>
      <xdr:row>76</xdr:row>
      <xdr:rowOff>188790</xdr:rowOff>
    </xdr:to>
    <xdr:pic>
      <xdr:nvPicPr>
        <xdr:cNvPr id="16" name="Picture 15">
          <a:extLst>
            <a:ext uri="{FF2B5EF4-FFF2-40B4-BE49-F238E27FC236}">
              <a16:creationId xmlns:a16="http://schemas.microsoft.com/office/drawing/2014/main" id="{00000000-0008-0000-0000-000010000000}"/>
            </a:ext>
          </a:extLst>
        </xdr:cNvPr>
        <xdr:cNvPicPr>
          <a:picLocks noChangeAspect="1"/>
        </xdr:cNvPicPr>
      </xdr:nvPicPr>
      <xdr:blipFill>
        <a:blip xmlns:r="http://schemas.openxmlformats.org/officeDocument/2006/relationships" r:embed="rId6"/>
        <a:stretch>
          <a:fillRect/>
        </a:stretch>
      </xdr:blipFill>
      <xdr:spPr>
        <a:xfrm>
          <a:off x="7365725" y="16600952"/>
          <a:ext cx="1378226" cy="990013"/>
        </a:xfrm>
        <a:prstGeom prst="rect">
          <a:avLst/>
        </a:prstGeom>
      </xdr:spPr>
    </xdr:pic>
    <xdr:clientData/>
  </xdr:twoCellAnchor>
  <xdr:twoCellAnchor editAs="oneCell">
    <xdr:from>
      <xdr:col>13</xdr:col>
      <xdr:colOff>587831</xdr:colOff>
      <xdr:row>72</xdr:row>
      <xdr:rowOff>31413</xdr:rowOff>
    </xdr:from>
    <xdr:to>
      <xdr:col>16</xdr:col>
      <xdr:colOff>19050</xdr:colOff>
      <xdr:row>76</xdr:row>
      <xdr:rowOff>227491</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7"/>
        <a:stretch>
          <a:fillRect/>
        </a:stretch>
      </xdr:blipFill>
      <xdr:spPr>
        <a:xfrm>
          <a:off x="10760531" y="16557288"/>
          <a:ext cx="1260019" cy="1072378"/>
        </a:xfrm>
        <a:prstGeom prst="rect">
          <a:avLst/>
        </a:prstGeom>
      </xdr:spPr>
    </xdr:pic>
    <xdr:clientData/>
  </xdr:twoCellAnchor>
  <xdr:twoCellAnchor editAs="oneCell">
    <xdr:from>
      <xdr:col>13</xdr:col>
      <xdr:colOff>572861</xdr:colOff>
      <xdr:row>46</xdr:row>
      <xdr:rowOff>7742</xdr:rowOff>
    </xdr:from>
    <xdr:to>
      <xdr:col>17</xdr:col>
      <xdr:colOff>696709</xdr:colOff>
      <xdr:row>50</xdr:row>
      <xdr:rowOff>63965</xdr:rowOff>
    </xdr:to>
    <xdr:pic>
      <xdr:nvPicPr>
        <xdr:cNvPr id="6" name="Picture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8"/>
        <a:stretch>
          <a:fillRect/>
        </a:stretch>
      </xdr:blipFill>
      <xdr:spPr>
        <a:xfrm>
          <a:off x="9754961" y="10894817"/>
          <a:ext cx="3112203" cy="899854"/>
        </a:xfrm>
        <a:prstGeom prst="rect">
          <a:avLst/>
        </a:prstGeom>
      </xdr:spPr>
    </xdr:pic>
    <xdr:clientData/>
  </xdr:twoCellAnchor>
  <xdr:twoCellAnchor editAs="oneCell">
    <xdr:from>
      <xdr:col>13</xdr:col>
      <xdr:colOff>474889</xdr:colOff>
      <xdr:row>55</xdr:row>
      <xdr:rowOff>151317</xdr:rowOff>
    </xdr:from>
    <xdr:to>
      <xdr:col>17</xdr:col>
      <xdr:colOff>575666</xdr:colOff>
      <xdr:row>59</xdr:row>
      <xdr:rowOff>200035</xdr:rowOff>
    </xdr:to>
    <xdr:pic>
      <xdr:nvPicPr>
        <xdr:cNvPr id="7" name="Picture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9"/>
        <a:stretch>
          <a:fillRect/>
        </a:stretch>
      </xdr:blipFill>
      <xdr:spPr>
        <a:xfrm>
          <a:off x="10647589" y="12867192"/>
          <a:ext cx="2853502" cy="963118"/>
        </a:xfrm>
        <a:prstGeom prst="rect">
          <a:avLst/>
        </a:prstGeom>
      </xdr:spPr>
    </xdr:pic>
    <xdr:clientData/>
  </xdr:twoCellAnchor>
  <xdr:twoCellAnchor>
    <xdr:from>
      <xdr:col>8</xdr:col>
      <xdr:colOff>463363</xdr:colOff>
      <xdr:row>78</xdr:row>
      <xdr:rowOff>38904</xdr:rowOff>
    </xdr:from>
    <xdr:to>
      <xdr:col>17</xdr:col>
      <xdr:colOff>981075</xdr:colOff>
      <xdr:row>96</xdr:row>
      <xdr:rowOff>104775</xdr:rowOff>
    </xdr:to>
    <xdr:graphicFrame macro="">
      <xdr:nvGraphicFramePr>
        <xdr:cNvPr id="20" name="Chart 19">
          <a:extLst>
            <a:ext uri="{FF2B5EF4-FFF2-40B4-BE49-F238E27FC236}">
              <a16:creationId xmlns:a16="http://schemas.microsoft.com/office/drawing/2014/main" id="{00000000-0008-0000-0000-00001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mc:AlternateContent xmlns:mc="http://schemas.openxmlformats.org/markup-compatibility/2006">
    <mc:Choice xmlns:a14="http://schemas.microsoft.com/office/drawing/2010/main" Requires="a14">
      <xdr:twoCellAnchor>
        <xdr:from>
          <xdr:col>6</xdr:col>
          <xdr:colOff>0</xdr:colOff>
          <xdr:row>5</xdr:row>
          <xdr:rowOff>9525</xdr:rowOff>
        </xdr:from>
        <xdr:to>
          <xdr:col>6</xdr:col>
          <xdr:colOff>276225</xdr:colOff>
          <xdr:row>5</xdr:row>
          <xdr:rowOff>209550</xdr:rowOff>
        </xdr:to>
        <xdr:sp macro="" textlink="">
          <xdr:nvSpPr>
            <xdr:cNvPr id="1089" name="Spinner 65" hidden="1">
              <a:extLst>
                <a:ext uri="{63B3BB69-23CF-44E3-9099-C40C66FF867C}">
                  <a14:compatExt spid="_x0000_s1089"/>
                </a:ext>
                <a:ext uri="{FF2B5EF4-FFF2-40B4-BE49-F238E27FC236}">
                  <a16:creationId xmlns:a16="http://schemas.microsoft.com/office/drawing/2014/main" id="{00000000-0008-0000-0000-000041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twoCellAnchor editAs="absolute">
    <xdr:from>
      <xdr:col>9</xdr:col>
      <xdr:colOff>656105</xdr:colOff>
      <xdr:row>18</xdr:row>
      <xdr:rowOff>200024</xdr:rowOff>
    </xdr:from>
    <xdr:to>
      <xdr:col>17</xdr:col>
      <xdr:colOff>818030</xdr:colOff>
      <xdr:row>27</xdr:row>
      <xdr:rowOff>9524</xdr:rowOff>
    </xdr:to>
    <xdr:graphicFrame macro="">
      <xdr:nvGraphicFramePr>
        <xdr:cNvPr id="18" name="Chart 17">
          <a:extLst>
            <a:ext uri="{FF2B5EF4-FFF2-40B4-BE49-F238E27FC236}">
              <a16:creationId xmlns:a16="http://schemas.microsoft.com/office/drawing/2014/main" id="{00000000-0008-0000-0000-00001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fLocksWithSheet="0"/>
  </xdr:twoCellAnchor>
  <xdr:twoCellAnchor editAs="oneCell">
    <xdr:from>
      <xdr:col>22</xdr:col>
      <xdr:colOff>0</xdr:colOff>
      <xdr:row>33</xdr:row>
      <xdr:rowOff>0</xdr:rowOff>
    </xdr:from>
    <xdr:to>
      <xdr:col>22</xdr:col>
      <xdr:colOff>304800</xdr:colOff>
      <xdr:row>34</xdr:row>
      <xdr:rowOff>76200</xdr:rowOff>
    </xdr:to>
    <xdr:sp macro="" textlink="">
      <xdr:nvSpPr>
        <xdr:cNvPr id="1124" name="AutoShape 100" descr="data:image/png;base64,iVBORw0KGgoAAAANSUhEUgAAAwoAAATCCAYAAAAdJBF2AAAQAElEQVR4AezXWXYcORIEQL65/6GnKYriUlsuADIWmzctUVWZgIcFf/x/b/5HgAABAgQIECBAgACBXwKKwi8Q/ySQX8AEBAgQIECAAIHzAorCeUMnECBAgACBuQJOJ0CAwAUCisIF6K4kQIAAAQIECBDoLZBhekUhw5ZkJECAAAECBAgQILBYQFFYDO667ALyEyBAgAABAgR6CCgKPfZsSgIECBB4JOBzAgQIELgroCjcZfEhAQIECBAgQIBAVgG5xwgoCmMcnUKAAAECBAgQIECglICiUGqd2YeRnwABAgQIECBAIIqAohBlE3IQIECgooCZCBAgQCCtgKKQdnWCEyBAgAABAgTWC7ixj4Ci0GfXJiVAgAABAgQIECCwWUBR2EyV/UH5CRAgQIAAAQIECGwXUBS2W3mSAAECsQSkIUCAAAECEwUUhYm4jiZAgAABAgQI7BHwLIFIAopCpG3IQoAAAQIECBAgQCCIgKIwZBEOIUCAAAECBAgQIFBLQFGotU/TECAwSsA5BAgQIECguYCi0PwXwPgECBAgQKCLgDkJENgnoCjs8/I0AQIECBAgQIAAgRYCCYpCiz0YkgABAgQIECBAgEAoAUUh1DqEIdBEwJgECBAgQIBAeAFFIfyKBCRAgAABAvEFJCRAoJ6AolBvpyYiQIAAAQIECBAgcFbgTVE4TegAAgQIECBAgAABAvUEFIV6OzVRdwHzEyBAgAABAgQGCCgKAxAdQYAAAQIEZgo4mwABAlcIKApXqLuTAAECBAgQIECgs0CK2RWFFGsSkgABAgQIECBAgMBaAUVhrbfbsgvIT4AAAQIECBBoIqAoNFm0MQkQIEDgvoBPCRAgQOC+gKJw38WnBAgQIECAAAECOQWkHiSgKAyCdAwBAgQIECBAgACBSgKKQqVtZp9FfgIECBAgQIAAgTACikKYVQhCgACBegImIkCAAIG8AopC3t1JToAAAQIECBBYLeC+RgKKQqNlG5UAAQIECBAgQIDAVgFFYatU9ufkJ0CAAAECBAgQILBDQFHYgeVRAgQIRBKQhQABAgQIzBRQFGbqOpsAAQIECBAgsF3AkwRCCSgKodYhDAECBAgQIECAAIEYAorCiD04gwABAgQIECBAgEAxAUWh2EKNQ4DAGAGnECBAgACB7gKKQvffAPMTIECAAIEeAqYkQGCngKKwE8zjBAgQIECAAAECBDoIxC8KHbZgRgIECBAgQIAAAQLBBBSFYAsRh0AHATMSIECAAAEC8QUUhfg7kpAAAQIECEQXkI8AgYICikLBpRqJAAECBAgQIECAwDmBtzdF4ayg9wkQIECAAAECBAgUFFAUCi7VSL0FTE+AAAECBAgQGCGgKIxQdAYBAgQIEJgn4GQCBAhcIqAoXMLuUgIECBAgQIAAgb4COSZXFHLsSUoCBAgQIECAAAECSwUUhaXcLssuID8BAgQIECBAoIuAotBl0+YkQIAAgXsCPiNAgACBBwKKwgMYHxMgQIAAAQIECGQUkHmUgKIwStI5BAgQIECAAAECBAoJKAqFlpl9FPkJECBAgAABAgTiCCgKcXYhCQECBKoJmIcAAQIEEgsoComXJzoBAgQIECBAYK2A2zoJKAqdtm1WAgQIECBAgAABAhsFFIWNUNkfk58AAQIECBAgQIDAHgFFYY+WZwkQIBBHQBICBAgQIDBVQFGYyutwAgQIECBAgMBWAc8RiCWgKMTahzQECBAgQIAAAQIEQggoCgPW4AgCBAgQIECAAAEC1QQUhWobNQ8BAiMEnEGAAAECBNoLKArtfwUAECBAgACBDgJmJEBgr4CisFfM8wQIECBAgAABAgQaCIQvCg12YEQCBAgQIECAAAEC4QQUhXArEYhAeQEDEiBAgAABAgkEFIUESxKRAAECBAjEFpCOAIGKAopCxa2aiQABAgQIECBAgMAZgf/eVRT+Q/B/AgQIECBAgAABAgR+CigKPz38i0B2AfkJECBAgAABAkMEFIUhjA4hQIAAAQKzBJxLgACBawQUhWvc3UqAAAECBAgQINBVIMncikKSRYlJgAABAgQIECBAYKWAorBS213ZBeQnQIAAAQIECLQRUBTarNqgBAgQIHAr4BMCBAgQeCSgKDyS8TkBAgQIECBAgEA+AYmHCSgKwygdRIAAAQIECBAgQKCOgKJQZ5fZJ5GfAAECBAgQIEAgkICiEGgZohAgQKCWgGkIECBAILOAopB5e7ITIECAAAECBFYKuKuVgKLQat2GJUCAAAECBAgQILBNQFHY5pT9KfkJECBAgAABAgQI7BJQFHZxeZgAAQJRBOQgQIAAAQJzBRSFub5OJ0CAAAECBAhsE/AUgWACikKwhYhDgAABAgQIECBAIIKAonB+C04gQIAAAQIECBAgUE5AUSi3UgMRIHBewAkECBAgQICAouB3gAABAgQIEKgvYEICBHYLKAq7ybxAgAABAgQIECBAoL5A9KJQfwMmJECAAAECBAgQIBBQQFEIuBSRCNQWMB0BAgQIECCQQUBRyLAlGQkQIECAQGQB2QgQKCmgKJRcq6EIECBAgAABAgQIHBd4f1NReFfwHwECBAgQIECAAAECPwQUhR8c/kEgu4D8BAgQIECAAIExAorCGEenECBAgACBOQJOJUCAwEUCisJF8K4lQIAAAQIECBDoKZBlakUhy6bkJECAAAECBAgQILBQQFFYiO2q7ALyEyBAgAABAgT6CCgKfXZtUgIECBD4LeDfBAgQIPBQQFF4SOMLAgQIECBAgACBbALyjhNQFMZZOokAAQIECBAgQIBAGQFFocwqsw8iPwECBAgQIECAQCQBRSHSNmQhQIBAJQGzECBAgEBqAUUh9fqEJ0CAAAECBAisE3BTLwFFode+TUuAAAECBAgQIEBgk4CisIkp+0PyEyBAgAABAgQIENgnoCjs8/I0AQIEYghIQYAAAQIEJgsoCpOBHU+AAAECBAgQ2CLgGQLRBBSFaBuRhwABAgQIECBAgEAAAUXh9BIcQIAAAQIECBAgQKCegKJQb6cmIkDgrID3CRAgQIAAgTdFwS8BAQIECBAgUF7AgAQI7BdQFPabeYMAAQIECBAgQIBAeYHgRaG8vwEJECBAgAABAgQIhBRQFEKuRSgChQWMRoAAAQIECKQQUBRSrElIAgQIECAQV0AyAgRqCigKNfdqKgIECBAgQIAAAQJHBf68pyj8YfAHAQIECBAgQIAAAQLfBRSF7xp+JpBdQH4CBAgQIECAwCABRWEQpGMIECBAgMAMAWcSIEDgKgFF4Sp59xIgQIAAAQIECHQUSDOzopBmVYISIECAAAECBAgQWCegKKyzdlN2AfkJECBAgAABAo0EFIVGyzYqAQIECPwU8C8CBAgQeCygKDy28Q0BAgQIECBAgEAuAWkHCigKAzEdRYAAAQIECBAgQKCKgKJQZZPZ55CfAAECBAgQIEAglICiEGodwhAgQKCOgEkIECBAILeAopB7f9ITIECAAAECBFYJuKeZgKLQbOHGJUCAAAECBAgQILBFQFHYopT9GfkJECBAgAABAgQI7BRQFHaCeZwAAQIRBGQgQIAAAQKzBRSF2cLOJ0CAAAECBAi8FvAEgXACikK4lQhEgAABAgQIECBA4HoBReHsDrxPgAABAgQIECBAoKCAolBwqUYiQOCcgLcJECBAgACBtzdFwW8BAQIECBAgUF3AfAQIHBBQFA6geYUAAQIECBAgQIBAdYHYRaG6vvkIECBAgAABAgQIBBVQFIIuRiwCVQXMRYAAAQIECOQQUBRy7ElKAgQIECAQVUAuAgSKCigKRRdrLAIECBAgQIAAAQLHBD7eUhQ+HPxJgAABAgQIECBAgMA3AUXhG4YfCWQXkJ8AAQIECBAgMEpAURgl6RwCBAgQIDBewIkECBC4TEBRuIzexQQIECBAgAABAv0E8kysKOTZlaQECBAgQIAAAQIElgkoCsuoXZRdQH4CBAgQIECAQCcBRaHTts1KgAABAt8F/EyAAAECTwQUhSc4viJAgAABAgQIEMgkIOtIAUVhpKazCBAgQIAAAQIECBQRUBSKLDL7GPITIECAAAECBAjEElAUYu1DGgIECFQRMAcBAgQIJBdQFJIvUHwCBAgQIECAwBoBt3QTUBS6bdy8BAgQIECAAAECBDYIKAobkLI/Ij8BAgQIECBAgACBvQKKwl4xzxMgQOB6AQkIECBAgMB0AUVhOrELCBAgQIAAAQKvBHxPIJ6AohBvJxIRIECAAAECBAgQuFxAUTi5Aq8TIECAAAECBAgQqCigKFTcqpkIEDgj4F0CBAgQIEDgPwFF4T8E/ydAgAABAgQqC5iNAIEjAorCETXvECBAgAABAgQIECguELooFLc3HgECBAgQIECAAIGwAopC2NUIRqCkgKEIECBAgACBJAKKQpJFiUmAAAECBGIKSEWAQFUBRaHqZs1FgAABAgQIECBA4IjA33cUhb8Q/iJAgAABAgQIECBA4EtAUfiy8BOB7ALyEyBAgAABAgSGCSgKwygdRIAAAQIERgs4jwABAtcJKArX2buZAAECBAgQIECgm0CieRWFRMsSlQABAgQIECBAgMAqAUVhlbR7sgvIT4AAAQIECBBoJaAotFq3YQkQIEDgS8BPBAgQIPBMQFF4puM7AgQIECBAgACBPAKSDhVQFIZyOowAAQIECBAgQIBADQFFocYes08hPwECBAgQIECAQDABRSHYQsQhQIBADQFTECBAgEB2AUUh+wblJ0CAAAECBAisEHBHOwFFod3KDUyAAAECBAgQIEDgtYCi8Noo+xPyEyBAgAABAgQIENgtoCjsJvMCAQIErhZwPwECBAgQmC+gKMw3dgMBAgQIECBA4LmAbwkEFFAUAi5FJAIECBAgQIAAAQJXCygK5zbgbQIECBAgQIAAAQIlBRSFkms1FAECxwW8SYAAAQIECLwLKArvCv4jQIAAAQIE6gqYjACBQwKKwiE2LxEgQIAAAQIECBCoLRC5KNSWNx0BAgQIECBAgACBwAKKQuDliEagnoCJCBAgQIAAgSwCikKWTclJgAABAgQiCshEgEBZAUWh7GoNRoAAAQIECBAgQGC/wOcbisKnhL8JECBAgAABAgQIEPgnoCj8o/ADgewC8hMgQIAAAQIExgkoCuMsnUSAAAECBMYKOI0AAQIXCigKF+K7mgABAgQIECBAoJdApmkVhUzbkpUAAQIECBAgQIDAIgFFYRG0a7ILyE+AAAECBAgQ6CWgKPTat2kJECBA4FPA3wQIECDwVEBReMrjSwIECBAgQIAAgSwCco4VUBTGejqNAAECBAgQIECAQAkBRaHEGrMPIT8BAgQIECBAgEA0AUUh2kbkIUCAQAUBMxAgQIBAegFFIf0KDUCAAAECBAgQmC/ghn4CikK/nZuYAAECBAgQIECAwEsBReElUfYH5CdAgAABAgQIECCwX0BR2G/mDQIEm9tKFgAAEABJREFUCFwr4HYCBAgQILBAQFFYgOwKAgQIECBAgMAzAd8RiCigKETcikwECBAgQIAAAQIELhZQFE4twMsECBAgQIAAAQIEagooCjX3aioCBI4KeI8AAQIECBD4I6Ao/GHwBwECBAgQIFBVwFwECBwTUBSOuXmLAAECBAgQIECAQGmBwEWhtLvhCBAgQIAAAQIECIQWUBRCr0c4AsUEjEOAAAECBAikEVAU0qxKUAIECBAgEE9AIgIE6gooCnV3azICBAgQIECAAAECewX+Pa8o/KPwAwECBAgQIECAAAECnwKKwqeEvwlkF5CfAAECBAgQIDBQQFEYiOkoAgQIECAwUsBZBAgQuFJAUbhS390ECBAgQIAAAQKdBFLNqiikWpewBAgQIECAAAECBNYIKAprnN2SXUB+AgQIECBAgEAzAUWh2cKNS4AAAQIfAv4kQIAAgecCisJzH98SIECAAAECBAjkEJBysICiMBjUcQQIECBAgAABAgQqCCgKFbaYfQb5CRAgQIAAAQIEwgkoCuFWIhABAgTyC5iAAAECBPILKAr5d2gCAgQIECBAgMBsAec3FFAUGi7dyAQIECBAgAABAgReCSgKr4Syfy8/AQIECBAgQIAAgQMCisIBNK8QIEDgSgF3EyBAgACBFQKKwgpldxAgQIAAAQIEHgv4hkBIAUUh5FqEIkCAAAECBAgQIHCtgKJwxt+7BAgQIECAAAECBIoKKApFF2ssAgSOCXiLAAECBAgQ+BBQFD4c/EmAAAECBAjUFDAVAQIHBRSFg3BeI0CAAAECBAgQIFBZIG5RqKxuNgIECBAgQIAAAQLBBRSF4AsSj0AlAbMQIECAAAECeQQUhTy7kpQAAQIECEQTkIcAgcICikLh5RqNAAECBAgQIECAwD6Br6cVhS8LPxEgQIAAAQIECBAg8FdAUfgL4S8C2QXkJ0CAAAECBAiMFFAURmo6iwABAgQIjBNwEgECBC4VUBQu5Xc5AQIECBAgQIBAH4FckyoKufYlLQECBAgQIECAAIElAorCEmaXZBeQnwABAgQIECDQTUBR6LZx8xIgQIDAu4D/CBAgQOCFgKLwAsjXBAgQIECAAAECGQRkHC2gKIwWdR4BAgQIECBAgACBAgKKQoElZh9BfgIECBAgQIAAgXgCikK8nUhEgACB7ALyEyBAgEABAUWhwBKNQIAAAQIECBCYK+D0jgKKQsetm5kAAQIECBAgQIDACwFF4QVQ9q/lJ0CAAAECBAgQIHBEQFE4ouYdAgQIXCfgZgIECBAgsERAUVjC7BICBAgQIECAwCMBnxOIKaAoxNyLVAQIECBAgAABAgQuFVAUTvB7lQABAgQIECBAgEBVAUWh6mbNRYDAEQHvECBAgAABAn8FFIW/EP4iQIAAAQIEKgqYiQCBowKKwlE57xEgQIAAAQIECBAoLBC2KBQ2NxoBAgQIECBAgACB8AKKQvgVCUigjIBBCBAgQIAAgUQCikKiZYlKgAABAgRiCUhDgEBlAUWh8nbNRoAAAQIECBAgQGCPwLdnFYVvGH4kQIAAAQIECBAgQOBDQFH4cPAngewC8hMgQIAAAQIEhgooCkM5HUaAAAECBEYJOIcAAQLXCigK1/q7nQABAgQIECBAoItAsjkVhWQLE5cAAQIECBAgQIDACgFFYYWyO7ILyE+AAAECBAgQaCegKLRbuYEJECBA4O2NAQECBAi8ElAUXgn5ngABAgQIECBAIL6AhMMFFIXhpA4kQIAAAQIECBAgkF9AUci/w+wTyE+AAAECBAgQIBBQQFEIuBSRCBAgkFtAegIECBCoIKAoVNiiGQgQIECAAAECMwWc3VJAUWi5dkMTIECAAAECBAgQeC6gKDz3yf6t/AQIECBAgAABAgQOCSgKh9i8RIAAgasE3EuAAAECBNYIKAprnN1CgAABAgQIELgv4FMCQQUUhaCLEYsAAQIECBAgQIDAlQKKwnF9bxIgQIAAAQIECBAoK6AolF2twQgQ2C/gDQIECBAgQOBTQFH4lPA3AQIECBAgUE/ARAQIHBZQFA7TeZEAAQIECBAgQIBAXYGoRaGuuMkIECBAgAABAgQIJBBQFBIsSUQCNQRMQYAAAQIECGQSUBQybUtWAgQIECAQSUAWAgRKCygKpddrOAIECBAgQIAAAQLbBb4/qSh81/AzAQIECBAgQIAAAQJ/BBSFPwz+IJBdQH4CBAgQIECAwFgBRWGsp9MIECBAgMAYAacQIEDgYgFF4eIFuJ4AAQIECBAgQKCHQLYpFYVsG5OXAAECBAgQIECAwAIBRWEBsiuyC8hPgAABAgQIEOgnoCj027mJCRAgQIAAAQIECLwUUBReEnmAAAECBAgQIEAguoB84wUUhfGmTiRAgAABAgQIECCQXkBRSL/C7APIT4AAAQIECBAgEFFAUYi4FZkIECCQWUB2AgQIECghoCiUWKMhCBAgQIAAAQLzBJzcU0BR6Ll3UxMgQIAAAQIECBB4KqAoPOXJ/qX8BAgQIECAAAECBI4JKArH3LxFgACBawTcSoAAAQIEFgkoCougXUOAAAECBAgQuCfgMwJRBRSFqJuRiwABAgQIECBAgMCFAorCYXwvEiBAgAABAgQIEKgroCjU3a3JCBDYK+B5AgQIECBA4J+AovCPwg8ECBAgQIBANQHzECBwXEBROG7nTQIECBAgQIAAAQJlBYIWhbLeBiNAgAABAgQIECCQQkBRSLEmIQkUEDACAQIECBAgkEpAUUi1LmEJECBAgEAcAUkIEKgtoCjU3q/pCBAgQIAAAQIECGwV+PGcovCDwz8IECBAgAABAgQIEHgXUBTeFfxHILuA/AQIECBAgACBwQKKwmBQxxEgQIAAgRECziBAgMDVAorC1RtwPwECBAgQIECAQAeBdDMqCulWJjABAgQIECBAgACB+QKKwnxjN2QXkJ8AAQIECBAg0FBAUWi4dCMTIECgu4D5CRAgQOC1gKLw2sgTBAgQIECAAAECsQWkmyCgKExAdSQBAgQIECBAgACB7AKKQvYNZs8vPwECBAgQIECAQEgBRSHkWoQiQIBAXgHJCRAgQKCGgKJQY4+mIECAAAECBAjMEnBuUwFFoenijU2AAAECBAgQIEDgmYCi8Ewn+3fyEyBAgAABAgQIEDgooCgchPMaAQIErhBwJwECBAgQWCWgKKySdg8BAgQIECBA4FbAJwTCCigKYVcjGAECBAgQIECAAIHrBBSFo/beI0CAAAECBAgQIFBYQFEovFyjESCwT8DTBAgQIECAwJeAovBl4ScCBAgQIECgloBpCBA4IaAonMDzKgECBAgQIECAAIGqAjGLQlVtcxEgQIAAAQIECBBIIqAoJFmUmASyC8hPgAABAgQI5BJQFHLtS1oCBAgQIBBFQA4CBIoLKArFF2w8AgQIECBAgAABAtsEfj6lKPz08C8CBAgQIECAAAECBP4TUBT+Q/B/AtkF5CdAgAABAgQIjBZQFEaLOo8AAQIECJwXcAIBAgQuF1AULl+BAAQIECBAgAABAvUF8k2oKOTbmcQECBAgQIAAAQIEpgsoCtOJXZBdQH4CBAgQIECAQEcBRaHj1s1MgACB3gKmJ0CAAIENAorCBiSPECBAgAABAgQIRBaQbYaAojBD1ZkECBAgQIAAAQIEkgsoCskXmD2+/AQIECBAgAABAjEFFIWYe5GKAAECWQXkJkCAAIEiAopCkUUagwABAgQIECAwR8CpXQUUha6bNzcBAgQIECBAgACBJwKKwhOc7F/JT4AAAQIECBAgQOCogKJwVM57BAgQWC/gRgIECBAgsExAUVhG7SICBAgQIECAwG8B/yYQV0BRiLsbyQgQIECAAAECBAhcJqAoHKT3GgECBAgQIECAAIHKAopC5e2ajQCBPQKeJUCAAAECBL4JKArfMPxIgAABAgQIVBIwCwECZwQUhTN63iVAgAABAgQIECBQVCBkUShqbSwCBAgQIECAAAECaQQUhTSrEpRAagHhCRAgQIAAgWQCikKyhYlLgAABAgRiCEhBgEB1AUWh+obNR4AAAQIECBAgQGCLwK9nFIVfIP5JgAABAgQIECBAgMDbm6Lgt4BAfgETECBAgAABAgSGCygKw0kdSIAAAQIEzgp4nwABAtcLKArX70ACAgQIECBAgACB6gIJ51MUEi5NZAIECBAgQIAAAQKzBRSF2cLOzy4gPwECBAgQIECgpYCi0HLthiZAgEBnAbMTIECAwBYBRWGLkmcIECBAgAABAgTiCkg2RUBRmMLqUAIECBAgQIAAAQK5BRSF3PvLnl5+AgQIECBAgACBoAKKQtDFiEWAAIGcAlITIECAQBUBRaHKJs1BgAABAgQIEJgh4My2AopC29UbnAABAgQIECBAgMBjAUXhsU32b+QnQIAAAQIECBAgcFhAUThM50UCBAisFnAfAQIECBBYJ6AorLN2EwECBAgQIEDgp4B/EQgsoCgEXo5oBAgQIECAAAECBK4SUBSOyXuLAAECBAgQIECAQGkBRaH0eg1HgMB2AU8SIECAAAEC3wUUhe8afiZAgAABAgTqCJiEAIFTAorCKT4vEyBAgAABAgQIEKgpELEo1JQ2FQECBAgQIECAAIFEAopComWJSiCvgOQECBAgQIBANgFFIdvG5CVAgAABAhEEZCBAoLyAolB+xQYkQIAAAQIECBAg8Frg9xOKwm8R/yZAgAABAgQIECBA4E1R8EtAIL2AAQgQIECAAAEC4wUUhfGmTiRAgAABAucEvE2AAIEAAopCgCWIQIAAAQIECBAgUFsg43SKQsatyUyAAAECBAgQIEBgsoCiMBnY8dkF5CdAgAABAgQI9BRQFHru3dQECBDoK2ByAgQIENgkoChsYvIQAQIECBAgQIBAVAG55ggoCnNcnUqAAAECBAgQIEAgtYCikHp92cPLT4AAAQIECBAgEFVAUYi6GbkIECCQUUBmAgQIECgjoCiUWaVBCBAgQIAAAQLjBZzYV0BR6Lt7kxMgQIAAAQIECBB4KKAoPKTJ/oX8BAgQIECAAAECBI4LKArH7bxJgACBtQJuI0CAAAECCwUUhYXYriJAgAABAgQIfBfwM4HIAopC5O3IRoAAAQIECBAgQOAiAUXhELyXCBAgQIAAAQIECNQWUBRq79d0BAhsFfAcAQIECBAg8ENAUfjB4R8ECBAgQIBAFQFzECBwTkBROOfnbQIECBAgQIAAAQIlBQIWhZLOhiJAgAABAgQIECCQSkBRSLUuYQkkFRCbAAECBAgQSCegKKRbmcAECBAgQOB6AQkIEKgvoCjU37EJCRAgQIAAAQIECLwSuPleUbgh8QEBAgQIECBAgAABAoqC3wEC2QXkJ0CAAAECBAhMEFAUJqA6kgABAgQInBHwLgECBCIIKAoRtiADAQIECBAgQIBAZYGUsykKKdcmNAECBAgQIECAAIG5AorCXF+nZxeQnwABAmhFrfEAABAASURBVAQIECDQVEBRaLp4YxMgQKCrgLkJECBAYJuAorDNyVMECBAgQIAAAQIxBaSaJKAoTIJ1LAECBAgQIECAAIHMAopC5u1lzy4/AQIECBAgQIBAWAFFIexqBCNAgEA+AYkJECBAoI6AolBnlyYhQIAAAQIECIwWcF5jAUWh8fKNToAAAQIECBAgQOCRgKLwSCb75/ITIECAAAECBAgQOCGgKJzA8yoBAgRWCriLAAECBAisFFAUVmq7iwABAgQIECDwJeAnAqEFFIXQ6xGOAAECBAgQIECAwDUCisIRd+8QIECAAAECBAgQKC6gKBRfsPEIENgm4CkCBAgQIEDgp4Ci8NPDvwgQIECAAIEaAqYgQOCkgKJwEtDrBAgQIECAAAECBCoKxCsKFZXNRIAAAQIECBAgQCCZgKKQbGHiEsgoIDMBAgQIECCQT0BRyLcziQkQIECAwNUC7idAoIGAotBgyUYkQIAAAQIECBAg8Fzg9ltF4dbEJwQIECBAgAABAgTaCygK7X8FAGQXkJ8AAQIECBAgMENAUZih6kwCBAgQIHBcwJsECBAIIaAohFiDEAQIECBAgAABAnUFck6mKOTcm9QECBAgQIAAAQIEpgooClN5HZ5dQH4CBAgQIECAQFcBRaHr5s1NgACBngKmJkCAAIGNAorCRiiPESBAgAABAgQIRBSQaZaAojBL1rkECBAgQIAAAQIEEgsoComXlz26/AQIECBAgAABAnEFFIW4u5GMAAEC2QTkJUCAAIFCAopCoWUahQABAgQIECAwVsBpnQUUhc7bNzsBAgQIECBAgACBBwKKwgOY7B/LT4AAAQIECBAgQOCMgKJwRs+7BAgQWCfgJgIECBAgsFRAUVjK7TICBAgQIECAwKeAvwnEFlAUYu9HOgIECBAgQIAAAQKXCCgKB9i9QoAAAQIECBAgQKC6gKJQfcPmI0Bgi4BnCBAgQIAAgV8CisIvEP8kQIAAAQIEKgiYgQCBswKKwllB7xMgQIAAAQIECBAoKBCuKBQ0NhIBAgQIECBAgACBdAKKQrqVCUwgnYDABAgQIECAQEIBRSHh0kQmQIAAAQLXCridAIEOAopChy2bkQABAgQIECBAgMAzgTvfKQp3UHxEgAABAgQIECBAoLuAotD9N8D82QXkJ0CAAAECBAhMEVAUprA6lAABAgQIHBXwHgECBGIIKAox9iAFAQIECBAgQIBAVYGkcykKSRcnNgECBAgQIECAAIGZAorCTF1nZxeQnwABAgQIECDQVkBRaLt6gxMgQKCjgJkJECBAYKuAorBVynMECBAgQIAAAQLxBCSaJqAoTKN1MAECBAgQIECAAIG8AopC3t1lTy4/AQIECBAgQIBAYAFFIfByRCNAgEAuAWkJECBAoJKAolBpm2YhQIAAAQIECIwUcFZrAUWh9foNT4AAAQIECBAgQOC+gKJw3yX7p/ITIECAAAECBAgQOCWgKJzi8zIBAgRWCbiHAAECBAisFVAU1nq7jQABAgQIECDwIeBPAsEFFIXgCxKPAAECBAgQIECAwBUCisJ+dW8QIECAAAECBAgQKC+gKJRfsQEJEHgt4AkCBAgQIEDgt4Ci8FvEvwkQIECAAIH8AiYgQOC0gKJwmtABBAgQIECAAAECBOoJRCsK9YRNRIAAAQIECBAgQCChgKKQcGkiE8glIC0BAgQIECCQUUBRyLg1mQkQIECAwJUC7iZAoIWAotBizYYkQIAAAQIECBAg8Fjg3jeKwj0VnxEgQIAAAQIECBBoLqAoNP8FMH52AfkJECBAgAABAnMEFIU5rk4lQIAAAQLHBLxFgACBIAKKQpBFiEGAAAECBAgQIFBTIOtUikLWzclNgAABAgQIECBAYKKAojAR19HZBeQnQIAAAQIECPQVUBT67t7kBAgQ6CdgYgIECBDYLKAobKbyIAECBAgQIECAQDQBeeYJKArzbJ1MgAABAgQIECBAIK2AopB2ddmDy0+AAAECBAgQIBBZQFGIvB3ZCBAgkElAVgIECBAoJaAolFqnYQgQIECAAAEC4wSc1FtAUei9f9MTIECAAAECBAgQuCugKNxlyf6h/AQIECBAgAABAgTOCSgK5/y8TYAAgTUCbiFAgAABAosFFIXF4K4jQIAAAQIECLwL+I9AdAFFIfqG5CNAgAABAgQIECBwgYCisBvdCwQIECBAgAABAgTqCygK9XdsQgIEXgn4ngABAgQIELgRUBRuSHxAgAABAgQIZBeQnwCB8wKKwnlDJxAgQIAAAQIECBAoJxCsKJTzNRABAgQIECBAgACBlAKKQsq1CU0gkYCoBAgQIECAQEoBRSHl2oQmQIAAAQLXCbiZAIEeAopCjz2bkgABAgQIECBAgMAjgbufKwp3WXxIgAABAgQIECBAoLeAotB7/6bPLiA/AQIECBAgQGCSgKIwCdaxBAgQIEDgiIB3CBAgEEVAUYiyCTkIECBAgAABAgQqCqSdSVFIuzrBCRAgQIAAAQIECMwTUBTm2To5u4D8BAgQIECAAIHGAopC4+UbnQABAt0EzEuAAAEC2wUUhe1WniRAgAABAgQIEIglIM1EAUVhIq6jCRAgQIAAAQIECGQVUBSybi57bvkJECBAgAABAgRCCygKodcjHAECBPIISEqAAAECtQQUhVr7NA0BAgQIECBAYJSAc5oLKArNfwGMT4AAAQIECBAgQOCegKJwTyX7Z/ITIECAAAECBAgQOCmgKJwE9DoBAgRWCLiDAAECBAisFlAUVou7jwABAgQIECDw9saAQHgBRSH8igQkQIAAAQIECBAgsF5AUdhr7nkCBAgQIECAAAECDQQUhQZLNiIBAs8FfEuAAAECBAjcCigKtyY+IUCAAAECBHILSE+AwAABRWEAoiMIECBAgAABAgQIVBOIVRSq6ZqHAAECBAgQIECAQFIBRSHp4sQmkEVATgIECBAgQCCngKKQc29SEyBAgACBqwTcS4BAEwFFocmijUmAAAECBAgQIEDgvsD9TxWF+y4+JUCAAAECBAgQINBaQFFovX7DZxeQnwABAgQIECAwS0BRmCXrXAIECBAgsF/AGwQIEAgjoCiEWYUgBAgQIECAAAEC9QTyTqQo5N2d5AQIECBAgAABAgSmCSgK02gdnF1AfgIECBAgQIBAZwFFofP2zU6AAIFeAqYlQIAAgR0CisIOLI8SIECAAAECBAhEEpBlpoCiMFPX2QQIECBAgAABAgSSCigKSReXPbb8BAgQIECAAAECsQUUhdj7kY4AAQJZBOQkQIAAgWICikKxhRqHAAECBAgQIDBGwCndBRSF7r8B5idAgAABAgQIECBwR0BRuIOS/SP5CRAgQIAAAQIECJwVUBTOCnqfAAEC8wXcQIAAAQIElgsoCsvJXUiAAAECBAgQIEAgvoCiEH9HEhIgQIAAAQIECBBYLqAo7CT3OAECBAgQIECAAIEOAopChy2bkQCBZwK+I0CAAAECBO4IKAp3UHxEgAABAgQIZBaQnQCBEQKKwghFZxAgQIAAAQIECBAoJhCqKBSzNQ4BAgQIECBAgACBtAKKQtrVCU4ghYCQBAgQIECAQFIBRSHp4sQmQIAAAQLXCLiVAIEuAopCl02bkwABAgQIECBAgMA9gQefKQoPYHxMgAABAgQIECBAoLOAotB5+2bPLiA/AQIECBAgQGCagKIwjdbBBAgQIEBgr4DnCRAgEEdAUYizC0kIECBAgAABAgSqCSSeR1FIvDzRCRAgQIAAAQIECMwSUBRmyTo3u4D8BAgQIECAAIHWAopC6/UbngABAp0EzEqAAAECewQUhT1aniVAgAABAgQIEIgjIMlUAUVhKq/DCRAgQIAAAQIECOQUUBRy7i17avkJECBAgAABAgSCCygKwRckHgECBHIISEmAAAEC1QQUhWobNQ8BAgQIECBAYISAM9oLKArtfwUAECBAgAABAgQIELgVUBRuTbJ/Ij8BAgQIECBAgACB0wKKwmlCBxAgQGC2gPMJECBAgMB6AUVhvbkbCRAgQIAAge4C5ieQQEBRSLAkEQkQIECAAAECBAisFlAU9ol7mgABAgQIECBAgEALAUWhxZoNSYDAYwHfECBAgAABAvcEFIV7Kj4jQIAAAQIE8gpIToDAEAFFYQijQwgQIECAAAECBAjUEohUFGrJmoYAAQIECBAgQIBAYgFFIfHyRCcQX0BCAgQIECBAIKuAopB1c3ITIECAAIErBNxJgEAbAUWhzaoNSoAAAQIECBAgQOBW4NEnisIjGZ8TIECAAAECBAgQaCygKDRevtGzC8hPgAABAgQIEJgnoCjMs3UyAQIECBDYJ+BpAgQIBBJQFAItQxQCBAgQIECAAIFaApmnURQyb092AgQIECBAgAABApMEFIVJsI7NLiA/AQIECBAgQKC3gKLQe/+mJ0CAQB8BkxIgQIDALgFFYReXhwkQIECAAAECBKIIyDFXQFGY6+t0AgQIECBAgAABAikFFIWUa8seWn4CBAgQIECAAIHoAopC9A3JR4AAgQwCMhIgQIBAOQFFodxKDUSAAAECBAgQOC/gBAKKgt8BAgQIECBAgAABAgRuBBSFG5LsH8hPgAABAgQIECBA4LyAonDe0AkECBCYK+B0AgQIECBwgYCicAG6KwkQIECAAIHeAqYnkEFAUciwJRkJECBAgAABAgQILBZQFHaBe5gAAQIECBAgQIBADwFFoceeTUmAwCMBnxMgQIAAAQJ3BRSFuyw+JECAAAECBLIKyE2AwBgBRWGMo1MIECBAgAABAgQIlBIIVBRKuRqGAAECBAgQIECAQGoBRSH1+oQnEFxAPAIECBAgQCCtgKKQdnWCEyBAgACB9QJuJECgj4Ci0GfXJiVAgAABAgQIECDwW+DhvxWFhzS+IECAAAECBAgQINBXQFHou3uTZxeQnwABAgQIECAwUUBRmIjraAIECBAgsEfAswQIEIgkoChE2oYsBAgQIECAAAEClQRSz6IopF6f8AQIECBAgAABAgTmCCgKc1ydml1AfgIECBAgQIBAcwFFofkvgPEJECDQRcCcBAgQILBPQFHY5+VpAgQIECBAgACBGAJSTBZQFCYDO54AAQIECBAgQIBARgFFIePWsmeWnwABAgQIECBAILyAohB+RQISIEAgvoCEBAgQIFBPQFGot1MTESBAgAABAgTOCnifwJui4JeAAAECBAgQIECAAIEbAUXhhiT5B+ITIECAAAECBAgQGCCgKAxAdAQBAgRmCjibAAECBAhcIaAoXKHuTgIECBAgQKCzgNkJpBBQFFKsSUgCBAgQIECAAAECawUUhT3eniVAgAABAgQIECDQREBRaLJoYxIgcF/ApwQIECBAgMB9AUXhvotPCRAgQIAAgZwCUhMgMEhAURgE6RgCBAgQIECAAAEClQTiFIVKqmYhQIAAAQIECBAgkFxAUUi+QPEJRBaQjQABAgQIEMig0XAvAAAQAElEQVQroCjk3Z3kBAgQIEBgtYD7CBBoJKAoNFq2UQkQIECAAAECBAj8FHj8L0XhsY1vCBAgQIAAAQIECLQVUBTart7g2QXkJ0CAAAECBAjMFFAUZuo6mwABAgQIbBfwJAECBEIJKAqh1iEMAQIECBAgQIBAHYHckygKufcnPQECBAgQIECAAIEpAorCFFaHZheQnwABAgQIECDQXUBR6P4bYH4CBAj0EDAlAQIECOwUUBR2gnmcAAECBAgQIEAggoAMswUUhdnCzidAgAABAgQIECCQUEBRSLi07JHlJ0CAAAECBAgQiC+gKMTfkYQECBCILiAfAQIECBQUUBQKLtVIBAgQIECAAIFzAt4m8PamKPgtIECAAAECBAgQIEDgRkBRuCHJ/YH0BAgQIECAAAECBEYIKAojFJ1BgACBeQJOJkCAAAEClwgoCpewu5QAAQIECBDoK2ByAjkEFIUce5KSAAECBAgQIECAwFIBRWEHt0cJECBAgAABAgQIdBFQFLps2pwECNwT8BkBAgQIECDwQEBReADjYwIECBAgQCCjgMwECIwSUBRGSTqHAAECBAgQIECAQCGBMEWhkKlRCBAgQIAAAQIECKQXUBTSr9AABMIKCEaAAAECBAgkFlAUEi9PdAIECBAgsFbAbQQIdBJQFDpt26wECBAgQIAAAQIEvgs8+VlReILjKwIECBAgQIAAAQJdBRSFrps3d3YB+QkQIECAAAECUwUUham8DidAgAABAlsFPEeAAIFYAopCrH1IQ4AAAQIECBAgUEUg+RyKQvIFik+AAAECBAgQIEBghoCiMEPVmdkF5CdAgAABAgQItBdQFNr/CgAgQIBABwEzEiBAgMBeAUVhr5jnCRAgQIAAAQIErheQYLqAojCd2AUECBAgQIAAAQIE8gkoCvl2lj2x/AQIECBAgAABAgkEFIUESxKRAAECsQWkI0CAAIGKAopCxa2aiQABAgQIECBwRsC7BP4TUBT+Q/B/AgQIECBAgAABAgR+CigKPz2y/0t+AgQIECBAgAABAkMEFIUhjA4hQIDALAHnEiBAgACBawQUhWvc3UqAAAECBAh0FTA3gSQCikKSRYlJgAABAgQIECBAYKWAorBd25MECBAgQIAAAQIE2ggoCm1WbVACBG4FfEKAAAECBAg8ElAUHsn4nAABAgQIEMgnIDEBAsMEFIVhlA4iQIAAAQIECBAgUEcgSlGoI2oSAgQIECBAgAABAgUEFIUCSzQCgZgCUhEgQIAAAQKZBRSFzNuTnQABAgQIrBRwFwECrQQUhVbrNiwBAgQIECBAgACBL4FnPykKz3R8R4AAAQIECBAgQKCpgKLQdPHGzi4gPwECBAgQIEBgroCiMNfX6QQIECBAYJuApwgQIBBMQFEIthBxCBAgQIAAAQIEaghkn0JRyL5B+QkQIECAAAECBAhMEFAUJqA6MruA/AQIECBAgAABAoqC3wECBAgQqC9gQgIECBDYLaAo7CbzAgECBAgQIECAwNUC7p8voCjMN3YDAQIECBAgQIAAgXQCikK6lWUPLD8BAgQIECBAgEAGAUUhw5ZkJECAQGQB2QgQIECgpICiUHKthiJAgAABAgQIHBfwJoF3AUXhXcF/BAgQIECAAAECBAj8EFAUfnBk/4f8BAgQIECAAAECBMYIKApjHJ1CgACBOQJOJUCAAAECFwkoChfBu5YAAQIECBDoKWBqAlkEFIUsm5KTAAECBAgQIECAwEIBRWEztgcJECBAgAABAgQI9BFQFPrs2qQECPwW8G8CBAgQIEDgoYCi8JDGFwQIECBAgEA2AXkJEBgnoCiMs3QSAQIECBAgQIAAgTICQYpCGU+DECBAgAABAgQIECghoCiUWKMhCAQUEIkAAQIECBBILaAopF6f8AQIECBAYJ2AmwgQ6CWgKPTat2kJECBAgAABAgQIfAo8/VtReMrjSwIECBAgQIAAAQI9BRSFnns3dXYB+QkQIECAAAECkwUUhcnAjidAgAABAlsEPEOAAIFoAopCtI3IQ4AAAQIECBAgUEEg/QyKQvoVGoAAAQIECBAgQIDAeAFFYbypE7MLyE+AAAECBAgQIPCmKPglIECAAIHyAgYkQIAAgf0CisJ+M28QIECAAAECBAhcK+D2BQKKwgJkVxAgQIAAAQIECBDIJqAoZNtY9rzyEyBAgAABAgQIpBBQFFKsSUgCBAjEFZCMAAECBGoKKAo192oqAgQIECBAgMBRAe8R+COgKPxh8AcBAgQIECBAgAABAt8FFIXvGtl/lp8AAQIECBAgQIDAIAFFYRCkYwgQIDBDwJkECBAgQOAqAUXhKnn3EiBAgAABAh0FzEwgjYCikGZVghIgQIAAAQIECBBYJ6AobLX2HAECBAgQIECAAIFGAopCo2UblQCBnwL+RYAAAQIECDwWUBQe2/iGAAECBAgQyCUgLQECAwUUhYGYjiJAgAABAgQIECBQRSBGUaiiaQ4CBAgQIECAAAECRQQUhSKLNAaBaALyECBAgAABArkFFIXc+5OeAAECBAisEnAPAQLNBBSFZgs3LgECBAgQIECAAIEPged/KgrPfXxLgAABAgQIECBAoKWAotBy7YbOLiA/AQIECBAgQGC2gKIwW9j5BAgQIEDgtYAnCBAgEE5AUQi3EoEIECBAgAABAgTyC+SfQFHIv0MTECBAgAABAgQIEBguoCgMJ3VgdgH5CRAgQIAAAQIE3t4UBb8FBAgQIFBdwHwECBAgcEBAUTiA5hUCBAgQIECAAIErBdy9QkBRWKHsDgIECBAgQIAAAQLJBBSFZAvLHld+AgQIECBAgACBHAKKQo49SUmAAIGoAnIRIECAQFEBRaHoYo1FgAABAgQIEDgm4C0CHwKKwoeDPwkQIECAAAECBAgQ+CagKHzDyP6j/AQIECBAgAABAgRGCSgKoySdQ4AAgfECTiRAgAABApcJKAqX0buYAAECBAgQ6CdgYgJ5BBSFPLuSlAABAgQIECBAgMAyAUVhI7XHCBAgQIAAAQIECHQSUBQ6bdusBAh8F/AzAQIECBAg8ERAUXiC4ysCBAgQIEAgk4CsBAiMFFAURmo6iwABAgQIECBAgEARgRBFoYilMQgQIECAAAECBAiUEVAUyqzSIARCCQhDgAABAgQIJBdQFJIvUHwCBAgQILBGwC0ECHQTUBS6bdy8BAgQIECAAAECBN4FXvynKLwA8jUBAgQIECBAgACBjgKKQsetmzm7gPwECBAgQIAAgekCisJ0YhcQIECAAIFXAr4nQIBAPAFFId5OJCJAgAABAgQIEMguUCC/olBgiUYgQIAAAQIECBAgMFpAURgt6rzsAvITIECAAAECBAj8J6Ao/Ifg/wQIECBQWcBsBAgQIHBEQFE4ouYdAgQIECBAgACB6wTcvERAUVjC7BICBAgQIECAAAECuQQUhVz7yp5WfgIECBAgQIAAgSQCikKSRYlJgACBmAJSESBAgEBVAUWh6mbNRYAAAQIECBA4IuAdAn8FFIW/EP4iQIAAAQIECBAgQOBLQFH4ssj+k/wECBAgQIAAAQIEhgkoCsMoHUSAAIHRAs4jQIAAAQLXCSgK19m7mQABAgQIEOgmYF4CiQQUhUTLEpUAAQIECBAgQIDAKgFFYZu0pwgQIECAAAECBAi0ElAUWq3bsAQIfAn4iQABAgQIEHgmoCg80/EdAQIECBAgkEdAUgIEhgooCkM5HUaAAAECBAgQIECghkCEolBD0hQECBAgQIAAAQIECgkoCoWWaRQCcQQkIUCAAAECBLILKArZNyg/AQIECBBYIeAOAgTaCSgK7VZuYAIECBAgQIAAAQJvb68MFIVXQr4nQIAAAQIECBAg0FBAUWi4dCNnF5CfAAECBAgQIDBfQFGYb+wGAgQIECDwXMC3BAgQCCigKARcikgECBAgQIAAAQK5BSqkVxQqbNEMBAgQIECAAAECBAYLKAqDQR2XXUB+AgQIECBAgACBdwFF4V3BfwQIECBQV8BkBAgQIHBIQFE4xOYlAgQIECBAgACBqwTcu0ZAUVjj7BYCBAgQIECAAAECqQQUhVTryh5WfgIECBAgQIAAgSwCikKWTclJgACBiAIyESBAgEBZAUWh7GoNRoAAAQIECBDYL+ANAp8CisKnhL8JECBAgAABAgQIEPgnoCj8o8j+g/wECBAgQIAAAQIExgkoCuMsnUSAAIGxAk4jQIAAAQIXCigKF+K7mgABAgQIEOglYFoCmQQUhUzbkpUAAQIECBAgQIDAIgFFYRO0hwgQIECAAAECBAj0ElAUeu3btAQIfAr4mwABAgQIEHgqoCg85fElAQIECBAgkEVATgIExgooCmM9nUaAAAECBAgQIECghECAolDC0RAECBAgQIAAAQIESgkoCqXWaRgCQQTEIECAAAECBNILKArpV2gAAgQIECAwX8ANBAj0E1AU+u3cxAQIECBAgAABAgReCigKL4k8QIAAAQIECBAgQKCfgKLQb+cmzi4gPwECBAgQIEBggYCisADZFQQIECBA4JmA7wgQIBBRQFGIuBWZCBAgQIAAAQIEMguUyK4olFijIQgQIECAAAECBAiMFVAUxno6LbuA/AQIECBAgAABAn8EFIU/DP4gQIAAgaoC5iJAgACBYwKKwjE3bxEgQIAAAQIECFwj4NZFAorCImjXECBAgAABAgQIEMgkoChk2lb2rPITIECAAAECBAikEVAU0qxKUAIECMQTkIgAAQIE6gooCnV3azICBAgQIECAwF4BzxP4J6Ao/KPwAwECBAgQIECAAAECnwKKwqdE9r/lJ0CAAAECBAgQIDBQQFEYiOkoAgQIjBRwFgECBAgQuFJAUbhS390ECBAgQIBAJwGzEkgloCikWpewBAgQIECAAAECBNYIKApbnD1DgAABAgQIECBAoJmAotBs4cYlQOBDwJ8ECBAgQIDAcwFF4bmPbwkQIECAAIEcAlISIDBYQFEYDOo4AgQIECBAgAABAhUEri8KFRTNQIAAAQIECBAgQKCYgKJQbKHGIRBBQAYCBAgQIEAgv4CikH+HJiBAgAABArMFnE+AQEMBRaHh0o1MgAABAgQIECDQXeD1/IrCayNPECBAgAABAgQIEGgnoCi0W7mBswvIT4AAAQIECBBYIaAorFB2BwECBAgQeCzgGwIECIQUUBRCrkUoAgQIECBAgACBvAI1kisKNfZoCgIECBAgQIAAAQJDBRSFoZwOyy4gPwECBAgQIECAwIeAovDh4E8CBAgQqClgKgIECBA4KKAoHITzGgECBAgQIECAwBUC7lwloCisknYPAQIECBAgQIAAgUQCikKiZWWPKj8BAgQIECBAgEAeAUUhz64kJUCAQDQBeQgQIECgsICiUHi5RiNAgAABAgQI7BPwNIEvAUXhy8JPBAgQIECAAAECBAj8FVAU/kJk/0t+AgQIECBAgAABAiMFFIWRms4ivcAg4QAAEABJREFUQIDAOAEnESBAgACBSwUUhUv5XU6AAAECBAj0ETApgVwCikKufUlLgAABAgQIECBAYImAorCB2SMECBAgQIAAAQIEugkoCt02bl4CBN4F/EeAAAECBAi8EFAUXgD5mgABAgQIEMggICMBAqMFFIXRos4jQIAAAQIECBAgUEDg8qJQwNAIBAgQIECAAAECBMoJKArlVmogApcLCECAAAECBAgUEFAUCizRCAQIECBAYK6A0wkQ6CigKHTcupkJECBAgAABAgR6C2yYXlHYgOQRAgQIECBAgAABAt0EFIVuGzdvdgH5CRAgQIAAAQJLBBSFJcwuIUCAAAECjwR8ToAAgZgCikLMvUhFgAABAgQIECCQVaBIbkWhyCKNQYAAAQIECBAgQGCkgKIwUtNZ2QXkJ0CAAAECBAgQ+CugKPyF8BcBAgQIVBQwEwECBAgcFVAUjsp5jwABAgQIECBAYL2AG5cJKArLqF1EgAABAgQIECBAII+AopBnV9mTyk+AAAECBAgQIJBIQFFItCxRCRAgEEtAGgIECBCoLKAoVN6u2QgQIECAAAECewQ8S+CbgKLwDcOPBAgQIECAAAECBAh8CCgKHw7Z/5SfAAECBAgQIECAwFABRWEop8MIECAwSsA5BAgQIEDgWgFF4Vp/txMgQIAAAQJdBMxJIJmAopBsYeISIECAAAECBAgQWCGgKLxW9gQBAgQIECBAgACBdgKKQruVG5gAgbc3BgQIECBAgMArAUXhlZDvCRAgQIAAgfgCEhIgMFxAURhO6kACBAgQIECAAAEC+QWuLgr5BU1AgAABAgQIECBAoKCAolBwqUYicK2A2wkQIECAAIEKAopChS2agQABAgQIzBRwNgECLQUUhZZrNzQBAgQIECBAgEBngS2zKwpblDxDgAABAgQIECBAoJmAotBs4cbNLiA/AQIECBAgQGCNgKKwxtktBAgQIEDgvoBPCRAgEFRAUQi6GLEIECBAgAABAgRyClRJrShU2aQ5CBAgQIAAAQIECAwUUBQGYjoqu4D8BAgQIECAAAECnwKKwqeEvwkQIECgnoCJCBAgQOCwgKJwmM6LBAgQIECAAAECqwXct05AUVhn7SYCBAgQIECAAAECaQQUhTSryh5UfgIECBAgQIAAgUwCikKmbclKgACBSAKyECBAgEBpAUWh9HoNR4AAAQIECBDYLuBJAt8FFIXvGn4mQIAAAQIECBAgQOCPgKLwhyH7H/ITIECAAAECBAgQGCugKIz1dBoBAgTGCDiFAAECBAhcLKAoXLwA1xMgQIAAAQI9BExJIJuAopBtY/ISIECAAAECBAgQWCCgKLxE9gABAgQIECBAgACBfgKKQr+dm5gAAQIECBAgQIDASwFF4SWRBwgQIECAAIHoAvIRIDBeQFEYb+pEAgQIECBAgAABAukFLi4K6f0MQIAAAQIECBAgQKCkgKJQcq2GInChgKsJECBAgACBEgKKQok1GoIAAQIECMwTcDIBAj0FFIWeezc1AQIECBAgQIBAX4FNkysKm5g8RIAAAQIECBAgQKCXgKLQa9+mzS4gPwECBAgQIEBgkYCisAjaNQQIECBA4J6AzwgQIBBVQFGIuhm5CBAgQIAAAQIEMgqUyawolFmlQQgQIECAAAECBAiME1AUxlk6KbuA/AQIECBAgAABAv8EFIV/FH4gQIAAgWoC5iFAgACB4wKKwnE7bxIgQIAAAQIECKwVcNtCAUVhIbarCBAgQIAAAQIECGQRUBSybCp7TvkJECBAgAABAgRSCSgKqdYlLAECBOIISEKAAAECtQUUhdr7NR0BAgQIECBAYKuA5wj8EFAUfnD4BwECBAgQIECAAAEC7wKKwrtC9v/kJ0CAAAECBAgQIDBYQFEYDOo4AgQIjBBwBgECBAgQuFpAUbh6A+4nQIAAAQIEOgiYkUA6AUUh3coEJkCAAAECBAgQIDBfQFF4Zex7AgQIECBAgAABAg0FFIWGSzcyge4C5idAgAABAgReCygKr408QYAAAQIECMQWkI4AgQkCisIEVEcSIECAAAECBAgQyC5wbVHIric/AQIECBAgQIAAgaICikLRxRqLwFUC7iVAgAABAgRqCCgKNfZoCgIECBAgMEvAuQQINBVQFJou3tgECBAgQIAAAQJdBbbNrShsc/IUAQIECBAgQIAAgVYCikKrdRs2u4D8BAgQIECAAIFVAorCKmn3ECBAgACBWwGfECBAIKyAohB2NYIRIECAAAECBAjkE6iTWFGos0uTECBAgAABAgQIEBgmoCgMo3RQdgH5CRAgQIAAAQIEvgQUhS8LPxEgQIBALQHTECBAgMAJAUXhBJ5XCRAgQIAAAQIEVgq4a6WAorBS210ECBAgQIAAAQIEkggoCkkWlT2m/AQIECBAgAABArkEFIVc+5KWAAECUQTkIECAAIHiAopC8QUbjwABAgQIECCwTcBTBH4KKAo/PfyLAAECBAgQIECAAIH/BBSF/xCy/19+AgQIECBAgAABAqMFFIXRos4jQIDAeQEnECBAgACBywUUhctXIAABAgQIECBQX8CEBPIJKAr5diYxAQIECBAgQIAAgekCisILYl8TIECAAAECBAgQ6CigKHTcupkJ9BYwPQECBAgQILBBQFHYgOQRAgQIECBAILKAbAQIzBBQFGaoOpMAAQIECBAgQIBAcoFLi0JyO/EJECBAgAABAgQIlBVQFMqu1mAELhFwKQECBAgQIFBEQFEoskhjECBAgACBOQJOJUCgq4Ci0HXz5iZAgAABAgQIEOgpsHFqRWEjlMcIECBAgAABAgQIdBJQFDpt26zZBeQnQIAAAQIECCwTUBSWUbuIAAECBAj8FvBvAgQIxBVQFOLuRjICBAgQIECAAIFsAoXyKgqFlmkUAgQIECBAgAABAqMEFIVRks7JLiA/AQIECBAgQIDANwFF4RuGHwkQIECgkoBZCBAgQOCMgKJwRs+7BAgQIECAAAEC6wTctFRAUVjK7TICBAgQIECAAAECOQQUhRx7yp5SfgIECBAgQIAAgWQCikKyhYlLgACBGAJSECBAgEB1AUWh+obNR4AAAQIECBDYIuAZAr8EFIVfIP5JgAABAgQIECBAgMDbm6KQ/7fABAQIECBAgAABAgSGCygKw0kdSIAAgbMC3idAgAABAtcLKArX70ACAgQIECBAoLqA+QgkFFAUEi5NZAIECBAgQIAAAQKzBRSF58K+JUCAAAECBAgQINBSQFFouXZDE+gsYHYCBAgQIEBgi4CisEXJMwQIECBAgEBcAckIEJgioChMYXUoAQIECBAgQIAAgdwCVxaF3HLSEyBAgAABAgQIECgsoCgUXq7RCKwXcCMBAgQIECBQRUBRqLJJcxAgQIAAgRkCziRAoK2AotB29QYnQIAAAQIECBDoKLB1ZkVhq5TnCBAgQIAAAQIECDQSUBQaLduo2QXkJ0CAAAECBAisE1AU1lm7iQABAgQI/BTwLwIECAQWUBQCL0c0AgQIECBAgACBXAKV0ioKlbZpFgIECBAgQIAAAQKDBBSFQZCOyS4gPwECBAgQIECAwHcBReG7hp8JECBAoI6ASQgQIEDglICicIrPywQIECBAgAABAqsE3LNWQFFY6+02AgQIECBAgAABAikEFIUUa8oeUn4CBAgQIECAAIFsAopCto3JS4AAgQgCMhAgQIBAeQFFofyKDUiAAAECBAgQeC3gCQK/BRSF3yL+TYAAAQIECBAgQIDAm6KQ/pfAAAQIECBAgAABAgTGCygK402dSIAAgXMC3iZAgAABAgEEFIUASxCBAAECBAgQqC1gOgIZBRSFjFuTmQABAgQIECBAgMBkAUXhKbAvCRAgQIAAAQIECPQUUBR67t3UBPoKmJwAAQIECBDYJKAobGLyEAECBAgQIBBVQC4CBOYIKApzXJ1KgAABAgQIECBAILXAhUUhtZvwBAgQIECAAAECBEoLKAql12s4AosFXEeAAAECBAiUEVAUyqzSIAQIECBAYLyAEwkQ6CugKPTdvckJECBAgAABAgT6CWyeWFHYTOVBAgQIECBAgAABAn0EFIU+uzZpdgH5CRAgQIAAAQILBRSFhdiuIkCAAAEC3wX8TIAAgcgCikLk7chGgAABAgQIECCQSaBUVkWh1DoNQ4AAAQIECBAgQGCMgKIwxtEp2QXkJ0CAAAECBAgQ+CGgKPzg8A8CBAgQqCJgDgIECBA4J6AonPPzNgECBAgQIECAwBoBtywWUBQWg7uOAAECBAgQIECAQAYBRSHDlrJnlJ8AAQIECBAgQCCdgKKQbmUCEyBA4HoBCQgQIECgvoCiUH/HJiRAgAABAgQIvBLwPYEbAUXhhsQHBAgQIECAAAECBAgoCtl/B+QnQIAAAQIECBAgMEFAUZiA6kgCBAicEfAuAQIECBCIIKAoRNiCDAQIECBAgEBlAbMRSCmgKKRcm9AECBAgQIAAAQIE5gooCs98fUeAAAECBAgQIECgqYCi0HTxxibQVcDcBAgQIECAwDYBRWGbk6cIECBAgACBmAJSESAwSUBRmATrWAIECBAgQIAAAQKZBa4rCpnVZCdAgAABAgQIECBQXEBRKL5g4xFYKeAuAgQIECBAoI6AolBnlyYhQIAAAQKjBZxHgEBjAUWh8fKNToAAAQIECBAg0E1g+7yKwnYrTxIgQIAAAQIECBBoI6AotFm1QbMLyE+AAAECBAgQWCmgKKzUdhcBAgQIEPgS8BMBAgRCCygKodcjHAECBAgQIECAQB6BWkkVhVr7NA0BAgQIECBAgACBIQKKwhBGh2QXkJ8AAQIECBAgQOCngKLw08O/CBAgQKCGgCkIECBA4KSAonAS0OsECBAgQIAAAQIrBNyxWkBRWC3uPgIECBAgQIAAAQIJBBSFBEvKHlF+AgQIECBAgACBfAKKQr6dSUyAAIGrBdxPgAABAg0EFIUGSzYiAQIECBAgQOC5gG8J3AooCrcmPiFAgAABAgQIECDQXkBRSP4rID4BAgQIECBAgACBGQKKwgxVZxIgQOC4gDcJECBAgEAIAUUhxBqEIECAAAECBOoKmIxATgFFIefepCZAgAABAgQIECAwVUBReMLrKwIECBAgQIAAAQJdBRSFrps3N4GeAqYmQIAAAQIENgooChuhPEaAAAECBAhEFJCJAIFZAorCLFnnEiBAgAABAgQIEEgscFlRSGwmOgECBAgQIECAAIHyAopC+RUbkMAyARcRIECAAAEChQQUhULLNAoBAgQIEBgr4DQCBDoLKAqdt292AgQIECBAgACBXgI7plUUdmB5lAABAgQIECBAgEAXAUWhy6bNmV1AfgIECBAgQIDAUgFFYSm3ywgQIECAwKeAvwkQIBBbQFGIvR/pCBAgQIAAAQIEsggUy6koFFuocQgQIECAAAECBAiMEFAURig6I7uA/AQIECBAgAABAr8EFIVfIP5JgO/8PMgAAAoNSURBVAABAhUEzECAAAECZwUUhbOC3idAgAABAgQIEJgv4IblAorCcnIXEiBAgAABAgQIEIgvoCjE31H2hPITIECAAAECBAgkFFAUEi5NZAIECFwr4HYCBAgQ6CCgKHTYshkJECBAgAABAs8EfEfgjoCicAfFRwQIECBAgAABAgS6CygKuX8DpCdAgAABAgQIECAwRUBRmMLqUAIECBwV8B4BAgQIEIghoCjE2IMUBAgQIECAQFUBcxFIKqAoJF2c2AQIECBAgAABAgRmCigKj3V9Q4AAAQIECBAgQKCtgKLQdvUGJ9BRwMwECBAgQIDAVgFFYauU5wgQIECAAIF4AhIRIDBNQFGYRutgAgQIECBAgAABAnkFrioKecUkJ0CAAAECBAgQINBAQFFosGQjElgj4BYCBAgQIECgkoCiUGmbZiFAgAABAiMFnEWAQGsBRaH1+g1PgAABAgQIECDQSWDPrIrCHi3PEiBAgAABAgQIEGgioCg0WbQxswvIT4AAAQIECBBYK6AorPV2GwECBAgQ+BDwJwECBIILKArBFyQeAQIECBAgQIBADoFqKRWFahs1DwECBAgQIECAAIEBAorCAERHZBeQnwABAgQIECBA4LeAovBbxL8JECBAIL+ACQgQIEDgtICicJrQAQQIECBAgAABArMFnL9eQFFYb+5GAgQIECBAgAABAuEFFIXwK8oeUH4CBAgQIECAAIGMAopCxq3JTIAAgSsF3E2AAAECLQQUhRZrNiQBAgQIECBA4LGAbwjcE1AU7qn4jAABAgQIECBAgEBzAUUh9S+A8AQIECBAgAABAgTmCCgKc1ydSoAAgWMC3iJAgAABAkEEFIUgixCDAAECBAgQqClgKgJZBRSFrJuTmwABAgQIECBAgMBEAUXhIa4vCBAgQIAAAQIECPQVUBT67t7kBPoJmJgAAQIECBDYLKAobKbyIAECBAgQIBBNQB4CBOYJKArzbJ1MgAABAgQIECBAIK3ARUUhrZfgBAgQIECAAAECBFoIKAot1mxIAgsEXEGAAAECBAiUElAUSq3TMAQIECBAYJyAkwgQ6C2gKPTev+kJECBAgAABAgT6COyaVFHYxeVhAgQIECBAgAABAj0EFIUeezZldgH5CRAgQIAAAQKLBRSFxeCuI0CAAAEC7wL+I0CAQHQBRSH6huQjQIAAAQIECBDIIFAuo6JQbqUGIkCAAAECBAgQIHBeQFE4b+iE7ALyEyBAgAABAgQI3AgoCjckPiBAgACB7ALyEyBAgMB5AUXhvKETCBAgQIAAAQIE5go4/QIBReECdFcSIECAAAECBAgQiC6gKETfUPZ88hMgQIAAAQIECKQUUBRSrk1oAgQIXCfgZgIECBDoIaAo9NizKQkQIECAAAECjwR8TuCugKJwl8WHBAgQIECAAAECBHoLKAqZ9y87AQIECBAgQIAAgUkCisIkWMcSIEDgiIB3CBAgQIBAFAFFIcom5CBAgAABAgQqCpiJQFoBRSHt6gQnQIAAAQIECBAgME9AUXhk63MCBAgQIECAAAECjQUUhcbLNzqBbgLmJUCAAAECBLYLKArbrTxJgAABAgQIxBKQhgCBiQKKwkRcRxMgQIAAAQIECBDIKnBNUciqJTcBAgQIECBAgACBJgKKQpNFG5PAbAHnEyBAgAABArUEFIVa+zQNAQIECBAYJeAcAgSaCygKzX8BjE+AAAECBAgQINBFYN+cisI+L08TIECAAAECBAgQaCGgKLRYsyGzC8hPgAABAgQIEFgtoCisFncfAQIECBB4e2NAgACB8AKKQvgVCUiAAAECBAgQIBBfoF5CRaHeTk1EgAABAgQIECBA4LSAonCa0AHZBeQnQIAAAQIECBC4FVAUbk18QoAAAQK5BaQnQIAAgQECisIAREcQIECAAAECBAjMFHD2FQKKwhXq7iRAgAABAgQIECAQXEBRCL6g7PHkJ0CAAAECBAgQyCmgKOTcm9QECBC4SsC9BAgQINBEQFFosmhjEiBAgAABAgTuC/iUwH0BReG+i08JECBAgAABAgQItBZQFBKvX3QCBAgQIECAAAECswQUhVmyziVAgMB+AW8QIECAAIEwAopCmFUIQoAAAQIECNQTMBGBvAKKQt7dSU6AAAECBAgQIEBgmoCi8IDWxwQIECBAgAABAgQ6CygKnbdvdgK9BExLgAABAgQI7BBQFHZgeZQAAQIECBCIJCALAQIzBRSFmbrOJkCAAAECBAgQIJBU4JKikNRKbAIECBAgQIAAAQJtBBSFNqs2KIGpAg4nQIAAAQIEigkoCsUWahwCBAgQIDBGwCkECHQXUBS6/waYnwABAgQIECBAoIfAzikVhZ1gHidAgAABAgQIECDQQUBR6LBlM2YXkJ8AAQIECBAgsFxAUVhO7kICBAgQIECAAAEC8QUUhfg7kpAAAQIECBAgQCC6QMF8ikLBpRqJAAECBAgQIECAwFkBReGsoPezC8hPgAABAgQIECBwR0BRuIPiIwIECBDILCA7AQIECIwQUBRGKDqDAAECBAgQIEBgnoCTLxFQFC5hdykBAgQIECBAgACB2AKKQuz9ZE8nPwECBAgQIECAQFIBRSHp4sQmQIDANQJuJUCAAIEuAopCl02bkwABAgQIECBwT8BnBB4IKAoPYHxMgAABAgQIECBAoLOAopB3+5ITIECAAAECBAgQmCagKEyjdTABAgT2CnieAAECBAjEEVAU4uxCEgIECBAgQKCagHkIJBZQFBIvT3QCBAgQIECAAAECswQUhfuyPiVAgAABAgQIECDQWkBRaL1+wxPoJGBWAgQIECBAYI+AorBHy7MECBAgQIBAHAFJCBCYKqAoTOV1OAECBAgQIECAAIGcAlcUhZxSUhMgQIAAAQIECBBoJKAoNFq2UQnME3AyAQIECBAgUE1AUai2UfMQIECAAIERAs4gQKC9gKLQ/lcAAAECBAgQIECAQAeBvTMqCnvFPE+AAAECBAgQIECggYCi0GDJRswuID8BAgQIECBAYL2AorDe3I0ECBAg0F3A/AQIEEggoCgkWJKIBAgQIECAAAECsQUqplMUKm7VTAQIECBAgAABAgROCigKJwG9nl1AfgIECBAgQIAAgXsCisI9FZ8RIECAQF4ByQkQIEBgiICiMITRIQQIECBAgAABArMEnHuNgKJwjbtbCRAgQIAAAQIECIQWUBRCryd7OPkJECBAgAABAgSyCigKWTcnNwECBK4QcCcBAgQItBFQFNqs2qAECBAgQIAAgVsBnxB4JKAoPJLxOQECBAgQIECAAIHGAopC2uULToAAAQIECBAgQGCegKIwz9bJBAgQ2CfgaQIECBAgEEhAUQi0DFEIECBAgACBWgKmIZBZQFHIvD3ZCRAgQIAAAQIECEwSUBTuwvqQAAECBAgQIECAQG+B/wMAAP//zYTr3gAAAAZJREFUAwAqgAmF1MjzUgAAAABJRU5ErkJggg==">
          <a:extLst>
            <a:ext uri="{FF2B5EF4-FFF2-40B4-BE49-F238E27FC236}">
              <a16:creationId xmlns:a16="http://schemas.microsoft.com/office/drawing/2014/main" id="{00000000-0008-0000-0000-000064040000}"/>
            </a:ext>
          </a:extLst>
        </xdr:cNvPr>
        <xdr:cNvSpPr>
          <a:spLocks noChangeAspect="1" noChangeArrowheads="1"/>
        </xdr:cNvSpPr>
      </xdr:nvSpPr>
      <xdr:spPr bwMode="auto">
        <a:xfrm>
          <a:off x="15525750" y="7743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8</xdr:col>
      <xdr:colOff>457200</xdr:colOff>
      <xdr:row>31</xdr:row>
      <xdr:rowOff>31059</xdr:rowOff>
    </xdr:from>
    <xdr:to>
      <xdr:col>12</xdr:col>
      <xdr:colOff>465293</xdr:colOff>
      <xdr:row>42</xdr:row>
      <xdr:rowOff>191742</xdr:rowOff>
    </xdr:to>
    <xdr:pic>
      <xdr:nvPicPr>
        <xdr:cNvPr id="22" name="Picture 21">
          <a:extLst>
            <a:ext uri="{FF2B5EF4-FFF2-40B4-BE49-F238E27FC236}">
              <a16:creationId xmlns:a16="http://schemas.microsoft.com/office/drawing/2014/main" id="{00000000-0008-0000-0000-000016000000}"/>
            </a:ext>
          </a:extLst>
        </xdr:cNvPr>
        <xdr:cNvPicPr>
          <a:picLocks noChangeAspect="1"/>
        </xdr:cNvPicPr>
      </xdr:nvPicPr>
      <xdr:blipFill>
        <a:blip xmlns:r="http://schemas.openxmlformats.org/officeDocument/2006/relationships" r:embed="rId12"/>
        <a:stretch>
          <a:fillRect/>
        </a:stretch>
      </xdr:blipFill>
      <xdr:spPr>
        <a:xfrm>
          <a:off x="7406309" y="7386016"/>
          <a:ext cx="2853584" cy="2595769"/>
        </a:xfrm>
        <a:prstGeom prst="rect">
          <a:avLst/>
        </a:prstGeom>
      </xdr:spPr>
    </xdr:pic>
    <xdr:clientData/>
  </xdr:twoCellAnchor>
  <xdr:twoCellAnchor editAs="oneCell">
    <xdr:from>
      <xdr:col>15</xdr:col>
      <xdr:colOff>6164</xdr:colOff>
      <xdr:row>31</xdr:row>
      <xdr:rowOff>154641</xdr:rowOff>
    </xdr:from>
    <xdr:to>
      <xdr:col>17</xdr:col>
      <xdr:colOff>1296761</xdr:colOff>
      <xdr:row>42</xdr:row>
      <xdr:rowOff>153323</xdr:rowOff>
    </xdr:to>
    <xdr:pic>
      <xdr:nvPicPr>
        <xdr:cNvPr id="23" name="Picture 22">
          <a:extLst>
            <a:ext uri="{FF2B5EF4-FFF2-40B4-BE49-F238E27FC236}">
              <a16:creationId xmlns:a16="http://schemas.microsoft.com/office/drawing/2014/main" id="{00000000-0008-0000-0000-000017000000}"/>
            </a:ext>
          </a:extLst>
        </xdr:cNvPr>
        <xdr:cNvPicPr>
          <a:picLocks noChangeAspect="1"/>
        </xdr:cNvPicPr>
      </xdr:nvPicPr>
      <xdr:blipFill>
        <a:blip xmlns:r="http://schemas.openxmlformats.org/officeDocument/2006/relationships" r:embed="rId13"/>
        <a:stretch>
          <a:fillRect/>
        </a:stretch>
      </xdr:blipFill>
      <xdr:spPr>
        <a:xfrm>
          <a:off x="11398064" y="7431741"/>
          <a:ext cx="2822761" cy="2408507"/>
        </a:xfrm>
        <a:prstGeom prst="rect">
          <a:avLst/>
        </a:prstGeom>
      </xdr:spPr>
    </xdr:pic>
    <xdr:clientData/>
  </xdr:twoCellAnchor>
  <xdr:twoCellAnchor editAs="oneCell">
    <xdr:from>
      <xdr:col>9</xdr:col>
      <xdr:colOff>272271</xdr:colOff>
      <xdr:row>3</xdr:row>
      <xdr:rowOff>0</xdr:rowOff>
    </xdr:from>
    <xdr:to>
      <xdr:col>17</xdr:col>
      <xdr:colOff>1262478</xdr:colOff>
      <xdr:row>18</xdr:row>
      <xdr:rowOff>0</xdr:rowOff>
    </xdr:to>
    <xdr:pic>
      <xdr:nvPicPr>
        <xdr:cNvPr id="25" name="Picture 24">
          <a:extLst>
            <a:ext uri="{FF2B5EF4-FFF2-40B4-BE49-F238E27FC236}">
              <a16:creationId xmlns:a16="http://schemas.microsoft.com/office/drawing/2014/main" id="{00000000-0008-0000-0000-000019000000}"/>
            </a:ext>
          </a:extLst>
        </xdr:cNvPr>
        <xdr:cNvPicPr>
          <a:picLocks noChangeAspect="1"/>
        </xdr:cNvPicPr>
      </xdr:nvPicPr>
      <xdr:blipFill rotWithShape="1">
        <a:blip xmlns:r="http://schemas.openxmlformats.org/officeDocument/2006/relationships" r:embed="rId14"/>
        <a:srcRect t="4270"/>
        <a:stretch/>
      </xdr:blipFill>
      <xdr:spPr>
        <a:xfrm>
          <a:off x="7720821" y="1019175"/>
          <a:ext cx="6724257" cy="3429000"/>
        </a:xfrm>
        <a:prstGeom prst="rect">
          <a:avLst/>
        </a:prstGeom>
      </xdr:spPr>
    </xdr:pic>
    <xdr:clientData/>
  </xdr:twoCellAnchor>
  <xdr:twoCellAnchor editAs="oneCell">
    <xdr:from>
      <xdr:col>8</xdr:col>
      <xdr:colOff>285154</xdr:colOff>
      <xdr:row>103</xdr:row>
      <xdr:rowOff>28575</xdr:rowOff>
    </xdr:from>
    <xdr:to>
      <xdr:col>13</xdr:col>
      <xdr:colOff>1715</xdr:colOff>
      <xdr:row>119</xdr:row>
      <xdr:rowOff>0</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5"/>
        <a:stretch>
          <a:fillRect/>
        </a:stretch>
      </xdr:blipFill>
      <xdr:spPr>
        <a:xfrm>
          <a:off x="7257454" y="23145750"/>
          <a:ext cx="2983636" cy="3362325"/>
        </a:xfrm>
        <a:prstGeom prst="rect">
          <a:avLst/>
        </a:prstGeom>
      </xdr:spPr>
    </xdr:pic>
    <xdr:clientData/>
  </xdr:twoCellAnchor>
  <mc:AlternateContent xmlns:mc="http://schemas.openxmlformats.org/markup-compatibility/2006">
    <mc:Choice xmlns:a14="http://schemas.microsoft.com/office/drawing/2010/main" Requires="a14">
      <xdr:twoCellAnchor>
        <xdr:from>
          <xdr:col>6</xdr:col>
          <xdr:colOff>0</xdr:colOff>
          <xdr:row>8</xdr:row>
          <xdr:rowOff>9525</xdr:rowOff>
        </xdr:from>
        <xdr:to>
          <xdr:col>6</xdr:col>
          <xdr:colOff>276225</xdr:colOff>
          <xdr:row>8</xdr:row>
          <xdr:rowOff>209550</xdr:rowOff>
        </xdr:to>
        <xdr:sp macro="" textlink="">
          <xdr:nvSpPr>
            <xdr:cNvPr id="1138" name="Spinner 114" hidden="1">
              <a:extLst>
                <a:ext uri="{63B3BB69-23CF-44E3-9099-C40C66FF867C}">
                  <a14:compatExt spid="_x0000_s1138"/>
                </a:ext>
                <a:ext uri="{FF2B5EF4-FFF2-40B4-BE49-F238E27FC236}">
                  <a16:creationId xmlns:a16="http://schemas.microsoft.com/office/drawing/2014/main" id="{00000000-0008-0000-0000-000072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xdr:row>
          <xdr:rowOff>9525</xdr:rowOff>
        </xdr:from>
        <xdr:to>
          <xdr:col>6</xdr:col>
          <xdr:colOff>276225</xdr:colOff>
          <xdr:row>7</xdr:row>
          <xdr:rowOff>209550</xdr:rowOff>
        </xdr:to>
        <xdr:sp macro="" textlink="">
          <xdr:nvSpPr>
            <xdr:cNvPr id="1143" name="Spinner 119" hidden="1">
              <a:extLst>
                <a:ext uri="{63B3BB69-23CF-44E3-9099-C40C66FF867C}">
                  <a14:compatExt spid="_x0000_s1143"/>
                </a:ext>
                <a:ext uri="{FF2B5EF4-FFF2-40B4-BE49-F238E27FC236}">
                  <a16:creationId xmlns:a16="http://schemas.microsoft.com/office/drawing/2014/main" id="{00000000-0008-0000-0000-000077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97</xdr:row>
          <xdr:rowOff>9525</xdr:rowOff>
        </xdr:from>
        <xdr:to>
          <xdr:col>10</xdr:col>
          <xdr:colOff>276225</xdr:colOff>
          <xdr:row>97</xdr:row>
          <xdr:rowOff>209550</xdr:rowOff>
        </xdr:to>
        <xdr:sp macro="" textlink="">
          <xdr:nvSpPr>
            <xdr:cNvPr id="1146" name="Spinner 122" hidden="1">
              <a:extLst>
                <a:ext uri="{63B3BB69-23CF-44E3-9099-C40C66FF867C}">
                  <a14:compatExt spid="_x0000_s1146"/>
                </a:ext>
                <a:ext uri="{FF2B5EF4-FFF2-40B4-BE49-F238E27FC236}">
                  <a16:creationId xmlns:a16="http://schemas.microsoft.com/office/drawing/2014/main" id="{00000000-0008-0000-0000-00007A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99</xdr:row>
          <xdr:rowOff>9525</xdr:rowOff>
        </xdr:from>
        <xdr:to>
          <xdr:col>10</xdr:col>
          <xdr:colOff>276225</xdr:colOff>
          <xdr:row>99</xdr:row>
          <xdr:rowOff>209550</xdr:rowOff>
        </xdr:to>
        <xdr:sp macro="" textlink="">
          <xdr:nvSpPr>
            <xdr:cNvPr id="1147" name="Spinner 123" hidden="1">
              <a:extLst>
                <a:ext uri="{63B3BB69-23CF-44E3-9099-C40C66FF867C}">
                  <a14:compatExt spid="_x0000_s1147"/>
                </a:ext>
                <a:ext uri="{FF2B5EF4-FFF2-40B4-BE49-F238E27FC236}">
                  <a16:creationId xmlns:a16="http://schemas.microsoft.com/office/drawing/2014/main" id="{00000000-0008-0000-0000-00007B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98</xdr:row>
          <xdr:rowOff>9525</xdr:rowOff>
        </xdr:from>
        <xdr:to>
          <xdr:col>10</xdr:col>
          <xdr:colOff>276225</xdr:colOff>
          <xdr:row>98</xdr:row>
          <xdr:rowOff>209550</xdr:rowOff>
        </xdr:to>
        <xdr:sp macro="" textlink="">
          <xdr:nvSpPr>
            <xdr:cNvPr id="1148" name="Spinner 124" hidden="1">
              <a:extLst>
                <a:ext uri="{63B3BB69-23CF-44E3-9099-C40C66FF867C}">
                  <a14:compatExt spid="_x0000_s1148"/>
                </a:ext>
                <a:ext uri="{FF2B5EF4-FFF2-40B4-BE49-F238E27FC236}">
                  <a16:creationId xmlns:a16="http://schemas.microsoft.com/office/drawing/2014/main" id="{00000000-0008-0000-0000-00007C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85725</xdr:colOff>
          <xdr:row>105</xdr:row>
          <xdr:rowOff>47625</xdr:rowOff>
        </xdr:from>
        <xdr:to>
          <xdr:col>17</xdr:col>
          <xdr:colOff>4248150</xdr:colOff>
          <xdr:row>117</xdr:row>
          <xdr:rowOff>85725</xdr:rowOff>
        </xdr:to>
        <xdr:sp macro="" textlink="">
          <xdr:nvSpPr>
            <xdr:cNvPr id="1155" name="Object 131" hidden="1">
              <a:extLst>
                <a:ext uri="{63B3BB69-23CF-44E3-9099-C40C66FF867C}">
                  <a14:compatExt spid="_x0000_s1155"/>
                </a:ext>
                <a:ext uri="{FF2B5EF4-FFF2-40B4-BE49-F238E27FC236}">
                  <a16:creationId xmlns:a16="http://schemas.microsoft.com/office/drawing/2014/main" id="{00000000-0008-0000-0000-000083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6851610</xdr:colOff>
      <xdr:row>18</xdr:row>
      <xdr:rowOff>26267</xdr:rowOff>
    </xdr:from>
    <xdr:to>
      <xdr:col>6</xdr:col>
      <xdr:colOff>962438</xdr:colOff>
      <xdr:row>38</xdr:row>
      <xdr:rowOff>37152</xdr:rowOff>
    </xdr:to>
    <xdr:graphicFrame macro="">
      <xdr:nvGraphicFramePr>
        <xdr:cNvPr id="7" name="Chart 6">
          <a:extLst>
            <a:ext uri="{FF2B5EF4-FFF2-40B4-BE49-F238E27FC236}">
              <a16:creationId xmlns:a16="http://schemas.microsoft.com/office/drawing/2014/main" id="{00000000-0008-0000-01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44825</xdr:colOff>
      <xdr:row>2</xdr:row>
      <xdr:rowOff>32019</xdr:rowOff>
    </xdr:from>
    <xdr:to>
      <xdr:col>0</xdr:col>
      <xdr:colOff>1963111</xdr:colOff>
      <xdr:row>5</xdr:row>
      <xdr:rowOff>123400</xdr:rowOff>
    </xdr:to>
    <xdr:pic>
      <xdr:nvPicPr>
        <xdr:cNvPr id="6" name="Picture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2"/>
        <a:stretch>
          <a:fillRect/>
        </a:stretch>
      </xdr:blipFill>
      <xdr:spPr>
        <a:xfrm>
          <a:off x="44825" y="569901"/>
          <a:ext cx="1921007" cy="649836"/>
        </a:xfrm>
        <a:prstGeom prst="rect">
          <a:avLst/>
        </a:prstGeom>
        <a:ln w="38100">
          <a:solidFill>
            <a:schemeClr val="tx1"/>
          </a:solidFill>
        </a:ln>
      </xdr:spPr>
    </xdr:pic>
    <xdr:clientData/>
  </xdr:twoCellAnchor>
  <xdr:twoCellAnchor editAs="oneCell">
    <xdr:from>
      <xdr:col>0</xdr:col>
      <xdr:colOff>19210</xdr:colOff>
      <xdr:row>36</xdr:row>
      <xdr:rowOff>123442</xdr:rowOff>
    </xdr:from>
    <xdr:to>
      <xdr:col>0</xdr:col>
      <xdr:colOff>2523753</xdr:colOff>
      <xdr:row>58</xdr:row>
      <xdr:rowOff>169208</xdr:rowOff>
    </xdr:to>
    <xdr:pic>
      <xdr:nvPicPr>
        <xdr:cNvPr id="8" name="Picture 7">
          <a:extLst>
            <a:ext uri="{FF2B5EF4-FFF2-40B4-BE49-F238E27FC236}">
              <a16:creationId xmlns:a16="http://schemas.microsoft.com/office/drawing/2014/main" id="{00000000-0008-0000-0100-000008000000}"/>
            </a:ext>
          </a:extLst>
        </xdr:cNvPr>
        <xdr:cNvPicPr>
          <a:picLocks noChangeAspect="1"/>
        </xdr:cNvPicPr>
      </xdr:nvPicPr>
      <xdr:blipFill>
        <a:blip xmlns:r="http://schemas.openxmlformats.org/officeDocument/2006/relationships" r:embed="rId3"/>
        <a:stretch>
          <a:fillRect/>
        </a:stretch>
      </xdr:blipFill>
      <xdr:spPr>
        <a:xfrm>
          <a:off x="19210" y="7007055"/>
          <a:ext cx="2500462" cy="4128390"/>
        </a:xfrm>
        <a:prstGeom prst="rect">
          <a:avLst/>
        </a:prstGeom>
        <a:ln>
          <a:solidFill>
            <a:schemeClr val="tx1"/>
          </a:solidFill>
        </a:ln>
      </xdr:spPr>
    </xdr:pic>
    <xdr:clientData/>
  </xdr:twoCellAnchor>
  <xdr:twoCellAnchor editAs="oneCell">
    <xdr:from>
      <xdr:col>0</xdr:col>
      <xdr:colOff>2551900</xdr:colOff>
      <xdr:row>5</xdr:row>
      <xdr:rowOff>188344</xdr:rowOff>
    </xdr:from>
    <xdr:to>
      <xdr:col>0</xdr:col>
      <xdr:colOff>5229161</xdr:colOff>
      <xdr:row>31</xdr:row>
      <xdr:rowOff>48906</xdr:rowOff>
    </xdr:to>
    <xdr:pic>
      <xdr:nvPicPr>
        <xdr:cNvPr id="11" name="Picture 10">
          <a:extLst>
            <a:ext uri="{FF2B5EF4-FFF2-40B4-BE49-F238E27FC236}">
              <a16:creationId xmlns:a16="http://schemas.microsoft.com/office/drawing/2014/main" id="{00000000-0008-0000-0100-00000B000000}"/>
            </a:ext>
          </a:extLst>
        </xdr:cNvPr>
        <xdr:cNvPicPr>
          <a:picLocks noChangeAspect="1"/>
        </xdr:cNvPicPr>
      </xdr:nvPicPr>
      <xdr:blipFill>
        <a:blip xmlns:r="http://schemas.openxmlformats.org/officeDocument/2006/relationships" r:embed="rId4"/>
        <a:stretch>
          <a:fillRect/>
        </a:stretch>
      </xdr:blipFill>
      <xdr:spPr>
        <a:xfrm>
          <a:off x="2551900" y="1283319"/>
          <a:ext cx="2673180" cy="4716632"/>
        </a:xfrm>
        <a:prstGeom prst="rect">
          <a:avLst/>
        </a:prstGeom>
        <a:ln>
          <a:solidFill>
            <a:schemeClr val="tx1"/>
          </a:solidFill>
        </a:ln>
      </xdr:spPr>
    </xdr:pic>
    <xdr:clientData/>
  </xdr:twoCellAnchor>
  <xdr:twoCellAnchor editAs="oneCell">
    <xdr:from>
      <xdr:col>0</xdr:col>
      <xdr:colOff>20171</xdr:colOff>
      <xdr:row>5</xdr:row>
      <xdr:rowOff>186786</xdr:rowOff>
    </xdr:from>
    <xdr:to>
      <xdr:col>0</xdr:col>
      <xdr:colOff>2532253</xdr:colOff>
      <xdr:row>36</xdr:row>
      <xdr:rowOff>26976</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5"/>
        <a:stretch>
          <a:fillRect/>
        </a:stretch>
      </xdr:blipFill>
      <xdr:spPr>
        <a:xfrm>
          <a:off x="20171" y="1294567"/>
          <a:ext cx="2509361" cy="5627467"/>
        </a:xfrm>
        <a:prstGeom prst="rect">
          <a:avLst/>
        </a:prstGeom>
        <a:ln>
          <a:solidFill>
            <a:schemeClr val="tx1"/>
          </a:solidFill>
        </a:ln>
      </xdr:spPr>
    </xdr:pic>
    <xdr:clientData/>
  </xdr:twoCellAnchor>
  <xdr:twoCellAnchor editAs="oneCell">
    <xdr:from>
      <xdr:col>0</xdr:col>
      <xdr:colOff>2561747</xdr:colOff>
      <xdr:row>36</xdr:row>
      <xdr:rowOff>125986</xdr:rowOff>
    </xdr:from>
    <xdr:to>
      <xdr:col>0</xdr:col>
      <xdr:colOff>5210966</xdr:colOff>
      <xdr:row>61</xdr:row>
      <xdr:rowOff>121902</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6"/>
        <a:stretch>
          <a:fillRect/>
        </a:stretch>
      </xdr:blipFill>
      <xdr:spPr>
        <a:xfrm>
          <a:off x="2561747" y="6815898"/>
          <a:ext cx="2653300" cy="4479631"/>
        </a:xfrm>
        <a:prstGeom prst="rect">
          <a:avLst/>
        </a:prstGeom>
        <a:ln>
          <a:solidFill>
            <a:sysClr val="windowText" lastClr="000000"/>
          </a:solidFill>
        </a:ln>
      </xdr:spPr>
    </xdr:pic>
    <xdr:clientData/>
  </xdr:twoCellAnchor>
  <xdr:twoCellAnchor editAs="oneCell">
    <xdr:from>
      <xdr:col>0</xdr:col>
      <xdr:colOff>0</xdr:colOff>
      <xdr:row>77</xdr:row>
      <xdr:rowOff>11206</xdr:rowOff>
    </xdr:from>
    <xdr:to>
      <xdr:col>2</xdr:col>
      <xdr:colOff>109959</xdr:colOff>
      <xdr:row>92</xdr:row>
      <xdr:rowOff>179294</xdr:rowOff>
    </xdr:to>
    <xdr:pic>
      <xdr:nvPicPr>
        <xdr:cNvPr id="10" name="Picture 9" descr="C:\Users\a0492295\AppData\Local\Temp\{1CEF0984-F27C-4FBF-8522-60FFF19C3D91}.tmp">
          <a:extLst>
            <a:ext uri="{FF2B5EF4-FFF2-40B4-BE49-F238E27FC236}">
              <a16:creationId xmlns:a16="http://schemas.microsoft.com/office/drawing/2014/main" id="{00000000-0008-0000-0100-00000A000000}"/>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0" y="14926235"/>
          <a:ext cx="6777459" cy="30255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224118</xdr:colOff>
      <xdr:row>77</xdr:row>
      <xdr:rowOff>33617</xdr:rowOff>
    </xdr:from>
    <xdr:to>
      <xdr:col>10</xdr:col>
      <xdr:colOff>643711</xdr:colOff>
      <xdr:row>92</xdr:row>
      <xdr:rowOff>156882</xdr:rowOff>
    </xdr:to>
    <xdr:pic>
      <xdr:nvPicPr>
        <xdr:cNvPr id="5" name="Picture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8"/>
        <a:stretch>
          <a:fillRect/>
        </a:stretch>
      </xdr:blipFill>
      <xdr:spPr>
        <a:xfrm>
          <a:off x="6891618" y="14948646"/>
          <a:ext cx="8487828" cy="2980765"/>
        </a:xfrm>
        <a:prstGeom prst="rect">
          <a:avLst/>
        </a:prstGeom>
      </xdr:spPr>
    </xdr:pic>
    <xdr:clientData/>
  </xdr:twoCellAnchor>
  <xdr:twoCellAnchor editAs="oneCell">
    <xdr:from>
      <xdr:col>0</xdr:col>
      <xdr:colOff>1</xdr:colOff>
      <xdr:row>103</xdr:row>
      <xdr:rowOff>0</xdr:rowOff>
    </xdr:from>
    <xdr:to>
      <xdr:col>2</xdr:col>
      <xdr:colOff>145677</xdr:colOff>
      <xdr:row>118</xdr:row>
      <xdr:rowOff>184033</xdr:rowOff>
    </xdr:to>
    <xdr:pic>
      <xdr:nvPicPr>
        <xdr:cNvPr id="13" name="Picture 12" descr="C:\Users\a0492295\AppData\Local\Temp\{850AACE3-D9A5-4EE3-B231-7C982E3C913A}.tmp">
          <a:extLst>
            <a:ext uri="{FF2B5EF4-FFF2-40B4-BE49-F238E27FC236}">
              <a16:creationId xmlns:a16="http://schemas.microsoft.com/office/drawing/2014/main" id="{00000000-0008-0000-0100-00000D000000}"/>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1" y="19868029"/>
          <a:ext cx="6813176" cy="304153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235324</xdr:colOff>
      <xdr:row>103</xdr:row>
      <xdr:rowOff>33618</xdr:rowOff>
    </xdr:from>
    <xdr:to>
      <xdr:col>10</xdr:col>
      <xdr:colOff>593912</xdr:colOff>
      <xdr:row>118</xdr:row>
      <xdr:rowOff>119492</xdr:rowOff>
    </xdr:to>
    <xdr:pic>
      <xdr:nvPicPr>
        <xdr:cNvPr id="14" name="Picture 13">
          <a:extLst>
            <a:ext uri="{FF2B5EF4-FFF2-40B4-BE49-F238E27FC236}">
              <a16:creationId xmlns:a16="http://schemas.microsoft.com/office/drawing/2014/main" id="{00000000-0008-0000-0100-00000E000000}"/>
            </a:ext>
          </a:extLst>
        </xdr:cNvPr>
        <xdr:cNvPicPr>
          <a:picLocks noChangeAspect="1"/>
        </xdr:cNvPicPr>
      </xdr:nvPicPr>
      <xdr:blipFill>
        <a:blip xmlns:r="http://schemas.openxmlformats.org/officeDocument/2006/relationships" r:embed="rId10"/>
        <a:stretch>
          <a:fillRect/>
        </a:stretch>
      </xdr:blipFill>
      <xdr:spPr>
        <a:xfrm>
          <a:off x="6902824" y="19901647"/>
          <a:ext cx="8426823" cy="2943374"/>
        </a:xfrm>
        <a:prstGeom prst="rect">
          <a:avLst/>
        </a:prstGeom>
      </xdr:spPr>
    </xdr:pic>
    <xdr:clientData/>
  </xdr:twoCellAnchor>
  <xdr:twoCellAnchor editAs="oneCell">
    <xdr:from>
      <xdr:col>0</xdr:col>
      <xdr:colOff>0</xdr:colOff>
      <xdr:row>129</xdr:row>
      <xdr:rowOff>11207</xdr:rowOff>
    </xdr:from>
    <xdr:to>
      <xdr:col>2</xdr:col>
      <xdr:colOff>123265</xdr:colOff>
      <xdr:row>144</xdr:row>
      <xdr:rowOff>185235</xdr:rowOff>
    </xdr:to>
    <xdr:pic>
      <xdr:nvPicPr>
        <xdr:cNvPr id="15" name="Picture 14" descr="C:\Users\a0492295\AppData\Local\Temp\{67A02EAB-7AB0-49CF-AB18-56FB5FC40F3E}.tmp">
          <a:extLst>
            <a:ext uri="{FF2B5EF4-FFF2-40B4-BE49-F238E27FC236}">
              <a16:creationId xmlns:a16="http://schemas.microsoft.com/office/drawing/2014/main" id="{00000000-0008-0000-0100-00000F000000}"/>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0" y="24832236"/>
          <a:ext cx="6790765" cy="303152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257735</xdr:colOff>
      <xdr:row>129</xdr:row>
      <xdr:rowOff>11206</xdr:rowOff>
    </xdr:from>
    <xdr:to>
      <xdr:col>10</xdr:col>
      <xdr:colOff>691951</xdr:colOff>
      <xdr:row>144</xdr:row>
      <xdr:rowOff>168089</xdr:rowOff>
    </xdr:to>
    <xdr:pic>
      <xdr:nvPicPr>
        <xdr:cNvPr id="16" name="Picture 15">
          <a:extLst>
            <a:ext uri="{FF2B5EF4-FFF2-40B4-BE49-F238E27FC236}">
              <a16:creationId xmlns:a16="http://schemas.microsoft.com/office/drawing/2014/main" id="{00000000-0008-0000-0100-000010000000}"/>
            </a:ext>
          </a:extLst>
        </xdr:cNvPr>
        <xdr:cNvPicPr>
          <a:picLocks noChangeAspect="1"/>
        </xdr:cNvPicPr>
      </xdr:nvPicPr>
      <xdr:blipFill>
        <a:blip xmlns:r="http://schemas.openxmlformats.org/officeDocument/2006/relationships" r:embed="rId12"/>
        <a:stretch>
          <a:fillRect/>
        </a:stretch>
      </xdr:blipFill>
      <xdr:spPr>
        <a:xfrm>
          <a:off x="6925235" y="24832235"/>
          <a:ext cx="8502451" cy="301438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5</xdr:col>
      <xdr:colOff>128351</xdr:colOff>
      <xdr:row>11</xdr:row>
      <xdr:rowOff>20266</xdr:rowOff>
    </xdr:from>
    <xdr:to>
      <xdr:col>5</xdr:col>
      <xdr:colOff>4663795</xdr:colOff>
      <xdr:row>30</xdr:row>
      <xdr:rowOff>190499</xdr:rowOff>
    </xdr:to>
    <xdr:grpSp>
      <xdr:nvGrpSpPr>
        <xdr:cNvPr id="10" name="Group 9">
          <a:extLst>
            <a:ext uri="{FF2B5EF4-FFF2-40B4-BE49-F238E27FC236}">
              <a16:creationId xmlns:a16="http://schemas.microsoft.com/office/drawing/2014/main" id="{00000000-0008-0000-0200-00000A000000}"/>
            </a:ext>
          </a:extLst>
        </xdr:cNvPr>
        <xdr:cNvGrpSpPr/>
      </xdr:nvGrpSpPr>
      <xdr:grpSpPr>
        <a:xfrm>
          <a:off x="9193910" y="2115766"/>
          <a:ext cx="4535444" cy="3789733"/>
          <a:chOff x="8777051" y="2306266"/>
          <a:chExt cx="4535444" cy="3218233"/>
        </a:xfrm>
      </xdr:grpSpPr>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rotWithShape="1">
          <a:blip xmlns:r="http://schemas.openxmlformats.org/officeDocument/2006/relationships" r:embed="rId1"/>
          <a:srcRect b="7380"/>
          <a:stretch/>
        </xdr:blipFill>
        <xdr:spPr>
          <a:xfrm>
            <a:off x="8777051" y="2306266"/>
            <a:ext cx="4535444" cy="3196618"/>
          </a:xfrm>
          <a:prstGeom prst="rect">
            <a:avLst/>
          </a:prstGeom>
        </xdr:spPr>
      </xdr:pic>
      <xdr:pic>
        <xdr:nvPicPr>
          <xdr:cNvPr id="9" name="Picture 8">
            <a:extLst>
              <a:ext uri="{FF2B5EF4-FFF2-40B4-BE49-F238E27FC236}">
                <a16:creationId xmlns:a16="http://schemas.microsoft.com/office/drawing/2014/main" id="{00000000-0008-0000-0200-000009000000}"/>
              </a:ext>
            </a:extLst>
          </xdr:cNvPr>
          <xdr:cNvPicPr>
            <a:picLocks noChangeAspect="1"/>
          </xdr:cNvPicPr>
        </xdr:nvPicPr>
        <xdr:blipFill>
          <a:blip xmlns:r="http://schemas.openxmlformats.org/officeDocument/2006/relationships" r:embed="rId2"/>
          <a:stretch>
            <a:fillRect/>
          </a:stretch>
        </xdr:blipFill>
        <xdr:spPr>
          <a:xfrm>
            <a:off x="11077575" y="2319368"/>
            <a:ext cx="1952625" cy="3205131"/>
          </a:xfrm>
          <a:prstGeom prst="rect">
            <a:avLst/>
          </a:prstGeom>
          <a:solidFill>
            <a:schemeClr val="bg1"/>
          </a:solidFill>
        </xdr:spPr>
      </xdr:pic>
    </xdr:grpSp>
    <xdr:clientData/>
  </xdr:twoCellAnchor>
  <xdr:twoCellAnchor editAs="oneCell">
    <xdr:from>
      <xdr:col>4</xdr:col>
      <xdr:colOff>2762251</xdr:colOff>
      <xdr:row>54</xdr:row>
      <xdr:rowOff>95250</xdr:rowOff>
    </xdr:from>
    <xdr:to>
      <xdr:col>5</xdr:col>
      <xdr:colOff>2357149</xdr:colOff>
      <xdr:row>72</xdr:row>
      <xdr:rowOff>171450</xdr:rowOff>
    </xdr:to>
    <xdr:pic>
      <xdr:nvPicPr>
        <xdr:cNvPr id="5" name="Picture 4" descr="Screen Image">
          <a:extLst>
            <a:ext uri="{FF2B5EF4-FFF2-40B4-BE49-F238E27FC236}">
              <a16:creationId xmlns:a16="http://schemas.microsoft.com/office/drawing/2014/main" id="{00000000-0008-0000-0200-000005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972176" y="10382250"/>
          <a:ext cx="5443248" cy="3505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2628900</xdr:colOff>
      <xdr:row>54</xdr:row>
      <xdr:rowOff>106306</xdr:rowOff>
    </xdr:from>
    <xdr:to>
      <xdr:col>12</xdr:col>
      <xdr:colOff>85725</xdr:colOff>
      <xdr:row>72</xdr:row>
      <xdr:rowOff>171450</xdr:rowOff>
    </xdr:to>
    <xdr:pic>
      <xdr:nvPicPr>
        <xdr:cNvPr id="6" name="Picture 5" descr="Screen Image">
          <a:extLst>
            <a:ext uri="{FF2B5EF4-FFF2-40B4-BE49-F238E27FC236}">
              <a16:creationId xmlns:a16="http://schemas.microsoft.com/office/drawing/2014/main" id="{00000000-0008-0000-0200-000006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1687175" y="10393306"/>
          <a:ext cx="5362575" cy="349414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xdr:colOff>
      <xdr:row>83</xdr:row>
      <xdr:rowOff>0</xdr:rowOff>
    </xdr:from>
    <xdr:to>
      <xdr:col>4</xdr:col>
      <xdr:colOff>2367589</xdr:colOff>
      <xdr:row>98</xdr:row>
      <xdr:rowOff>190499</xdr:rowOff>
    </xdr:to>
    <xdr:pic>
      <xdr:nvPicPr>
        <xdr:cNvPr id="7" name="Picture 6">
          <a:extLst>
            <a:ext uri="{FF2B5EF4-FFF2-40B4-BE49-F238E27FC236}">
              <a16:creationId xmlns:a16="http://schemas.microsoft.com/office/drawing/2014/main" id="{00000000-0008-0000-0200-000007000000}"/>
            </a:ext>
          </a:extLst>
        </xdr:cNvPr>
        <xdr:cNvPicPr>
          <a:picLocks noChangeAspect="1"/>
        </xdr:cNvPicPr>
      </xdr:nvPicPr>
      <xdr:blipFill>
        <a:blip xmlns:r="http://schemas.openxmlformats.org/officeDocument/2006/relationships" r:embed="rId5"/>
        <a:stretch>
          <a:fillRect/>
        </a:stretch>
      </xdr:blipFill>
      <xdr:spPr>
        <a:xfrm>
          <a:off x="190501" y="15811500"/>
          <a:ext cx="5393176" cy="3047999"/>
        </a:xfrm>
        <a:prstGeom prst="rect">
          <a:avLst/>
        </a:prstGeom>
      </xdr:spPr>
    </xdr:pic>
    <xdr:clientData/>
  </xdr:twoCellAnchor>
  <xdr:twoCellAnchor editAs="oneCell">
    <xdr:from>
      <xdr:col>4</xdr:col>
      <xdr:colOff>2552700</xdr:colOff>
      <xdr:row>83</xdr:row>
      <xdr:rowOff>9526</xdr:rowOff>
    </xdr:from>
    <xdr:to>
      <xdr:col>5</xdr:col>
      <xdr:colOff>2094199</xdr:colOff>
      <xdr:row>99</xdr:row>
      <xdr:rowOff>11205</xdr:rowOff>
    </xdr:to>
    <xdr:pic>
      <xdr:nvPicPr>
        <xdr:cNvPr id="8" name="Picture 7">
          <a:extLst>
            <a:ext uri="{FF2B5EF4-FFF2-40B4-BE49-F238E27FC236}">
              <a16:creationId xmlns:a16="http://schemas.microsoft.com/office/drawing/2014/main" id="{00000000-0008-0000-0200-000008000000}"/>
            </a:ext>
          </a:extLst>
        </xdr:cNvPr>
        <xdr:cNvPicPr>
          <a:picLocks noChangeAspect="1"/>
        </xdr:cNvPicPr>
      </xdr:nvPicPr>
      <xdr:blipFill>
        <a:blip xmlns:r="http://schemas.openxmlformats.org/officeDocument/2006/relationships" r:embed="rId5"/>
        <a:stretch>
          <a:fillRect/>
        </a:stretch>
      </xdr:blipFill>
      <xdr:spPr>
        <a:xfrm>
          <a:off x="5768788" y="15821026"/>
          <a:ext cx="5390970" cy="3049679"/>
        </a:xfrm>
        <a:prstGeom prst="rect">
          <a:avLst/>
        </a:prstGeom>
      </xdr:spPr>
    </xdr:pic>
    <xdr:clientData/>
  </xdr:twoCellAnchor>
  <xdr:twoCellAnchor editAs="oneCell">
    <xdr:from>
      <xdr:col>5</xdr:col>
      <xdr:colOff>2425565</xdr:colOff>
      <xdr:row>82</xdr:row>
      <xdr:rowOff>184388</xdr:rowOff>
    </xdr:from>
    <xdr:to>
      <xdr:col>11</xdr:col>
      <xdr:colOff>325333</xdr:colOff>
      <xdr:row>99</xdr:row>
      <xdr:rowOff>0</xdr:rowOff>
    </xdr:to>
    <xdr:pic>
      <xdr:nvPicPr>
        <xdr:cNvPr id="11" name="Picture 10">
          <a:extLst>
            <a:ext uri="{FF2B5EF4-FFF2-40B4-BE49-F238E27FC236}">
              <a16:creationId xmlns:a16="http://schemas.microsoft.com/office/drawing/2014/main" id="{00000000-0008-0000-0200-00000B000000}"/>
            </a:ext>
          </a:extLst>
        </xdr:cNvPr>
        <xdr:cNvPicPr>
          <a:picLocks noChangeAspect="1"/>
        </xdr:cNvPicPr>
      </xdr:nvPicPr>
      <xdr:blipFill>
        <a:blip xmlns:r="http://schemas.openxmlformats.org/officeDocument/2006/relationships" r:embed="rId6"/>
        <a:stretch>
          <a:fillRect/>
        </a:stretch>
      </xdr:blipFill>
      <xdr:spPr>
        <a:xfrm>
          <a:off x="11491124" y="15805388"/>
          <a:ext cx="5183591" cy="3054112"/>
        </a:xfrm>
        <a:prstGeom prst="rect">
          <a:avLst/>
        </a:prstGeom>
      </xdr:spPr>
    </xdr:pic>
    <xdr:clientData/>
  </xdr:twoCellAnchor>
  <xdr:twoCellAnchor editAs="oneCell">
    <xdr:from>
      <xdr:col>0</xdr:col>
      <xdr:colOff>76200</xdr:colOff>
      <xdr:row>54</xdr:row>
      <xdr:rowOff>76972</xdr:rowOff>
    </xdr:from>
    <xdr:to>
      <xdr:col>4</xdr:col>
      <xdr:colOff>2609850</xdr:colOff>
      <xdr:row>72</xdr:row>
      <xdr:rowOff>171450</xdr:rowOff>
    </xdr:to>
    <xdr:pic>
      <xdr:nvPicPr>
        <xdr:cNvPr id="12" name="Picture 11" descr="Screen Image">
          <a:extLst>
            <a:ext uri="{FF2B5EF4-FFF2-40B4-BE49-F238E27FC236}">
              <a16:creationId xmlns:a16="http://schemas.microsoft.com/office/drawing/2014/main" id="{00000000-0008-0000-0200-00000C000000}"/>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76200" y="10363972"/>
          <a:ext cx="5743575" cy="35234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190499</xdr:colOff>
      <xdr:row>110</xdr:row>
      <xdr:rowOff>0</xdr:rowOff>
    </xdr:from>
    <xdr:to>
      <xdr:col>4</xdr:col>
      <xdr:colOff>2232860</xdr:colOff>
      <xdr:row>125</xdr:row>
      <xdr:rowOff>168088</xdr:rowOff>
    </xdr:to>
    <xdr:pic>
      <xdr:nvPicPr>
        <xdr:cNvPr id="13" name="Picture 12">
          <a:extLst>
            <a:ext uri="{FF2B5EF4-FFF2-40B4-BE49-F238E27FC236}">
              <a16:creationId xmlns:a16="http://schemas.microsoft.com/office/drawing/2014/main" id="{00000000-0008-0000-0200-00000D000000}"/>
            </a:ext>
          </a:extLst>
        </xdr:cNvPr>
        <xdr:cNvPicPr>
          <a:picLocks noChangeAspect="1"/>
        </xdr:cNvPicPr>
      </xdr:nvPicPr>
      <xdr:blipFill>
        <a:blip xmlns:r="http://schemas.openxmlformats.org/officeDocument/2006/relationships" r:embed="rId8"/>
        <a:stretch>
          <a:fillRect/>
        </a:stretch>
      </xdr:blipFill>
      <xdr:spPr>
        <a:xfrm>
          <a:off x="190499" y="20955000"/>
          <a:ext cx="5258449" cy="3025588"/>
        </a:xfrm>
        <a:prstGeom prst="rect">
          <a:avLst/>
        </a:prstGeom>
      </xdr:spPr>
    </xdr:pic>
    <xdr:clientData/>
  </xdr:twoCellAnchor>
  <xdr:twoCellAnchor editAs="oneCell">
    <xdr:from>
      <xdr:col>4</xdr:col>
      <xdr:colOff>2532528</xdr:colOff>
      <xdr:row>109</xdr:row>
      <xdr:rowOff>168090</xdr:rowOff>
    </xdr:from>
    <xdr:to>
      <xdr:col>5</xdr:col>
      <xdr:colOff>2128982</xdr:colOff>
      <xdr:row>125</xdr:row>
      <xdr:rowOff>179294</xdr:rowOff>
    </xdr:to>
    <xdr:pic>
      <xdr:nvPicPr>
        <xdr:cNvPr id="14" name="Picture 13">
          <a:extLst>
            <a:ext uri="{FF2B5EF4-FFF2-40B4-BE49-F238E27FC236}">
              <a16:creationId xmlns:a16="http://schemas.microsoft.com/office/drawing/2014/main" id="{00000000-0008-0000-0200-00000E000000}"/>
            </a:ext>
          </a:extLst>
        </xdr:cNvPr>
        <xdr:cNvPicPr>
          <a:picLocks noChangeAspect="1"/>
        </xdr:cNvPicPr>
      </xdr:nvPicPr>
      <xdr:blipFill>
        <a:blip xmlns:r="http://schemas.openxmlformats.org/officeDocument/2006/relationships" r:embed="rId9"/>
        <a:stretch>
          <a:fillRect/>
        </a:stretch>
      </xdr:blipFill>
      <xdr:spPr>
        <a:xfrm>
          <a:off x="5748616" y="20932590"/>
          <a:ext cx="5445925" cy="3059204"/>
        </a:xfrm>
        <a:prstGeom prst="rect">
          <a:avLst/>
        </a:prstGeom>
      </xdr:spPr>
    </xdr:pic>
    <xdr:clientData/>
  </xdr:twoCellAnchor>
  <xdr:twoCellAnchor editAs="oneCell">
    <xdr:from>
      <xdr:col>5</xdr:col>
      <xdr:colOff>2353234</xdr:colOff>
      <xdr:row>110</xdr:row>
      <xdr:rowOff>2</xdr:rowOff>
    </xdr:from>
    <xdr:to>
      <xdr:col>11</xdr:col>
      <xdr:colOff>455575</xdr:colOff>
      <xdr:row>125</xdr:row>
      <xdr:rowOff>181388</xdr:rowOff>
    </xdr:to>
    <xdr:pic>
      <xdr:nvPicPr>
        <xdr:cNvPr id="15" name="Picture 14">
          <a:extLst>
            <a:ext uri="{FF2B5EF4-FFF2-40B4-BE49-F238E27FC236}">
              <a16:creationId xmlns:a16="http://schemas.microsoft.com/office/drawing/2014/main" id="{00000000-0008-0000-0200-00000F000000}"/>
            </a:ext>
          </a:extLst>
        </xdr:cNvPr>
        <xdr:cNvPicPr>
          <a:picLocks noChangeAspect="1"/>
        </xdr:cNvPicPr>
      </xdr:nvPicPr>
      <xdr:blipFill>
        <a:blip xmlns:r="http://schemas.openxmlformats.org/officeDocument/2006/relationships" r:embed="rId10"/>
        <a:stretch>
          <a:fillRect/>
        </a:stretch>
      </xdr:blipFill>
      <xdr:spPr>
        <a:xfrm>
          <a:off x="11418793" y="20955002"/>
          <a:ext cx="5386164" cy="303888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21773</xdr:colOff>
      <xdr:row>26</xdr:row>
      <xdr:rowOff>32046</xdr:rowOff>
    </xdr:from>
    <xdr:to>
      <xdr:col>4</xdr:col>
      <xdr:colOff>1735445</xdr:colOff>
      <xdr:row>30</xdr:row>
      <xdr:rowOff>16559</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5535387" y="4342789"/>
          <a:ext cx="2590799" cy="842865"/>
        </a:xfrm>
        <a:prstGeom prst="rect">
          <a:avLst/>
        </a:prstGeom>
      </xdr:spPr>
    </xdr:pic>
    <xdr:clientData/>
  </xdr:twoCellAnchor>
  <xdr:twoCellAnchor editAs="oneCell">
    <xdr:from>
      <xdr:col>3</xdr:col>
      <xdr:colOff>32658</xdr:colOff>
      <xdr:row>34</xdr:row>
      <xdr:rowOff>48986</xdr:rowOff>
    </xdr:from>
    <xdr:to>
      <xdr:col>6</xdr:col>
      <xdr:colOff>246489</xdr:colOff>
      <xdr:row>40</xdr:row>
      <xdr:rowOff>171450</xdr:rowOff>
    </xdr:to>
    <xdr:pic>
      <xdr:nvPicPr>
        <xdr:cNvPr id="3" name="Picture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a:stretch>
          <a:fillRect/>
        </a:stretch>
      </xdr:blipFill>
      <xdr:spPr>
        <a:xfrm>
          <a:off x="5546272" y="6047015"/>
          <a:ext cx="3950363" cy="1426028"/>
        </a:xfrm>
        <a:prstGeom prst="rect">
          <a:avLst/>
        </a:prstGeom>
      </xdr:spPr>
    </xdr:pic>
    <xdr:clientData/>
  </xdr:twoCellAnchor>
  <xdr:twoCellAnchor editAs="oneCell">
    <xdr:from>
      <xdr:col>5</xdr:col>
      <xdr:colOff>610958</xdr:colOff>
      <xdr:row>43</xdr:row>
      <xdr:rowOff>66022</xdr:rowOff>
    </xdr:from>
    <xdr:to>
      <xdr:col>15</xdr:col>
      <xdr:colOff>98501</xdr:colOff>
      <xdr:row>54</xdr:row>
      <xdr:rowOff>2718</xdr:rowOff>
    </xdr:to>
    <xdr:pic>
      <xdr:nvPicPr>
        <xdr:cNvPr id="5" name="Picture 4">
          <a:extLst>
            <a:ext uri="{FF2B5EF4-FFF2-40B4-BE49-F238E27FC236}">
              <a16:creationId xmlns:a16="http://schemas.microsoft.com/office/drawing/2014/main" id="{00000000-0008-0000-0300-000005000000}"/>
            </a:ext>
          </a:extLst>
        </xdr:cNvPr>
        <xdr:cNvPicPr>
          <a:picLocks noChangeAspect="1"/>
        </xdr:cNvPicPr>
      </xdr:nvPicPr>
      <xdr:blipFill>
        <a:blip xmlns:r="http://schemas.openxmlformats.org/officeDocument/2006/relationships" r:embed="rId3"/>
        <a:stretch>
          <a:fillRect/>
        </a:stretch>
      </xdr:blipFill>
      <xdr:spPr>
        <a:xfrm>
          <a:off x="9074601" y="8589536"/>
          <a:ext cx="7748701" cy="2260796"/>
        </a:xfrm>
        <a:prstGeom prst="rect">
          <a:avLst/>
        </a:prstGeom>
      </xdr:spPr>
    </xdr:pic>
    <xdr:clientData/>
  </xdr:twoCellAnchor>
  <xdr:twoCellAnchor editAs="oneCell">
    <xdr:from>
      <xdr:col>7</xdr:col>
      <xdr:colOff>669474</xdr:colOff>
      <xdr:row>55</xdr:row>
      <xdr:rowOff>1</xdr:rowOff>
    </xdr:from>
    <xdr:to>
      <xdr:col>10</xdr:col>
      <xdr:colOff>628650</xdr:colOff>
      <xdr:row>64</xdr:row>
      <xdr:rowOff>1179</xdr:rowOff>
    </xdr:to>
    <xdr:pic>
      <xdr:nvPicPr>
        <xdr:cNvPr id="8" name="Picture 7">
          <a:extLst>
            <a:ext uri="{FF2B5EF4-FFF2-40B4-BE49-F238E27FC236}">
              <a16:creationId xmlns:a16="http://schemas.microsoft.com/office/drawing/2014/main" id="{00000000-0008-0000-0300-000008000000}"/>
            </a:ext>
          </a:extLst>
        </xdr:cNvPr>
        <xdr:cNvPicPr>
          <a:picLocks noChangeAspect="1"/>
        </xdr:cNvPicPr>
      </xdr:nvPicPr>
      <xdr:blipFill>
        <a:blip xmlns:r="http://schemas.openxmlformats.org/officeDocument/2006/relationships" r:embed="rId4"/>
        <a:stretch>
          <a:fillRect/>
        </a:stretch>
      </xdr:blipFill>
      <xdr:spPr>
        <a:xfrm>
          <a:off x="11108874" y="11049001"/>
          <a:ext cx="2732311" cy="1895292"/>
        </a:xfrm>
        <a:prstGeom prst="rect">
          <a:avLst/>
        </a:prstGeom>
      </xdr:spPr>
    </xdr:pic>
    <xdr:clientData/>
  </xdr:twoCellAnchor>
  <xdr:twoCellAnchor editAs="oneCell">
    <xdr:from>
      <xdr:col>4</xdr:col>
      <xdr:colOff>1872343</xdr:colOff>
      <xdr:row>55</xdr:row>
      <xdr:rowOff>17775</xdr:rowOff>
    </xdr:from>
    <xdr:to>
      <xdr:col>7</xdr:col>
      <xdr:colOff>457199</xdr:colOff>
      <xdr:row>63</xdr:row>
      <xdr:rowOff>132874</xdr:rowOff>
    </xdr:to>
    <xdr:pic>
      <xdr:nvPicPr>
        <xdr:cNvPr id="10" name="Picture 9">
          <a:extLst>
            <a:ext uri="{FF2B5EF4-FFF2-40B4-BE49-F238E27FC236}">
              <a16:creationId xmlns:a16="http://schemas.microsoft.com/office/drawing/2014/main" id="{00000000-0008-0000-0300-00000A000000}"/>
            </a:ext>
          </a:extLst>
        </xdr:cNvPr>
        <xdr:cNvPicPr>
          <a:picLocks noChangeAspect="1"/>
        </xdr:cNvPicPr>
      </xdr:nvPicPr>
      <xdr:blipFill>
        <a:blip xmlns:r="http://schemas.openxmlformats.org/officeDocument/2006/relationships" r:embed="rId5"/>
        <a:stretch>
          <a:fillRect/>
        </a:stretch>
      </xdr:blipFill>
      <xdr:spPr>
        <a:xfrm>
          <a:off x="8278586" y="11066775"/>
          <a:ext cx="2618013" cy="1826877"/>
        </a:xfrm>
        <a:prstGeom prst="rect">
          <a:avLst/>
        </a:prstGeom>
      </xdr:spPr>
    </xdr:pic>
    <xdr:clientData/>
  </xdr:twoCellAnchor>
  <xdr:twoCellAnchor editAs="oneCell">
    <xdr:from>
      <xdr:col>3</xdr:col>
      <xdr:colOff>10887</xdr:colOff>
      <xdr:row>57</xdr:row>
      <xdr:rowOff>76201</xdr:rowOff>
    </xdr:from>
    <xdr:to>
      <xdr:col>4</xdr:col>
      <xdr:colOff>1485900</xdr:colOff>
      <xdr:row>61</xdr:row>
      <xdr:rowOff>134137</xdr:rowOff>
    </xdr:to>
    <xdr:pic>
      <xdr:nvPicPr>
        <xdr:cNvPr id="11" name="Picture 10">
          <a:extLst>
            <a:ext uri="{FF2B5EF4-FFF2-40B4-BE49-F238E27FC236}">
              <a16:creationId xmlns:a16="http://schemas.microsoft.com/office/drawing/2014/main" id="{00000000-0008-0000-0300-00000B000000}"/>
            </a:ext>
          </a:extLst>
        </xdr:cNvPr>
        <xdr:cNvPicPr>
          <a:picLocks noChangeAspect="1"/>
        </xdr:cNvPicPr>
      </xdr:nvPicPr>
      <xdr:blipFill>
        <a:blip xmlns:r="http://schemas.openxmlformats.org/officeDocument/2006/relationships" r:embed="rId6"/>
        <a:stretch>
          <a:fillRect/>
        </a:stretch>
      </xdr:blipFill>
      <xdr:spPr>
        <a:xfrm>
          <a:off x="5524501" y="10940144"/>
          <a:ext cx="2367642" cy="898857"/>
        </a:xfrm>
        <a:prstGeom prst="rect">
          <a:avLst/>
        </a:prstGeom>
      </xdr:spPr>
    </xdr:pic>
    <xdr:clientData/>
  </xdr:twoCellAnchor>
  <xdr:twoCellAnchor editAs="oneCell">
    <xdr:from>
      <xdr:col>4</xdr:col>
      <xdr:colOff>1937658</xdr:colOff>
      <xdr:row>65</xdr:row>
      <xdr:rowOff>154404</xdr:rowOff>
    </xdr:from>
    <xdr:to>
      <xdr:col>7</xdr:col>
      <xdr:colOff>705316</xdr:colOff>
      <xdr:row>71</xdr:row>
      <xdr:rowOff>193221</xdr:rowOff>
    </xdr:to>
    <xdr:pic>
      <xdr:nvPicPr>
        <xdr:cNvPr id="13" name="Picture 12">
          <a:extLst>
            <a:ext uri="{FF2B5EF4-FFF2-40B4-BE49-F238E27FC236}">
              <a16:creationId xmlns:a16="http://schemas.microsoft.com/office/drawing/2014/main" id="{00000000-0008-0000-0300-00000D000000}"/>
            </a:ext>
          </a:extLst>
        </xdr:cNvPr>
        <xdr:cNvPicPr>
          <a:picLocks noChangeAspect="1"/>
        </xdr:cNvPicPr>
      </xdr:nvPicPr>
      <xdr:blipFill>
        <a:blip xmlns:r="http://schemas.openxmlformats.org/officeDocument/2006/relationships" r:embed="rId7"/>
        <a:stretch>
          <a:fillRect/>
        </a:stretch>
      </xdr:blipFill>
      <xdr:spPr>
        <a:xfrm>
          <a:off x="8343901" y="13293461"/>
          <a:ext cx="2790756" cy="1312446"/>
        </a:xfrm>
        <a:prstGeom prst="rect">
          <a:avLst/>
        </a:prstGeom>
      </xdr:spPr>
    </xdr:pic>
    <xdr:clientData/>
  </xdr:twoCellAnchor>
  <xdr:twoCellAnchor editAs="oneCell">
    <xdr:from>
      <xdr:col>7</xdr:col>
      <xdr:colOff>647700</xdr:colOff>
      <xdr:row>74</xdr:row>
      <xdr:rowOff>204071</xdr:rowOff>
    </xdr:from>
    <xdr:to>
      <xdr:col>13</xdr:col>
      <xdr:colOff>135245</xdr:colOff>
      <xdr:row>80</xdr:row>
      <xdr:rowOff>171773</xdr:rowOff>
    </xdr:to>
    <xdr:pic>
      <xdr:nvPicPr>
        <xdr:cNvPr id="4" name="Picture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8"/>
        <a:stretch>
          <a:fillRect/>
        </a:stretch>
      </xdr:blipFill>
      <xdr:spPr>
        <a:xfrm>
          <a:off x="11087100" y="15215471"/>
          <a:ext cx="4446814" cy="1238610"/>
        </a:xfrm>
        <a:prstGeom prst="rect">
          <a:avLst/>
        </a:prstGeom>
      </xdr:spPr>
    </xdr:pic>
    <xdr:clientData/>
  </xdr:twoCellAnchor>
  <xdr:twoCellAnchor editAs="oneCell">
    <xdr:from>
      <xdr:col>3</xdr:col>
      <xdr:colOff>27214</xdr:colOff>
      <xdr:row>76</xdr:row>
      <xdr:rowOff>87086</xdr:rowOff>
    </xdr:from>
    <xdr:to>
      <xdr:col>4</xdr:col>
      <xdr:colOff>1333499</xdr:colOff>
      <xdr:row>78</xdr:row>
      <xdr:rowOff>130278</xdr:rowOff>
    </xdr:to>
    <xdr:pic>
      <xdr:nvPicPr>
        <xdr:cNvPr id="9" name="Picture 8">
          <a:extLst>
            <a:ext uri="{FF2B5EF4-FFF2-40B4-BE49-F238E27FC236}">
              <a16:creationId xmlns:a16="http://schemas.microsoft.com/office/drawing/2014/main" id="{00000000-0008-0000-0300-000009000000}"/>
            </a:ext>
          </a:extLst>
        </xdr:cNvPr>
        <xdr:cNvPicPr>
          <a:picLocks noChangeAspect="1"/>
        </xdr:cNvPicPr>
      </xdr:nvPicPr>
      <xdr:blipFill>
        <a:blip xmlns:r="http://schemas.openxmlformats.org/officeDocument/2006/relationships" r:embed="rId9"/>
        <a:stretch>
          <a:fillRect/>
        </a:stretch>
      </xdr:blipFill>
      <xdr:spPr>
        <a:xfrm>
          <a:off x="5540828" y="15283543"/>
          <a:ext cx="2198914" cy="474276"/>
        </a:xfrm>
        <a:prstGeom prst="rect">
          <a:avLst/>
        </a:prstGeom>
      </xdr:spPr>
    </xdr:pic>
    <xdr:clientData/>
  </xdr:twoCellAnchor>
  <xdr:twoCellAnchor editAs="oneCell">
    <xdr:from>
      <xdr:col>4</xdr:col>
      <xdr:colOff>1932213</xdr:colOff>
      <xdr:row>74</xdr:row>
      <xdr:rowOff>38099</xdr:rowOff>
    </xdr:from>
    <xdr:to>
      <xdr:col>7</xdr:col>
      <xdr:colOff>57194</xdr:colOff>
      <xdr:row>81</xdr:row>
      <xdr:rowOff>171449</xdr:rowOff>
    </xdr:to>
    <xdr:pic>
      <xdr:nvPicPr>
        <xdr:cNvPr id="14" name="Picture 13">
          <a:extLst>
            <a:ext uri="{FF2B5EF4-FFF2-40B4-BE49-F238E27FC236}">
              <a16:creationId xmlns:a16="http://schemas.microsoft.com/office/drawing/2014/main" id="{00000000-0008-0000-0300-00000E000000}"/>
            </a:ext>
          </a:extLst>
        </xdr:cNvPr>
        <xdr:cNvPicPr>
          <a:picLocks noChangeAspect="1"/>
        </xdr:cNvPicPr>
      </xdr:nvPicPr>
      <xdr:blipFill>
        <a:blip xmlns:r="http://schemas.openxmlformats.org/officeDocument/2006/relationships" r:embed="rId10"/>
        <a:stretch>
          <a:fillRect/>
        </a:stretch>
      </xdr:blipFill>
      <xdr:spPr>
        <a:xfrm>
          <a:off x="8338456" y="15049499"/>
          <a:ext cx="2160859" cy="1621972"/>
        </a:xfrm>
        <a:prstGeom prst="rect">
          <a:avLst/>
        </a:prstGeom>
      </xdr:spPr>
    </xdr:pic>
    <xdr:clientData/>
  </xdr:twoCellAnchor>
  <xdr:twoCellAnchor editAs="oneCell">
    <xdr:from>
      <xdr:col>3</xdr:col>
      <xdr:colOff>81644</xdr:colOff>
      <xdr:row>45</xdr:row>
      <xdr:rowOff>136071</xdr:rowOff>
    </xdr:from>
    <xdr:to>
      <xdr:col>5</xdr:col>
      <xdr:colOff>287646</xdr:colOff>
      <xdr:row>50</xdr:row>
      <xdr:rowOff>191848</xdr:rowOff>
    </xdr:to>
    <xdr:pic>
      <xdr:nvPicPr>
        <xdr:cNvPr id="15" name="Picture 14">
          <a:extLst>
            <a:ext uri="{FF2B5EF4-FFF2-40B4-BE49-F238E27FC236}">
              <a16:creationId xmlns:a16="http://schemas.microsoft.com/office/drawing/2014/main" id="{00000000-0008-0000-0300-00000F000000}"/>
            </a:ext>
          </a:extLst>
        </xdr:cNvPr>
        <xdr:cNvPicPr>
          <a:picLocks noChangeAspect="1"/>
        </xdr:cNvPicPr>
      </xdr:nvPicPr>
      <xdr:blipFill>
        <a:blip xmlns:r="http://schemas.openxmlformats.org/officeDocument/2006/relationships" r:embed="rId11"/>
        <a:stretch>
          <a:fillRect/>
        </a:stretch>
      </xdr:blipFill>
      <xdr:spPr>
        <a:xfrm>
          <a:off x="5595258" y="8844642"/>
          <a:ext cx="3145972" cy="1111691"/>
        </a:xfrm>
        <a:prstGeom prst="rect">
          <a:avLst/>
        </a:prstGeom>
      </xdr:spPr>
    </xdr:pic>
    <xdr:clientData/>
  </xdr:twoCellAnchor>
  <xdr:twoCellAnchor editAs="oneCell">
    <xdr:from>
      <xdr:col>4</xdr:col>
      <xdr:colOff>1905000</xdr:colOff>
      <xdr:row>95</xdr:row>
      <xdr:rowOff>68830</xdr:rowOff>
    </xdr:from>
    <xdr:to>
      <xdr:col>7</xdr:col>
      <xdr:colOff>123825</xdr:colOff>
      <xdr:row>99</xdr:row>
      <xdr:rowOff>92402</xdr:rowOff>
    </xdr:to>
    <xdr:pic>
      <xdr:nvPicPr>
        <xdr:cNvPr id="18" name="Picture 17">
          <a:extLst>
            <a:ext uri="{FF2B5EF4-FFF2-40B4-BE49-F238E27FC236}">
              <a16:creationId xmlns:a16="http://schemas.microsoft.com/office/drawing/2014/main" id="{00000000-0008-0000-0300-000012000000}"/>
            </a:ext>
          </a:extLst>
        </xdr:cNvPr>
        <xdr:cNvPicPr>
          <a:picLocks noChangeAspect="1"/>
        </xdr:cNvPicPr>
      </xdr:nvPicPr>
      <xdr:blipFill>
        <a:blip xmlns:r="http://schemas.openxmlformats.org/officeDocument/2006/relationships" r:embed="rId12"/>
        <a:stretch>
          <a:fillRect/>
        </a:stretch>
      </xdr:blipFill>
      <xdr:spPr>
        <a:xfrm>
          <a:off x="8286750" y="20128480"/>
          <a:ext cx="2028825" cy="899872"/>
        </a:xfrm>
        <a:prstGeom prst="rect">
          <a:avLst/>
        </a:prstGeom>
      </xdr:spPr>
    </xdr:pic>
    <xdr:clientData/>
  </xdr:twoCellAnchor>
  <xdr:twoCellAnchor editAs="oneCell">
    <xdr:from>
      <xdr:col>7</xdr:col>
      <xdr:colOff>496660</xdr:colOff>
      <xdr:row>95</xdr:row>
      <xdr:rowOff>44901</xdr:rowOff>
    </xdr:from>
    <xdr:to>
      <xdr:col>9</xdr:col>
      <xdr:colOff>859144</xdr:colOff>
      <xdr:row>104</xdr:row>
      <xdr:rowOff>47199</xdr:rowOff>
    </xdr:to>
    <xdr:pic>
      <xdr:nvPicPr>
        <xdr:cNvPr id="19" name="Picture 18">
          <a:extLst>
            <a:ext uri="{FF2B5EF4-FFF2-40B4-BE49-F238E27FC236}">
              <a16:creationId xmlns:a16="http://schemas.microsoft.com/office/drawing/2014/main" id="{00000000-0008-0000-0300-000013000000}"/>
            </a:ext>
          </a:extLst>
        </xdr:cNvPr>
        <xdr:cNvPicPr>
          <a:picLocks noChangeAspect="1"/>
        </xdr:cNvPicPr>
      </xdr:nvPicPr>
      <xdr:blipFill>
        <a:blip xmlns:r="http://schemas.openxmlformats.org/officeDocument/2006/relationships" r:embed="rId13"/>
        <a:stretch>
          <a:fillRect/>
        </a:stretch>
      </xdr:blipFill>
      <xdr:spPr>
        <a:xfrm>
          <a:off x="10688410" y="20104551"/>
          <a:ext cx="2105559" cy="1954923"/>
        </a:xfrm>
        <a:prstGeom prst="rect">
          <a:avLst/>
        </a:prstGeom>
      </xdr:spPr>
    </xdr:pic>
    <xdr:clientData/>
  </xdr:twoCellAnchor>
  <xdr:twoCellAnchor editAs="oneCell">
    <xdr:from>
      <xdr:col>3</xdr:col>
      <xdr:colOff>136072</xdr:colOff>
      <xdr:row>95</xdr:row>
      <xdr:rowOff>212271</xdr:rowOff>
    </xdr:from>
    <xdr:to>
      <xdr:col>4</xdr:col>
      <xdr:colOff>1350662</xdr:colOff>
      <xdr:row>98</xdr:row>
      <xdr:rowOff>97145</xdr:rowOff>
    </xdr:to>
    <xdr:pic>
      <xdr:nvPicPr>
        <xdr:cNvPr id="21" name="Picture 20">
          <a:extLst>
            <a:ext uri="{FF2B5EF4-FFF2-40B4-BE49-F238E27FC236}">
              <a16:creationId xmlns:a16="http://schemas.microsoft.com/office/drawing/2014/main" id="{00000000-0008-0000-0300-000015000000}"/>
            </a:ext>
          </a:extLst>
        </xdr:cNvPr>
        <xdr:cNvPicPr>
          <a:picLocks noChangeAspect="1"/>
        </xdr:cNvPicPr>
      </xdr:nvPicPr>
      <xdr:blipFill>
        <a:blip xmlns:r="http://schemas.openxmlformats.org/officeDocument/2006/relationships" r:embed="rId14"/>
        <a:stretch>
          <a:fillRect/>
        </a:stretch>
      </xdr:blipFill>
      <xdr:spPr>
        <a:xfrm>
          <a:off x="5649686" y="19371128"/>
          <a:ext cx="2117278" cy="495301"/>
        </a:xfrm>
        <a:prstGeom prst="rect">
          <a:avLst/>
        </a:prstGeom>
      </xdr:spPr>
    </xdr:pic>
    <xdr:clientData/>
  </xdr:twoCellAnchor>
  <xdr:twoCellAnchor editAs="oneCell">
    <xdr:from>
      <xdr:col>3</xdr:col>
      <xdr:colOff>103415</xdr:colOff>
      <xdr:row>102</xdr:row>
      <xdr:rowOff>87087</xdr:rowOff>
    </xdr:from>
    <xdr:to>
      <xdr:col>4</xdr:col>
      <xdr:colOff>1769755</xdr:colOff>
      <xdr:row>104</xdr:row>
      <xdr:rowOff>172846</xdr:rowOff>
    </xdr:to>
    <xdr:pic>
      <xdr:nvPicPr>
        <xdr:cNvPr id="22" name="Picture 21">
          <a:extLst>
            <a:ext uri="{FF2B5EF4-FFF2-40B4-BE49-F238E27FC236}">
              <a16:creationId xmlns:a16="http://schemas.microsoft.com/office/drawing/2014/main" id="{00000000-0008-0000-0300-000016000000}"/>
            </a:ext>
          </a:extLst>
        </xdr:cNvPr>
        <xdr:cNvPicPr>
          <a:picLocks noChangeAspect="1"/>
        </xdr:cNvPicPr>
      </xdr:nvPicPr>
      <xdr:blipFill>
        <a:blip xmlns:r="http://schemas.openxmlformats.org/officeDocument/2006/relationships" r:embed="rId15"/>
        <a:stretch>
          <a:fillRect/>
        </a:stretch>
      </xdr:blipFill>
      <xdr:spPr>
        <a:xfrm>
          <a:off x="5617029" y="20682858"/>
          <a:ext cx="2574471" cy="523908"/>
        </a:xfrm>
        <a:prstGeom prst="rect">
          <a:avLst/>
        </a:prstGeom>
      </xdr:spPr>
    </xdr:pic>
    <xdr:clientData/>
  </xdr:twoCellAnchor>
  <xdr:twoCellAnchor>
    <xdr:from>
      <xdr:col>3</xdr:col>
      <xdr:colOff>12789</xdr:colOff>
      <xdr:row>3</xdr:row>
      <xdr:rowOff>12789</xdr:rowOff>
    </xdr:from>
    <xdr:to>
      <xdr:col>10</xdr:col>
      <xdr:colOff>0</xdr:colOff>
      <xdr:row>23</xdr:row>
      <xdr:rowOff>2176</xdr:rowOff>
    </xdr:to>
    <xdr:graphicFrame macro="">
      <xdr:nvGraphicFramePr>
        <xdr:cNvPr id="25" name="Chart 24">
          <a:extLst>
            <a:ext uri="{FF2B5EF4-FFF2-40B4-BE49-F238E27FC236}">
              <a16:creationId xmlns:a16="http://schemas.microsoft.com/office/drawing/2014/main" id="{00000000-0008-0000-0300-00001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editAs="oneCell">
    <xdr:from>
      <xdr:col>3</xdr:col>
      <xdr:colOff>81644</xdr:colOff>
      <xdr:row>108</xdr:row>
      <xdr:rowOff>108858</xdr:rowOff>
    </xdr:from>
    <xdr:to>
      <xdr:col>4</xdr:col>
      <xdr:colOff>1162049</xdr:colOff>
      <xdr:row>111</xdr:row>
      <xdr:rowOff>135275</xdr:rowOff>
    </xdr:to>
    <xdr:pic>
      <xdr:nvPicPr>
        <xdr:cNvPr id="26" name="Picture 25">
          <a:extLst>
            <a:ext uri="{FF2B5EF4-FFF2-40B4-BE49-F238E27FC236}">
              <a16:creationId xmlns:a16="http://schemas.microsoft.com/office/drawing/2014/main" id="{00000000-0008-0000-0300-00001A000000}"/>
            </a:ext>
          </a:extLst>
        </xdr:cNvPr>
        <xdr:cNvPicPr>
          <a:picLocks noChangeAspect="1"/>
        </xdr:cNvPicPr>
      </xdr:nvPicPr>
      <xdr:blipFill>
        <a:blip xmlns:r="http://schemas.openxmlformats.org/officeDocument/2006/relationships" r:embed="rId17"/>
        <a:stretch>
          <a:fillRect/>
        </a:stretch>
      </xdr:blipFill>
      <xdr:spPr>
        <a:xfrm>
          <a:off x="5595258" y="22206858"/>
          <a:ext cx="1970313" cy="693157"/>
        </a:xfrm>
        <a:prstGeom prst="rect">
          <a:avLst/>
        </a:prstGeom>
      </xdr:spPr>
    </xdr:pic>
    <xdr:clientData/>
  </xdr:twoCellAnchor>
  <xdr:twoCellAnchor editAs="oneCell">
    <xdr:from>
      <xdr:col>3</xdr:col>
      <xdr:colOff>21773</xdr:colOff>
      <xdr:row>66</xdr:row>
      <xdr:rowOff>59873</xdr:rowOff>
    </xdr:from>
    <xdr:to>
      <xdr:col>4</xdr:col>
      <xdr:colOff>1442357</xdr:colOff>
      <xdr:row>71</xdr:row>
      <xdr:rowOff>156881</xdr:rowOff>
    </xdr:to>
    <xdr:pic>
      <xdr:nvPicPr>
        <xdr:cNvPr id="6" name="Picture 5">
          <a:extLst>
            <a:ext uri="{FF2B5EF4-FFF2-40B4-BE49-F238E27FC236}">
              <a16:creationId xmlns:a16="http://schemas.microsoft.com/office/drawing/2014/main" id="{00000000-0008-0000-0300-000006000000}"/>
            </a:ext>
          </a:extLst>
        </xdr:cNvPr>
        <xdr:cNvPicPr>
          <a:picLocks noChangeAspect="1"/>
        </xdr:cNvPicPr>
      </xdr:nvPicPr>
      <xdr:blipFill>
        <a:blip xmlns:r="http://schemas.openxmlformats.org/officeDocument/2006/relationships" r:embed="rId18"/>
        <a:stretch>
          <a:fillRect/>
        </a:stretch>
      </xdr:blipFill>
      <xdr:spPr>
        <a:xfrm>
          <a:off x="5529944" y="13416644"/>
          <a:ext cx="2318656" cy="1152923"/>
        </a:xfrm>
        <a:prstGeom prst="rect">
          <a:avLst/>
        </a:prstGeom>
      </xdr:spPr>
    </xdr:pic>
    <xdr:clientData/>
  </xdr:twoCellAnchor>
  <xdr:twoCellAnchor editAs="oneCell">
    <xdr:from>
      <xdr:col>3</xdr:col>
      <xdr:colOff>27215</xdr:colOff>
      <xdr:row>86</xdr:row>
      <xdr:rowOff>34891</xdr:rowOff>
    </xdr:from>
    <xdr:to>
      <xdr:col>5</xdr:col>
      <xdr:colOff>609600</xdr:colOff>
      <xdr:row>89</xdr:row>
      <xdr:rowOff>61087</xdr:rowOff>
    </xdr:to>
    <xdr:pic>
      <xdr:nvPicPr>
        <xdr:cNvPr id="16" name="Picture 15">
          <a:extLst>
            <a:ext uri="{FF2B5EF4-FFF2-40B4-BE49-F238E27FC236}">
              <a16:creationId xmlns:a16="http://schemas.microsoft.com/office/drawing/2014/main" id="{00000000-0008-0000-0300-000010000000}"/>
            </a:ext>
          </a:extLst>
        </xdr:cNvPr>
        <xdr:cNvPicPr>
          <a:picLocks noChangeAspect="1"/>
        </xdr:cNvPicPr>
      </xdr:nvPicPr>
      <xdr:blipFill>
        <a:blip xmlns:r="http://schemas.openxmlformats.org/officeDocument/2006/relationships" r:embed="rId19"/>
        <a:stretch>
          <a:fillRect/>
        </a:stretch>
      </xdr:blipFill>
      <xdr:spPr>
        <a:xfrm>
          <a:off x="5535386" y="17571777"/>
          <a:ext cx="3537857" cy="67933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152400</xdr:rowOff>
    </xdr:from>
    <xdr:to>
      <xdr:col>2</xdr:col>
      <xdr:colOff>7620</xdr:colOff>
      <xdr:row>2</xdr:row>
      <xdr:rowOff>68531</xdr:rowOff>
    </xdr:to>
    <xdr:pic>
      <xdr:nvPicPr>
        <xdr:cNvPr id="2" name="Picture 1" descr="ti logo">
          <a:hlinkClick xmlns:r="http://schemas.openxmlformats.org/officeDocument/2006/relationships" r:id="rId1"/>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152400"/>
          <a:ext cx="2312670" cy="29713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200025</xdr:colOff>
      <xdr:row>0</xdr:row>
      <xdr:rowOff>114300</xdr:rowOff>
    </xdr:from>
    <xdr:ext cx="3752850" cy="381708"/>
    <xdr:sp macro="" textlink="">
      <xdr:nvSpPr>
        <xdr:cNvPr id="3" name="TextBox 2">
          <a:extLst>
            <a:ext uri="{FF2B5EF4-FFF2-40B4-BE49-F238E27FC236}">
              <a16:creationId xmlns:a16="http://schemas.microsoft.com/office/drawing/2014/main" id="{00000000-0008-0000-0500-000003000000}"/>
            </a:ext>
          </a:extLst>
        </xdr:cNvPr>
        <xdr:cNvSpPr txBox="1"/>
      </xdr:nvSpPr>
      <xdr:spPr>
        <a:xfrm>
          <a:off x="1476375" y="114300"/>
          <a:ext cx="3752850" cy="3817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n-US" sz="1600">
              <a:latin typeface="Arial Black" panose="020B0A04020102020204" pitchFamily="34" charset="0"/>
            </a:rPr>
            <a:t>About this tool...</a:t>
          </a:r>
        </a:p>
      </xdr:txBody>
    </xdr:sp>
    <xdr:clientData/>
  </xdr:oneCellAnchor>
  <xdr:oneCellAnchor>
    <xdr:from>
      <xdr:col>4</xdr:col>
      <xdr:colOff>152400</xdr:colOff>
      <xdr:row>1</xdr:row>
      <xdr:rowOff>28575</xdr:rowOff>
    </xdr:from>
    <xdr:ext cx="4719497" cy="254557"/>
    <xdr:sp macro="" textlink="">
      <xdr:nvSpPr>
        <xdr:cNvPr id="4" name="TextBox 3">
          <a:hlinkClick xmlns:r="http://schemas.openxmlformats.org/officeDocument/2006/relationships" r:id="rId3"/>
          <a:extLst>
            <a:ext uri="{FF2B5EF4-FFF2-40B4-BE49-F238E27FC236}">
              <a16:creationId xmlns:a16="http://schemas.microsoft.com/office/drawing/2014/main" id="{00000000-0008-0000-0500-000004000000}"/>
            </a:ext>
          </a:extLst>
        </xdr:cNvPr>
        <xdr:cNvSpPr txBox="1"/>
      </xdr:nvSpPr>
      <xdr:spPr>
        <a:xfrm>
          <a:off x="4581525" y="219075"/>
          <a:ext cx="4719497" cy="2545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b="0" i="0" u="none" strike="noStrike">
              <a:solidFill>
                <a:schemeClr val="tx1"/>
              </a:solidFill>
              <a:effectLst/>
              <a:latin typeface="Arial" panose="020B0604020202020204" pitchFamily="34" charset="0"/>
              <a:ea typeface="+mn-ea"/>
              <a:cs typeface="Arial" panose="020B0604020202020204" pitchFamily="34" charset="0"/>
              <a:hlinkClick xmlns:r="http://schemas.openxmlformats.org/officeDocument/2006/relationships" r:id=""/>
            </a:rPr>
            <a:t>© Copyright 2025</a:t>
          </a:r>
          <a:r>
            <a:rPr lang="en-US" sz="1100" b="0" i="0">
              <a:solidFill>
                <a:schemeClr val="tx1"/>
              </a:solidFill>
              <a:effectLst/>
              <a:latin typeface="Arial" panose="020B0604020202020204" pitchFamily="34" charset="0"/>
              <a:ea typeface="+mn-ea"/>
              <a:cs typeface="Arial" panose="020B0604020202020204" pitchFamily="34" charset="0"/>
            </a:rPr>
            <a:t> Texas Instruments Incorporated. All rights reserved.</a:t>
          </a:r>
          <a:endParaRPr lang="en-US" sz="1100" b="0">
            <a:latin typeface="Arial" panose="020B0604020202020204" pitchFamily="34" charset="0"/>
            <a:cs typeface="Arial" panose="020B0604020202020204" pitchFamily="34" charset="0"/>
          </a:endParaRPr>
        </a:p>
      </xdr:txBody>
    </xdr:sp>
    <xdr:clientData/>
  </xdr:oneCellAnchor>
  <xdr:oneCellAnchor>
    <xdr:from>
      <xdr:col>0</xdr:col>
      <xdr:colOff>95247</xdr:colOff>
      <xdr:row>6</xdr:row>
      <xdr:rowOff>47623</xdr:rowOff>
    </xdr:from>
    <xdr:ext cx="11229977" cy="4352927"/>
    <xdr:sp macro="" textlink="">
      <xdr:nvSpPr>
        <xdr:cNvPr id="5" name="TextBox 4">
          <a:extLst>
            <a:ext uri="{FF2B5EF4-FFF2-40B4-BE49-F238E27FC236}">
              <a16:creationId xmlns:a16="http://schemas.microsoft.com/office/drawing/2014/main" id="{00000000-0008-0000-0500-000005000000}"/>
            </a:ext>
          </a:extLst>
        </xdr:cNvPr>
        <xdr:cNvSpPr txBox="1"/>
      </xdr:nvSpPr>
      <xdr:spPr>
        <a:xfrm>
          <a:off x="95247" y="1190623"/>
          <a:ext cx="11229977" cy="4352927"/>
        </a:xfrm>
        <a:prstGeom prst="rect">
          <a:avLst/>
        </a:prstGeom>
        <a:solidFill>
          <a:schemeClr val="bg1">
            <a:lumMod val="85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800" b="1" i="0" u="none" strike="noStrike" kern="0" cap="none" spc="0" normalizeH="0" baseline="0" noProof="0">
              <a:ln>
                <a:noFill/>
              </a:ln>
              <a:solidFill>
                <a:sysClr val="windowText" lastClr="000000"/>
              </a:solidFill>
              <a:effectLst/>
              <a:uLnTx/>
              <a:uFillTx/>
              <a:latin typeface="+mn-lt"/>
              <a:ea typeface="+mn-ea"/>
              <a:cs typeface="+mn-cs"/>
            </a:rPr>
            <a:t>IMPORTANT NOTICE AND DISCLAIMER</a:t>
          </a:r>
        </a:p>
        <a:p>
          <a:endParaRPr lang="en-US" sz="1100" b="0" i="0" u="none" strike="noStrike" baseline="0">
            <a:solidFill>
              <a:schemeClr val="tx1"/>
            </a:solidFill>
            <a:latin typeface="+mn-lt"/>
            <a:ea typeface="+mn-ea"/>
            <a:cs typeface="+mn-cs"/>
          </a:endParaRPr>
        </a:p>
        <a:p>
          <a:r>
            <a:rPr lang="en-US" sz="1100" b="0" i="0" u="none" strike="noStrike" baseline="0">
              <a:solidFill>
                <a:schemeClr val="tx1"/>
              </a:solidFill>
              <a:latin typeface="+mn-lt"/>
              <a:ea typeface="+mn-ea"/>
              <a:cs typeface="+mn-cs"/>
            </a:rPr>
            <a:t>TI PROVIDES TECHNICAL AND RELIABILITY DATA (INCLUDING DATA SHEETS), DESIGN RESOURCES (INCLUDING REFERENCE DESIGNS), APPLICATION OR OTHER DESIGN ADVICE, WEB TOOLS, SAFETY INFORMATION, AND OTHER RESOURCES “AS IS” AND WITH ALL FAULTS, AND DISCLAIMS ALL WARRANTIES, EXPRESS AND IMPLIED, INCLUDING WITHOUT LIMITATION ANY IMPLIED WARRANTIES OF MERCHANTABILITY, FITNESS FOR A PARTICULAR PURPOSE OR NON-INFRINGEMENT OF THIRD PARTY INTELLECTUAL PROPERTY RIGHTS.</a:t>
          </a:r>
        </a:p>
        <a:p>
          <a:endParaRPr lang="en-US" sz="1100" b="0" i="0" u="none" strike="noStrike" baseline="0">
            <a:solidFill>
              <a:schemeClr val="tx1"/>
            </a:solidFill>
            <a:latin typeface="+mn-lt"/>
            <a:ea typeface="+mn-ea"/>
            <a:cs typeface="+mn-cs"/>
          </a:endParaRPr>
        </a:p>
        <a:p>
          <a:r>
            <a:rPr lang="en-US" sz="1100" b="0" i="0" u="none" strike="noStrike" baseline="0">
              <a:solidFill>
                <a:schemeClr val="tx1"/>
              </a:solidFill>
              <a:latin typeface="+mn-lt"/>
              <a:ea typeface="+mn-ea"/>
              <a:cs typeface="+mn-cs"/>
            </a:rPr>
            <a:t>These resources are intended for skilled developers designing with TI products. You are solely responsible for (1) selecting the appropriate TI products for your application, (2) designing, validating and testing your application, and (3) ensuring your application meets applicable standards, and any other safety, security, regulatory or other requirements.</a:t>
          </a:r>
        </a:p>
        <a:p>
          <a:endParaRPr lang="en-US" sz="1100" b="0" i="0" u="none" strike="noStrike" baseline="0">
            <a:solidFill>
              <a:schemeClr val="tx1"/>
            </a:solidFill>
            <a:latin typeface="+mn-lt"/>
            <a:ea typeface="+mn-ea"/>
            <a:cs typeface="+mn-cs"/>
          </a:endParaRPr>
        </a:p>
        <a:p>
          <a:r>
            <a:rPr lang="en-US" sz="1100" b="0" i="0" u="none" strike="noStrike" baseline="0">
              <a:solidFill>
                <a:schemeClr val="tx1"/>
              </a:solidFill>
              <a:latin typeface="+mn-lt"/>
              <a:ea typeface="+mn-ea"/>
              <a:cs typeface="+mn-cs"/>
            </a:rPr>
            <a:t>These resources are subject to change without notice. TI grants you permission to use these resources only for development of an application that uses the TI products described in the resource. Other reproduction and display of these resources is prohibited. No license is granted to any other TI intellectual property right or to any third party intellectual property right. TI disclaims responsibility for, and you will fully indemnify TI and its representatives against, any claims, damages, costs, losses, and liabilities arising out of your use of these resources.</a:t>
          </a:r>
        </a:p>
        <a:p>
          <a:endParaRPr lang="en-US" sz="1100" b="0" i="0" u="none" strike="noStrike" baseline="0">
            <a:solidFill>
              <a:schemeClr val="tx1"/>
            </a:solidFill>
            <a:latin typeface="+mn-lt"/>
            <a:ea typeface="+mn-ea"/>
            <a:cs typeface="+mn-cs"/>
          </a:endParaRPr>
        </a:p>
        <a:p>
          <a:r>
            <a:rPr lang="en-US" sz="1100" b="0" i="0" u="none" strike="noStrike" baseline="0">
              <a:solidFill>
                <a:schemeClr val="tx1"/>
              </a:solidFill>
              <a:latin typeface="+mn-lt"/>
              <a:ea typeface="+mn-ea"/>
              <a:cs typeface="+mn-cs"/>
            </a:rPr>
            <a:t>TI’s products are provided subject to TI’s Terms of Sale or other applicable terms available either on ti.com or provided in conjunction with such TI products. TI’s provision of these resources does not expand or otherwise alter TI’s applicable warranties or warranty disclaimers for TI products.</a:t>
          </a:r>
        </a:p>
        <a:p>
          <a:endParaRPr lang="en-US" sz="1100" b="0" i="0" u="none" strike="noStrike" baseline="0">
            <a:solidFill>
              <a:schemeClr val="tx1"/>
            </a:solidFill>
            <a:latin typeface="+mn-lt"/>
            <a:ea typeface="+mn-ea"/>
            <a:cs typeface="+mn-cs"/>
          </a:endParaRPr>
        </a:p>
        <a:p>
          <a:r>
            <a:rPr lang="en-US" sz="1100" b="0" i="0" u="none" strike="noStrike" baseline="0">
              <a:solidFill>
                <a:schemeClr val="tx1"/>
              </a:solidFill>
              <a:latin typeface="+mn-lt"/>
              <a:ea typeface="+mn-ea"/>
              <a:cs typeface="+mn-cs"/>
            </a:rPr>
            <a:t>TI objects to and rejects any additional or different terms you may have proposed. </a:t>
          </a:r>
        </a:p>
        <a:p>
          <a:endParaRPr lang="en-US" sz="1100" b="0" i="0" u="none" strike="noStrike" baseline="0">
            <a:solidFill>
              <a:schemeClr val="tx1"/>
            </a:solidFill>
            <a:latin typeface="+mn-lt"/>
            <a:ea typeface="+mn-ea"/>
            <a:cs typeface="+mn-cs"/>
          </a:endParaRPr>
        </a:p>
        <a:p>
          <a:endParaRPr lang="en-US" sz="1100" b="0" i="0" u="none" strike="noStrike" baseline="0">
            <a:solidFill>
              <a:schemeClr val="tx1"/>
            </a:solidFill>
            <a:latin typeface="+mn-lt"/>
            <a:ea typeface="+mn-ea"/>
            <a:cs typeface="+mn-cs"/>
          </a:endParaRPr>
        </a:p>
        <a:p>
          <a:pPr algn="ctr"/>
          <a:r>
            <a:rPr lang="en-US" sz="1100" b="0" i="0" u="none" strike="noStrike" baseline="0">
              <a:solidFill>
                <a:schemeClr val="tx1"/>
              </a:solidFill>
              <a:latin typeface="+mn-lt"/>
              <a:ea typeface="+mn-ea"/>
              <a:cs typeface="+mn-cs"/>
            </a:rPr>
            <a:t>Mailing Address: Texas Instruments, Post Office Box 655303, Dallas, Texas 75265</a:t>
          </a:r>
        </a:p>
        <a:p>
          <a:pPr algn="ctr"/>
          <a:r>
            <a:rPr lang="en-US" sz="1100" b="0" i="0" u="none" strike="noStrike" baseline="0">
              <a:solidFill>
                <a:schemeClr val="tx1"/>
              </a:solidFill>
              <a:latin typeface="+mn-lt"/>
              <a:ea typeface="+mn-ea"/>
              <a:cs typeface="+mn-cs"/>
            </a:rPr>
            <a:t>Copyright © 2025, Texas Instruments Incorporated	</a:t>
          </a:r>
        </a:p>
      </xdr:txBody>
    </xdr:sp>
    <xdr:clientData/>
  </xdr:oneCellAnchor>
  <xdr:oneCellAnchor>
    <xdr:from>
      <xdr:col>0</xdr:col>
      <xdr:colOff>99057</xdr:colOff>
      <xdr:row>30</xdr:row>
      <xdr:rowOff>16998</xdr:rowOff>
    </xdr:from>
    <xdr:ext cx="11229977" cy="634512"/>
    <xdr:sp macro="" textlink="">
      <xdr:nvSpPr>
        <xdr:cNvPr id="6" name="TextBox 5">
          <a:extLst>
            <a:ext uri="{FF2B5EF4-FFF2-40B4-BE49-F238E27FC236}">
              <a16:creationId xmlns:a16="http://schemas.microsoft.com/office/drawing/2014/main" id="{00000000-0008-0000-0500-000006000000}"/>
            </a:ext>
          </a:extLst>
        </xdr:cNvPr>
        <xdr:cNvSpPr txBox="1"/>
      </xdr:nvSpPr>
      <xdr:spPr>
        <a:xfrm>
          <a:off x="99057" y="5731998"/>
          <a:ext cx="11229977" cy="634512"/>
        </a:xfrm>
        <a:prstGeom prst="rect">
          <a:avLst/>
        </a:prstGeom>
        <a:solidFill>
          <a:schemeClr val="bg1">
            <a:lumMod val="95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100" b="1">
              <a:solidFill>
                <a:schemeClr val="tx1"/>
              </a:solidFill>
              <a:effectLst/>
              <a:latin typeface="+mn-lt"/>
              <a:ea typeface="+mn-ea"/>
              <a:cs typeface="+mn-cs"/>
            </a:rPr>
            <a:t>IMPORTANT</a:t>
          </a:r>
          <a:r>
            <a:rPr lang="en-US" sz="1100" b="1" baseline="0">
              <a:solidFill>
                <a:schemeClr val="tx1"/>
              </a:solidFill>
              <a:effectLst/>
              <a:latin typeface="+mn-lt"/>
              <a:ea typeface="+mn-ea"/>
              <a:cs typeface="+mn-cs"/>
            </a:rPr>
            <a:t>:   </a:t>
          </a:r>
          <a:endParaRPr lang="en-US" sz="800">
            <a:effectLst/>
          </a:endParaRPr>
        </a:p>
        <a:p>
          <a:r>
            <a:rPr lang="en-US" sz="1100" baseline="0">
              <a:solidFill>
                <a:schemeClr val="tx1"/>
              </a:solidFill>
              <a:effectLst/>
              <a:latin typeface="+mn-lt"/>
              <a:ea typeface="+mn-ea"/>
              <a:cs typeface="+mn-cs"/>
            </a:rPr>
            <a:t>1.  Do not delete this worksheet!</a:t>
          </a:r>
          <a:endParaRPr lang="en-US" sz="800">
            <a:effectLst/>
          </a:endParaRPr>
        </a:p>
        <a:p>
          <a:pPr eaLnBrk="1" fontAlgn="auto" latinLnBrk="0" hangingPunct="1"/>
          <a:r>
            <a:rPr lang="en-US" sz="1100" baseline="0">
              <a:solidFill>
                <a:schemeClr val="tx1"/>
              </a:solidFill>
              <a:effectLst/>
              <a:latin typeface="+mn-lt"/>
              <a:ea typeface="+mn-ea"/>
              <a:cs typeface="+mn-cs"/>
            </a:rPr>
            <a:t>2.  Redistributions must retain the above copyright and the following disclaimer.</a:t>
          </a:r>
          <a:endParaRPr lang="en-US" sz="800">
            <a:effectLst/>
          </a:endParaRPr>
        </a:p>
        <a:p>
          <a:endParaRPr lang="en-US" sz="800" baseline="0">
            <a:latin typeface="Arial" panose="020B0604020202020204" pitchFamily="34" charset="0"/>
            <a:cs typeface="Arial" panose="020B0604020202020204" pitchFamily="34" charset="0"/>
          </a:endParaRP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3.xml"/><Relationship Id="rId3" Type="http://schemas.openxmlformats.org/officeDocument/2006/relationships/vmlDrawing" Target="../drawings/vmlDrawing1.vml"/><Relationship Id="rId7" Type="http://schemas.openxmlformats.org/officeDocument/2006/relationships/ctrlProp" Target="../ctrlProps/ctrlProp2.xml"/><Relationship Id="rId12" Type="http://schemas.openxmlformats.org/officeDocument/2006/relationships/comments" Target="../comment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1.xml"/><Relationship Id="rId11" Type="http://schemas.openxmlformats.org/officeDocument/2006/relationships/ctrlProp" Target="../ctrlProps/ctrlProp6.xml"/><Relationship Id="rId5" Type="http://schemas.openxmlformats.org/officeDocument/2006/relationships/image" Target="../media/image1.emf"/><Relationship Id="rId10" Type="http://schemas.openxmlformats.org/officeDocument/2006/relationships/ctrlProp" Target="../ctrlProps/ctrlProp5.xml"/><Relationship Id="rId4" Type="http://schemas.openxmlformats.org/officeDocument/2006/relationships/package" Target="../embeddings/Microsoft_Visio_Drawing.vsdx"/><Relationship Id="rId9" Type="http://schemas.openxmlformats.org/officeDocument/2006/relationships/ctrlProp" Target="../ctrlProps/ctrlProp4.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S135"/>
  <sheetViews>
    <sheetView tabSelected="1" topLeftCell="A101" zoomScale="85" zoomScaleNormal="85" workbookViewId="0">
      <selection activeCell="G104" sqref="G104"/>
    </sheetView>
  </sheetViews>
  <sheetFormatPr defaultRowHeight="15" x14ac:dyDescent="0.25"/>
  <cols>
    <col min="1" max="1" width="14.28515625" customWidth="1"/>
    <col min="2" max="2" width="17.7109375" customWidth="1"/>
    <col min="3" max="3" width="15.7109375" customWidth="1"/>
    <col min="4" max="4" width="13" customWidth="1"/>
    <col min="5" max="5" width="12.42578125" customWidth="1"/>
    <col min="6" max="6" width="9.7109375" customWidth="1"/>
    <col min="7" max="7" width="14.28515625" customWidth="1"/>
    <col min="8" max="8" width="9.42578125" customWidth="1"/>
    <col min="9" max="9" width="4.28515625" customWidth="1"/>
    <col min="10" max="10" width="17.28515625" customWidth="1"/>
    <col min="17" max="17" width="13.85546875" customWidth="1"/>
    <col min="18" max="18" width="65.5703125" customWidth="1"/>
    <col min="19" max="19" width="4" customWidth="1"/>
    <col min="24" max="24" width="13.5703125" customWidth="1"/>
  </cols>
  <sheetData>
    <row r="1" spans="1:19" ht="45.4" customHeight="1" thickBot="1" x14ac:dyDescent="0.3">
      <c r="C1" s="226"/>
      <c r="E1" s="224"/>
      <c r="F1" s="224"/>
      <c r="G1" s="299" t="str">
        <f>device_name &amp; " Boost Converter Design Tool"</f>
        <v>TPS61287 Boost Converter Design Tool</v>
      </c>
      <c r="H1" s="299"/>
      <c r="I1" s="299"/>
      <c r="J1" s="299"/>
      <c r="K1" s="299"/>
      <c r="L1" s="299"/>
      <c r="M1" s="299"/>
      <c r="N1" s="299"/>
      <c r="O1" s="299"/>
      <c r="P1" s="299"/>
      <c r="Q1" s="299"/>
      <c r="R1" s="299"/>
      <c r="S1" s="1"/>
    </row>
    <row r="2" spans="1:19" ht="19.899999999999999" customHeight="1" thickBot="1" x14ac:dyDescent="0.3">
      <c r="A2" s="1"/>
      <c r="B2" s="1"/>
      <c r="C2" s="1"/>
      <c r="D2" s="1"/>
      <c r="E2" s="1"/>
      <c r="F2" s="1"/>
      <c r="G2" s="2"/>
      <c r="H2" s="292" t="s">
        <v>0</v>
      </c>
      <c r="I2" s="293"/>
      <c r="J2" s="1"/>
      <c r="K2" s="1"/>
      <c r="L2" s="4" t="s">
        <v>1</v>
      </c>
      <c r="M2" s="1"/>
      <c r="N2" s="1"/>
      <c r="O2" s="1"/>
      <c r="P2" s="3" t="s">
        <v>2</v>
      </c>
      <c r="Q2" s="1"/>
      <c r="R2" s="1"/>
      <c r="S2" s="1"/>
    </row>
    <row r="3" spans="1:19" ht="15.75" x14ac:dyDescent="0.25">
      <c r="A3" s="300" t="s">
        <v>3</v>
      </c>
      <c r="B3" s="301"/>
      <c r="C3" s="301"/>
      <c r="D3" s="301"/>
      <c r="E3" s="301"/>
      <c r="F3" s="301"/>
      <c r="G3" s="287"/>
      <c r="H3" s="288"/>
      <c r="I3" s="5"/>
      <c r="J3" s="5"/>
      <c r="K3" s="5"/>
      <c r="L3" s="5"/>
      <c r="M3" s="5"/>
      <c r="N3" s="5"/>
      <c r="O3" s="5"/>
      <c r="P3" s="5"/>
      <c r="Q3" s="5"/>
      <c r="R3" s="5"/>
      <c r="S3" s="1"/>
    </row>
    <row r="4" spans="1:19" ht="18" x14ac:dyDescent="0.35">
      <c r="A4" s="96"/>
      <c r="B4" s="97"/>
      <c r="C4" s="97"/>
      <c r="D4" s="97"/>
      <c r="E4" s="97"/>
      <c r="F4" s="98" t="s">
        <v>4</v>
      </c>
      <c r="G4" s="92" t="s">
        <v>5</v>
      </c>
      <c r="H4" s="17" t="s">
        <v>6</v>
      </c>
      <c r="I4" s="6"/>
      <c r="J4" s="6"/>
      <c r="K4" s="6" t="s">
        <v>305</v>
      </c>
      <c r="L4" s="6"/>
      <c r="M4" s="6"/>
      <c r="O4" s="6"/>
      <c r="P4" s="6">
        <f>vout*0.5/efficiency*100</f>
        <v>10</v>
      </c>
      <c r="Q4" s="6"/>
      <c r="R4" s="6"/>
      <c r="S4" s="1"/>
    </row>
    <row r="5" spans="1:19" ht="18" x14ac:dyDescent="0.35">
      <c r="A5" s="102"/>
      <c r="B5" s="102"/>
      <c r="C5" s="102"/>
      <c r="D5" s="102"/>
      <c r="E5" s="102"/>
      <c r="F5" s="104" t="s">
        <v>28</v>
      </c>
      <c r="G5" s="93">
        <v>3</v>
      </c>
      <c r="H5" s="11" t="s">
        <v>7</v>
      </c>
      <c r="I5" s="6"/>
      <c r="J5" s="6"/>
      <c r="K5" s="6" t="s">
        <v>306</v>
      </c>
      <c r="L5" s="6"/>
      <c r="M5" s="6"/>
      <c r="N5" s="6"/>
      <c r="P5" s="6">
        <f>vout*2/3/efficiency*100</f>
        <v>13.333333333333334</v>
      </c>
      <c r="Q5" s="6"/>
      <c r="R5" s="6"/>
      <c r="S5" s="1"/>
    </row>
    <row r="6" spans="1:19" ht="18" x14ac:dyDescent="0.35">
      <c r="A6" s="102"/>
      <c r="B6" s="102"/>
      <c r="C6" s="102"/>
      <c r="D6" s="102"/>
      <c r="E6" s="102"/>
      <c r="F6" s="104" t="s">
        <v>29</v>
      </c>
      <c r="G6" s="93">
        <v>3.6</v>
      </c>
      <c r="H6" s="11" t="s">
        <v>7</v>
      </c>
      <c r="I6" s="6"/>
      <c r="J6" s="6"/>
      <c r="K6" s="6" t="s">
        <v>307</v>
      </c>
      <c r="L6" s="6"/>
      <c r="M6" s="6"/>
      <c r="N6" s="6"/>
      <c r="O6" s="6"/>
      <c r="P6" s="6">
        <f>1-v_1*efficiency/100/vout</f>
        <v>0.5</v>
      </c>
      <c r="Q6" s="6"/>
      <c r="R6" s="6"/>
      <c r="S6" s="1"/>
    </row>
    <row r="7" spans="1:19" ht="18" x14ac:dyDescent="0.35">
      <c r="A7" s="102"/>
      <c r="B7" s="102"/>
      <c r="C7" s="102"/>
      <c r="D7" s="102"/>
      <c r="E7" s="102"/>
      <c r="F7" s="104" t="s">
        <v>30</v>
      </c>
      <c r="G7" s="93">
        <v>4.2</v>
      </c>
      <c r="H7" s="11" t="s">
        <v>7</v>
      </c>
      <c r="I7" s="6"/>
      <c r="J7" s="6"/>
      <c r="K7" s="6" t="s">
        <v>308</v>
      </c>
      <c r="L7" s="6"/>
      <c r="M7" s="6"/>
      <c r="N7" s="6"/>
      <c r="O7" s="6"/>
      <c r="P7" s="6">
        <f>1-v_2*efficiency/100/vout</f>
        <v>0.33333333333333337</v>
      </c>
      <c r="Q7" s="6"/>
      <c r="R7" s="6"/>
      <c r="S7" s="1"/>
    </row>
    <row r="8" spans="1:19" ht="18" x14ac:dyDescent="0.35">
      <c r="A8" s="102"/>
      <c r="B8" s="102"/>
      <c r="C8" s="102"/>
      <c r="D8" s="102"/>
      <c r="E8" s="102"/>
      <c r="F8" s="104" t="s">
        <v>31</v>
      </c>
      <c r="G8" s="93">
        <v>18</v>
      </c>
      <c r="H8" s="11" t="s">
        <v>7</v>
      </c>
      <c r="I8" s="6"/>
      <c r="J8" s="6"/>
      <c r="K8" s="6" t="s">
        <v>311</v>
      </c>
      <c r="L8" s="6"/>
      <c r="M8" s="6"/>
      <c r="N8" s="6"/>
      <c r="O8" s="6"/>
      <c r="P8" s="6">
        <f>v_1/L/f*D_1</f>
        <v>4.7348484848484844</v>
      </c>
      <c r="Q8" s="6"/>
      <c r="R8" s="6"/>
      <c r="S8" s="1"/>
    </row>
    <row r="9" spans="1:19" ht="18" x14ac:dyDescent="0.35">
      <c r="A9" s="102"/>
      <c r="B9" s="102"/>
      <c r="C9" s="102"/>
      <c r="D9" s="102"/>
      <c r="E9" s="102"/>
      <c r="F9" s="104" t="s">
        <v>48</v>
      </c>
      <c r="G9" s="93">
        <v>2</v>
      </c>
      <c r="H9" s="11" t="s">
        <v>8</v>
      </c>
      <c r="I9" s="6"/>
      <c r="J9" s="6"/>
      <c r="K9" s="6" t="s">
        <v>312</v>
      </c>
      <c r="L9" s="6"/>
      <c r="M9" s="6"/>
      <c r="N9" s="6"/>
      <c r="O9" s="6"/>
      <c r="P9" s="6">
        <f>v_2/L/f*D_2</f>
        <v>4.2087542087542094</v>
      </c>
      <c r="Q9" s="6"/>
      <c r="R9" s="6"/>
      <c r="S9" s="1"/>
    </row>
    <row r="10" spans="1:19" ht="18" x14ac:dyDescent="0.35">
      <c r="A10" s="102"/>
      <c r="B10" s="102"/>
      <c r="C10" s="102"/>
      <c r="D10" s="102"/>
      <c r="E10" s="102"/>
      <c r="F10" s="104" t="s">
        <v>432</v>
      </c>
      <c r="G10" s="93">
        <v>90</v>
      </c>
      <c r="H10" s="11" t="s">
        <v>9</v>
      </c>
      <c r="I10" s="6"/>
      <c r="J10" s="6"/>
      <c r="K10" s="6" t="s">
        <v>309</v>
      </c>
      <c r="L10" s="6"/>
      <c r="M10" s="6"/>
      <c r="N10" s="6"/>
      <c r="O10" s="6"/>
      <c r="P10" s="6">
        <f>vout*iout_actual_max/v_2/efficiency*100</f>
        <v>2.9999999999999996</v>
      </c>
      <c r="Q10" s="6"/>
      <c r="R10" s="6"/>
      <c r="S10" s="1"/>
    </row>
    <row r="11" spans="1:19" ht="18" x14ac:dyDescent="0.35">
      <c r="A11" s="102"/>
      <c r="B11" s="102"/>
      <c r="C11" s="102"/>
      <c r="D11" s="102"/>
      <c r="E11" s="102"/>
      <c r="F11" s="104" t="s">
        <v>39</v>
      </c>
      <c r="G11" s="115">
        <v>0.32</v>
      </c>
      <c r="H11" s="11" t="s">
        <v>10</v>
      </c>
      <c r="I11" s="6"/>
      <c r="J11" s="6"/>
      <c r="K11" s="6" t="s">
        <v>310</v>
      </c>
      <c r="L11" s="6"/>
      <c r="M11" s="6"/>
      <c r="N11" s="6"/>
      <c r="O11" s="6"/>
      <c r="P11" s="6">
        <f>vout*iout_actual_max/vin_max/efficiency*100</f>
        <v>9.5238095238095237</v>
      </c>
      <c r="Q11" s="6"/>
      <c r="R11" s="6"/>
      <c r="S11" s="1"/>
    </row>
    <row r="12" spans="1:19" ht="18" x14ac:dyDescent="0.25">
      <c r="A12" s="102"/>
      <c r="B12" s="102"/>
      <c r="C12" s="102"/>
      <c r="D12" s="102"/>
      <c r="E12" s="102"/>
      <c r="F12" s="104" t="s">
        <v>470</v>
      </c>
      <c r="G12" s="93">
        <v>20</v>
      </c>
      <c r="H12" s="11" t="s">
        <v>8</v>
      </c>
      <c r="I12" s="6"/>
      <c r="J12" s="6"/>
      <c r="K12" s="6"/>
      <c r="L12" s="6"/>
      <c r="M12" s="6"/>
      <c r="N12" s="6"/>
      <c r="O12" s="123" t="s">
        <v>404</v>
      </c>
      <c r="P12" s="95">
        <f>Iin_max+iL_p2p_act_min/2</f>
        <v>14.540719696969697</v>
      </c>
      <c r="Q12" s="11" t="s">
        <v>8</v>
      </c>
      <c r="R12" s="6"/>
      <c r="S12" s="1"/>
    </row>
    <row r="13" spans="1:19" ht="18" x14ac:dyDescent="0.35">
      <c r="A13" s="103"/>
      <c r="B13" s="103"/>
      <c r="C13" s="103"/>
      <c r="D13" s="103"/>
      <c r="E13" s="103"/>
      <c r="F13" s="105" t="s">
        <v>471</v>
      </c>
      <c r="G13" s="94">
        <f>400/ilimit_nom</f>
        <v>20</v>
      </c>
      <c r="H13" s="11" t="s">
        <v>11</v>
      </c>
      <c r="I13" s="6"/>
      <c r="J13" s="6"/>
      <c r="K13" s="6" t="s">
        <v>52</v>
      </c>
      <c r="L13" s="6"/>
      <c r="M13" s="6"/>
      <c r="N13" s="6"/>
      <c r="O13" s="6"/>
      <c r="P13" s="6">
        <f>vout*iout_actual_max/vin_min/efficiency*100</f>
        <v>13.333333333333334</v>
      </c>
      <c r="Q13" s="188" t="s">
        <v>8</v>
      </c>
      <c r="R13" s="6"/>
      <c r="S13" s="1"/>
    </row>
    <row r="14" spans="1:19" ht="18" x14ac:dyDescent="0.35">
      <c r="A14" s="102"/>
      <c r="B14" s="102"/>
      <c r="C14" s="102"/>
      <c r="D14" s="102"/>
      <c r="E14" s="102"/>
      <c r="F14" s="104" t="s">
        <v>40</v>
      </c>
      <c r="G14" s="95">
        <f>1-vin_max*efficiency/100/vout</f>
        <v>0.79</v>
      </c>
      <c r="H14" s="12" t="s">
        <v>12</v>
      </c>
      <c r="I14" s="6"/>
      <c r="J14" s="6"/>
      <c r="K14" s="6" t="s">
        <v>391</v>
      </c>
      <c r="L14" s="6"/>
      <c r="M14" s="6"/>
      <c r="N14" s="6"/>
      <c r="O14" s="6"/>
      <c r="P14" s="6">
        <f>vout*iout_actual_max/vin_max/efficiency*100</f>
        <v>9.5238095238095237</v>
      </c>
      <c r="Q14" s="191" t="s">
        <v>8</v>
      </c>
      <c r="R14" s="6"/>
      <c r="S14" s="1"/>
    </row>
    <row r="15" spans="1:19" ht="18" x14ac:dyDescent="0.25">
      <c r="A15" s="102"/>
      <c r="B15" s="102"/>
      <c r="C15" s="102"/>
      <c r="D15" s="102"/>
      <c r="E15" s="102"/>
      <c r="F15" s="104" t="s">
        <v>300</v>
      </c>
      <c r="G15" s="95">
        <f>1-vin_nom*efficiency/100/vout</f>
        <v>0.82</v>
      </c>
      <c r="H15" s="12" t="s">
        <v>12</v>
      </c>
      <c r="I15" s="6"/>
      <c r="J15" s="6"/>
      <c r="K15" s="6"/>
      <c r="L15" s="6"/>
      <c r="M15" s="6"/>
      <c r="N15" s="6"/>
      <c r="O15" s="111" t="s">
        <v>63</v>
      </c>
      <c r="P15" s="189">
        <f>vin_min/L/f*duty_max</f>
        <v>2.4147727272727275</v>
      </c>
      <c r="Q15" s="188" t="s">
        <v>8</v>
      </c>
      <c r="R15" s="6"/>
      <c r="S15" s="1"/>
    </row>
    <row r="16" spans="1:19" ht="18" x14ac:dyDescent="0.25">
      <c r="A16" s="102"/>
      <c r="B16" s="102"/>
      <c r="C16" s="102"/>
      <c r="D16" s="102"/>
      <c r="E16" s="102"/>
      <c r="F16" s="104" t="s">
        <v>41</v>
      </c>
      <c r="G16" s="95">
        <f>1-vin_min*efficiency/100/vout</f>
        <v>0.85</v>
      </c>
      <c r="H16" s="12" t="s">
        <v>12</v>
      </c>
      <c r="I16" s="6"/>
      <c r="J16" s="6"/>
      <c r="K16" s="6"/>
      <c r="L16" s="6"/>
      <c r="M16" s="6"/>
      <c r="N16" s="6"/>
      <c r="O16" s="102" t="s">
        <v>64</v>
      </c>
      <c r="P16" s="190">
        <f>vin_nom/L/f*duty_nom</f>
        <v>2.7954545454545459</v>
      </c>
      <c r="Q16" s="191" t="s">
        <v>8</v>
      </c>
      <c r="R16" s="6"/>
      <c r="S16" s="1"/>
    </row>
    <row r="17" spans="1:19" ht="18" x14ac:dyDescent="0.25">
      <c r="A17" s="99"/>
      <c r="B17" s="100"/>
      <c r="C17" s="100"/>
      <c r="D17" s="100"/>
      <c r="E17" s="100"/>
      <c r="F17" s="101" t="s">
        <v>433</v>
      </c>
      <c r="G17" s="95">
        <f>vin_min*efficiency*(ilimit_nom+0.5*(vin_min*duty_max/f/L))/vout/100</f>
        <v>3.1811079545454546</v>
      </c>
      <c r="H17" s="11" t="s">
        <v>8</v>
      </c>
      <c r="I17" s="6"/>
      <c r="J17" s="6"/>
      <c r="K17" s="6"/>
      <c r="L17" s="6"/>
      <c r="M17" s="6"/>
      <c r="N17" s="6"/>
      <c r="O17" s="192" t="s">
        <v>65</v>
      </c>
      <c r="P17" s="193">
        <f>vin_max/L/f*duty_min</f>
        <v>3.142045454545455</v>
      </c>
      <c r="Q17" s="194" t="s">
        <v>8</v>
      </c>
      <c r="R17" s="6"/>
      <c r="S17" s="1"/>
    </row>
    <row r="18" spans="1:19" ht="18" x14ac:dyDescent="0.25">
      <c r="A18" s="6"/>
      <c r="B18" s="6"/>
      <c r="C18" s="6"/>
      <c r="D18" s="6"/>
      <c r="E18" s="6"/>
      <c r="F18" s="6"/>
      <c r="G18" s="6"/>
      <c r="H18" s="6"/>
      <c r="I18" s="6"/>
      <c r="J18" s="6"/>
      <c r="K18" s="166"/>
      <c r="L18" s="202"/>
      <c r="M18" s="201"/>
      <c r="N18" s="197"/>
      <c r="O18" s="198" t="s">
        <v>402</v>
      </c>
      <c r="P18" s="199">
        <f>SQRT(iin_nom^2+1/12*(iL_p2p_act_nom)^2)</f>
        <v>11.140377191389527</v>
      </c>
      <c r="Q18" s="200" t="s">
        <v>8</v>
      </c>
      <c r="R18" s="6"/>
      <c r="S18" s="1"/>
    </row>
    <row r="19" spans="1:19" ht="15.75" x14ac:dyDescent="0.25">
      <c r="A19" s="302" t="s">
        <v>13</v>
      </c>
      <c r="B19" s="302"/>
      <c r="C19" s="302"/>
      <c r="D19" s="302"/>
      <c r="E19" s="302"/>
      <c r="F19" s="302"/>
      <c r="G19" s="302"/>
      <c r="H19" s="302"/>
      <c r="I19" s="195"/>
      <c r="J19" s="195"/>
      <c r="K19" s="195"/>
      <c r="L19" s="195"/>
      <c r="M19" s="195"/>
      <c r="N19" s="195"/>
      <c r="O19" s="203"/>
      <c r="P19" s="204"/>
      <c r="Q19" s="205"/>
      <c r="R19" s="195"/>
      <c r="S19" s="1"/>
    </row>
    <row r="20" spans="1:19" ht="18" x14ac:dyDescent="0.25">
      <c r="A20" s="207"/>
      <c r="B20" s="208"/>
      <c r="C20" s="208"/>
      <c r="D20" s="208"/>
      <c r="E20" s="209"/>
      <c r="F20" s="210" t="s">
        <v>390</v>
      </c>
      <c r="G20" s="95">
        <f>vout*iout_actual_max/vin_nom/efficiency*100</f>
        <v>11.111111111111111</v>
      </c>
      <c r="H20" s="11" t="s">
        <v>8</v>
      </c>
      <c r="I20" s="6"/>
      <c r="J20" s="6"/>
      <c r="K20" s="167"/>
      <c r="L20" s="167"/>
      <c r="M20" s="196"/>
      <c r="N20" s="167"/>
      <c r="O20" s="167"/>
      <c r="P20" s="172"/>
      <c r="Q20" s="167"/>
      <c r="R20" s="6"/>
      <c r="S20" s="1"/>
    </row>
    <row r="21" spans="1:19" ht="18" x14ac:dyDescent="0.25">
      <c r="A21" s="106"/>
      <c r="B21" s="108"/>
      <c r="C21" s="108"/>
      <c r="D21" s="108"/>
      <c r="E21" s="102"/>
      <c r="F21" s="104" t="s">
        <v>388</v>
      </c>
      <c r="G21" s="93">
        <v>20</v>
      </c>
      <c r="H21" s="11" t="s">
        <v>9</v>
      </c>
      <c r="I21" s="6"/>
      <c r="J21" s="6"/>
      <c r="K21" s="120" t="s">
        <v>393</v>
      </c>
      <c r="L21" s="120" t="s">
        <v>394</v>
      </c>
      <c r="M21" s="120"/>
      <c r="N21" s="120"/>
      <c r="O21" s="120"/>
      <c r="P21" s="120"/>
      <c r="Q21" s="120"/>
      <c r="R21" s="6"/>
      <c r="S21" s="1"/>
    </row>
    <row r="22" spans="1:19" ht="18" x14ac:dyDescent="0.25">
      <c r="A22" s="106"/>
      <c r="B22" s="108"/>
      <c r="C22" s="108"/>
      <c r="D22" s="108"/>
      <c r="E22" s="102"/>
      <c r="F22" s="104" t="s">
        <v>389</v>
      </c>
      <c r="G22" s="95">
        <f>iin_nom*iL_p2p_ratio/100</f>
        <v>2.2222222222222223</v>
      </c>
      <c r="H22" s="11" t="s">
        <v>8</v>
      </c>
      <c r="I22" s="187"/>
      <c r="J22" s="6"/>
      <c r="K22" s="120">
        <v>0</v>
      </c>
      <c r="L22" s="120">
        <f>iin_nom-iL_p2p_act_nom/2</f>
        <v>9.7133838383838373</v>
      </c>
      <c r="M22" s="120"/>
      <c r="N22" s="120"/>
      <c r="O22" s="120"/>
      <c r="P22" s="120"/>
      <c r="Q22" s="120"/>
      <c r="R22" s="6"/>
      <c r="S22" s="1"/>
    </row>
    <row r="23" spans="1:19" ht="18" x14ac:dyDescent="0.25">
      <c r="A23" s="107"/>
      <c r="B23" s="109"/>
      <c r="C23" s="109"/>
      <c r="D23" s="109"/>
      <c r="E23" s="103"/>
      <c r="F23" s="105" t="s">
        <v>392</v>
      </c>
      <c r="G23" s="95">
        <f>vin_nom*duty_nom/f/iL_p2p_cal</f>
        <v>4.1512499999999992</v>
      </c>
      <c r="H23" s="11" t="s">
        <v>14</v>
      </c>
      <c r="J23" s="6"/>
      <c r="K23" s="120">
        <f>duty_nom/f</f>
        <v>2.5625</v>
      </c>
      <c r="L23" s="120">
        <f>iin_nom</f>
        <v>11.111111111111111</v>
      </c>
      <c r="M23" s="120"/>
      <c r="N23" s="120"/>
      <c r="O23" s="120"/>
      <c r="P23" s="120"/>
      <c r="Q23" s="120"/>
      <c r="R23" s="6"/>
      <c r="S23" s="1"/>
    </row>
    <row r="24" spans="1:19" x14ac:dyDescent="0.25">
      <c r="A24" s="106"/>
      <c r="B24" s="108"/>
      <c r="C24" s="108"/>
      <c r="D24" s="108"/>
      <c r="E24" s="102"/>
      <c r="F24" s="104" t="s">
        <v>57</v>
      </c>
      <c r="G24" s="93">
        <v>3.3</v>
      </c>
      <c r="H24" s="11" t="s">
        <v>15</v>
      </c>
      <c r="I24" s="6"/>
      <c r="J24" s="6"/>
      <c r="K24" s="120">
        <f>1/f</f>
        <v>3.125</v>
      </c>
      <c r="L24" s="120">
        <f>iin_nom-iL_p2p_act_nom/2</f>
        <v>9.7133838383838373</v>
      </c>
      <c r="M24" s="120"/>
      <c r="N24" s="120"/>
      <c r="O24" s="120"/>
      <c r="P24" s="120"/>
      <c r="Q24" s="120"/>
      <c r="R24" s="6"/>
      <c r="S24" s="1"/>
    </row>
    <row r="25" spans="1:19" ht="18" x14ac:dyDescent="0.25">
      <c r="A25" s="106"/>
      <c r="B25" s="108"/>
      <c r="C25" s="108"/>
      <c r="D25" s="108"/>
      <c r="E25" s="102"/>
      <c r="F25" s="104" t="s">
        <v>395</v>
      </c>
      <c r="G25" s="93">
        <v>7.5</v>
      </c>
      <c r="H25" s="11" t="s">
        <v>16</v>
      </c>
      <c r="I25" s="6"/>
      <c r="J25" s="6"/>
      <c r="K25" s="6">
        <f>K23+K24</f>
        <v>5.6875</v>
      </c>
      <c r="L25" s="120">
        <f>iin_nom</f>
        <v>11.111111111111111</v>
      </c>
      <c r="M25" s="6"/>
      <c r="N25" s="6"/>
      <c r="O25" s="6"/>
      <c r="P25" s="6"/>
      <c r="Q25" s="6"/>
      <c r="R25" s="6"/>
      <c r="S25" s="1"/>
    </row>
    <row r="26" spans="1:19" ht="18" x14ac:dyDescent="0.25">
      <c r="A26" s="124"/>
      <c r="B26" s="212"/>
      <c r="C26" s="212"/>
      <c r="D26" s="212"/>
      <c r="E26" s="125"/>
      <c r="F26" s="126" t="s">
        <v>403</v>
      </c>
      <c r="G26" s="273">
        <v>2.8568181818181824</v>
      </c>
      <c r="H26" s="11" t="s">
        <v>8</v>
      </c>
      <c r="I26" s="6"/>
      <c r="J26" s="6"/>
      <c r="K26" s="6">
        <f>2/f</f>
        <v>6.25</v>
      </c>
      <c r="L26" s="120">
        <f>iin_nom-iL_p2p_act_nom/2</f>
        <v>9.7133838383838373</v>
      </c>
      <c r="M26" s="6"/>
      <c r="N26" s="6"/>
      <c r="O26" s="6"/>
      <c r="P26" s="6"/>
      <c r="Q26" s="6"/>
      <c r="R26" s="6"/>
      <c r="S26" s="1"/>
    </row>
    <row r="27" spans="1:19" x14ac:dyDescent="0.25">
      <c r="A27" s="6"/>
      <c r="B27" s="6"/>
      <c r="C27" s="6"/>
      <c r="D27" s="6"/>
      <c r="E27" s="211"/>
      <c r="F27" s="6"/>
      <c r="G27" s="6"/>
      <c r="H27" s="6"/>
      <c r="I27" s="6"/>
      <c r="J27" s="6"/>
      <c r="K27" s="6"/>
      <c r="L27" s="6"/>
      <c r="M27" s="6"/>
      <c r="N27" s="6"/>
      <c r="O27" s="6"/>
      <c r="P27" s="6"/>
      <c r="Q27" s="6"/>
      <c r="R27" s="6"/>
      <c r="S27" s="1"/>
    </row>
    <row r="28" spans="1:19" ht="15.75" x14ac:dyDescent="0.25">
      <c r="A28" s="303" t="s">
        <v>17</v>
      </c>
      <c r="B28" s="303"/>
      <c r="C28" s="303"/>
      <c r="D28" s="303"/>
      <c r="E28" s="303"/>
      <c r="F28" s="303"/>
      <c r="G28" s="302"/>
      <c r="H28" s="302"/>
      <c r="I28" s="5"/>
      <c r="J28" s="5"/>
      <c r="K28" s="5"/>
      <c r="L28" s="5"/>
      <c r="M28" s="5"/>
      <c r="N28" s="5"/>
      <c r="O28" s="5"/>
      <c r="P28" s="5"/>
      <c r="Q28" s="5"/>
      <c r="R28" s="5"/>
      <c r="S28" s="1"/>
    </row>
    <row r="29" spans="1:19" ht="18" x14ac:dyDescent="0.25">
      <c r="A29" s="121"/>
      <c r="B29" s="122"/>
      <c r="C29" s="122"/>
      <c r="D29" s="122"/>
      <c r="E29" s="122"/>
      <c r="F29" s="123" t="s">
        <v>67</v>
      </c>
      <c r="G29" s="93">
        <v>180</v>
      </c>
      <c r="H29" s="13" t="s">
        <v>20</v>
      </c>
      <c r="I29" s="6"/>
      <c r="J29" s="6"/>
      <c r="K29" s="6"/>
      <c r="L29" s="6"/>
      <c r="M29" s="6"/>
      <c r="N29" s="6"/>
      <c r="O29" s="6"/>
      <c r="P29" s="6"/>
      <c r="Q29" s="6"/>
      <c r="R29" s="6"/>
      <c r="S29" s="1"/>
    </row>
    <row r="30" spans="1:19" ht="18" x14ac:dyDescent="0.25">
      <c r="A30" s="107"/>
      <c r="B30" s="103"/>
      <c r="C30" s="103"/>
      <c r="D30" s="103"/>
      <c r="E30" s="103"/>
      <c r="F30" s="105" t="s">
        <v>396</v>
      </c>
      <c r="G30" s="110">
        <f>iout_actual_max*duty_max/f/vout_p2p_max*1000</f>
        <v>29.513888888888889</v>
      </c>
      <c r="H30" s="11" t="s">
        <v>18</v>
      </c>
      <c r="I30" s="6"/>
      <c r="J30" s="6" t="s">
        <v>398</v>
      </c>
      <c r="K30" s="6"/>
      <c r="L30" s="6"/>
      <c r="M30" s="6"/>
      <c r="N30" s="6"/>
      <c r="O30" s="6"/>
      <c r="P30" s="6" t="s">
        <v>437</v>
      </c>
      <c r="Q30" s="6"/>
      <c r="R30" s="6"/>
      <c r="S30" s="1"/>
    </row>
    <row r="31" spans="1:19" ht="18" x14ac:dyDescent="0.25">
      <c r="A31" s="106"/>
      <c r="B31" s="102"/>
      <c r="C31" s="102"/>
      <c r="D31" s="102"/>
      <c r="E31" s="102"/>
      <c r="F31" s="104" t="s">
        <v>69</v>
      </c>
      <c r="G31" s="93">
        <v>60</v>
      </c>
      <c r="H31" s="11" t="s">
        <v>18</v>
      </c>
      <c r="I31" s="6"/>
      <c r="J31" s="6" t="s">
        <v>397</v>
      </c>
      <c r="K31" s="6"/>
      <c r="L31" s="6"/>
      <c r="M31" s="6"/>
      <c r="N31" s="6"/>
      <c r="O31" s="6"/>
      <c r="P31" s="6" t="s">
        <v>399</v>
      </c>
      <c r="Q31" s="6"/>
      <c r="R31" s="6"/>
      <c r="S31" s="1"/>
    </row>
    <row r="32" spans="1:19" ht="18" x14ac:dyDescent="0.25">
      <c r="A32" s="106"/>
      <c r="B32" s="102"/>
      <c r="C32" s="102"/>
      <c r="D32" s="102"/>
      <c r="E32" s="102"/>
      <c r="F32" s="104" t="s">
        <v>68</v>
      </c>
      <c r="G32" s="93">
        <v>1</v>
      </c>
      <c r="H32" s="11" t="s">
        <v>16</v>
      </c>
      <c r="I32" s="6"/>
      <c r="J32" s="6"/>
      <c r="K32" s="6"/>
      <c r="L32" s="6"/>
      <c r="M32" s="6"/>
      <c r="N32" s="6"/>
      <c r="O32" s="6"/>
      <c r="P32" s="6"/>
      <c r="Q32" s="6"/>
      <c r="R32" s="6"/>
      <c r="S32" s="1"/>
    </row>
    <row r="33" spans="1:19" ht="18" x14ac:dyDescent="0.25">
      <c r="A33" s="106"/>
      <c r="B33" s="102"/>
      <c r="C33" s="102"/>
      <c r="D33" s="102"/>
      <c r="E33" s="102"/>
      <c r="F33" s="104" t="s">
        <v>116</v>
      </c>
      <c r="G33" s="93">
        <v>100</v>
      </c>
      <c r="H33" s="11" t="s">
        <v>18</v>
      </c>
      <c r="I33" s="6"/>
      <c r="J33" s="6"/>
      <c r="K33" s="6"/>
      <c r="L33" s="6"/>
      <c r="M33" s="6"/>
      <c r="N33" s="6"/>
      <c r="O33" s="6"/>
      <c r="P33" s="6"/>
      <c r="Q33" s="6"/>
      <c r="R33" s="6"/>
      <c r="S33" s="1"/>
    </row>
    <row r="34" spans="1:19" ht="18" x14ac:dyDescent="0.25">
      <c r="A34" s="106"/>
      <c r="B34" s="102"/>
      <c r="C34" s="102"/>
      <c r="D34" s="102"/>
      <c r="E34" s="102"/>
      <c r="F34" s="104" t="s">
        <v>401</v>
      </c>
      <c r="G34" s="93">
        <v>40</v>
      </c>
      <c r="H34" s="11" t="s">
        <v>16</v>
      </c>
      <c r="I34" s="6"/>
      <c r="J34" s="6"/>
      <c r="K34" s="6"/>
      <c r="L34" s="6"/>
      <c r="M34" s="6"/>
      <c r="N34" s="6"/>
      <c r="O34" s="6"/>
      <c r="P34" s="6"/>
      <c r="Q34" s="6"/>
      <c r="R34" s="6"/>
      <c r="S34" s="1"/>
    </row>
    <row r="35" spans="1:19" ht="18" x14ac:dyDescent="0.25">
      <c r="A35" s="124"/>
      <c r="B35" s="125"/>
      <c r="C35" s="125"/>
      <c r="D35" s="125"/>
      <c r="E35" s="125"/>
      <c r="F35" s="126" t="s">
        <v>289</v>
      </c>
      <c r="G35" s="95">
        <f>iout_actual_max*SQRT(vout/vin_min-1)</f>
        <v>4.4721359549995796</v>
      </c>
      <c r="H35" s="14" t="s">
        <v>8</v>
      </c>
      <c r="I35" s="6"/>
      <c r="J35" s="6"/>
      <c r="K35" s="6"/>
      <c r="L35" s="6"/>
      <c r="M35" s="6"/>
      <c r="N35" s="6"/>
      <c r="O35" s="6"/>
      <c r="P35" s="6"/>
      <c r="Q35" s="6"/>
      <c r="R35" s="6"/>
      <c r="S35" s="1"/>
    </row>
    <row r="36" spans="1:19" x14ac:dyDescent="0.25">
      <c r="A36" s="6"/>
      <c r="B36" s="6"/>
      <c r="C36" s="6"/>
      <c r="D36" s="6"/>
      <c r="E36" s="6"/>
      <c r="F36" s="6"/>
      <c r="G36" s="6"/>
      <c r="H36" s="6"/>
      <c r="I36" s="6"/>
      <c r="J36" s="6"/>
      <c r="K36" s="6"/>
      <c r="L36" s="6"/>
      <c r="M36" s="6"/>
      <c r="N36" s="6"/>
      <c r="O36" s="6"/>
      <c r="P36" s="6"/>
      <c r="Q36" s="6"/>
      <c r="R36" s="6"/>
      <c r="S36" s="1"/>
    </row>
    <row r="37" spans="1:19" ht="15.75" x14ac:dyDescent="0.25">
      <c r="A37" s="300" t="s">
        <v>19</v>
      </c>
      <c r="B37" s="301"/>
      <c r="C37" s="301"/>
      <c r="D37" s="301"/>
      <c r="E37" s="301"/>
      <c r="F37" s="301"/>
      <c r="G37" s="287"/>
      <c r="H37" s="288"/>
      <c r="I37" s="6"/>
      <c r="J37" s="6"/>
      <c r="K37" s="6"/>
      <c r="L37" s="6"/>
      <c r="M37" s="6"/>
      <c r="N37" s="6"/>
      <c r="O37" s="6"/>
      <c r="P37" s="6"/>
      <c r="Q37" s="6"/>
      <c r="R37" s="6"/>
      <c r="S37" s="1"/>
    </row>
    <row r="38" spans="1:19" ht="18" x14ac:dyDescent="0.25">
      <c r="A38" s="121"/>
      <c r="B38" s="122"/>
      <c r="C38" s="122"/>
      <c r="D38" s="122"/>
      <c r="E38" s="122"/>
      <c r="F38" s="123" t="s">
        <v>78</v>
      </c>
      <c r="G38" s="112">
        <v>100</v>
      </c>
      <c r="H38" s="11" t="s">
        <v>20</v>
      </c>
      <c r="I38" s="6"/>
      <c r="J38" s="6"/>
      <c r="K38" s="6"/>
      <c r="L38" s="6"/>
      <c r="M38" s="6"/>
      <c r="N38" s="6"/>
      <c r="O38" s="6"/>
      <c r="P38" s="6"/>
      <c r="Q38" s="6"/>
      <c r="R38" s="6"/>
      <c r="S38" s="1"/>
    </row>
    <row r="39" spans="1:19" ht="18" x14ac:dyDescent="0.25">
      <c r="A39" s="107"/>
      <c r="B39" s="103"/>
      <c r="C39" s="103"/>
      <c r="D39" s="103"/>
      <c r="E39" s="103"/>
      <c r="F39" s="105" t="s">
        <v>80</v>
      </c>
      <c r="G39" s="113">
        <f>iL_p2p_act_nom/(8*f*vin_p2p_max)*1000</f>
        <v>10.91974431818182</v>
      </c>
      <c r="H39" s="11" t="s">
        <v>21</v>
      </c>
      <c r="I39" s="6"/>
      <c r="J39" s="6"/>
      <c r="K39" s="6"/>
      <c r="L39" s="6"/>
      <c r="M39" s="6"/>
      <c r="N39" s="6"/>
      <c r="O39" s="6"/>
      <c r="P39" s="6"/>
      <c r="Q39" s="6"/>
      <c r="R39" s="6"/>
      <c r="S39" s="1"/>
    </row>
    <row r="40" spans="1:19" ht="18" x14ac:dyDescent="0.25">
      <c r="A40" s="106"/>
      <c r="B40" s="102"/>
      <c r="C40" s="102"/>
      <c r="D40" s="102"/>
      <c r="E40" s="102"/>
      <c r="F40" s="104" t="s">
        <v>82</v>
      </c>
      <c r="G40" s="114">
        <v>10</v>
      </c>
      <c r="H40" s="11" t="s">
        <v>21</v>
      </c>
      <c r="I40" s="6"/>
      <c r="J40" s="6"/>
      <c r="K40" s="6"/>
      <c r="L40" s="6"/>
      <c r="M40" s="6"/>
      <c r="N40" s="6"/>
      <c r="O40" s="6"/>
      <c r="P40" s="6"/>
      <c r="Q40" s="6"/>
      <c r="R40" s="6"/>
      <c r="S40" s="1"/>
    </row>
    <row r="41" spans="1:19" ht="18" x14ac:dyDescent="0.25">
      <c r="A41" s="124"/>
      <c r="B41" s="125"/>
      <c r="C41" s="125"/>
      <c r="D41" s="125"/>
      <c r="E41" s="125"/>
      <c r="F41" s="126" t="s">
        <v>84</v>
      </c>
      <c r="G41" s="113">
        <f>iL_p2p_act_nom/SQRT(12)</f>
        <v>0.80697821716277252</v>
      </c>
      <c r="H41" s="11" t="s">
        <v>8</v>
      </c>
      <c r="I41" s="6"/>
      <c r="J41" s="6"/>
      <c r="K41" s="6"/>
      <c r="L41" s="6"/>
      <c r="M41" s="6"/>
      <c r="N41" s="6"/>
      <c r="O41" s="6"/>
      <c r="P41" s="6"/>
      <c r="Q41" s="6"/>
      <c r="R41" s="6"/>
      <c r="S41" s="1"/>
    </row>
    <row r="42" spans="1:19" x14ac:dyDescent="0.25">
      <c r="A42" s="18"/>
      <c r="B42" s="18"/>
      <c r="C42" s="18"/>
      <c r="D42" s="18"/>
      <c r="E42" s="18"/>
      <c r="F42" s="18"/>
      <c r="G42" s="18"/>
      <c r="H42" s="18"/>
      <c r="I42" s="6"/>
      <c r="J42" s="6"/>
      <c r="K42" s="6"/>
      <c r="L42" s="6"/>
      <c r="M42" s="6"/>
      <c r="N42" s="6"/>
      <c r="O42" s="6"/>
      <c r="P42" s="6"/>
      <c r="Q42" s="6"/>
      <c r="R42" s="6"/>
      <c r="S42" s="1"/>
    </row>
    <row r="43" spans="1:19" ht="15.75" x14ac:dyDescent="0.25">
      <c r="A43" s="286" t="s">
        <v>22</v>
      </c>
      <c r="B43" s="287"/>
      <c r="C43" s="287"/>
      <c r="D43" s="287"/>
      <c r="E43" s="287"/>
      <c r="F43" s="287"/>
      <c r="G43" s="287"/>
      <c r="H43" s="288"/>
      <c r="I43" s="6"/>
      <c r="J43" s="6"/>
      <c r="K43" s="6"/>
      <c r="L43" s="6"/>
      <c r="M43" s="6"/>
      <c r="N43" s="6"/>
      <c r="O43" s="6"/>
      <c r="P43" s="6"/>
      <c r="Q43" s="6"/>
      <c r="R43" s="6"/>
      <c r="S43" s="1"/>
    </row>
    <row r="44" spans="1:19" x14ac:dyDescent="0.25">
      <c r="A44" s="294" t="s">
        <v>85</v>
      </c>
      <c r="B44" s="294"/>
      <c r="C44" s="294"/>
      <c r="D44" s="294"/>
      <c r="E44" s="294"/>
      <c r="F44" s="294"/>
      <c r="G44" s="290"/>
      <c r="H44" s="291"/>
      <c r="I44" s="5"/>
      <c r="J44" s="5"/>
      <c r="K44" s="5"/>
      <c r="L44" s="5"/>
      <c r="M44" s="5"/>
      <c r="N44" s="5"/>
      <c r="O44" s="5"/>
      <c r="P44" s="5"/>
      <c r="Q44" s="5"/>
      <c r="R44" s="5"/>
      <c r="S44" s="1"/>
    </row>
    <row r="45" spans="1:19" x14ac:dyDescent="0.25">
      <c r="A45" s="121"/>
      <c r="B45" s="122"/>
      <c r="C45" s="122"/>
      <c r="D45" s="122"/>
      <c r="E45" s="122"/>
      <c r="F45" s="123" t="s">
        <v>57</v>
      </c>
      <c r="G45" s="115">
        <f>L</f>
        <v>3.3</v>
      </c>
      <c r="H45" s="11" t="s">
        <v>15</v>
      </c>
      <c r="I45" s="6"/>
      <c r="J45" s="6"/>
      <c r="K45" s="6"/>
      <c r="L45" s="6"/>
      <c r="M45" s="6"/>
      <c r="N45" s="6"/>
      <c r="O45" s="6"/>
      <c r="P45" s="6"/>
      <c r="Q45" s="6"/>
      <c r="R45" s="6"/>
      <c r="S45" s="1"/>
    </row>
    <row r="46" spans="1:19" ht="18" x14ac:dyDescent="0.25">
      <c r="A46" s="106"/>
      <c r="B46" s="102"/>
      <c r="C46" s="102"/>
      <c r="D46" s="102"/>
      <c r="E46" s="102"/>
      <c r="F46" s="104" t="s">
        <v>87</v>
      </c>
      <c r="G46" s="110">
        <f>vout/iout_actual_max</f>
        <v>9</v>
      </c>
      <c r="H46" s="11" t="s">
        <v>88</v>
      </c>
      <c r="I46" s="6"/>
      <c r="J46" s="6"/>
      <c r="K46" s="6"/>
      <c r="L46" s="6"/>
      <c r="M46" s="6"/>
      <c r="N46" s="6"/>
      <c r="O46" s="6"/>
      <c r="P46" s="6"/>
      <c r="Q46" s="6"/>
      <c r="R46" s="6"/>
      <c r="S46" s="1"/>
    </row>
    <row r="47" spans="1:19" ht="18" x14ac:dyDescent="0.25">
      <c r="A47" s="106"/>
      <c r="B47" s="102"/>
      <c r="C47" s="102"/>
      <c r="D47" s="102"/>
      <c r="E47" s="102"/>
      <c r="F47" s="104" t="s">
        <v>90</v>
      </c>
      <c r="G47" s="94">
        <f>Cout_MLCC+Cout_elec</f>
        <v>160</v>
      </c>
      <c r="H47" s="11" t="s">
        <v>18</v>
      </c>
      <c r="I47" s="6"/>
      <c r="J47" s="6"/>
      <c r="K47" s="6"/>
      <c r="L47" s="6"/>
      <c r="M47" s="6"/>
      <c r="N47" s="6"/>
      <c r="O47" s="6"/>
      <c r="P47" s="6"/>
      <c r="Q47" s="6"/>
      <c r="R47" s="6"/>
      <c r="S47" s="1"/>
    </row>
    <row r="48" spans="1:19" ht="18" x14ac:dyDescent="0.25">
      <c r="A48" s="106"/>
      <c r="B48" s="102"/>
      <c r="C48" s="102"/>
      <c r="D48" s="102"/>
      <c r="E48" s="102"/>
      <c r="F48" s="104" t="s">
        <v>324</v>
      </c>
      <c r="G48" s="116">
        <f>f</f>
        <v>0.32</v>
      </c>
      <c r="H48" s="11" t="s">
        <v>10</v>
      </c>
      <c r="I48" s="6"/>
      <c r="J48" s="6"/>
      <c r="K48" s="6"/>
      <c r="L48" s="6"/>
      <c r="M48" s="6"/>
      <c r="N48" s="6"/>
      <c r="O48" s="6"/>
      <c r="P48" s="6"/>
      <c r="Q48" s="6"/>
      <c r="R48" s="6"/>
      <c r="S48" s="1"/>
    </row>
    <row r="49" spans="1:19" x14ac:dyDescent="0.25">
      <c r="A49" s="106"/>
      <c r="B49" s="102"/>
      <c r="C49" s="102"/>
      <c r="D49" s="102"/>
      <c r="E49" s="102"/>
      <c r="F49" s="104" t="s">
        <v>92</v>
      </c>
      <c r="G49" s="95">
        <f>duty_max</f>
        <v>0.85</v>
      </c>
      <c r="H49" s="12" t="s">
        <v>12</v>
      </c>
      <c r="I49" s="6"/>
      <c r="J49" s="6"/>
      <c r="K49" s="6"/>
      <c r="L49" s="6"/>
      <c r="M49" s="6"/>
      <c r="N49" s="6"/>
      <c r="O49" s="6"/>
      <c r="P49" s="6"/>
      <c r="Q49" s="6"/>
      <c r="R49" s="6"/>
      <c r="S49" s="1"/>
    </row>
    <row r="50" spans="1:19" ht="18" x14ac:dyDescent="0.25">
      <c r="A50" s="107"/>
      <c r="B50" s="103"/>
      <c r="C50" s="103"/>
      <c r="D50" s="103"/>
      <c r="E50" s="103"/>
      <c r="F50" s="152" t="s">
        <v>325</v>
      </c>
      <c r="G50" s="94">
        <f>(2*L*Rout*(1-D)*f)/(4*L*f+Rout*(1-D)^3)</f>
        <v>0.67018069634200106</v>
      </c>
      <c r="H50" s="11" t="s">
        <v>88</v>
      </c>
      <c r="I50" s="6"/>
      <c r="J50" s="6"/>
      <c r="K50" s="6"/>
      <c r="L50" s="6"/>
      <c r="M50" s="6"/>
      <c r="N50" s="6"/>
      <c r="O50" s="6"/>
      <c r="P50" s="6"/>
      <c r="Q50" s="6"/>
      <c r="R50" s="6"/>
      <c r="S50" s="1"/>
    </row>
    <row r="51" spans="1:19" ht="18" x14ac:dyDescent="0.25">
      <c r="A51" s="107"/>
      <c r="B51" s="103"/>
      <c r="C51" s="103"/>
      <c r="D51" s="103"/>
      <c r="E51" s="103"/>
      <c r="F51" s="152" t="s">
        <v>326</v>
      </c>
      <c r="G51" s="94">
        <f>(1-D)^2*Rout/L*1000/(2*PI())</f>
        <v>9.7663260533663081</v>
      </c>
      <c r="H51" s="11" t="s">
        <v>23</v>
      </c>
      <c r="I51" s="6"/>
      <c r="J51" s="6"/>
      <c r="K51" s="6"/>
      <c r="L51" s="6"/>
      <c r="M51" s="6"/>
      <c r="N51" s="6"/>
      <c r="O51" s="6"/>
      <c r="P51" s="6"/>
      <c r="Q51" s="6"/>
      <c r="R51" s="6"/>
      <c r="S51" s="1"/>
    </row>
    <row r="52" spans="1:19" ht="18" x14ac:dyDescent="0.25">
      <c r="A52" s="107"/>
      <c r="B52" s="103"/>
      <c r="C52" s="103"/>
      <c r="D52" s="103"/>
      <c r="E52" s="103"/>
      <c r="F52" s="152" t="s">
        <v>327</v>
      </c>
      <c r="G52" s="94">
        <f>(4*L*f + Rout*(1-D)^3)/(L*0.000001*(3*D-1)+2*Cout*0.000001*L*Rout*f)/2/PI()</f>
        <v>222.26428648175383</v>
      </c>
      <c r="H52" s="11" t="s">
        <v>94</v>
      </c>
      <c r="I52" s="6"/>
      <c r="J52" s="6"/>
      <c r="K52" s="6"/>
      <c r="L52" s="6"/>
      <c r="M52" s="6"/>
      <c r="N52" s="6"/>
      <c r="O52" s="6"/>
      <c r="P52" s="6"/>
      <c r="Q52" s="6"/>
      <c r="R52" s="6"/>
      <c r="S52" s="1"/>
    </row>
    <row r="53" spans="1:19" ht="18" x14ac:dyDescent="0.25">
      <c r="A53" s="149"/>
      <c r="B53" s="150"/>
      <c r="C53" s="150"/>
      <c r="D53" s="150"/>
      <c r="E53" s="150"/>
      <c r="F53" s="153" t="s">
        <v>328</v>
      </c>
      <c r="G53" s="94">
        <f>(L*(3*D-1)+2*Cout*L*Rout*f)/(Cout*L*Rout*D)/2/PI()*1000</f>
        <v>120.03585434255163</v>
      </c>
      <c r="H53" s="11" t="s">
        <v>23</v>
      </c>
      <c r="I53" s="6"/>
      <c r="J53" s="6"/>
      <c r="K53" s="6"/>
      <c r="L53" s="6"/>
      <c r="M53" s="6"/>
      <c r="N53" s="6"/>
      <c r="O53" s="6"/>
      <c r="P53" s="6"/>
      <c r="Q53" s="6"/>
      <c r="R53" s="6"/>
      <c r="S53" s="1"/>
    </row>
    <row r="54" spans="1:19" x14ac:dyDescent="0.25">
      <c r="A54" s="289" t="s">
        <v>95</v>
      </c>
      <c r="B54" s="290"/>
      <c r="C54" s="290"/>
      <c r="D54" s="290"/>
      <c r="E54" s="290"/>
      <c r="F54" s="290"/>
      <c r="G54" s="290"/>
      <c r="H54" s="291"/>
      <c r="I54" s="5"/>
      <c r="J54" s="5"/>
      <c r="K54" s="5"/>
      <c r="L54" s="5"/>
      <c r="M54" s="5"/>
      <c r="N54" s="5"/>
      <c r="O54" s="5"/>
      <c r="P54" s="5"/>
      <c r="Q54" s="5"/>
      <c r="R54" s="5"/>
      <c r="S54" s="1"/>
    </row>
    <row r="55" spans="1:19" ht="18" x14ac:dyDescent="0.25">
      <c r="A55" s="130"/>
      <c r="B55" s="131"/>
      <c r="C55" s="131"/>
      <c r="D55" s="131"/>
      <c r="E55" s="131"/>
      <c r="F55" s="132" t="s">
        <v>31</v>
      </c>
      <c r="G55" s="94">
        <f>vout</f>
        <v>18</v>
      </c>
      <c r="H55" s="11" t="s">
        <v>7</v>
      </c>
      <c r="I55" s="6"/>
      <c r="J55" s="6"/>
      <c r="K55" s="6"/>
      <c r="L55" s="6"/>
      <c r="M55" s="6"/>
      <c r="N55" s="6"/>
      <c r="O55" s="6"/>
      <c r="P55" s="6"/>
      <c r="Q55" s="6"/>
      <c r="R55" s="6"/>
      <c r="S55" s="1"/>
    </row>
    <row r="56" spans="1:19" ht="18" x14ac:dyDescent="0.25">
      <c r="A56" s="133"/>
      <c r="B56" s="119"/>
      <c r="C56" s="119"/>
      <c r="D56" s="119"/>
      <c r="E56" s="119"/>
      <c r="F56" s="134" t="s">
        <v>96</v>
      </c>
      <c r="G56" s="94">
        <v>1</v>
      </c>
      <c r="H56" s="11" t="s">
        <v>7</v>
      </c>
      <c r="I56" s="6"/>
      <c r="J56" s="6"/>
      <c r="K56" s="6"/>
      <c r="L56" s="6"/>
      <c r="M56" s="6"/>
      <c r="N56" s="6"/>
      <c r="O56" s="6"/>
      <c r="P56" s="6"/>
      <c r="Q56" s="6"/>
      <c r="R56" s="6"/>
      <c r="S56" s="1"/>
    </row>
    <row r="57" spans="1:19" ht="18" x14ac:dyDescent="0.25">
      <c r="A57" s="133"/>
      <c r="B57" s="119"/>
      <c r="C57" s="119"/>
      <c r="D57" s="119"/>
      <c r="E57" s="119"/>
      <c r="F57" s="134" t="s">
        <v>97</v>
      </c>
      <c r="G57" s="110">
        <v>180</v>
      </c>
      <c r="H57" s="11" t="s">
        <v>110</v>
      </c>
      <c r="I57" s="6"/>
      <c r="J57" s="6"/>
      <c r="K57" s="6"/>
      <c r="L57" s="6"/>
      <c r="M57" s="6"/>
      <c r="N57" s="6"/>
      <c r="O57" s="6"/>
      <c r="P57" s="6"/>
      <c r="Q57" s="6"/>
      <c r="R57" s="6"/>
      <c r="S57" s="1"/>
    </row>
    <row r="58" spans="1:19" ht="18" x14ac:dyDescent="0.25">
      <c r="A58" s="133"/>
      <c r="B58" s="119"/>
      <c r="C58" s="119"/>
      <c r="D58" s="119"/>
      <c r="E58" s="119"/>
      <c r="F58" s="134" t="s">
        <v>98</v>
      </c>
      <c r="G58" s="110">
        <v>100</v>
      </c>
      <c r="H58" s="11" t="s">
        <v>109</v>
      </c>
      <c r="I58" s="6"/>
      <c r="J58" s="6"/>
      <c r="K58" s="6"/>
      <c r="L58" s="6"/>
      <c r="M58" s="6"/>
      <c r="N58" s="6"/>
      <c r="O58" s="6"/>
      <c r="P58" s="6"/>
      <c r="Q58" s="6"/>
      <c r="R58" s="6"/>
      <c r="S58" s="1"/>
    </row>
    <row r="59" spans="1:19" ht="18" x14ac:dyDescent="0.25">
      <c r="A59" s="133"/>
      <c r="B59" s="119"/>
      <c r="C59" s="119"/>
      <c r="D59" s="141"/>
      <c r="E59" s="141"/>
      <c r="F59" s="142" t="s">
        <v>302</v>
      </c>
      <c r="G59" s="145">
        <v>0.05</v>
      </c>
      <c r="H59" s="146" t="s">
        <v>88</v>
      </c>
      <c r="I59" s="6"/>
      <c r="J59" s="6"/>
      <c r="K59" s="6"/>
      <c r="L59" s="6"/>
      <c r="M59" s="6"/>
      <c r="N59" s="6"/>
      <c r="O59" s="6"/>
      <c r="P59" s="6"/>
      <c r="Q59" s="6"/>
      <c r="R59" s="6"/>
      <c r="S59" s="1"/>
    </row>
    <row r="60" spans="1:19" ht="18" x14ac:dyDescent="0.25">
      <c r="A60" s="107"/>
      <c r="B60" s="103"/>
      <c r="C60" s="103"/>
      <c r="D60" s="143"/>
      <c r="E60" s="143"/>
      <c r="F60" s="156" t="s">
        <v>332</v>
      </c>
      <c r="G60" s="73">
        <f>G_EA*R_EA*vref/(vout*Rsense)</f>
        <v>20000</v>
      </c>
      <c r="H60" s="11" t="s">
        <v>113</v>
      </c>
      <c r="I60" s="6"/>
      <c r="J60" s="6"/>
      <c r="K60" s="6"/>
      <c r="L60" s="6"/>
      <c r="M60" s="6"/>
      <c r="N60" s="6"/>
      <c r="O60" s="6"/>
      <c r="P60" s="6"/>
      <c r="Q60" s="6"/>
      <c r="R60" s="6"/>
      <c r="S60" s="1"/>
    </row>
    <row r="61" spans="1:19" ht="18" x14ac:dyDescent="0.25">
      <c r="A61" s="107"/>
      <c r="B61" s="103"/>
      <c r="C61" s="103"/>
      <c r="D61" s="103"/>
      <c r="E61" s="103"/>
      <c r="F61" s="152" t="s">
        <v>333</v>
      </c>
      <c r="G61" s="118">
        <f>1/(R_EA*C_c)/2/PI()*1000</f>
        <v>7.2343155950861507E-2</v>
      </c>
      <c r="H61" s="11" t="s">
        <v>94</v>
      </c>
      <c r="I61" s="6"/>
      <c r="J61" s="6"/>
      <c r="K61" s="6"/>
      <c r="L61" s="6"/>
      <c r="M61" s="6"/>
      <c r="N61" s="6"/>
      <c r="O61" s="6"/>
      <c r="P61" s="6"/>
      <c r="Q61" s="6"/>
      <c r="R61" s="6"/>
      <c r="S61" s="1"/>
    </row>
    <row r="62" spans="1:19" ht="18" x14ac:dyDescent="0.25">
      <c r="A62" s="107"/>
      <c r="B62" s="103"/>
      <c r="C62" s="103"/>
      <c r="D62" s="103"/>
      <c r="E62" s="103"/>
      <c r="F62" s="152" t="s">
        <v>334</v>
      </c>
      <c r="G62" s="94">
        <f>1/(R_c*C_c)/2/PI()*1000000</f>
        <v>144.68631190172303</v>
      </c>
      <c r="H62" s="11" t="s">
        <v>94</v>
      </c>
      <c r="I62" s="6"/>
      <c r="J62" s="6"/>
      <c r="K62" s="6"/>
      <c r="L62" s="6"/>
      <c r="M62" s="6"/>
      <c r="N62" s="6"/>
      <c r="O62" s="6"/>
      <c r="P62" s="6"/>
      <c r="Q62" s="6"/>
      <c r="R62" s="6"/>
      <c r="S62" s="1"/>
    </row>
    <row r="63" spans="1:19" ht="18" x14ac:dyDescent="0.25">
      <c r="A63" s="127"/>
      <c r="B63" s="128"/>
      <c r="C63" s="128"/>
      <c r="D63" s="128"/>
      <c r="E63" s="128"/>
      <c r="F63" s="157" t="s">
        <v>335</v>
      </c>
      <c r="G63" s="94">
        <f>IF(C_p="","",1/(R_c*C_p)/2/PI()*1000000)</f>
        <v>31.830988618379067</v>
      </c>
      <c r="H63" s="11" t="s">
        <v>23</v>
      </c>
      <c r="I63" s="6"/>
      <c r="J63" s="6"/>
      <c r="K63" s="6"/>
      <c r="L63" s="6"/>
      <c r="M63" s="6"/>
      <c r="N63" s="6"/>
      <c r="O63" s="6"/>
      <c r="P63" s="6"/>
      <c r="Q63" s="6"/>
      <c r="R63" s="6"/>
      <c r="S63" s="1"/>
    </row>
    <row r="64" spans="1:19" x14ac:dyDescent="0.25">
      <c r="A64" s="298" t="s">
        <v>114</v>
      </c>
      <c r="B64" s="298"/>
      <c r="C64" s="298"/>
      <c r="D64" s="298"/>
      <c r="E64" s="298"/>
      <c r="F64" s="298"/>
      <c r="G64" s="290"/>
      <c r="H64" s="291"/>
      <c r="I64" s="5"/>
      <c r="J64" s="5"/>
      <c r="K64" s="5"/>
      <c r="L64" s="5"/>
      <c r="M64" s="5"/>
      <c r="N64" s="5"/>
      <c r="O64" s="5"/>
      <c r="P64" s="5"/>
      <c r="Q64" s="5"/>
      <c r="R64" s="5"/>
      <c r="S64" s="1"/>
    </row>
    <row r="65" spans="1:19" ht="18" x14ac:dyDescent="0.25">
      <c r="A65" s="121"/>
      <c r="B65" s="122"/>
      <c r="C65" s="122"/>
      <c r="D65" s="122"/>
      <c r="E65" s="122"/>
      <c r="F65" s="123" t="s">
        <v>69</v>
      </c>
      <c r="G65" s="115">
        <f>Cout_MLCC</f>
        <v>60</v>
      </c>
      <c r="H65" s="11" t="s">
        <v>18</v>
      </c>
      <c r="I65" s="6"/>
      <c r="J65" s="6"/>
      <c r="K65" s="6"/>
      <c r="L65" s="6"/>
      <c r="M65" s="6"/>
      <c r="N65" s="6"/>
      <c r="O65" s="6"/>
      <c r="P65" s="6"/>
      <c r="Q65" s="6"/>
      <c r="R65" s="6"/>
      <c r="S65" s="1"/>
    </row>
    <row r="66" spans="1:19" ht="18" x14ac:dyDescent="0.25">
      <c r="A66" s="106"/>
      <c r="B66" s="102"/>
      <c r="C66" s="102"/>
      <c r="D66" s="102"/>
      <c r="E66" s="102"/>
      <c r="F66" s="104" t="s">
        <v>68</v>
      </c>
      <c r="G66" s="115">
        <f>Resr_MLCC</f>
        <v>1</v>
      </c>
      <c r="H66" s="11" t="s">
        <v>16</v>
      </c>
      <c r="I66" s="6"/>
      <c r="J66" s="6"/>
      <c r="K66" s="6"/>
      <c r="L66" s="6"/>
      <c r="M66" s="6"/>
      <c r="N66" s="6"/>
      <c r="O66" s="6"/>
      <c r="P66" s="6"/>
      <c r="Q66" s="6"/>
      <c r="R66" s="6"/>
      <c r="S66" s="1"/>
    </row>
    <row r="67" spans="1:19" ht="18" x14ac:dyDescent="0.25">
      <c r="A67" s="106"/>
      <c r="B67" s="102"/>
      <c r="C67" s="102"/>
      <c r="D67" s="102"/>
      <c r="E67" s="102"/>
      <c r="F67" s="104" t="s">
        <v>75</v>
      </c>
      <c r="G67" s="115">
        <f>Cout_elec</f>
        <v>100</v>
      </c>
      <c r="H67" s="11" t="s">
        <v>18</v>
      </c>
      <c r="I67" s="6"/>
      <c r="J67" s="6"/>
      <c r="K67" s="6"/>
      <c r="L67" s="6"/>
      <c r="M67" s="6"/>
      <c r="N67" s="6"/>
      <c r="O67" s="6"/>
      <c r="P67" s="6"/>
      <c r="Q67" s="6"/>
      <c r="R67" s="6"/>
      <c r="S67" s="1"/>
    </row>
    <row r="68" spans="1:19" ht="18" x14ac:dyDescent="0.25">
      <c r="A68" s="106"/>
      <c r="B68" s="102"/>
      <c r="C68" s="102"/>
      <c r="D68" s="102"/>
      <c r="E68" s="102"/>
      <c r="F68" s="104" t="s">
        <v>76</v>
      </c>
      <c r="G68" s="115">
        <f>Resr_elec</f>
        <v>40</v>
      </c>
      <c r="H68" s="11" t="s">
        <v>16</v>
      </c>
      <c r="N68" s="224"/>
      <c r="S68" s="1"/>
    </row>
    <row r="69" spans="1:19" ht="18" x14ac:dyDescent="0.25">
      <c r="A69" s="107"/>
      <c r="B69" s="103"/>
      <c r="C69" s="103"/>
      <c r="D69" s="103"/>
      <c r="E69" s="103"/>
      <c r="F69" s="152" t="s">
        <v>336</v>
      </c>
      <c r="G69" s="94">
        <f>IF(Cout_elec="","",1/(Resr_elec*Cout_elec)/2/PI()*1000000)</f>
        <v>39.788735772973837</v>
      </c>
      <c r="H69" s="11" t="s">
        <v>23</v>
      </c>
      <c r="I69" s="6"/>
      <c r="J69" s="6"/>
      <c r="K69" s="6"/>
      <c r="L69" s="6"/>
      <c r="M69" s="6"/>
      <c r="N69" s="6"/>
      <c r="O69" s="6"/>
      <c r="P69" s="6"/>
      <c r="Q69" s="6"/>
      <c r="R69" s="6"/>
      <c r="S69" s="1"/>
    </row>
    <row r="70" spans="1:19" ht="18" x14ac:dyDescent="0.25">
      <c r="A70" s="107"/>
      <c r="B70" s="103"/>
      <c r="C70" s="103"/>
      <c r="D70" s="103"/>
      <c r="E70" s="103"/>
      <c r="F70" s="152" t="s">
        <v>337</v>
      </c>
      <c r="G70" s="94">
        <f>1/(Resr_MLCC*Cout_MLCC)/2/PI()*1000000</f>
        <v>2652.582384864922</v>
      </c>
      <c r="H70" s="11" t="s">
        <v>23</v>
      </c>
      <c r="I70" s="6"/>
      <c r="J70" s="6"/>
      <c r="K70" s="6"/>
      <c r="L70" s="6"/>
      <c r="M70" s="6"/>
      <c r="N70" s="6"/>
      <c r="O70" s="6"/>
      <c r="P70" s="6"/>
      <c r="Q70" s="6"/>
      <c r="R70" s="6"/>
      <c r="S70" s="1"/>
    </row>
    <row r="71" spans="1:19" ht="18" x14ac:dyDescent="0.25">
      <c r="A71" s="127"/>
      <c r="B71" s="128"/>
      <c r="C71" s="128"/>
      <c r="D71" s="128"/>
      <c r="E71" s="128"/>
      <c r="F71" s="157" t="s">
        <v>338</v>
      </c>
      <c r="G71" s="94">
        <f>IF(Resr_elec="","",1/(Resr_elec*Cout_MLCC)/2/PI()*1000000)</f>
        <v>66.314559621623062</v>
      </c>
      <c r="H71" s="11" t="s">
        <v>23</v>
      </c>
      <c r="I71" s="6"/>
      <c r="J71" s="6"/>
      <c r="K71" s="6"/>
      <c r="L71" s="6"/>
      <c r="M71" s="6"/>
      <c r="N71" s="6"/>
      <c r="O71" s="6"/>
      <c r="P71" s="6"/>
      <c r="Q71" s="6"/>
      <c r="R71" s="6"/>
      <c r="S71" s="1"/>
    </row>
    <row r="72" spans="1:19" x14ac:dyDescent="0.25">
      <c r="A72" s="298" t="s">
        <v>115</v>
      </c>
      <c r="B72" s="298"/>
      <c r="C72" s="298"/>
      <c r="D72" s="298"/>
      <c r="E72" s="298"/>
      <c r="F72" s="298"/>
      <c r="G72" s="290"/>
      <c r="H72" s="291"/>
      <c r="I72" s="5"/>
      <c r="J72" s="5"/>
      <c r="K72" s="5"/>
      <c r="L72" s="5"/>
      <c r="M72" s="5"/>
      <c r="N72" s="5"/>
      <c r="O72" s="5"/>
      <c r="P72" s="5"/>
      <c r="Q72" s="5"/>
      <c r="R72" s="5"/>
      <c r="S72" s="1"/>
    </row>
    <row r="73" spans="1:19" ht="18" x14ac:dyDescent="0.25">
      <c r="A73" s="121"/>
      <c r="B73" s="122"/>
      <c r="C73" s="122"/>
      <c r="D73" s="122"/>
      <c r="E73" s="123"/>
      <c r="F73" s="136" t="s">
        <v>400</v>
      </c>
      <c r="G73" s="94">
        <f>R_FB*(vout-vref)/vref</f>
        <v>243.10000000000002</v>
      </c>
      <c r="H73" s="11" t="s">
        <v>11</v>
      </c>
      <c r="I73" s="6"/>
      <c r="J73" s="6"/>
      <c r="K73" s="6"/>
      <c r="L73" s="6"/>
      <c r="M73" s="6"/>
      <c r="N73" s="6"/>
      <c r="O73" s="6"/>
      <c r="P73" s="6"/>
      <c r="Q73" s="6"/>
      <c r="R73" s="6"/>
      <c r="S73" s="1"/>
    </row>
    <row r="74" spans="1:19" ht="18" x14ac:dyDescent="0.25">
      <c r="A74" s="106"/>
      <c r="B74" s="102"/>
      <c r="C74" s="102"/>
      <c r="D74" s="102"/>
      <c r="E74" s="104"/>
      <c r="F74" s="137" t="s">
        <v>407</v>
      </c>
      <c r="G74" s="117">
        <v>14.3</v>
      </c>
      <c r="H74" s="11" t="s">
        <v>11</v>
      </c>
      <c r="I74" s="6"/>
      <c r="J74" s="6"/>
      <c r="K74" s="6"/>
      <c r="L74" s="6"/>
      <c r="M74" s="6"/>
      <c r="N74" s="6"/>
      <c r="O74" s="6"/>
      <c r="P74" s="6"/>
      <c r="Q74" s="6"/>
      <c r="R74" s="6"/>
      <c r="S74" s="1"/>
    </row>
    <row r="75" spans="1:19" ht="18" x14ac:dyDescent="0.25">
      <c r="A75" s="106"/>
      <c r="B75" s="102"/>
      <c r="C75" s="102"/>
      <c r="D75" s="102"/>
      <c r="E75" s="104"/>
      <c r="F75" s="137" t="s">
        <v>125</v>
      </c>
      <c r="G75" s="117"/>
      <c r="H75" s="11" t="s">
        <v>25</v>
      </c>
      <c r="I75" s="6"/>
      <c r="J75" s="6"/>
      <c r="K75" s="6"/>
      <c r="L75" s="6"/>
      <c r="M75" s="6"/>
      <c r="N75" s="6"/>
      <c r="O75" s="6"/>
      <c r="P75" s="6"/>
      <c r="Q75" s="6"/>
      <c r="R75" s="225"/>
      <c r="S75" s="1"/>
    </row>
    <row r="76" spans="1:19" ht="15.4" customHeight="1" x14ac:dyDescent="0.25">
      <c r="A76" s="107"/>
      <c r="B76" s="103"/>
      <c r="C76" s="103"/>
      <c r="D76" s="103"/>
      <c r="E76" s="105"/>
      <c r="F76" s="158" t="s">
        <v>339</v>
      </c>
      <c r="G76" s="94" t="str">
        <f>IF(C_ff="","",1/(2*PI()*R_FT*C_ff)*1000000)</f>
        <v/>
      </c>
      <c r="H76" s="11" t="s">
        <v>23</v>
      </c>
      <c r="L76" s="196"/>
      <c r="M76" s="224"/>
      <c r="N76" s="224"/>
      <c r="Q76" s="226"/>
      <c r="S76" s="1"/>
    </row>
    <row r="77" spans="1:19" ht="18.95" customHeight="1" x14ac:dyDescent="0.25">
      <c r="A77" s="127"/>
      <c r="B77" s="128"/>
      <c r="C77" s="128"/>
      <c r="D77" s="128"/>
      <c r="E77" s="129"/>
      <c r="F77" s="159" t="s">
        <v>340</v>
      </c>
      <c r="G77" s="94" t="str">
        <f>IF(C_ff="","",1/(2*PI()*R_FT*R_FB/(R_FT+R_FB)*C_ff)*1000000)</f>
        <v/>
      </c>
      <c r="H77" s="11" t="s">
        <v>23</v>
      </c>
      <c r="I77" s="6"/>
      <c r="J77" s="6"/>
      <c r="K77" s="6"/>
      <c r="L77" s="6"/>
      <c r="M77" s="6"/>
      <c r="N77" s="6"/>
      <c r="O77" s="6"/>
      <c r="P77" s="6"/>
      <c r="Q77" s="6"/>
      <c r="R77" s="6"/>
      <c r="S77" s="1"/>
    </row>
    <row r="78" spans="1:19" ht="18.95" customHeight="1" x14ac:dyDescent="0.25">
      <c r="A78" s="295" t="s">
        <v>344</v>
      </c>
      <c r="B78" s="295"/>
      <c r="C78" s="295"/>
      <c r="D78" s="295"/>
      <c r="E78" s="295"/>
      <c r="F78" s="295"/>
      <c r="G78" s="296"/>
      <c r="H78" s="297"/>
      <c r="I78" s="5"/>
      <c r="J78" s="5"/>
      <c r="K78" s="5"/>
      <c r="L78" s="5"/>
      <c r="M78" s="5"/>
      <c r="N78" s="5"/>
      <c r="O78" s="5"/>
      <c r="P78" s="5"/>
      <c r="Q78" s="5"/>
      <c r="R78" s="5"/>
      <c r="S78" s="1"/>
    </row>
    <row r="79" spans="1:19" ht="18" x14ac:dyDescent="0.25">
      <c r="A79" s="19"/>
      <c r="B79" s="19"/>
      <c r="C79" s="19"/>
      <c r="D79" s="19"/>
      <c r="E79" s="19"/>
      <c r="F79" s="19" t="s">
        <v>459</v>
      </c>
      <c r="G79" s="155">
        <f>IF(f*1000/10 &lt; z_RHP/5, f*1000/10, z_RHP/5)</f>
        <v>1.9532652106732615</v>
      </c>
      <c r="H79" s="151" t="s">
        <v>23</v>
      </c>
      <c r="I79" s="6"/>
      <c r="J79" s="6"/>
      <c r="K79" s="6"/>
      <c r="L79" s="6"/>
      <c r="M79" s="6"/>
      <c r="N79" s="6"/>
      <c r="O79" s="6"/>
      <c r="P79" s="172"/>
      <c r="Q79" s="224"/>
      <c r="R79" s="6"/>
      <c r="S79" s="1"/>
    </row>
    <row r="80" spans="1:19" ht="18" x14ac:dyDescent="0.25">
      <c r="A80" s="235"/>
      <c r="B80" s="235"/>
      <c r="C80" s="235"/>
      <c r="D80" s="235"/>
      <c r="E80" s="235"/>
      <c r="F80" s="236" t="s">
        <v>460</v>
      </c>
      <c r="G80" s="332">
        <v>1.5</v>
      </c>
      <c r="H80" s="11" t="s">
        <v>23</v>
      </c>
      <c r="I80" s="6"/>
      <c r="J80" s="6"/>
      <c r="K80" s="6"/>
      <c r="L80" s="6"/>
      <c r="M80" s="6"/>
      <c r="N80" s="6"/>
      <c r="O80" s="233"/>
      <c r="P80" s="234"/>
      <c r="Q80" s="6"/>
      <c r="R80" s="6"/>
      <c r="S80" s="1"/>
    </row>
    <row r="81" spans="1:19" ht="15.75" x14ac:dyDescent="0.25">
      <c r="A81" s="19"/>
      <c r="B81" s="19"/>
      <c r="C81" s="19"/>
      <c r="D81" s="19"/>
      <c r="E81" s="19"/>
      <c r="F81" s="154"/>
      <c r="G81" s="248"/>
      <c r="H81" s="11"/>
      <c r="I81" s="6"/>
      <c r="J81" s="6"/>
      <c r="K81" s="6"/>
      <c r="L81" s="6"/>
      <c r="M81" s="6"/>
      <c r="N81" s="6"/>
      <c r="O81" s="6"/>
      <c r="P81" s="227"/>
      <c r="Q81" s="6"/>
      <c r="R81" s="6"/>
      <c r="S81" s="1"/>
    </row>
    <row r="82" spans="1:19" ht="18.95" customHeight="1" x14ac:dyDescent="0.25">
      <c r="A82" s="133"/>
      <c r="B82" s="119"/>
      <c r="C82" s="140"/>
      <c r="D82" s="144"/>
      <c r="E82" s="147" t="s">
        <v>405</v>
      </c>
      <c r="G82" s="229" t="s">
        <v>406</v>
      </c>
      <c r="H82" s="250"/>
      <c r="I82" s="6"/>
      <c r="J82" s="6"/>
      <c r="K82" s="6"/>
      <c r="L82" s="6"/>
      <c r="M82" s="6"/>
      <c r="N82" s="6"/>
      <c r="O82" s="6"/>
      <c r="P82" s="6"/>
      <c r="Q82" s="6"/>
      <c r="R82" s="6"/>
      <c r="S82" s="1"/>
    </row>
    <row r="83" spans="1:19" ht="18.95" customHeight="1" x14ac:dyDescent="0.25">
      <c r="A83" s="135"/>
      <c r="B83" s="119"/>
      <c r="C83" s="140"/>
      <c r="D83" s="19" t="s">
        <v>329</v>
      </c>
      <c r="E83" s="268">
        <f>6.28*vout*Cout*fc_set/(1-D)/1/G_EA*Rsense</f>
        <v>50.24</v>
      </c>
      <c r="F83" s="11" t="s">
        <v>11</v>
      </c>
      <c r="G83" s="148">
        <v>50</v>
      </c>
      <c r="H83" s="11" t="s">
        <v>11</v>
      </c>
      <c r="I83" s="6"/>
      <c r="J83" s="6"/>
      <c r="K83" s="6"/>
      <c r="L83" s="6"/>
      <c r="M83" s="6"/>
      <c r="N83" s="6"/>
      <c r="O83" s="6"/>
      <c r="P83" s="6"/>
      <c r="Q83" s="6"/>
      <c r="R83" s="6"/>
      <c r="S83" s="1"/>
    </row>
    <row r="84" spans="1:19" ht="18.95" customHeight="1" x14ac:dyDescent="0.25">
      <c r="A84" s="135"/>
      <c r="B84" s="119"/>
      <c r="C84" s="140"/>
      <c r="D84" s="19" t="s">
        <v>330</v>
      </c>
      <c r="E84" s="268">
        <f>Rout*Cout/2/R_c</f>
        <v>14.4</v>
      </c>
      <c r="F84" s="11" t="s">
        <v>24</v>
      </c>
      <c r="G84" s="117">
        <v>22</v>
      </c>
      <c r="H84" s="11" t="s">
        <v>24</v>
      </c>
      <c r="I84" s="6"/>
      <c r="J84" s="6"/>
      <c r="K84" s="6"/>
      <c r="L84" s="6"/>
      <c r="M84" s="6"/>
      <c r="N84" s="6"/>
      <c r="O84" s="6"/>
      <c r="P84" s="6"/>
      <c r="Q84" s="6"/>
      <c r="R84" s="6"/>
      <c r="S84" s="1"/>
    </row>
    <row r="85" spans="1:19" ht="15.95" customHeight="1" x14ac:dyDescent="0.25">
      <c r="A85" s="135"/>
      <c r="B85" s="119"/>
      <c r="C85" s="140"/>
      <c r="D85" s="19" t="s">
        <v>331</v>
      </c>
      <c r="E85" s="268">
        <f>Resr_elec*Cout/R_c</f>
        <v>128</v>
      </c>
      <c r="F85" s="11" t="s">
        <v>25</v>
      </c>
      <c r="G85" s="117">
        <v>100</v>
      </c>
      <c r="H85" s="11" t="s">
        <v>25</v>
      </c>
      <c r="J85" s="120"/>
      <c r="K85" s="120"/>
      <c r="L85" s="120"/>
      <c r="M85" s="120"/>
      <c r="N85" s="120"/>
      <c r="O85" s="120"/>
      <c r="P85" s="120"/>
      <c r="Q85" s="120"/>
      <c r="R85" s="120"/>
      <c r="S85" s="1"/>
    </row>
    <row r="86" spans="1:19" ht="15.95" customHeight="1" x14ac:dyDescent="0.25">
      <c r="A86" s="221"/>
      <c r="B86" s="222"/>
      <c r="C86" s="223"/>
      <c r="D86" s="19"/>
      <c r="E86" s="228"/>
      <c r="F86" s="230"/>
      <c r="G86" s="231"/>
      <c r="H86" s="232"/>
      <c r="I86" s="170"/>
      <c r="J86" s="120"/>
      <c r="K86" s="171"/>
      <c r="L86" s="120"/>
      <c r="M86" s="120"/>
      <c r="N86" s="120"/>
      <c r="O86" s="120"/>
      <c r="P86" s="120"/>
      <c r="Q86" s="120"/>
      <c r="R86" s="120"/>
      <c r="S86" s="1"/>
    </row>
    <row r="87" spans="1:19" ht="15.95" customHeight="1" x14ac:dyDescent="0.25">
      <c r="A87" s="107"/>
      <c r="B87" s="103"/>
      <c r="C87" s="103"/>
      <c r="D87" s="103"/>
      <c r="E87" s="105"/>
      <c r="F87" s="138" t="s">
        <v>117</v>
      </c>
      <c r="G87" s="94">
        <f>fc</f>
        <v>1.4963348183022087</v>
      </c>
      <c r="H87" s="11" t="s">
        <v>23</v>
      </c>
      <c r="I87" s="6"/>
      <c r="J87" s="6"/>
      <c r="K87" s="6"/>
      <c r="L87" s="6"/>
      <c r="M87" s="6"/>
      <c r="N87" s="6"/>
      <c r="O87" s="6"/>
      <c r="P87" s="6"/>
      <c r="Q87" s="6"/>
      <c r="R87" s="6"/>
      <c r="S87" s="1"/>
    </row>
    <row r="88" spans="1:19" ht="15.95" customHeight="1" x14ac:dyDescent="0.25">
      <c r="A88" s="107"/>
      <c r="B88" s="103"/>
      <c r="C88" s="103"/>
      <c r="D88" s="103"/>
      <c r="E88" s="105"/>
      <c r="F88" s="138" t="s">
        <v>118</v>
      </c>
      <c r="G88" s="110">
        <f>PM</f>
        <v>81.70610467695542</v>
      </c>
      <c r="H88" s="74" t="s">
        <v>169</v>
      </c>
      <c r="I88" s="6"/>
      <c r="J88" s="6"/>
      <c r="K88" s="6"/>
      <c r="L88" s="6"/>
      <c r="M88" s="6"/>
      <c r="N88" s="6"/>
      <c r="O88" s="6"/>
      <c r="R88" s="6"/>
      <c r="S88" s="1"/>
    </row>
    <row r="89" spans="1:19" ht="15.95" customHeight="1" x14ac:dyDescent="0.25">
      <c r="A89" s="127"/>
      <c r="B89" s="128"/>
      <c r="C89" s="128"/>
      <c r="D89" s="128"/>
      <c r="E89" s="129"/>
      <c r="F89" s="139" t="s">
        <v>119</v>
      </c>
      <c r="G89" s="94">
        <f>GM</f>
        <v>-16.051470143018729</v>
      </c>
      <c r="H89" s="7" t="s">
        <v>26</v>
      </c>
      <c r="I89" s="6"/>
      <c r="J89" s="6"/>
      <c r="K89" s="6"/>
      <c r="L89" s="6"/>
      <c r="M89" s="6"/>
      <c r="N89" s="6"/>
      <c r="O89" s="6"/>
      <c r="P89" s="6"/>
      <c r="Q89" s="6"/>
      <c r="R89" s="6"/>
      <c r="S89" s="1"/>
    </row>
    <row r="90" spans="1:19" ht="15" customHeight="1" x14ac:dyDescent="0.25">
      <c r="A90" s="19"/>
      <c r="B90" s="19"/>
      <c r="C90" s="19"/>
      <c r="D90" s="19"/>
      <c r="E90" s="19"/>
      <c r="F90" s="19"/>
      <c r="G90" s="20"/>
      <c r="H90" s="18"/>
      <c r="I90" s="6"/>
      <c r="J90" s="6"/>
      <c r="K90" s="6"/>
      <c r="L90" s="6"/>
      <c r="M90" s="6"/>
      <c r="N90" s="6"/>
      <c r="O90" s="6"/>
      <c r="P90" s="6"/>
      <c r="Q90" s="6"/>
      <c r="R90" s="6"/>
      <c r="S90" s="1"/>
    </row>
    <row r="91" spans="1:19" ht="15" customHeight="1" x14ac:dyDescent="0.25">
      <c r="A91" s="286" t="s">
        <v>346</v>
      </c>
      <c r="B91" s="287"/>
      <c r="C91" s="287"/>
      <c r="D91" s="287"/>
      <c r="E91" s="287"/>
      <c r="F91" s="287"/>
      <c r="G91" s="287"/>
      <c r="H91" s="288"/>
      <c r="I91" s="165"/>
      <c r="J91" s="6"/>
      <c r="K91" s="6"/>
      <c r="L91" s="6"/>
      <c r="M91" s="6"/>
      <c r="N91" s="6"/>
      <c r="O91" s="6"/>
      <c r="P91" s="6"/>
      <c r="Q91" s="6"/>
      <c r="R91" s="6"/>
      <c r="S91" s="1"/>
    </row>
    <row r="92" spans="1:19" ht="18" x14ac:dyDescent="0.35">
      <c r="A92" s="173"/>
      <c r="B92" s="165"/>
      <c r="C92" s="165"/>
      <c r="D92" s="165"/>
      <c r="E92" s="165"/>
      <c r="F92" s="254" t="s">
        <v>440</v>
      </c>
      <c r="G92" s="271">
        <v>5.3</v>
      </c>
      <c r="H92" s="251" t="s">
        <v>343</v>
      </c>
      <c r="I92" s="172"/>
      <c r="J92" s="6"/>
      <c r="K92" s="6"/>
      <c r="L92" s="6"/>
      <c r="M92" s="6"/>
      <c r="N92" s="6"/>
      <c r="O92" s="6"/>
      <c r="P92" s="6"/>
      <c r="Q92" s="6"/>
      <c r="R92" s="6"/>
      <c r="S92" s="1"/>
    </row>
    <row r="93" spans="1:19" ht="18" x14ac:dyDescent="0.35">
      <c r="A93" s="173"/>
      <c r="B93" s="165"/>
      <c r="C93" s="165"/>
      <c r="D93" s="165"/>
      <c r="E93" s="165"/>
      <c r="F93" s="254" t="s">
        <v>441</v>
      </c>
      <c r="G93" s="272">
        <v>1.23</v>
      </c>
      <c r="H93" s="251" t="s">
        <v>7</v>
      </c>
      <c r="I93" s="135"/>
      <c r="J93" s="6"/>
      <c r="K93" s="6"/>
      <c r="L93" s="6"/>
      <c r="M93" s="6"/>
      <c r="N93" s="6"/>
      <c r="O93" s="6"/>
      <c r="P93" s="6"/>
      <c r="Q93" s="6"/>
      <c r="R93" s="6"/>
      <c r="S93" s="1"/>
    </row>
    <row r="94" spans="1:19" ht="18" x14ac:dyDescent="0.35">
      <c r="A94" s="173"/>
      <c r="B94" s="165"/>
      <c r="C94" s="165"/>
      <c r="D94" s="165"/>
      <c r="E94" s="165"/>
      <c r="F94" s="254" t="s">
        <v>442</v>
      </c>
      <c r="G94" s="179"/>
      <c r="H94" s="251" t="s">
        <v>7</v>
      </c>
      <c r="I94" s="170"/>
      <c r="J94" s="6"/>
      <c r="K94" s="6"/>
      <c r="L94" s="6"/>
      <c r="M94" s="6"/>
      <c r="N94" s="6"/>
      <c r="O94" s="6"/>
      <c r="P94" s="6"/>
      <c r="Q94" s="6"/>
      <c r="R94" s="6"/>
      <c r="S94" s="1"/>
    </row>
    <row r="95" spans="1:19" ht="18" x14ac:dyDescent="0.35">
      <c r="A95" s="173"/>
      <c r="B95" s="165"/>
      <c r="C95" s="165"/>
      <c r="D95" s="165"/>
      <c r="E95" s="165"/>
      <c r="F95" s="254" t="s">
        <v>443</v>
      </c>
      <c r="G95" s="179"/>
      <c r="H95" s="251" t="s">
        <v>7</v>
      </c>
      <c r="I95" s="171"/>
      <c r="J95" s="6"/>
      <c r="K95" s="6"/>
      <c r="L95" s="6"/>
      <c r="M95" s="6"/>
      <c r="N95" s="6"/>
      <c r="O95" s="6"/>
      <c r="P95" s="6"/>
      <c r="Q95" s="6"/>
      <c r="R95" s="6"/>
      <c r="S95" s="1"/>
    </row>
    <row r="96" spans="1:19" ht="18" x14ac:dyDescent="0.35">
      <c r="A96" s="173"/>
      <c r="B96" s="165"/>
      <c r="C96" s="165"/>
      <c r="D96" s="165"/>
      <c r="E96" s="165"/>
      <c r="F96" s="254" t="s">
        <v>444</v>
      </c>
      <c r="G96" s="177" t="str">
        <f>IF(VUVLO_ON="", "", (VUVLO_ON-VUVLO_OFF)/IUVLO*1000)</f>
        <v/>
      </c>
      <c r="H96" s="252" t="s">
        <v>342</v>
      </c>
      <c r="I96" s="172"/>
      <c r="J96" s="6"/>
      <c r="K96" s="6"/>
      <c r="L96" s="6"/>
      <c r="M96" s="6"/>
      <c r="N96" s="6"/>
      <c r="O96" s="6"/>
      <c r="P96" s="6"/>
      <c r="Q96" s="6"/>
      <c r="R96" s="6"/>
      <c r="S96" s="1"/>
    </row>
    <row r="97" spans="1:19" ht="18" x14ac:dyDescent="0.35">
      <c r="A97" s="173"/>
      <c r="B97" s="165"/>
      <c r="C97" s="165"/>
      <c r="D97" s="165"/>
      <c r="E97" s="165"/>
      <c r="F97" s="254" t="s">
        <v>445</v>
      </c>
      <c r="G97" s="176"/>
      <c r="H97" s="252" t="s">
        <v>342</v>
      </c>
      <c r="I97" s="168"/>
      <c r="J97" s="6"/>
      <c r="K97" s="6"/>
      <c r="L97" s="6"/>
      <c r="M97" s="6"/>
      <c r="N97" s="6"/>
      <c r="O97" s="6"/>
      <c r="P97" s="6"/>
      <c r="Q97" s="6"/>
      <c r="R97" s="6"/>
      <c r="S97" s="1"/>
    </row>
    <row r="98" spans="1:19" ht="18" x14ac:dyDescent="0.35">
      <c r="A98" s="173"/>
      <c r="B98" s="165"/>
      <c r="C98" s="165"/>
      <c r="D98" s="165"/>
      <c r="E98" s="165"/>
      <c r="F98" s="254" t="s">
        <v>446</v>
      </c>
      <c r="G98" s="177" t="str">
        <f>IF(VUVLO_OFF="", "", RUVT/(VUVLO_ON/VUVLO_RISE-1))</f>
        <v/>
      </c>
      <c r="H98" s="252" t="s">
        <v>342</v>
      </c>
      <c r="I98" s="169"/>
      <c r="J98" s="104" t="s">
        <v>490</v>
      </c>
      <c r="K98" s="274">
        <f>vin_min</f>
        <v>3</v>
      </c>
      <c r="L98" s="11" t="s">
        <v>7</v>
      </c>
      <c r="M98" s="6"/>
      <c r="N98" s="6"/>
      <c r="O98" s="6"/>
      <c r="P98" s="6"/>
      <c r="Q98" s="6"/>
      <c r="R98" s="6"/>
      <c r="S98" s="1"/>
    </row>
    <row r="99" spans="1:19" ht="18" x14ac:dyDescent="0.35">
      <c r="A99" s="173"/>
      <c r="B99" s="165"/>
      <c r="C99" s="165"/>
      <c r="D99" s="165"/>
      <c r="E99" s="165"/>
      <c r="F99" s="254" t="s">
        <v>447</v>
      </c>
      <c r="G99" s="176"/>
      <c r="H99" s="252" t="s">
        <v>342</v>
      </c>
      <c r="I99" s="169"/>
      <c r="J99" s="104" t="s">
        <v>489</v>
      </c>
      <c r="K99" s="274"/>
      <c r="L99" s="11" t="s">
        <v>7</v>
      </c>
      <c r="M99" s="6"/>
      <c r="N99" s="6"/>
      <c r="O99" s="6"/>
      <c r="P99" s="6"/>
      <c r="Q99" s="6"/>
      <c r="R99" s="6"/>
      <c r="S99" s="1"/>
    </row>
    <row r="100" spans="1:19" ht="18" x14ac:dyDescent="0.35">
      <c r="A100" s="173"/>
      <c r="B100" s="165"/>
      <c r="C100" s="165"/>
      <c r="D100" s="165"/>
      <c r="E100" s="165"/>
      <c r="F100" s="254" t="s">
        <v>448</v>
      </c>
      <c r="G100" s="178" t="str">
        <f>IF(OR(RUVT="", RUVB=""), "", VUVLO_RISE*(1+RUVT/RUVB))</f>
        <v/>
      </c>
      <c r="H100" s="251" t="s">
        <v>7</v>
      </c>
      <c r="I100" s="169"/>
      <c r="J100" s="104" t="s">
        <v>488</v>
      </c>
      <c r="K100" s="274">
        <f>iout_actual_max</f>
        <v>2</v>
      </c>
      <c r="L100" s="11" t="s">
        <v>8</v>
      </c>
      <c r="M100" s="6"/>
      <c r="N100" s="6"/>
      <c r="O100" s="6"/>
      <c r="P100" s="6"/>
      <c r="Q100" s="6"/>
      <c r="R100" s="6"/>
      <c r="S100" s="1"/>
    </row>
    <row r="101" spans="1:19" ht="18" x14ac:dyDescent="0.35">
      <c r="A101" s="174"/>
      <c r="B101" s="175"/>
      <c r="C101" s="175"/>
      <c r="D101" s="175"/>
      <c r="E101" s="175"/>
      <c r="F101" s="255" t="s">
        <v>449</v>
      </c>
      <c r="G101" s="178" t="str">
        <f>IF(OR(RUVT="", RUVB=""), "", VUVLO_RISE*(1+RUVT/RUVB)-IUVLO*RUVT*0.001)</f>
        <v/>
      </c>
      <c r="H101" s="251" t="s">
        <v>7</v>
      </c>
      <c r="I101" s="168"/>
      <c r="J101" s="6"/>
      <c r="K101" s="6"/>
      <c r="L101" s="6"/>
      <c r="M101" s="6"/>
      <c r="N101" s="6"/>
      <c r="O101" s="6"/>
      <c r="P101" s="6"/>
      <c r="Q101" s="6"/>
      <c r="R101" s="6"/>
      <c r="S101" s="1"/>
    </row>
    <row r="102" spans="1:19" x14ac:dyDescent="0.25">
      <c r="A102" s="19"/>
      <c r="B102" s="19"/>
      <c r="C102" s="19"/>
      <c r="D102" s="19"/>
      <c r="E102" s="19"/>
      <c r="F102" s="19"/>
      <c r="G102" s="20"/>
      <c r="H102" s="18"/>
      <c r="I102" s="6"/>
      <c r="J102" s="6"/>
      <c r="K102" s="6"/>
      <c r="L102" s="6"/>
      <c r="M102" s="6"/>
      <c r="N102" s="6"/>
      <c r="O102" s="6"/>
      <c r="P102" s="6"/>
      <c r="Q102" s="6"/>
      <c r="R102" s="6"/>
      <c r="S102" s="1"/>
    </row>
    <row r="103" spans="1:19" ht="18.95" customHeight="1" x14ac:dyDescent="0.25">
      <c r="A103" s="286" t="s">
        <v>409</v>
      </c>
      <c r="B103" s="287"/>
      <c r="C103" s="287"/>
      <c r="D103" s="287"/>
      <c r="E103" s="287"/>
      <c r="F103" s="287"/>
      <c r="G103" s="287"/>
      <c r="H103" s="288"/>
      <c r="I103" s="5"/>
      <c r="J103" s="5"/>
      <c r="K103" s="5"/>
      <c r="L103" s="5"/>
      <c r="M103" s="5"/>
      <c r="N103" s="5"/>
      <c r="O103" s="5"/>
      <c r="P103" s="5"/>
      <c r="Q103" s="5"/>
      <c r="R103" s="5"/>
      <c r="S103" s="1"/>
    </row>
    <row r="104" spans="1:19" ht="18" x14ac:dyDescent="0.35">
      <c r="A104" s="217"/>
      <c r="B104" s="218"/>
      <c r="C104" s="218"/>
      <c r="D104" s="218"/>
      <c r="E104" s="218"/>
      <c r="F104" s="256" t="s">
        <v>450</v>
      </c>
      <c r="G104" s="270">
        <v>4.5</v>
      </c>
      <c r="H104" s="253" t="s">
        <v>16</v>
      </c>
      <c r="I104" s="171"/>
      <c r="J104" s="120"/>
      <c r="K104" s="120"/>
      <c r="L104" s="120"/>
      <c r="M104" s="120"/>
      <c r="N104" s="120"/>
      <c r="O104" s="120"/>
      <c r="P104" s="120"/>
      <c r="Q104" s="120"/>
      <c r="R104" s="120"/>
      <c r="S104" s="1"/>
    </row>
    <row r="105" spans="1:19" ht="18" x14ac:dyDescent="0.35">
      <c r="A105" s="219"/>
      <c r="B105" s="213"/>
      <c r="C105" s="213"/>
      <c r="D105" s="213"/>
      <c r="E105" s="213"/>
      <c r="F105" s="257" t="s">
        <v>451</v>
      </c>
      <c r="G105" s="270">
        <v>9</v>
      </c>
      <c r="H105" s="253" t="s">
        <v>177</v>
      </c>
      <c r="I105" s="171"/>
      <c r="J105" s="120"/>
      <c r="K105" s="120"/>
      <c r="L105" s="120"/>
      <c r="M105" s="120"/>
      <c r="N105" s="120"/>
      <c r="O105" s="120"/>
      <c r="P105" s="120"/>
      <c r="Q105" s="120"/>
      <c r="R105" s="120"/>
      <c r="S105" s="1"/>
    </row>
    <row r="106" spans="1:19" ht="18" x14ac:dyDescent="0.35">
      <c r="A106" s="220"/>
      <c r="B106" s="213"/>
      <c r="C106" s="213"/>
      <c r="D106" s="213"/>
      <c r="E106" s="213"/>
      <c r="F106" s="257" t="s">
        <v>452</v>
      </c>
      <c r="G106" s="270">
        <v>0.8</v>
      </c>
      <c r="H106" s="253" t="s">
        <v>88</v>
      </c>
      <c r="I106" s="171"/>
      <c r="J106" s="120"/>
      <c r="K106" s="120"/>
      <c r="L106" s="120"/>
      <c r="M106" s="120"/>
      <c r="N106" s="120"/>
      <c r="O106" s="120"/>
      <c r="P106" s="120"/>
      <c r="Q106" s="120"/>
      <c r="R106" s="120"/>
      <c r="S106" s="1"/>
    </row>
    <row r="107" spans="1:19" ht="18" x14ac:dyDescent="0.35">
      <c r="A107" s="220"/>
      <c r="B107" s="213"/>
      <c r="C107" s="213"/>
      <c r="D107" s="213"/>
      <c r="E107" s="213"/>
      <c r="F107" s="257" t="s">
        <v>453</v>
      </c>
      <c r="G107" s="270">
        <v>0</v>
      </c>
      <c r="H107" s="253" t="s">
        <v>88</v>
      </c>
      <c r="I107" s="171"/>
      <c r="J107" s="120"/>
      <c r="K107" s="120"/>
      <c r="L107" s="120"/>
      <c r="M107" s="120"/>
      <c r="N107" s="120"/>
      <c r="O107" s="120"/>
      <c r="P107" s="120"/>
      <c r="Q107" s="120"/>
      <c r="R107" s="120"/>
      <c r="S107" s="1"/>
    </row>
    <row r="108" spans="1:19" x14ac:dyDescent="0.25">
      <c r="A108" s="220"/>
      <c r="B108" s="213"/>
      <c r="C108" s="213"/>
      <c r="D108" s="213"/>
      <c r="E108" s="213"/>
      <c r="F108" s="257" t="s">
        <v>424</v>
      </c>
      <c r="G108" s="270">
        <v>2000</v>
      </c>
      <c r="H108" s="253" t="s">
        <v>25</v>
      </c>
      <c r="I108" s="171"/>
      <c r="J108" s="120"/>
      <c r="K108" s="120"/>
      <c r="L108" s="120"/>
      <c r="M108" s="120"/>
      <c r="N108" s="120"/>
      <c r="O108" s="120"/>
      <c r="P108" s="120"/>
      <c r="Q108" s="120"/>
      <c r="R108" s="120"/>
      <c r="S108" s="1"/>
    </row>
    <row r="109" spans="1:19" x14ac:dyDescent="0.25">
      <c r="A109" s="220"/>
      <c r="B109" s="213"/>
      <c r="C109" s="213"/>
      <c r="D109" s="213"/>
      <c r="E109" s="213"/>
      <c r="F109" s="257" t="s">
        <v>425</v>
      </c>
      <c r="G109" s="270">
        <v>1800</v>
      </c>
      <c r="H109" s="253" t="s">
        <v>25</v>
      </c>
      <c r="I109" s="171"/>
      <c r="J109" s="120"/>
      <c r="K109" s="120"/>
      <c r="L109" s="120"/>
      <c r="M109" s="120"/>
      <c r="N109" s="120"/>
      <c r="O109" s="120"/>
      <c r="P109" s="120"/>
      <c r="Q109" s="120"/>
      <c r="R109" s="120"/>
      <c r="S109" s="1"/>
    </row>
    <row r="110" spans="1:19" x14ac:dyDescent="0.25">
      <c r="A110" s="220"/>
      <c r="B110" s="213"/>
      <c r="C110" s="213"/>
      <c r="D110" s="213"/>
      <c r="E110" s="213"/>
      <c r="F110" s="257" t="s">
        <v>431</v>
      </c>
      <c r="G110" s="270">
        <v>2200</v>
      </c>
      <c r="H110" s="253" t="s">
        <v>25</v>
      </c>
      <c r="I110" s="171"/>
      <c r="J110" s="120"/>
      <c r="K110" s="120"/>
      <c r="L110" s="120"/>
      <c r="M110" s="120"/>
      <c r="N110" s="120"/>
      <c r="O110" s="120"/>
      <c r="P110" s="120"/>
      <c r="Q110" s="120"/>
      <c r="R110" s="120"/>
      <c r="S110" s="1"/>
    </row>
    <row r="111" spans="1:19" x14ac:dyDescent="0.25">
      <c r="A111" s="220"/>
      <c r="B111" s="213"/>
      <c r="C111" s="213"/>
      <c r="D111" s="213"/>
      <c r="E111" s="213"/>
      <c r="F111" s="257" t="s">
        <v>430</v>
      </c>
      <c r="G111" s="270">
        <v>500</v>
      </c>
      <c r="H111" s="253" t="s">
        <v>25</v>
      </c>
      <c r="I111" s="171"/>
      <c r="J111" s="120"/>
      <c r="K111" s="120"/>
      <c r="L111" s="120"/>
      <c r="M111" s="120"/>
      <c r="N111" s="120"/>
      <c r="O111" s="120"/>
      <c r="P111" s="120"/>
      <c r="Q111" s="120"/>
      <c r="R111" s="120"/>
      <c r="S111" s="1"/>
    </row>
    <row r="112" spans="1:19" x14ac:dyDescent="0.25">
      <c r="A112" s="220"/>
      <c r="B112" s="213"/>
      <c r="C112" s="213"/>
      <c r="D112" s="213"/>
      <c r="E112" s="213"/>
      <c r="F112" s="257" t="s">
        <v>426</v>
      </c>
      <c r="G112" s="270">
        <v>450</v>
      </c>
      <c r="H112" s="253" t="s">
        <v>25</v>
      </c>
      <c r="I112" s="171"/>
      <c r="J112" s="120"/>
      <c r="K112" s="120"/>
      <c r="L112" s="120"/>
      <c r="M112" s="120"/>
      <c r="N112" s="120"/>
      <c r="O112" s="120"/>
      <c r="P112" s="120"/>
      <c r="Q112" s="120"/>
      <c r="R112" s="120"/>
      <c r="S112" s="1"/>
    </row>
    <row r="113" spans="1:19" x14ac:dyDescent="0.25">
      <c r="A113" s="220"/>
      <c r="B113" s="213"/>
      <c r="C113" s="213"/>
      <c r="D113" s="213"/>
      <c r="E113" s="213"/>
      <c r="F113" s="257" t="s">
        <v>427</v>
      </c>
      <c r="G113" s="270">
        <v>40</v>
      </c>
      <c r="H113" s="253" t="s">
        <v>25</v>
      </c>
      <c r="I113" s="171"/>
      <c r="J113" s="120"/>
      <c r="K113" s="120"/>
      <c r="L113" s="120"/>
      <c r="M113" s="120"/>
      <c r="N113" s="120"/>
      <c r="O113" s="120"/>
      <c r="P113" s="120"/>
      <c r="Q113" s="120"/>
      <c r="R113" s="120"/>
      <c r="S113" s="1"/>
    </row>
    <row r="114" spans="1:19" ht="18" x14ac:dyDescent="0.35">
      <c r="A114" s="220"/>
      <c r="B114" s="213"/>
      <c r="C114" s="213"/>
      <c r="D114" s="213"/>
      <c r="E114" s="213"/>
      <c r="F114" s="257" t="s">
        <v>454</v>
      </c>
      <c r="G114" s="269">
        <v>5.0999999999999996</v>
      </c>
      <c r="H114" s="253" t="s">
        <v>7</v>
      </c>
      <c r="I114" s="171"/>
      <c r="J114" s="120"/>
      <c r="K114" s="120"/>
      <c r="L114" s="120"/>
      <c r="M114" s="120"/>
      <c r="N114" s="120"/>
      <c r="O114" s="120"/>
      <c r="P114" s="120"/>
      <c r="Q114" s="120"/>
      <c r="R114" s="120"/>
      <c r="S114" s="1"/>
    </row>
    <row r="115" spans="1:19" ht="18" x14ac:dyDescent="0.35">
      <c r="A115" s="220"/>
      <c r="B115" s="213"/>
      <c r="C115" s="213"/>
      <c r="D115" s="213"/>
      <c r="E115" s="213"/>
      <c r="F115" s="258" t="s">
        <v>455</v>
      </c>
      <c r="G115" s="270">
        <v>1.2</v>
      </c>
      <c r="H115" s="253" t="s">
        <v>7</v>
      </c>
      <c r="I115" s="171"/>
      <c r="J115" s="120"/>
      <c r="K115" s="120"/>
      <c r="L115" s="120"/>
      <c r="M115" s="120"/>
      <c r="N115" s="120"/>
      <c r="O115" s="120"/>
      <c r="P115" s="120"/>
      <c r="Q115" s="120"/>
      <c r="R115" s="120"/>
      <c r="S115" s="1"/>
    </row>
    <row r="116" spans="1:19" ht="18" x14ac:dyDescent="0.35">
      <c r="A116" s="238"/>
      <c r="B116" s="239"/>
      <c r="C116" s="239"/>
      <c r="D116" s="239"/>
      <c r="E116" s="239"/>
      <c r="F116" s="258" t="s">
        <v>458</v>
      </c>
      <c r="G116" s="270">
        <v>2.5</v>
      </c>
      <c r="H116" s="253" t="s">
        <v>7</v>
      </c>
      <c r="I116" s="171"/>
      <c r="J116" s="120"/>
      <c r="K116" s="120"/>
      <c r="L116" s="120"/>
      <c r="M116" s="120"/>
      <c r="N116" s="120"/>
      <c r="O116" s="120"/>
      <c r="P116" s="120"/>
      <c r="Q116" s="120"/>
      <c r="R116" s="120"/>
      <c r="S116" s="1"/>
    </row>
    <row r="117" spans="1:19" x14ac:dyDescent="0.25">
      <c r="A117" s="214"/>
      <c r="B117" s="161"/>
      <c r="C117" s="161"/>
      <c r="D117" s="161"/>
      <c r="E117" s="161"/>
      <c r="F117" s="259"/>
      <c r="G117" s="248"/>
      <c r="H117" s="11"/>
      <c r="I117" s="241"/>
      <c r="J117" s="120"/>
      <c r="K117" s="120"/>
      <c r="L117" s="120"/>
      <c r="M117" s="120"/>
      <c r="N117" s="120"/>
      <c r="O117" s="120"/>
      <c r="P117" s="120"/>
      <c r="Q117" s="120"/>
      <c r="R117" s="120"/>
      <c r="S117" s="1"/>
    </row>
    <row r="118" spans="1:19" ht="18" x14ac:dyDescent="0.25">
      <c r="A118" s="214"/>
      <c r="B118" s="215"/>
      <c r="C118" s="216"/>
      <c r="D118" s="216"/>
      <c r="E118" s="246"/>
      <c r="F118" s="260" t="s">
        <v>456</v>
      </c>
      <c r="G118" s="248">
        <v>30</v>
      </c>
      <c r="H118" s="11" t="s">
        <v>208</v>
      </c>
      <c r="I118" s="241"/>
      <c r="J118" s="120"/>
      <c r="K118" s="120"/>
      <c r="L118" s="120"/>
      <c r="M118" s="120"/>
      <c r="N118" s="120"/>
      <c r="O118" s="120"/>
      <c r="P118" s="120"/>
      <c r="Q118" s="120"/>
      <c r="R118" s="120"/>
      <c r="S118" s="1"/>
    </row>
    <row r="119" spans="1:19" ht="18" x14ac:dyDescent="0.25">
      <c r="A119" s="163"/>
      <c r="B119" s="164"/>
      <c r="C119" s="164"/>
      <c r="D119" s="164"/>
      <c r="E119" s="247"/>
      <c r="F119" s="279" t="s">
        <v>500</v>
      </c>
      <c r="G119" s="248">
        <f>toff_LS_GATE</f>
        <v>19.231145482332657</v>
      </c>
      <c r="H119" s="15" t="s">
        <v>208</v>
      </c>
      <c r="I119" s="241"/>
      <c r="J119" s="120"/>
      <c r="K119" s="120"/>
      <c r="L119" s="120"/>
      <c r="M119" s="120"/>
      <c r="N119" s="120"/>
      <c r="O119" s="120"/>
      <c r="P119" s="120"/>
      <c r="Q119" s="120"/>
      <c r="R119" s="120"/>
      <c r="S119" s="1"/>
    </row>
    <row r="120" spans="1:19" x14ac:dyDescent="0.25">
      <c r="A120" s="244"/>
      <c r="B120" s="244"/>
      <c r="C120" s="244"/>
      <c r="D120" s="244"/>
      <c r="E120" s="244"/>
      <c r="F120" s="245"/>
      <c r="G120" s="242"/>
      <c r="H120" s="243"/>
      <c r="I120" s="240"/>
      <c r="J120" s="120"/>
      <c r="K120" s="120"/>
      <c r="L120" s="120"/>
      <c r="M120" s="120"/>
      <c r="N120" s="120"/>
      <c r="O120" s="120"/>
      <c r="P120" s="120"/>
      <c r="Q120" s="120"/>
      <c r="R120" s="120"/>
      <c r="S120" s="1"/>
    </row>
    <row r="121" spans="1:19" ht="18.95" customHeight="1" x14ac:dyDescent="0.25">
      <c r="A121" s="286" t="s">
        <v>434</v>
      </c>
      <c r="B121" s="287"/>
      <c r="C121" s="287"/>
      <c r="D121" s="287"/>
      <c r="E121" s="287"/>
      <c r="F121" s="287"/>
      <c r="G121" s="287"/>
      <c r="H121" s="288"/>
      <c r="I121" s="5"/>
      <c r="J121" s="5"/>
      <c r="K121" s="5"/>
      <c r="L121" s="5"/>
      <c r="M121" s="5"/>
      <c r="N121" s="5"/>
      <c r="O121" s="5"/>
      <c r="P121" s="5"/>
      <c r="Q121" s="5"/>
      <c r="R121" s="5"/>
      <c r="S121" s="1"/>
    </row>
    <row r="122" spans="1:19" ht="18" x14ac:dyDescent="0.25">
      <c r="A122" s="162"/>
      <c r="B122" s="160"/>
      <c r="C122" s="160"/>
      <c r="D122" s="160"/>
      <c r="E122" s="160"/>
      <c r="F122" s="152" t="s">
        <v>435</v>
      </c>
      <c r="G122" s="73">
        <f>P_loss_inductor_DC</f>
        <v>930.81002974824003</v>
      </c>
      <c r="H122" s="11" t="s">
        <v>27</v>
      </c>
      <c r="I122" s="172"/>
      <c r="J122" s="263"/>
      <c r="K122" s="264"/>
      <c r="L122" s="265"/>
      <c r="M122" s="172"/>
      <c r="N122" s="167"/>
      <c r="O122" s="167"/>
      <c r="P122" s="167"/>
      <c r="Q122" s="167"/>
      <c r="R122" s="167"/>
      <c r="S122" s="1"/>
    </row>
    <row r="123" spans="1:19" ht="18" x14ac:dyDescent="0.25">
      <c r="A123" s="162"/>
      <c r="B123" s="160"/>
      <c r="C123" s="160"/>
      <c r="D123" s="160"/>
      <c r="E123" s="160"/>
      <c r="F123" s="152" t="s">
        <v>436</v>
      </c>
      <c r="G123" s="249"/>
      <c r="H123" s="11" t="s">
        <v>27</v>
      </c>
      <c r="I123" s="171"/>
      <c r="J123" s="263"/>
      <c r="K123" s="264"/>
      <c r="L123" s="265"/>
      <c r="M123" s="171"/>
      <c r="N123" s="120"/>
      <c r="O123" s="120"/>
      <c r="P123" s="120"/>
      <c r="Q123" s="120"/>
      <c r="R123" s="120"/>
      <c r="S123" s="1"/>
    </row>
    <row r="124" spans="1:19" ht="18" x14ac:dyDescent="0.25">
      <c r="A124" s="162"/>
      <c r="B124" s="160"/>
      <c r="C124" s="160"/>
      <c r="D124" s="160"/>
      <c r="E124" s="160"/>
      <c r="F124" s="152" t="s">
        <v>297</v>
      </c>
      <c r="G124" s="73">
        <f>P_loss_inductor_AC</f>
        <v>59.21640869943058</v>
      </c>
      <c r="H124" s="11" t="s">
        <v>27</v>
      </c>
      <c r="I124" s="172"/>
      <c r="J124" s="263"/>
      <c r="K124" s="264"/>
      <c r="L124" s="265"/>
      <c r="M124" s="172"/>
      <c r="N124" s="167"/>
      <c r="O124" s="167"/>
      <c r="P124" s="167"/>
      <c r="Q124" s="167"/>
      <c r="R124" s="167"/>
      <c r="S124" s="1"/>
    </row>
    <row r="125" spans="1:19" ht="18" x14ac:dyDescent="0.25">
      <c r="A125" s="162"/>
      <c r="B125" s="160"/>
      <c r="C125" s="160"/>
      <c r="D125" s="160"/>
      <c r="E125" s="160"/>
      <c r="F125" s="152" t="s">
        <v>301</v>
      </c>
      <c r="G125" s="249"/>
      <c r="H125" s="11" t="s">
        <v>27</v>
      </c>
      <c r="I125" s="171"/>
      <c r="J125" s="120"/>
      <c r="K125" s="167"/>
      <c r="L125" s="167"/>
      <c r="M125" s="120"/>
      <c r="N125" s="120"/>
      <c r="O125" s="120"/>
      <c r="P125" s="120"/>
      <c r="Q125" s="120"/>
      <c r="R125" s="120"/>
      <c r="S125" s="1"/>
    </row>
    <row r="126" spans="1:19" ht="18" x14ac:dyDescent="0.25">
      <c r="A126" s="266"/>
      <c r="B126" s="198"/>
      <c r="C126" s="198"/>
      <c r="D126" s="198"/>
      <c r="E126" s="198"/>
      <c r="F126" s="280" t="s">
        <v>498</v>
      </c>
      <c r="G126" s="73">
        <f>P_loss_LS_Rdson+P_loss_LS_switching+P_loss_LS_out</f>
        <v>954.97185025036947</v>
      </c>
      <c r="H126" s="11" t="s">
        <v>27</v>
      </c>
      <c r="I126" s="171"/>
      <c r="J126" s="120"/>
      <c r="K126" s="167"/>
      <c r="L126" s="167"/>
      <c r="M126" s="120"/>
      <c r="N126" s="120"/>
      <c r="O126" s="120"/>
      <c r="P126" s="120"/>
      <c r="Q126" s="120"/>
      <c r="R126" s="120"/>
      <c r="S126" s="1"/>
    </row>
    <row r="127" spans="1:19" ht="18" x14ac:dyDescent="0.25">
      <c r="A127" s="266"/>
      <c r="B127" s="198"/>
      <c r="C127" s="198"/>
      <c r="D127" s="198"/>
      <c r="E127" s="198"/>
      <c r="F127" s="280" t="s">
        <v>497</v>
      </c>
      <c r="G127" s="73">
        <f>P_loss_total-P_loss_LS_FET-P_loss_inductor_total</f>
        <v>1383.3598688558941</v>
      </c>
      <c r="H127" s="11" t="s">
        <v>27</v>
      </c>
      <c r="I127" s="171"/>
      <c r="J127" s="120"/>
      <c r="K127" s="167"/>
      <c r="L127" s="167"/>
      <c r="M127" s="120"/>
      <c r="N127" s="120"/>
      <c r="O127" s="120"/>
      <c r="P127" s="120"/>
      <c r="Q127" s="120"/>
      <c r="R127" s="120"/>
      <c r="S127" s="1"/>
    </row>
    <row r="128" spans="1:19" x14ac:dyDescent="0.25">
      <c r="A128" s="266"/>
      <c r="B128" s="198"/>
      <c r="C128" s="198"/>
      <c r="D128" s="198"/>
      <c r="E128" s="198"/>
      <c r="F128" s="282"/>
      <c r="G128" s="73"/>
      <c r="H128" s="11"/>
      <c r="I128" s="171"/>
      <c r="J128" s="120"/>
      <c r="K128" s="167"/>
      <c r="L128" s="167"/>
      <c r="M128" s="120"/>
      <c r="N128" s="120"/>
      <c r="O128" s="120"/>
      <c r="P128" s="120"/>
      <c r="Q128" s="120"/>
      <c r="R128" s="120"/>
      <c r="S128" s="1"/>
    </row>
    <row r="129" spans="1:19" ht="18" x14ac:dyDescent="0.25">
      <c r="A129" s="266"/>
      <c r="B129" s="198"/>
      <c r="C129" s="198"/>
      <c r="D129" s="198"/>
      <c r="E129" s="198"/>
      <c r="F129" s="267" t="s">
        <v>494</v>
      </c>
      <c r="G129" s="10">
        <v>60</v>
      </c>
      <c r="H129" s="15" t="s">
        <v>491</v>
      </c>
      <c r="I129" s="171"/>
      <c r="J129" s="120"/>
      <c r="K129" s="167"/>
      <c r="L129" s="167"/>
      <c r="M129" s="120"/>
      <c r="N129" s="120"/>
      <c r="O129" s="120"/>
      <c r="P129" s="120"/>
      <c r="Q129" s="120"/>
      <c r="R129" s="120"/>
      <c r="S129" s="1"/>
    </row>
    <row r="130" spans="1:19" x14ac:dyDescent="0.25">
      <c r="A130" s="161"/>
      <c r="B130" s="161"/>
      <c r="C130" s="161"/>
      <c r="D130" s="161"/>
      <c r="E130" s="161"/>
      <c r="F130" s="284" t="s">
        <v>496</v>
      </c>
      <c r="G130" s="248">
        <f>G126*G129/1000</f>
        <v>57.298311015022172</v>
      </c>
      <c r="H130" s="11" t="s">
        <v>493</v>
      </c>
      <c r="I130" s="171"/>
      <c r="J130" s="120"/>
      <c r="K130" s="120"/>
      <c r="L130" s="120"/>
      <c r="M130" s="120"/>
      <c r="N130" s="120"/>
      <c r="O130" s="120"/>
      <c r="P130" s="120"/>
      <c r="Q130" s="120"/>
      <c r="R130" s="120"/>
      <c r="S130" s="1"/>
    </row>
    <row r="131" spans="1:19" ht="18" x14ac:dyDescent="0.25">
      <c r="A131" s="275"/>
      <c r="B131" s="276"/>
      <c r="C131" s="276"/>
      <c r="D131" s="276"/>
      <c r="E131" s="276"/>
      <c r="F131" s="277" t="s">
        <v>495</v>
      </c>
      <c r="G131" s="10">
        <v>36.6</v>
      </c>
      <c r="H131" s="15" t="s">
        <v>491</v>
      </c>
      <c r="I131" s="171"/>
      <c r="J131" s="120"/>
      <c r="K131" s="167"/>
      <c r="L131" s="167"/>
      <c r="M131" s="120"/>
      <c r="N131" s="120"/>
      <c r="O131" s="120"/>
      <c r="P131" s="120"/>
      <c r="Q131" s="120"/>
      <c r="R131" s="120"/>
      <c r="S131" s="1"/>
    </row>
    <row r="132" spans="1:19" x14ac:dyDescent="0.25">
      <c r="A132" s="161"/>
      <c r="B132" s="161"/>
      <c r="C132" s="161"/>
      <c r="D132" s="161"/>
      <c r="E132" s="161"/>
      <c r="F132" s="285" t="s">
        <v>492</v>
      </c>
      <c r="G132" s="94">
        <f>G127*G131/1000</f>
        <v>50.630971200125728</v>
      </c>
      <c r="H132" s="11" t="s">
        <v>493</v>
      </c>
      <c r="I132" s="171"/>
      <c r="J132" s="120"/>
      <c r="K132" s="120"/>
      <c r="L132" s="120"/>
      <c r="M132" s="120"/>
      <c r="N132" s="120"/>
      <c r="O132" s="120"/>
      <c r="P132" s="120"/>
      <c r="Q132" s="120"/>
      <c r="R132" s="120"/>
      <c r="S132" s="1"/>
    </row>
    <row r="133" spans="1:19" x14ac:dyDescent="0.25">
      <c r="A133" s="283"/>
      <c r="B133" s="215"/>
      <c r="C133" s="215"/>
      <c r="D133" s="215"/>
      <c r="E133" s="215"/>
      <c r="F133" s="278"/>
      <c r="G133" s="94"/>
      <c r="H133" s="11"/>
      <c r="I133" s="171"/>
      <c r="J133" s="120"/>
      <c r="K133" s="167"/>
      <c r="L133" s="167"/>
      <c r="M133" s="120"/>
      <c r="N133" s="120"/>
      <c r="O133" s="120"/>
      <c r="P133" s="120"/>
      <c r="Q133" s="120"/>
      <c r="R133" s="120"/>
      <c r="S133" s="1"/>
    </row>
    <row r="134" spans="1:19" ht="18" x14ac:dyDescent="0.25">
      <c r="A134" s="275"/>
      <c r="B134" s="276"/>
      <c r="C134" s="276"/>
      <c r="D134" s="276"/>
      <c r="E134" s="276"/>
      <c r="F134" s="281" t="s">
        <v>499</v>
      </c>
      <c r="G134" s="248">
        <f>efficiency_cal</f>
        <v>91.537002017170039</v>
      </c>
      <c r="H134" s="11" t="s">
        <v>9</v>
      </c>
      <c r="I134" s="171"/>
      <c r="J134" s="120"/>
      <c r="K134" s="167"/>
      <c r="L134" s="167"/>
      <c r="M134" s="120"/>
      <c r="N134" s="120"/>
      <c r="O134" s="120"/>
      <c r="P134" s="120"/>
      <c r="Q134" s="120"/>
      <c r="R134" s="120"/>
      <c r="S134" s="1"/>
    </row>
    <row r="135" spans="1:19" x14ac:dyDescent="0.25">
      <c r="A135" s="1"/>
      <c r="B135" s="1"/>
      <c r="C135" s="1"/>
      <c r="D135" s="1"/>
      <c r="E135" s="1"/>
      <c r="F135" s="1"/>
      <c r="G135" s="1"/>
      <c r="H135" s="1"/>
      <c r="I135" s="1"/>
      <c r="J135" s="1"/>
      <c r="K135" s="1"/>
      <c r="L135" s="1"/>
      <c r="M135" s="1"/>
      <c r="N135" s="1"/>
      <c r="O135" s="1"/>
      <c r="P135" s="1"/>
      <c r="Q135" s="1"/>
      <c r="R135" s="1"/>
      <c r="S135" s="1"/>
    </row>
  </sheetData>
  <sheetProtection algorithmName="SHA-512" hashValue="hTk13PeUNEM7BBq3GfwaEtCMsTyNtYl4hCHgy5DecjQST2BTGZ2u06Es/y7CNdptO5spDHicxZH4oh3i16EaSg==" saltValue="yxMUMLIB7fbme0XfZsOjTQ==" spinCount="100000" sheet="1" objects="1" scenarios="1"/>
  <dataConsolidate/>
  <mergeCells count="15">
    <mergeCell ref="G1:R1"/>
    <mergeCell ref="A3:H3"/>
    <mergeCell ref="A19:H19"/>
    <mergeCell ref="A28:H28"/>
    <mergeCell ref="A37:H37"/>
    <mergeCell ref="A121:H121"/>
    <mergeCell ref="A54:H54"/>
    <mergeCell ref="H2:I2"/>
    <mergeCell ref="A44:H44"/>
    <mergeCell ref="A43:H43"/>
    <mergeCell ref="A103:H103"/>
    <mergeCell ref="A78:H78"/>
    <mergeCell ref="A72:H72"/>
    <mergeCell ref="A64:H64"/>
    <mergeCell ref="A91:H91"/>
  </mergeCells>
  <conditionalFormatting sqref="G5">
    <cfRule type="cellIs" dxfId="26" priority="40" operator="notBetween">
      <formula>1.2</formula>
      <formula>23</formula>
    </cfRule>
  </conditionalFormatting>
  <conditionalFormatting sqref="G6">
    <cfRule type="cellIs" dxfId="25" priority="38" operator="notBetween">
      <formula>G5</formula>
      <formula>G7</formula>
    </cfRule>
  </conditionalFormatting>
  <conditionalFormatting sqref="G7">
    <cfRule type="cellIs" dxfId="24" priority="39" operator="notBetween">
      <formula>1.2</formula>
      <formula>23</formula>
    </cfRule>
  </conditionalFormatting>
  <conditionalFormatting sqref="G8">
    <cfRule type="cellIs" dxfId="23" priority="37" operator="notBetween">
      <formula>4.5</formula>
      <formula>25</formula>
    </cfRule>
  </conditionalFormatting>
  <conditionalFormatting sqref="G9">
    <cfRule type="cellIs" dxfId="22" priority="36" operator="notBetween">
      <formula>0</formula>
      <formula>G17</formula>
    </cfRule>
  </conditionalFormatting>
  <conditionalFormatting sqref="G10">
    <cfRule type="cellIs" dxfId="21" priority="26" operator="notBetween">
      <formula>0</formula>
      <formula>100</formula>
    </cfRule>
  </conditionalFormatting>
  <conditionalFormatting sqref="G12">
    <cfRule type="cellIs" dxfId="20" priority="13" operator="notBetween">
      <formula>5</formula>
      <formula>20</formula>
    </cfRule>
  </conditionalFormatting>
  <conditionalFormatting sqref="G14:G16">
    <cfRule type="cellIs" dxfId="19" priority="23" operator="notBetween">
      <formula>0</formula>
      <formula>1</formula>
    </cfRule>
  </conditionalFormatting>
  <conditionalFormatting sqref="G69 G71">
    <cfRule type="cellIs" dxfId="18" priority="21" operator="notBetween">
      <formula>0</formula>
      <formula>999999999</formula>
    </cfRule>
  </conditionalFormatting>
  <conditionalFormatting sqref="G76:G77">
    <cfRule type="cellIs" dxfId="17" priority="22" operator="notBetween">
      <formula>0</formula>
      <formula>9999999999</formula>
    </cfRule>
  </conditionalFormatting>
  <conditionalFormatting sqref="G88">
    <cfRule type="cellIs" dxfId="16" priority="35" operator="lessThan">
      <formula>45</formula>
    </cfRule>
  </conditionalFormatting>
  <conditionalFormatting sqref="G89">
    <cfRule type="cellIs" dxfId="15" priority="20" operator="greaterThan">
      <formula>-10</formula>
    </cfRule>
  </conditionalFormatting>
  <conditionalFormatting sqref="G96:G101">
    <cfRule type="cellIs" dxfId="14" priority="17" operator="notBetween">
      <formula>-999999</formula>
      <formula>999999</formula>
    </cfRule>
  </conditionalFormatting>
  <conditionalFormatting sqref="G100">
    <cfRule type="cellIs" dxfId="13" priority="19" operator="lessThan">
      <formula>2.5</formula>
    </cfRule>
  </conditionalFormatting>
  <conditionalFormatting sqref="G101">
    <cfRule type="cellIs" dxfId="12" priority="18" operator="lessThan">
      <formula>1.2</formula>
    </cfRule>
  </conditionalFormatting>
  <conditionalFormatting sqref="G115:G116">
    <cfRule type="cellIs" dxfId="11" priority="1" operator="greaterThan">
      <formula>$G$114</formula>
    </cfRule>
  </conditionalFormatting>
  <conditionalFormatting sqref="G119">
    <cfRule type="cellIs" dxfId="10" priority="15" operator="greaterThan">
      <formula>$G$118</formula>
    </cfRule>
  </conditionalFormatting>
  <conditionalFormatting sqref="K98">
    <cfRule type="cellIs" dxfId="9" priority="4" operator="notBetween">
      <formula>1.2</formula>
      <formula>23</formula>
    </cfRule>
  </conditionalFormatting>
  <conditionalFormatting sqref="K99">
    <cfRule type="cellIs" dxfId="8" priority="5" operator="notBetween">
      <formula>4.5</formula>
      <formula>25</formula>
    </cfRule>
  </conditionalFormatting>
  <conditionalFormatting sqref="K100">
    <cfRule type="cellIs" dxfId="7" priority="6" operator="notBetween">
      <formula>0</formula>
      <formula>G17</formula>
    </cfRule>
  </conditionalFormatting>
  <conditionalFormatting sqref="K122">
    <cfRule type="cellIs" dxfId="6" priority="7" operator="notBetween">
      <formula>1.2</formula>
      <formula>23</formula>
    </cfRule>
  </conditionalFormatting>
  <conditionalFormatting sqref="K123">
    <cfRule type="cellIs" dxfId="5" priority="8" operator="notBetween">
      <formula>4.5</formula>
      <formula>25</formula>
    </cfRule>
  </conditionalFormatting>
  <conditionalFormatting sqref="K124">
    <cfRule type="cellIs" dxfId="4" priority="10" operator="notBetween">
      <formula>0</formula>
      <formula>G17</formula>
    </cfRule>
  </conditionalFormatting>
  <conditionalFormatting sqref="P12">
    <cfRule type="cellIs" dxfId="3" priority="14" operator="greaterThan">
      <formula>P4</formula>
    </cfRule>
  </conditionalFormatting>
  <conditionalFormatting sqref="P15">
    <cfRule type="cellIs" dxfId="2" priority="16" operator="greaterThan">
      <formula>P11</formula>
    </cfRule>
  </conditionalFormatting>
  <pageMargins left="0.7" right="0.7" top="0.75" bottom="0.75" header="0.3" footer="0.3"/>
  <pageSetup paperSize="9" orientation="portrait" horizontalDpi="300" verticalDpi="300" r:id="rId1"/>
  <drawing r:id="rId2"/>
  <legacyDrawing r:id="rId3"/>
  <oleObjects>
    <mc:AlternateContent xmlns:mc="http://schemas.openxmlformats.org/markup-compatibility/2006">
      <mc:Choice Requires="x14">
        <oleObject progId="Visio.Drawing.15" shapeId="1155" r:id="rId4">
          <objectPr defaultSize="0" autoPict="0" r:id="rId5">
            <anchor moveWithCells="1">
              <from>
                <xdr:col>13</xdr:col>
                <xdr:colOff>85725</xdr:colOff>
                <xdr:row>105</xdr:row>
                <xdr:rowOff>47625</xdr:rowOff>
              </from>
              <to>
                <xdr:col>17</xdr:col>
                <xdr:colOff>4248150</xdr:colOff>
                <xdr:row>117</xdr:row>
                <xdr:rowOff>85725</xdr:rowOff>
              </to>
            </anchor>
          </objectPr>
        </oleObject>
      </mc:Choice>
      <mc:Fallback>
        <oleObject progId="Visio.Drawing.15" shapeId="1155" r:id="rId4"/>
      </mc:Fallback>
    </mc:AlternateContent>
  </oleObjects>
  <mc:AlternateContent xmlns:mc="http://schemas.openxmlformats.org/markup-compatibility/2006">
    <mc:Choice Requires="x14">
      <controls>
        <mc:AlternateContent xmlns:mc="http://schemas.openxmlformats.org/markup-compatibility/2006">
          <mc:Choice Requires="x14">
            <control shapeId="1089" r:id="rId6" name="Spinner 65">
              <controlPr defaultSize="0" autoPict="0">
                <anchor moveWithCells="1" sizeWithCells="1">
                  <from>
                    <xdr:col>6</xdr:col>
                    <xdr:colOff>0</xdr:colOff>
                    <xdr:row>5</xdr:row>
                    <xdr:rowOff>9525</xdr:rowOff>
                  </from>
                  <to>
                    <xdr:col>6</xdr:col>
                    <xdr:colOff>276225</xdr:colOff>
                    <xdr:row>5</xdr:row>
                    <xdr:rowOff>209550</xdr:rowOff>
                  </to>
                </anchor>
              </controlPr>
            </control>
          </mc:Choice>
        </mc:AlternateContent>
        <mc:AlternateContent xmlns:mc="http://schemas.openxmlformats.org/markup-compatibility/2006">
          <mc:Choice Requires="x14">
            <control shapeId="1138" r:id="rId7" name="Spinner 114">
              <controlPr defaultSize="0" autoPict="0">
                <anchor moveWithCells="1" sizeWithCells="1">
                  <from>
                    <xdr:col>6</xdr:col>
                    <xdr:colOff>0</xdr:colOff>
                    <xdr:row>8</xdr:row>
                    <xdr:rowOff>9525</xdr:rowOff>
                  </from>
                  <to>
                    <xdr:col>6</xdr:col>
                    <xdr:colOff>276225</xdr:colOff>
                    <xdr:row>8</xdr:row>
                    <xdr:rowOff>209550</xdr:rowOff>
                  </to>
                </anchor>
              </controlPr>
            </control>
          </mc:Choice>
        </mc:AlternateContent>
        <mc:AlternateContent xmlns:mc="http://schemas.openxmlformats.org/markup-compatibility/2006">
          <mc:Choice Requires="x14">
            <control shapeId="1143" r:id="rId8" name="Spinner 119">
              <controlPr defaultSize="0" autoPict="0">
                <anchor moveWithCells="1" sizeWithCells="1">
                  <from>
                    <xdr:col>6</xdr:col>
                    <xdr:colOff>0</xdr:colOff>
                    <xdr:row>7</xdr:row>
                    <xdr:rowOff>9525</xdr:rowOff>
                  </from>
                  <to>
                    <xdr:col>6</xdr:col>
                    <xdr:colOff>276225</xdr:colOff>
                    <xdr:row>7</xdr:row>
                    <xdr:rowOff>209550</xdr:rowOff>
                  </to>
                </anchor>
              </controlPr>
            </control>
          </mc:Choice>
        </mc:AlternateContent>
        <mc:AlternateContent xmlns:mc="http://schemas.openxmlformats.org/markup-compatibility/2006">
          <mc:Choice Requires="x14">
            <control shapeId="1146" r:id="rId9" name="Spinner 122">
              <controlPr defaultSize="0" autoPict="0">
                <anchor moveWithCells="1" sizeWithCells="1">
                  <from>
                    <xdr:col>10</xdr:col>
                    <xdr:colOff>0</xdr:colOff>
                    <xdr:row>97</xdr:row>
                    <xdr:rowOff>9525</xdr:rowOff>
                  </from>
                  <to>
                    <xdr:col>10</xdr:col>
                    <xdr:colOff>276225</xdr:colOff>
                    <xdr:row>97</xdr:row>
                    <xdr:rowOff>209550</xdr:rowOff>
                  </to>
                </anchor>
              </controlPr>
            </control>
          </mc:Choice>
        </mc:AlternateContent>
        <mc:AlternateContent xmlns:mc="http://schemas.openxmlformats.org/markup-compatibility/2006">
          <mc:Choice Requires="x14">
            <control shapeId="1147" r:id="rId10" name="Spinner 123">
              <controlPr defaultSize="0" autoPict="0">
                <anchor moveWithCells="1" sizeWithCells="1">
                  <from>
                    <xdr:col>10</xdr:col>
                    <xdr:colOff>0</xdr:colOff>
                    <xdr:row>99</xdr:row>
                    <xdr:rowOff>9525</xdr:rowOff>
                  </from>
                  <to>
                    <xdr:col>10</xdr:col>
                    <xdr:colOff>276225</xdr:colOff>
                    <xdr:row>99</xdr:row>
                    <xdr:rowOff>209550</xdr:rowOff>
                  </to>
                </anchor>
              </controlPr>
            </control>
          </mc:Choice>
        </mc:AlternateContent>
        <mc:AlternateContent xmlns:mc="http://schemas.openxmlformats.org/markup-compatibility/2006">
          <mc:Choice Requires="x14">
            <control shapeId="1148" r:id="rId11" name="Spinner 124">
              <controlPr defaultSize="0" autoPict="0">
                <anchor moveWithCells="1" sizeWithCells="1">
                  <from>
                    <xdr:col>10</xdr:col>
                    <xdr:colOff>0</xdr:colOff>
                    <xdr:row>98</xdr:row>
                    <xdr:rowOff>9525</xdr:rowOff>
                  </from>
                  <to>
                    <xdr:col>10</xdr:col>
                    <xdr:colOff>276225</xdr:colOff>
                    <xdr:row>98</xdr:row>
                    <xdr:rowOff>209550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3641B8-E4A8-4454-BEB2-11B91A443636}">
  <sheetPr codeName="Sheet2"/>
  <dimension ref="A1:AQ503"/>
  <sheetViews>
    <sheetView zoomScale="85" zoomScaleNormal="85" workbookViewId="0">
      <selection activeCell="A68" sqref="A68"/>
    </sheetView>
  </sheetViews>
  <sheetFormatPr defaultRowHeight="15" x14ac:dyDescent="0.25"/>
  <cols>
    <col min="1" max="1" width="93.85546875" customWidth="1"/>
    <col min="2" max="2" width="6.140625" customWidth="1"/>
    <col min="3" max="3" width="24.5703125" customWidth="1"/>
    <col min="4" max="5" width="16.7109375" customWidth="1"/>
    <col min="6" max="6" width="12" customWidth="1"/>
    <col min="7" max="7" width="16" customWidth="1"/>
    <col min="8" max="8" width="9.28515625" style="21"/>
    <col min="9" max="9" width="9.7109375" style="21" bestFit="1" customWidth="1"/>
    <col min="10" max="10" width="16.28515625" style="21" customWidth="1"/>
    <col min="11" max="11" width="15.85546875" style="21" customWidth="1"/>
    <col min="12" max="12" width="9.28515625" style="21"/>
    <col min="13" max="13" width="12.28515625" style="21" customWidth="1"/>
    <col min="14" max="14" width="13.140625" style="21" customWidth="1"/>
    <col min="15" max="15" width="12.42578125" style="21" customWidth="1"/>
    <col min="16" max="16" width="13.85546875" style="21" customWidth="1"/>
    <col min="17" max="17" width="12.85546875" style="21" customWidth="1"/>
    <col min="18" max="18" width="13.7109375" style="21" customWidth="1"/>
    <col min="19" max="19" width="11.42578125" style="21" customWidth="1"/>
    <col min="20" max="21" width="9.28515625" style="21"/>
    <col min="22" max="22" width="12.5703125" style="21" customWidth="1"/>
    <col min="23" max="23" width="12.28515625" style="21" customWidth="1"/>
    <col min="24" max="24" width="13.28515625" style="21" customWidth="1"/>
    <col min="25" max="25" width="13.85546875" style="21" customWidth="1"/>
    <col min="26" max="26" width="15.140625" style="21" customWidth="1"/>
    <col min="27" max="27" width="15.28515625" style="21" customWidth="1"/>
    <col min="28" max="28" width="11.28515625" style="21" customWidth="1"/>
    <col min="29" max="29" width="9.28515625" style="21"/>
    <col min="30" max="30" width="14.5703125" style="21" customWidth="1"/>
    <col min="31" max="31" width="13.7109375" style="21" customWidth="1"/>
    <col min="32" max="32" width="14.5703125" style="21" customWidth="1"/>
    <col min="33" max="33" width="12.7109375" style="21" customWidth="1"/>
    <col min="34" max="34" width="13.7109375" style="21" customWidth="1"/>
    <col min="35" max="35" width="12.28515625" style="21" customWidth="1"/>
    <col min="36" max="37" width="11.7109375" style="21" customWidth="1"/>
    <col min="38" max="39" width="9.28515625" style="21"/>
    <col min="40" max="40" width="11.42578125" style="21" bestFit="1" customWidth="1"/>
    <col min="41" max="41" width="12.7109375" style="21" customWidth="1"/>
    <col min="42" max="42" width="11.5703125" style="21" customWidth="1"/>
    <col min="43" max="43" width="10.42578125" style="21" customWidth="1"/>
  </cols>
  <sheetData>
    <row r="1" spans="1:43" ht="21.75" thickBot="1" x14ac:dyDescent="0.3">
      <c r="A1" s="316" t="s">
        <v>172</v>
      </c>
      <c r="B1" s="37"/>
      <c r="H1" s="307" t="s">
        <v>136</v>
      </c>
      <c r="I1" s="307" t="s">
        <v>46</v>
      </c>
      <c r="J1" s="306" t="s">
        <v>138</v>
      </c>
      <c r="K1" s="306"/>
      <c r="L1" s="305" t="s">
        <v>85</v>
      </c>
      <c r="M1" s="305"/>
      <c r="N1" s="305"/>
      <c r="O1" s="305"/>
      <c r="P1" s="305"/>
      <c r="Q1" s="305"/>
      <c r="R1" s="305"/>
      <c r="S1" s="305"/>
      <c r="T1" s="305"/>
      <c r="U1" s="305" t="s">
        <v>86</v>
      </c>
      <c r="V1" s="305"/>
      <c r="W1" s="305"/>
      <c r="X1" s="305"/>
      <c r="Y1" s="305"/>
      <c r="Z1" s="305"/>
      <c r="AA1" s="305"/>
      <c r="AB1" s="305"/>
      <c r="AC1" s="305"/>
      <c r="AD1" s="305" t="s">
        <v>139</v>
      </c>
      <c r="AE1" s="305"/>
      <c r="AF1" s="305"/>
      <c r="AG1" s="305"/>
      <c r="AH1" s="305"/>
      <c r="AI1" s="305"/>
      <c r="AJ1" s="305"/>
      <c r="AK1" s="305"/>
      <c r="AL1" s="305" t="s">
        <v>135</v>
      </c>
      <c r="AM1" s="305"/>
      <c r="AN1" s="305"/>
      <c r="AO1" s="305"/>
      <c r="AP1" s="305"/>
      <c r="AQ1" s="305"/>
    </row>
    <row r="2" spans="1:43" ht="21.75" thickBot="1" x14ac:dyDescent="0.3">
      <c r="A2" s="317"/>
      <c r="B2" s="38"/>
      <c r="C2" s="49" t="s">
        <v>131</v>
      </c>
      <c r="D2" s="50" t="s">
        <v>132</v>
      </c>
      <c r="E2" s="51" t="s">
        <v>5</v>
      </c>
      <c r="F2" s="52" t="s">
        <v>133</v>
      </c>
      <c r="H2" s="308"/>
      <c r="I2" s="308"/>
      <c r="J2" s="24" t="s">
        <v>137</v>
      </c>
      <c r="K2" s="24" t="s">
        <v>164</v>
      </c>
      <c r="L2" s="14" t="s">
        <v>102</v>
      </c>
      <c r="M2" s="14" t="s">
        <v>140</v>
      </c>
      <c r="N2" s="14" t="s">
        <v>141</v>
      </c>
      <c r="O2" s="14" t="s">
        <v>160</v>
      </c>
      <c r="P2" s="14" t="s">
        <v>161</v>
      </c>
      <c r="Q2" s="14" t="s">
        <v>162</v>
      </c>
      <c r="R2" s="14" t="s">
        <v>163</v>
      </c>
      <c r="S2" s="23" t="s">
        <v>142</v>
      </c>
      <c r="T2" s="23" t="s">
        <v>143</v>
      </c>
      <c r="U2" s="14" t="s">
        <v>101</v>
      </c>
      <c r="V2" s="14" t="s">
        <v>144</v>
      </c>
      <c r="W2" s="14" t="s">
        <v>145</v>
      </c>
      <c r="X2" s="14" t="s">
        <v>146</v>
      </c>
      <c r="Y2" s="14" t="s">
        <v>147</v>
      </c>
      <c r="Z2" s="14" t="s">
        <v>148</v>
      </c>
      <c r="AA2" s="14" t="s">
        <v>149</v>
      </c>
      <c r="AB2" s="23" t="s">
        <v>142</v>
      </c>
      <c r="AC2" s="23" t="s">
        <v>143</v>
      </c>
      <c r="AD2" s="14" t="s">
        <v>150</v>
      </c>
      <c r="AE2" s="14" t="s">
        <v>151</v>
      </c>
      <c r="AF2" s="14" t="s">
        <v>152</v>
      </c>
      <c r="AG2" s="14" t="s">
        <v>153</v>
      </c>
      <c r="AH2" s="14" t="s">
        <v>154</v>
      </c>
      <c r="AI2" s="14" t="s">
        <v>155</v>
      </c>
      <c r="AJ2" s="23" t="s">
        <v>142</v>
      </c>
      <c r="AK2" s="23" t="s">
        <v>143</v>
      </c>
      <c r="AL2" s="14" t="s">
        <v>156</v>
      </c>
      <c r="AM2" s="14" t="s">
        <v>157</v>
      </c>
      <c r="AN2" s="14" t="s">
        <v>158</v>
      </c>
      <c r="AO2" s="14" t="s">
        <v>159</v>
      </c>
      <c r="AP2" s="23" t="s">
        <v>142</v>
      </c>
      <c r="AQ2" s="23" t="s">
        <v>143</v>
      </c>
    </row>
    <row r="3" spans="1:43" x14ac:dyDescent="0.25">
      <c r="C3" s="312" t="s">
        <v>85</v>
      </c>
      <c r="D3" s="25" t="s">
        <v>102</v>
      </c>
      <c r="E3" s="26">
        <f>A_PS</f>
        <v>0.67018069634200106</v>
      </c>
      <c r="F3" s="31" t="s">
        <v>88</v>
      </c>
      <c r="H3" s="14">
        <v>1</v>
      </c>
      <c r="I3" s="36">
        <f>10*10^H3</f>
        <v>100</v>
      </c>
      <c r="J3" s="24">
        <f>180+S3+AB3+AJ3+AP3</f>
        <v>99.713448623142042</v>
      </c>
      <c r="K3" s="24">
        <f>T3+AC3+AK3+AQ3</f>
        <v>20.628067856850308</v>
      </c>
      <c r="L3" s="14">
        <f t="shared" ref="L3:L66" si="0">A_PS</f>
        <v>0.67018069634200106</v>
      </c>
      <c r="M3" s="14">
        <f t="shared" ref="M3:M66" si="1">-180/PI()*ATAN($I3/z_RHP/1000)</f>
        <v>-0.58664616541384407</v>
      </c>
      <c r="N3" s="14">
        <f t="shared" ref="N3:N66" si="2">20*LOG(SQRT(($I3/z_RHP/1000)^2+1))</f>
        <v>4.5530152756475682E-4</v>
      </c>
      <c r="O3" s="14">
        <f t="shared" ref="O3:O66" si="3">-180/PI()*ATAN($I3/p_small)</f>
        <v>-24.223687360734221</v>
      </c>
      <c r="P3" s="14">
        <f t="shared" ref="P3:P66" si="4">-20*LOG(SQRT(($I3/p_small)^2+1))</f>
        <v>-0.80057404761059359</v>
      </c>
      <c r="Q3" s="14">
        <f t="shared" ref="Q3:Q66" si="5">-180/PI()*ATAN($I3/p_large/1000)</f>
        <v>-4.7732210156634078E-2</v>
      </c>
      <c r="R3" s="14">
        <f t="shared" ref="R3:R66" si="6">-20*LOG(SQRT(($I3/p_large/1000)^2+1))</f>
        <v>-3.0141314240703098E-6</v>
      </c>
      <c r="S3" s="23">
        <f>M3+O3+Q3</f>
        <v>-24.858065736304699</v>
      </c>
      <c r="T3" s="23">
        <f>20*LOG(L3)+N3+P3+R3</f>
        <v>-4.2762834720523086</v>
      </c>
      <c r="U3" s="14">
        <f t="shared" ref="U3:U66" si="7">A_EA</f>
        <v>20000</v>
      </c>
      <c r="V3" s="14">
        <f t="shared" ref="V3:V66" si="8">-180/PI()*ATAN($I3/p_EA)</f>
        <v>-89.958550432104516</v>
      </c>
      <c r="W3" s="14">
        <f t="shared" ref="W3:W66" si="9">-20*LOG(SQRT(($I3/p_EA)^2+1))</f>
        <v>-62.812053256499993</v>
      </c>
      <c r="X3" s="14">
        <f t="shared" ref="X3:X66" si="10">180/PI()*ATAN($I3/z_comp)</f>
        <v>34.65030443708276</v>
      </c>
      <c r="Y3" s="14">
        <f t="shared" ref="Y3:Y66" si="11">20*LOG(SQRT(($I3/z_comp)^2+1))</f>
        <v>1.6958299722167451</v>
      </c>
      <c r="Z3" s="14">
        <f t="shared" ref="Z3:Z66" si="12">IF(p_comp="",0,-180/PI()*ATAN($I3/p_comp/1000))</f>
        <v>-0.17999940782724266</v>
      </c>
      <c r="AA3" s="14">
        <f t="shared" ref="AA3:AA66" si="13">IF(p_comp="",0,-20*LOG(SQRT(($I3/p_comp/1000)^2+1)))</f>
        <v>-4.2862935779179559E-5</v>
      </c>
      <c r="AB3" s="23">
        <f>V3+X3+Z3</f>
        <v>-55.488245402849003</v>
      </c>
      <c r="AC3" s="23">
        <f>20*LOG(U3)+W3+Y3+AA3</f>
        <v>24.904333766060599</v>
      </c>
      <c r="AD3" s="14">
        <f t="shared" ref="AD3:AD66" si="14">IF(z_esr_1="",0,180/PI()*ATAN($I3/z_esr_1/1000))</f>
        <v>0.14399969680690186</v>
      </c>
      <c r="AE3" s="14">
        <f t="shared" ref="AE3:AE66" si="15">IF(z_esr_1="",0,20*LOG(SQRT(($I3/z_esr_1/1000)^2+1)))</f>
        <v>2.7432327632981025E-5</v>
      </c>
      <c r="AF3" s="14">
        <f t="shared" ref="AF3:AF66" si="16">180/PI()*ATAN($I3/z_esr_2/1000)</f>
        <v>2.1599999989767196E-3</v>
      </c>
      <c r="AG3" s="14">
        <f t="shared" ref="AG3:AG66" si="17">20*LOG(SQRT(($I3/z_esr_2/1000)^2+1))</f>
        <v>6.1722936667772485E-9</v>
      </c>
      <c r="AH3" s="14">
        <f t="shared" ref="AH3:AH66" si="18">IF(p_esr="",0,-180/PI()*ATAN($I3/p_esr/1000))</f>
        <v>-8.6399934510131948E-2</v>
      </c>
      <c r="AI3" s="14">
        <f t="shared" ref="AI3:AI66" si="19">IF(p_esr="",0,-20*LOG(SQRT(($I3/p_esr/1000)^2+1)))</f>
        <v>-9.8756579089483537E-6</v>
      </c>
      <c r="AJ3" s="23">
        <f>AD3+AF3+AH3</f>
        <v>5.9759762295746643E-2</v>
      </c>
      <c r="AK3" s="23">
        <f>AE3+AG3+AI3</f>
        <v>1.7562842017699447E-5</v>
      </c>
      <c r="AL3" s="14">
        <f t="shared" ref="AL3:AL66" si="20">IF(z_ff="",0,180/PI()*ATAN($I3/z_ff/1000))</f>
        <v>0</v>
      </c>
      <c r="AM3" s="14">
        <f t="shared" ref="AM3:AM66" si="21">IF(z_ff="",0,20*LOG(SQRT(($I3/z_ff/1000)^2+1)))</f>
        <v>0</v>
      </c>
      <c r="AN3" s="14">
        <f t="shared" ref="AN3:AN66" si="22">IF(p_ff="",0,-180/PI()*ATAN($I3/p_ff/1000))</f>
        <v>0</v>
      </c>
      <c r="AO3" s="14">
        <f t="shared" ref="AO3:AO66" si="23">IF(p_ff="",0,-20*LOG(SQRT(($I3/p_ff/1000)^2+1)))</f>
        <v>0</v>
      </c>
      <c r="AP3" s="23">
        <f>AL3+AN3</f>
        <v>0</v>
      </c>
      <c r="AQ3" s="23">
        <f>AM3+AO3</f>
        <v>0</v>
      </c>
    </row>
    <row r="4" spans="1:43" x14ac:dyDescent="0.25">
      <c r="C4" s="313"/>
      <c r="D4" s="22" t="s">
        <v>103</v>
      </c>
      <c r="E4" s="8">
        <f>z_RHP</f>
        <v>9.7663260533663081</v>
      </c>
      <c r="F4" s="27" t="s">
        <v>23</v>
      </c>
      <c r="H4" s="14">
        <v>1.01</v>
      </c>
      <c r="I4" s="36">
        <f t="shared" ref="I4:I67" si="24">10*10^H4</f>
        <v>102.32929922807543</v>
      </c>
      <c r="J4" s="24">
        <f t="shared" ref="J4:J67" si="25">180+S4+AB4+AJ4+AP4</f>
        <v>99.817054081504523</v>
      </c>
      <c r="K4" s="24">
        <f t="shared" ref="K4:K67" si="26">T4+AC4+AK4+AQ4</f>
        <v>20.45943388806932</v>
      </c>
      <c r="L4" s="14">
        <f t="shared" si="0"/>
        <v>0.67018069634200106</v>
      </c>
      <c r="M4" s="14">
        <f t="shared" si="1"/>
        <v>-0.60030992138164818</v>
      </c>
      <c r="N4" s="14">
        <f t="shared" si="2"/>
        <v>4.7675804974060734E-4</v>
      </c>
      <c r="O4" s="14">
        <f t="shared" si="3"/>
        <v>-24.72109248106938</v>
      </c>
      <c r="P4" s="14">
        <f t="shared" si="4"/>
        <v>-0.83489461325219483</v>
      </c>
      <c r="Q4" s="14">
        <f t="shared" si="5"/>
        <v>-4.8844035626816058E-2</v>
      </c>
      <c r="R4" s="14">
        <f t="shared" si="6"/>
        <v>-3.1561830100636443E-6</v>
      </c>
      <c r="S4" s="23">
        <f t="shared" ref="S4:S67" si="27">M4+O4+Q4</f>
        <v>-25.370246438077846</v>
      </c>
      <c r="T4" s="23">
        <f t="shared" ref="T4:T67" si="28">20*LOG(L4)+N4+P4+R4</f>
        <v>-4.3105827232233196</v>
      </c>
      <c r="U4" s="14">
        <f t="shared" si="7"/>
        <v>20000</v>
      </c>
      <c r="V4" s="14">
        <f t="shared" si="8"/>
        <v>-89.95949393914195</v>
      </c>
      <c r="W4" s="14">
        <f t="shared" si="9"/>
        <v>-63.01205315420296</v>
      </c>
      <c r="X4" s="14">
        <f t="shared" si="10"/>
        <v>35.269834828296439</v>
      </c>
      <c r="Y4" s="14">
        <f t="shared" si="11"/>
        <v>1.7614963446597052</v>
      </c>
      <c r="Z4" s="14">
        <f t="shared" si="12"/>
        <v>-0.18419210408617132</v>
      </c>
      <c r="AA4" s="14">
        <f t="shared" si="13"/>
        <v>-4.4882993269488599E-5</v>
      </c>
      <c r="AB4" s="23">
        <f t="shared" ref="AB4:AB67" si="29">V4+X4+Z4</f>
        <v>-54.873851214931683</v>
      </c>
      <c r="AC4" s="23">
        <f t="shared" ref="AC4:AC67" si="30">20*LOG(U4)+W4+Y4+AA4</f>
        <v>24.769998220743101</v>
      </c>
      <c r="AD4" s="14">
        <f t="shared" si="14"/>
        <v>0.14735386601122877</v>
      </c>
      <c r="AE4" s="14">
        <f t="shared" si="15"/>
        <v>2.8725169129670444E-5</v>
      </c>
      <c r="AF4" s="14">
        <f t="shared" si="16"/>
        <v>2.2103128622299648E-3</v>
      </c>
      <c r="AG4" s="14">
        <f t="shared" si="17"/>
        <v>6.463183046851467E-9</v>
      </c>
      <c r="AH4" s="14">
        <f t="shared" si="18"/>
        <v>-8.8412444359403777E-2</v>
      </c>
      <c r="AI4" s="14">
        <f t="shared" si="19"/>
        <v>-1.0341082773076304E-5</v>
      </c>
      <c r="AJ4" s="23">
        <f t="shared" ref="AJ4:AJ67" si="31">AD4+AF4+AH4</f>
        <v>6.1151734514054965E-2</v>
      </c>
      <c r="AK4" s="23">
        <f t="shared" ref="AK4:AK67" si="32">AE4+AG4+AI4</f>
        <v>1.8390549539640991E-5</v>
      </c>
      <c r="AL4" s="14">
        <f t="shared" si="20"/>
        <v>0</v>
      </c>
      <c r="AM4" s="14">
        <f t="shared" si="21"/>
        <v>0</v>
      </c>
      <c r="AN4" s="14">
        <f t="shared" si="22"/>
        <v>0</v>
      </c>
      <c r="AO4" s="14">
        <f t="shared" si="23"/>
        <v>0</v>
      </c>
      <c r="AP4" s="23">
        <f t="shared" ref="AP4:AP67" si="33">AL4+AN4</f>
        <v>0</v>
      </c>
      <c r="AQ4" s="23">
        <f t="shared" ref="AQ4:AQ67" si="34">AM4+AO4</f>
        <v>0</v>
      </c>
    </row>
    <row r="5" spans="1:43" x14ac:dyDescent="0.25">
      <c r="C5" s="313"/>
      <c r="D5" s="22" t="s">
        <v>104</v>
      </c>
      <c r="E5" s="8">
        <f>p_small</f>
        <v>222.26428648175383</v>
      </c>
      <c r="F5" s="27" t="s">
        <v>94</v>
      </c>
      <c r="H5" s="14">
        <v>1.02</v>
      </c>
      <c r="I5" s="36">
        <f t="shared" si="24"/>
        <v>104.71285480508999</v>
      </c>
      <c r="J5" s="24">
        <f t="shared" si="25"/>
        <v>99.917539434488063</v>
      </c>
      <c r="K5" s="24">
        <f t="shared" si="26"/>
        <v>20.291518628904594</v>
      </c>
      <c r="L5" s="14">
        <f t="shared" si="0"/>
        <v>0.67018069634200106</v>
      </c>
      <c r="M5" s="14">
        <f t="shared" si="1"/>
        <v>-0.61429187641169702</v>
      </c>
      <c r="N5" s="14">
        <f t="shared" si="2"/>
        <v>4.9922567303260117E-4</v>
      </c>
      <c r="O5" s="14">
        <f t="shared" si="3"/>
        <v>-25.226000076971193</v>
      </c>
      <c r="P5" s="14">
        <f t="shared" si="4"/>
        <v>-0.87054430956284679</v>
      </c>
      <c r="Q5" s="14">
        <f t="shared" si="5"/>
        <v>-4.9981758801005673E-2</v>
      </c>
      <c r="R5" s="14">
        <f t="shared" si="6"/>
        <v>-3.3049292764759599E-6</v>
      </c>
      <c r="S5" s="23">
        <f t="shared" si="27"/>
        <v>-25.890273712183898</v>
      </c>
      <c r="T5" s="23">
        <f t="shared" si="28"/>
        <v>-4.346210100656946</v>
      </c>
      <c r="U5" s="14">
        <f t="shared" si="7"/>
        <v>20000</v>
      </c>
      <c r="V5" s="14">
        <f t="shared" si="8"/>
        <v>-89.960415969358408</v>
      </c>
      <c r="W5" s="14">
        <f t="shared" si="9"/>
        <v>-63.212053056510051</v>
      </c>
      <c r="X5" s="14">
        <f t="shared" si="10"/>
        <v>35.894135445663977</v>
      </c>
      <c r="Y5" s="14">
        <f t="shared" si="11"/>
        <v>1.8292096137787355</v>
      </c>
      <c r="Z5" s="14">
        <f t="shared" si="12"/>
        <v>-0.18848245874425454</v>
      </c>
      <c r="AA5" s="14">
        <f t="shared" si="13"/>
        <v>-4.6998252128918952E-5</v>
      </c>
      <c r="AB5" s="23">
        <f t="shared" si="29"/>
        <v>-54.254762982438685</v>
      </c>
      <c r="AC5" s="23">
        <f t="shared" si="30"/>
        <v>24.637709472296184</v>
      </c>
      <c r="AD5" s="14">
        <f t="shared" si="14"/>
        <v>0.15078616280720325</v>
      </c>
      <c r="AE5" s="14">
        <f t="shared" si="15"/>
        <v>3.0078939954205577E-5</v>
      </c>
      <c r="AF5" s="14">
        <f t="shared" si="16"/>
        <v>2.2617976626150608E-3</v>
      </c>
      <c r="AG5" s="14">
        <f t="shared" si="17"/>
        <v>6.7677851634796591E-9</v>
      </c>
      <c r="AH5" s="14">
        <f t="shared" si="18"/>
        <v>-9.0471831359178481E-2</v>
      </c>
      <c r="AI5" s="14">
        <f t="shared" si="19"/>
        <v>-1.0828442381938814E-5</v>
      </c>
      <c r="AJ5" s="23">
        <f t="shared" si="31"/>
        <v>6.2576129110639825E-2</v>
      </c>
      <c r="AK5" s="23">
        <f t="shared" si="32"/>
        <v>1.9257265357430245E-5</v>
      </c>
      <c r="AL5" s="14">
        <f t="shared" si="20"/>
        <v>0</v>
      </c>
      <c r="AM5" s="14">
        <f t="shared" si="21"/>
        <v>0</v>
      </c>
      <c r="AN5" s="14">
        <f t="shared" si="22"/>
        <v>0</v>
      </c>
      <c r="AO5" s="14">
        <f t="shared" si="23"/>
        <v>0</v>
      </c>
      <c r="AP5" s="23">
        <f t="shared" si="33"/>
        <v>0</v>
      </c>
      <c r="AQ5" s="23">
        <f t="shared" si="34"/>
        <v>0</v>
      </c>
    </row>
    <row r="6" spans="1:43" ht="15.75" thickBot="1" x14ac:dyDescent="0.3">
      <c r="C6" s="314"/>
      <c r="D6" s="28" t="s">
        <v>105</v>
      </c>
      <c r="E6" s="29">
        <f>p_large</f>
        <v>120.03585434255163</v>
      </c>
      <c r="F6" s="30" t="s">
        <v>23</v>
      </c>
      <c r="H6" s="14">
        <v>1.03</v>
      </c>
      <c r="I6" s="36">
        <f t="shared" si="24"/>
        <v>107.15193052376068</v>
      </c>
      <c r="J6" s="24">
        <f t="shared" si="25"/>
        <v>100.01467875185992</v>
      </c>
      <c r="K6" s="24">
        <f t="shared" si="26"/>
        <v>20.124312807626836</v>
      </c>
      <c r="L6" s="14">
        <f t="shared" si="0"/>
        <v>0.67018069634200106</v>
      </c>
      <c r="M6" s="14">
        <f t="shared" si="1"/>
        <v>-0.62859943725665779</v>
      </c>
      <c r="N6" s="14">
        <f t="shared" si="2"/>
        <v>5.2275203821058728E-4</v>
      </c>
      <c r="O6" s="14">
        <f t="shared" si="3"/>
        <v>-25.738364123396128</v>
      </c>
      <c r="P6" s="14">
        <f t="shared" si="4"/>
        <v>-0.90756310767316783</v>
      </c>
      <c r="Q6" s="14">
        <f t="shared" si="5"/>
        <v>-5.1145982911498522E-2</v>
      </c>
      <c r="R6" s="14">
        <f t="shared" si="6"/>
        <v>-3.4606857334267763E-6</v>
      </c>
      <c r="S6" s="23">
        <f t="shared" si="27"/>
        <v>-26.418109543564285</v>
      </c>
      <c r="T6" s="23">
        <f t="shared" si="28"/>
        <v>-4.3832055281585456</v>
      </c>
      <c r="U6" s="14">
        <f t="shared" si="7"/>
        <v>20000</v>
      </c>
      <c r="V6" s="14">
        <f t="shared" si="8"/>
        <v>-89.961317011624587</v>
      </c>
      <c r="W6" s="14">
        <f t="shared" si="9"/>
        <v>-63.412052963214038</v>
      </c>
      <c r="X6" s="14">
        <f t="shared" si="10"/>
        <v>36.522944352219497</v>
      </c>
      <c r="Y6" s="14">
        <f t="shared" si="11"/>
        <v>1.8990004340909197</v>
      </c>
      <c r="Z6" s="14">
        <f t="shared" si="12"/>
        <v>-0.19287274641175808</v>
      </c>
      <c r="AA6" s="14">
        <f t="shared" si="13"/>
        <v>-4.92131989638291E-5</v>
      </c>
      <c r="AB6" s="23">
        <f t="shared" si="29"/>
        <v>-53.631245405816848</v>
      </c>
      <c r="AC6" s="23">
        <f t="shared" si="30"/>
        <v>24.507498170957543</v>
      </c>
      <c r="AD6" s="14">
        <f t="shared" si="14"/>
        <v>0.15429840694542468</v>
      </c>
      <c r="AE6" s="14">
        <f t="shared" si="15"/>
        <v>3.1496511580298162E-5</v>
      </c>
      <c r="AF6" s="14">
        <f t="shared" si="16"/>
        <v>2.3144816980543207E-3</v>
      </c>
      <c r="AG6" s="14">
        <f t="shared" si="17"/>
        <v>7.0867403300976473E-9</v>
      </c>
      <c r="AH6" s="14">
        <f t="shared" si="18"/>
        <v>-9.257918740240606E-2</v>
      </c>
      <c r="AI6" s="14">
        <f t="shared" si="19"/>
        <v>-1.1338770483752407E-5</v>
      </c>
      <c r="AJ6" s="23">
        <f t="shared" si="31"/>
        <v>6.4033701241072938E-2</v>
      </c>
      <c r="AK6" s="23">
        <f t="shared" si="32"/>
        <v>2.0164827836875851E-5</v>
      </c>
      <c r="AL6" s="14">
        <f t="shared" si="20"/>
        <v>0</v>
      </c>
      <c r="AM6" s="14">
        <f t="shared" si="21"/>
        <v>0</v>
      </c>
      <c r="AN6" s="14">
        <f t="shared" si="22"/>
        <v>0</v>
      </c>
      <c r="AO6" s="14">
        <f t="shared" si="23"/>
        <v>0</v>
      </c>
      <c r="AP6" s="23">
        <f t="shared" si="33"/>
        <v>0</v>
      </c>
      <c r="AQ6" s="23">
        <f t="shared" si="34"/>
        <v>0</v>
      </c>
    </row>
    <row r="7" spans="1:43" x14ac:dyDescent="0.25">
      <c r="C7" s="315" t="s">
        <v>86</v>
      </c>
      <c r="D7" s="25" t="s">
        <v>101</v>
      </c>
      <c r="E7" s="26">
        <f>A_EA</f>
        <v>20000</v>
      </c>
      <c r="F7" s="31" t="s">
        <v>113</v>
      </c>
      <c r="H7" s="14">
        <v>1.04</v>
      </c>
      <c r="I7" s="36">
        <f t="shared" si="24"/>
        <v>109.64781961431854</v>
      </c>
      <c r="J7" s="24">
        <f t="shared" si="25"/>
        <v>100.10824549841597</v>
      </c>
      <c r="K7" s="24">
        <f t="shared" si="26"/>
        <v>19.957805284453272</v>
      </c>
      <c r="L7" s="14">
        <f t="shared" si="0"/>
        <v>0.67018069634200106</v>
      </c>
      <c r="M7" s="14">
        <f t="shared" si="1"/>
        <v>-0.64324018283315054</v>
      </c>
      <c r="N7" s="14">
        <f t="shared" si="2"/>
        <v>5.4738703022370969E-4</v>
      </c>
      <c r="O7" s="14">
        <f t="shared" si="3"/>
        <v>-26.258128446704003</v>
      </c>
      <c r="P7" s="14">
        <f t="shared" si="4"/>
        <v>-0.94599129182967578</v>
      </c>
      <c r="Q7" s="14">
        <f t="shared" si="5"/>
        <v>-5.2337325241480583E-2</v>
      </c>
      <c r="R7" s="14">
        <f t="shared" si="6"/>
        <v>-3.6237827589911826E-6</v>
      </c>
      <c r="S7" s="23">
        <f t="shared" si="27"/>
        <v>-26.953705954778634</v>
      </c>
      <c r="T7" s="23">
        <f t="shared" si="28"/>
        <v>-4.4216092404200671</v>
      </c>
      <c r="U7" s="14">
        <f t="shared" si="7"/>
        <v>20000</v>
      </c>
      <c r="V7" s="14">
        <f t="shared" si="8"/>
        <v>-89.962197543683232</v>
      </c>
      <c r="W7" s="14">
        <f t="shared" si="9"/>
        <v>-63.612052874117033</v>
      </c>
      <c r="X7" s="14">
        <f t="shared" si="10"/>
        <v>37.155989067902247</v>
      </c>
      <c r="Y7" s="14">
        <f t="shared" si="11"/>
        <v>1.9708979030805773</v>
      </c>
      <c r="Z7" s="14">
        <f t="shared" si="12"/>
        <v>-0.1973652946709806</v>
      </c>
      <c r="AA7" s="14">
        <f t="shared" si="13"/>
        <v>-5.1532531815641195E-5</v>
      </c>
      <c r="AB7" s="23">
        <f t="shared" si="29"/>
        <v>-53.003573770451965</v>
      </c>
      <c r="AC7" s="23">
        <f t="shared" si="30"/>
        <v>24.379393409711351</v>
      </c>
      <c r="AD7" s="14">
        <f t="shared" si="14"/>
        <v>0.15789246055858039</v>
      </c>
      <c r="AE7" s="14">
        <f t="shared" si="15"/>
        <v>3.2980890803908895E-5</v>
      </c>
      <c r="AF7" s="14">
        <f t="shared" si="16"/>
        <v>2.3683929023203343E-3</v>
      </c>
      <c r="AG7" s="14">
        <f t="shared" si="17"/>
        <v>7.4207274332397284E-9</v>
      </c>
      <c r="AH7" s="14">
        <f t="shared" si="18"/>
        <v>-9.4735629814335184E-2</v>
      </c>
      <c r="AI7" s="14">
        <f t="shared" si="19"/>
        <v>-1.1873149542142156E-5</v>
      </c>
      <c r="AJ7" s="23">
        <f t="shared" si="31"/>
        <v>6.5525223646565531E-2</v>
      </c>
      <c r="AK7" s="23">
        <f t="shared" si="32"/>
        <v>2.1115161989199978E-5</v>
      </c>
      <c r="AL7" s="14">
        <f t="shared" si="20"/>
        <v>0</v>
      </c>
      <c r="AM7" s="14">
        <f t="shared" si="21"/>
        <v>0</v>
      </c>
      <c r="AN7" s="14">
        <f t="shared" si="22"/>
        <v>0</v>
      </c>
      <c r="AO7" s="14">
        <f t="shared" si="23"/>
        <v>0</v>
      </c>
      <c r="AP7" s="23">
        <f t="shared" si="33"/>
        <v>0</v>
      </c>
      <c r="AQ7" s="23">
        <f t="shared" si="34"/>
        <v>0</v>
      </c>
    </row>
    <row r="8" spans="1:43" x14ac:dyDescent="0.25">
      <c r="C8" s="313"/>
      <c r="D8" s="22" t="s">
        <v>106</v>
      </c>
      <c r="E8" s="8">
        <f>p_EA</f>
        <v>7.2343155950861507E-2</v>
      </c>
      <c r="F8" s="27" t="s">
        <v>94</v>
      </c>
      <c r="H8" s="14">
        <v>1.05</v>
      </c>
      <c r="I8" s="36">
        <f t="shared" si="24"/>
        <v>112.20184543019636</v>
      </c>
      <c r="J8" s="24">
        <f t="shared" si="25"/>
        <v>100.19801333085866</v>
      </c>
      <c r="K8" s="24">
        <f t="shared" si="26"/>
        <v>19.791983014444728</v>
      </c>
      <c r="L8" s="14">
        <f t="shared" si="0"/>
        <v>0.67018069634200106</v>
      </c>
      <c r="M8" s="14">
        <f t="shared" si="1"/>
        <v>-0.65822186820612105</v>
      </c>
      <c r="N8" s="14">
        <f t="shared" si="2"/>
        <v>5.7318288387008898E-4</v>
      </c>
      <c r="O8" s="14">
        <f t="shared" si="3"/>
        <v>-26.785226389612507</v>
      </c>
      <c r="P8" s="14">
        <f t="shared" si="4"/>
        <v>-0.9858693901889195</v>
      </c>
      <c r="Q8" s="14">
        <f t="shared" si="5"/>
        <v>-5.3556417452301587E-2</v>
      </c>
      <c r="R8" s="14">
        <f t="shared" si="6"/>
        <v>-3.7945663050831707E-6</v>
      </c>
      <c r="S8" s="23">
        <f t="shared" si="27"/>
        <v>-27.497004675270929</v>
      </c>
      <c r="T8" s="23">
        <f t="shared" si="28"/>
        <v>-4.4614617137092099</v>
      </c>
      <c r="U8" s="14">
        <f t="shared" si="7"/>
        <v>20000</v>
      </c>
      <c r="V8" s="14">
        <f t="shared" si="8"/>
        <v>-89.963058032402444</v>
      </c>
      <c r="W8" s="14">
        <f t="shared" si="9"/>
        <v>-63.812052789030062</v>
      </c>
      <c r="X8" s="14">
        <f t="shared" si="10"/>
        <v>37.792987036778129</v>
      </c>
      <c r="Y8" s="14">
        <f t="shared" si="11"/>
        <v>2.0449294547909629</v>
      </c>
      <c r="Z8" s="14">
        <f t="shared" si="12"/>
        <v>-0.20196248530938329</v>
      </c>
      <c r="AA8" s="14">
        <f t="shared" si="13"/>
        <v>-5.3961170129174394E-5</v>
      </c>
      <c r="AB8" s="23">
        <f t="shared" si="29"/>
        <v>-52.372033480933695</v>
      </c>
      <c r="AC8" s="23">
        <f t="shared" si="30"/>
        <v>24.253422617870399</v>
      </c>
      <c r="AD8" s="14">
        <f t="shared" si="14"/>
        <v>0.16157022914826866</v>
      </c>
      <c r="AE8" s="14">
        <f t="shared" si="15"/>
        <v>3.453522612094723E-5</v>
      </c>
      <c r="AF8" s="14">
        <f t="shared" si="16"/>
        <v>2.4235598598468192E-3</v>
      </c>
      <c r="AG8" s="14">
        <f t="shared" si="17"/>
        <v>7.7704562179189134E-9</v>
      </c>
      <c r="AH8" s="14">
        <f t="shared" si="18"/>
        <v>-9.6942301944824935E-2</v>
      </c>
      <c r="AI8" s="14">
        <f t="shared" si="19"/>
        <v>-1.2432713038908737E-5</v>
      </c>
      <c r="AJ8" s="23">
        <f t="shared" si="31"/>
        <v>6.7051487063290546E-2</v>
      </c>
      <c r="AK8" s="23">
        <f t="shared" si="32"/>
        <v>2.2110283538256408E-5</v>
      </c>
      <c r="AL8" s="14">
        <f t="shared" si="20"/>
        <v>0</v>
      </c>
      <c r="AM8" s="14">
        <f t="shared" si="21"/>
        <v>0</v>
      </c>
      <c r="AN8" s="14">
        <f t="shared" si="22"/>
        <v>0</v>
      </c>
      <c r="AO8" s="14">
        <f t="shared" si="23"/>
        <v>0</v>
      </c>
      <c r="AP8" s="23">
        <f t="shared" si="33"/>
        <v>0</v>
      </c>
      <c r="AQ8" s="23">
        <f t="shared" si="34"/>
        <v>0</v>
      </c>
    </row>
    <row r="9" spans="1:43" x14ac:dyDescent="0.25">
      <c r="C9" s="313"/>
      <c r="D9" s="22" t="s">
        <v>107</v>
      </c>
      <c r="E9" s="8">
        <f>z_comp</f>
        <v>144.68631190172303</v>
      </c>
      <c r="F9" s="27" t="s">
        <v>94</v>
      </c>
      <c r="H9" s="14">
        <v>1.06</v>
      </c>
      <c r="I9" s="36">
        <f t="shared" si="24"/>
        <v>114.81536214968834</v>
      </c>
      <c r="J9" s="24">
        <f t="shared" si="25"/>
        <v>100.28375693065162</v>
      </c>
      <c r="K9" s="24">
        <f t="shared" si="26"/>
        <v>19.626831019291622</v>
      </c>
      <c r="L9" s="14">
        <f t="shared" si="0"/>
        <v>0.67018069634200106</v>
      </c>
      <c r="M9" s="14">
        <f t="shared" si="1"/>
        <v>-0.67355242866417486</v>
      </c>
      <c r="N9" s="14">
        <f t="shared" si="2"/>
        <v>6.0019429442317764E-4</v>
      </c>
      <c r="O9" s="14">
        <f t="shared" si="3"/>
        <v>-27.319580495382365</v>
      </c>
      <c r="P9" s="14">
        <f t="shared" si="4"/>
        <v>-1.0272381006724596</v>
      </c>
      <c r="Q9" s="14">
        <f t="shared" si="5"/>
        <v>-5.4803905918370567E-2</v>
      </c>
      <c r="R9" s="14">
        <f t="shared" si="6"/>
        <v>-3.9733986226250987E-6</v>
      </c>
      <c r="S9" s="23">
        <f t="shared" si="27"/>
        <v>-28.047936829964907</v>
      </c>
      <c r="T9" s="23">
        <f t="shared" si="28"/>
        <v>-4.5028035916145139</v>
      </c>
      <c r="U9" s="14">
        <f t="shared" si="7"/>
        <v>20000</v>
      </c>
      <c r="V9" s="14">
        <f t="shared" si="8"/>
        <v>-89.963898934023177</v>
      </c>
      <c r="W9" s="14">
        <f t="shared" si="9"/>
        <v>-64.012052707772625</v>
      </c>
      <c r="X9" s="14">
        <f t="shared" si="10"/>
        <v>38.433646149579872</v>
      </c>
      <c r="Y9" s="14">
        <f t="shared" si="11"/>
        <v>2.1211207573611199</v>
      </c>
      <c r="Z9" s="14">
        <f t="shared" si="12"/>
        <v>-0.20666675558139025</v>
      </c>
      <c r="AA9" s="14">
        <f t="shared" si="13"/>
        <v>-5.6504265185698805E-5</v>
      </c>
      <c r="AB9" s="23">
        <f t="shared" si="29"/>
        <v>-51.736919540024694</v>
      </c>
      <c r="AC9" s="23">
        <f t="shared" si="30"/>
        <v>24.129611458602934</v>
      </c>
      <c r="AD9" s="14">
        <f t="shared" si="14"/>
        <v>0.16533366259478061</v>
      </c>
      <c r="AE9" s="14">
        <f t="shared" si="15"/>
        <v>3.6162814407734993E-5</v>
      </c>
      <c r="AF9" s="14">
        <f t="shared" si="16"/>
        <v>2.4800118208844709E-3</v>
      </c>
      <c r="AG9" s="14">
        <f t="shared" si="17"/>
        <v>8.1366672876269217E-9</v>
      </c>
      <c r="AH9" s="14">
        <f t="shared" si="18"/>
        <v>-9.9200373774447348E-2</v>
      </c>
      <c r="AI9" s="14">
        <f t="shared" si="19"/>
        <v>-1.3018647875152379E-5</v>
      </c>
      <c r="AJ9" s="23">
        <f t="shared" si="31"/>
        <v>6.8613300641217734E-2</v>
      </c>
      <c r="AK9" s="23">
        <f t="shared" si="32"/>
        <v>2.3152303199870238E-5</v>
      </c>
      <c r="AL9" s="14">
        <f t="shared" si="20"/>
        <v>0</v>
      </c>
      <c r="AM9" s="14">
        <f t="shared" si="21"/>
        <v>0</v>
      </c>
      <c r="AN9" s="14">
        <f t="shared" si="22"/>
        <v>0</v>
      </c>
      <c r="AO9" s="14">
        <f t="shared" si="23"/>
        <v>0</v>
      </c>
      <c r="AP9" s="23">
        <f t="shared" si="33"/>
        <v>0</v>
      </c>
      <c r="AQ9" s="23">
        <f t="shared" si="34"/>
        <v>0</v>
      </c>
    </row>
    <row r="10" spans="1:43" ht="15.75" thickBot="1" x14ac:dyDescent="0.3">
      <c r="C10" s="314"/>
      <c r="D10" s="28" t="s">
        <v>108</v>
      </c>
      <c r="E10" s="29">
        <f>p_comp</f>
        <v>31.830988618379067</v>
      </c>
      <c r="F10" s="30" t="s">
        <v>23</v>
      </c>
      <c r="H10" s="14">
        <v>1.07</v>
      </c>
      <c r="I10" s="36">
        <f t="shared" si="24"/>
        <v>117.489755493953</v>
      </c>
      <c r="J10" s="24">
        <f t="shared" si="25"/>
        <v>100.36525286822844</v>
      </c>
      <c r="K10" s="24">
        <f t="shared" si="26"/>
        <v>19.462332368693943</v>
      </c>
      <c r="L10" s="14">
        <f t="shared" si="0"/>
        <v>0.67018069634200106</v>
      </c>
      <c r="M10" s="14">
        <f t="shared" si="1"/>
        <v>-0.68923998388785757</v>
      </c>
      <c r="N10" s="14">
        <f t="shared" si="2"/>
        <v>6.2847853347422987E-4</v>
      </c>
      <c r="O10" s="14">
        <f t="shared" si="3"/>
        <v>-27.861102214284841</v>
      </c>
      <c r="P10" s="14">
        <f t="shared" si="4"/>
        <v>-1.0701382119492211</v>
      </c>
      <c r="Q10" s="14">
        <f t="shared" si="5"/>
        <v>-5.6080452069850892E-2</v>
      </c>
      <c r="R10" s="14">
        <f t="shared" si="6"/>
        <v>-4.1606590407190246E-6</v>
      </c>
      <c r="S10" s="23">
        <f t="shared" si="27"/>
        <v>-28.60642265024255</v>
      </c>
      <c r="T10" s="23">
        <f t="shared" si="28"/>
        <v>-4.5456756059126429</v>
      </c>
      <c r="U10" s="14">
        <f t="shared" si="7"/>
        <v>20000</v>
      </c>
      <c r="V10" s="14">
        <f t="shared" si="8"/>
        <v>-89.964720694401137</v>
      </c>
      <c r="W10" s="14">
        <f t="shared" si="9"/>
        <v>-64.21205263017238</v>
      </c>
      <c r="X10" s="14">
        <f t="shared" si="10"/>
        <v>39.077665319998978</v>
      </c>
      <c r="Y10" s="14">
        <f t="shared" si="11"/>
        <v>2.1994956152791931</v>
      </c>
      <c r="Z10" s="14">
        <f t="shared" si="12"/>
        <v>-0.21148059949952144</v>
      </c>
      <c r="AA10" s="14">
        <f t="shared" si="13"/>
        <v>-5.9167211021916972E-5</v>
      </c>
      <c r="AB10" s="23">
        <f t="shared" si="29"/>
        <v>-51.098535973901683</v>
      </c>
      <c r="AC10" s="23">
        <f t="shared" si="30"/>
        <v>24.007983731175418</v>
      </c>
      <c r="AD10" s="14">
        <f t="shared" si="14"/>
        <v>0.16918475619037321</v>
      </c>
      <c r="AE10" s="14">
        <f t="shared" si="15"/>
        <v>3.7867107913873918E-5</v>
      </c>
      <c r="AF10" s="14">
        <f t="shared" si="16"/>
        <v>2.5377787170098184E-3</v>
      </c>
      <c r="AG10" s="14">
        <f t="shared" si="17"/>
        <v>8.520135961644017E-9</v>
      </c>
      <c r="AH10" s="14">
        <f t="shared" si="18"/>
        <v>-0.10151104253470125</v>
      </c>
      <c r="AI10" s="14">
        <f t="shared" si="19"/>
        <v>-1.3632196884253815E-5</v>
      </c>
      <c r="AJ10" s="23">
        <f t="shared" si="31"/>
        <v>7.0211492372681789E-2</v>
      </c>
      <c r="AK10" s="23">
        <f t="shared" si="32"/>
        <v>2.4243431165581745E-5</v>
      </c>
      <c r="AL10" s="14">
        <f t="shared" si="20"/>
        <v>0</v>
      </c>
      <c r="AM10" s="14">
        <f t="shared" si="21"/>
        <v>0</v>
      </c>
      <c r="AN10" s="14">
        <f t="shared" si="22"/>
        <v>0</v>
      </c>
      <c r="AO10" s="14">
        <f t="shared" si="23"/>
        <v>0</v>
      </c>
      <c r="AP10" s="23">
        <f t="shared" si="33"/>
        <v>0</v>
      </c>
      <c r="AQ10" s="23">
        <f t="shared" si="34"/>
        <v>0</v>
      </c>
    </row>
    <row r="11" spans="1:43" x14ac:dyDescent="0.25">
      <c r="C11" s="312" t="s">
        <v>134</v>
      </c>
      <c r="D11" s="25" t="s">
        <v>120</v>
      </c>
      <c r="E11" s="26">
        <f>z_esr_1</f>
        <v>39.788735772973837</v>
      </c>
      <c r="F11" s="31" t="s">
        <v>23</v>
      </c>
      <c r="H11" s="14">
        <v>1.08</v>
      </c>
      <c r="I11" s="36">
        <f t="shared" si="24"/>
        <v>120.22644346174133</v>
      </c>
      <c r="J11" s="24">
        <f t="shared" si="25"/>
        <v>100.44228049333223</v>
      </c>
      <c r="K11" s="24">
        <f t="shared" si="26"/>
        <v>19.298468171982634</v>
      </c>
      <c r="L11" s="14">
        <f t="shared" si="0"/>
        <v>0.67018069634200106</v>
      </c>
      <c r="M11" s="14">
        <f t="shared" si="1"/>
        <v>-0.70529284221291044</v>
      </c>
      <c r="N11" s="14">
        <f t="shared" si="2"/>
        <v>6.5809557021166492E-4</v>
      </c>
      <c r="O11" s="14">
        <f t="shared" si="3"/>
        <v>-28.409691635472921</v>
      </c>
      <c r="P11" s="14">
        <f t="shared" si="4"/>
        <v>-1.1146105196551432</v>
      </c>
      <c r="Q11" s="14">
        <f t="shared" si="5"/>
        <v>-5.7386732743336909E-2</v>
      </c>
      <c r="R11" s="14">
        <f t="shared" si="6"/>
        <v>-4.3567447612467807E-6</v>
      </c>
      <c r="S11" s="23">
        <f t="shared" si="27"/>
        <v>-29.172371210429166</v>
      </c>
      <c r="T11" s="23">
        <f t="shared" si="28"/>
        <v>-4.590118492667548</v>
      </c>
      <c r="U11" s="14">
        <f t="shared" si="7"/>
        <v>20000</v>
      </c>
      <c r="V11" s="14">
        <f t="shared" si="8"/>
        <v>-89.965523749243218</v>
      </c>
      <c r="W11" s="14">
        <f t="shared" si="9"/>
        <v>-64.412052556064722</v>
      </c>
      <c r="X11" s="14">
        <f t="shared" si="10"/>
        <v>39.724735112629247</v>
      </c>
      <c r="Y11" s="14">
        <f t="shared" si="11"/>
        <v>2.2800758771093759</v>
      </c>
      <c r="Z11" s="14">
        <f t="shared" si="12"/>
        <v>-0.21640656915554035</v>
      </c>
      <c r="AA11" s="14">
        <f t="shared" si="13"/>
        <v>-6.195565587922288E-5</v>
      </c>
      <c r="AB11" s="23">
        <f t="shared" si="29"/>
        <v>-50.457195205769509</v>
      </c>
      <c r="AC11" s="23">
        <f t="shared" si="30"/>
        <v>23.888561278668398</v>
      </c>
      <c r="AD11" s="14">
        <f t="shared" si="14"/>
        <v>0.17312555169657978</v>
      </c>
      <c r="AE11" s="14">
        <f t="shared" si="15"/>
        <v>3.9651721582942388E-5</v>
      </c>
      <c r="AF11" s="14">
        <f t="shared" si="16"/>
        <v>2.596891176995355E-3</v>
      </c>
      <c r="AG11" s="14">
        <f t="shared" si="17"/>
        <v>8.9216780610037781E-9</v>
      </c>
      <c r="AH11" s="14">
        <f t="shared" si="18"/>
        <v>-0.10387553334266671</v>
      </c>
      <c r="AI11" s="14">
        <f t="shared" si="19"/>
        <v>-1.4274661475998326E-5</v>
      </c>
      <c r="AJ11" s="23">
        <f t="shared" si="31"/>
        <v>7.1846909530908429E-2</v>
      </c>
      <c r="AK11" s="23">
        <f t="shared" si="32"/>
        <v>2.5385981785005069E-5</v>
      </c>
      <c r="AL11" s="14">
        <f t="shared" si="20"/>
        <v>0</v>
      </c>
      <c r="AM11" s="14">
        <f t="shared" si="21"/>
        <v>0</v>
      </c>
      <c r="AN11" s="14">
        <f t="shared" si="22"/>
        <v>0</v>
      </c>
      <c r="AO11" s="14">
        <f t="shared" si="23"/>
        <v>0</v>
      </c>
      <c r="AP11" s="23">
        <f t="shared" si="33"/>
        <v>0</v>
      </c>
      <c r="AQ11" s="23">
        <f t="shared" si="34"/>
        <v>0</v>
      </c>
    </row>
    <row r="12" spans="1:43" x14ac:dyDescent="0.25">
      <c r="C12" s="313"/>
      <c r="D12" s="22" t="s">
        <v>121</v>
      </c>
      <c r="E12" s="8">
        <f>z_esr_2</f>
        <v>2652.582384864922</v>
      </c>
      <c r="F12" s="27" t="s">
        <v>23</v>
      </c>
      <c r="H12" s="14">
        <v>1.0900000000000001</v>
      </c>
      <c r="I12" s="36">
        <f t="shared" si="24"/>
        <v>123.02687708123818</v>
      </c>
      <c r="J12" s="24">
        <f t="shared" si="25"/>
        <v>100.51462284568889</v>
      </c>
      <c r="K12" s="24">
        <f t="shared" si="26"/>
        <v>19.13521758056002</v>
      </c>
      <c r="L12" s="14">
        <f t="shared" si="0"/>
        <v>0.67018069634200106</v>
      </c>
      <c r="M12" s="14">
        <f t="shared" si="1"/>
        <v>-0.72171950499055593</v>
      </c>
      <c r="N12" s="14">
        <f t="shared" si="2"/>
        <v>6.8910819841393547E-4</v>
      </c>
      <c r="O12" s="14">
        <f t="shared" si="3"/>
        <v>-28.965237247419299</v>
      </c>
      <c r="P12" s="14">
        <f t="shared" si="4"/>
        <v>-1.1606957380059415</v>
      </c>
      <c r="Q12" s="14">
        <f t="shared" si="5"/>
        <v>-5.8723440540697322E-2</v>
      </c>
      <c r="R12" s="14">
        <f t="shared" si="6"/>
        <v>-4.5620717094004752E-6</v>
      </c>
      <c r="S12" s="23">
        <f t="shared" si="27"/>
        <v>-29.745680192950552</v>
      </c>
      <c r="T12" s="23">
        <f t="shared" si="28"/>
        <v>-4.6361729037170925</v>
      </c>
      <c r="U12" s="14">
        <f t="shared" si="7"/>
        <v>20000</v>
      </c>
      <c r="V12" s="14">
        <f t="shared" si="8"/>
        <v>-89.966308524338459</v>
      </c>
      <c r="W12" s="14">
        <f t="shared" si="9"/>
        <v>-64.612052485292452</v>
      </c>
      <c r="X12" s="14">
        <f t="shared" si="10"/>
        <v>40.374538419931483</v>
      </c>
      <c r="Y12" s="14">
        <f t="shared" si="11"/>
        <v>2.3628813494256402</v>
      </c>
      <c r="Z12" s="14">
        <f t="shared" si="12"/>
        <v>-0.22144727607230799</v>
      </c>
      <c r="AA12" s="14">
        <f t="shared" si="13"/>
        <v>-6.4875514175514087E-5</v>
      </c>
      <c r="AB12" s="23">
        <f t="shared" si="29"/>
        <v>-49.813217380479287</v>
      </c>
      <c r="AC12" s="23">
        <f t="shared" si="30"/>
        <v>23.771363901898638</v>
      </c>
      <c r="AD12" s="14">
        <f t="shared" si="14"/>
        <v>0.17715813842611389</v>
      </c>
      <c r="AE12" s="14">
        <f t="shared" si="15"/>
        <v>4.1520440716446853E-5</v>
      </c>
      <c r="AF12" s="14">
        <f t="shared" si="16"/>
        <v>2.6573805430493073E-3</v>
      </c>
      <c r="AG12" s="14">
        <f t="shared" si="17"/>
        <v>9.3421441225282853E-9</v>
      </c>
      <c r="AH12" s="14">
        <f t="shared" si="18"/>
        <v>-0.10629509985043438</v>
      </c>
      <c r="AI12" s="14">
        <f t="shared" si="19"/>
        <v>-1.494740438676987E-5</v>
      </c>
      <c r="AJ12" s="23">
        <f t="shared" si="31"/>
        <v>7.3520419118728822E-2</v>
      </c>
      <c r="AK12" s="23">
        <f t="shared" si="32"/>
        <v>2.6582378473799512E-5</v>
      </c>
      <c r="AL12" s="14">
        <f t="shared" si="20"/>
        <v>0</v>
      </c>
      <c r="AM12" s="14">
        <f t="shared" si="21"/>
        <v>0</v>
      </c>
      <c r="AN12" s="14">
        <f t="shared" si="22"/>
        <v>0</v>
      </c>
      <c r="AO12" s="14">
        <f t="shared" si="23"/>
        <v>0</v>
      </c>
      <c r="AP12" s="23">
        <f t="shared" si="33"/>
        <v>0</v>
      </c>
      <c r="AQ12" s="23">
        <f t="shared" si="34"/>
        <v>0</v>
      </c>
    </row>
    <row r="13" spans="1:43" ht="15.75" thickBot="1" x14ac:dyDescent="0.3">
      <c r="C13" s="314"/>
      <c r="D13" s="28" t="s">
        <v>122</v>
      </c>
      <c r="E13" s="29">
        <f>p_esr</f>
        <v>66.314559621623062</v>
      </c>
      <c r="F13" s="30" t="s">
        <v>23</v>
      </c>
      <c r="H13" s="14">
        <v>1.1000000000000001</v>
      </c>
      <c r="I13" s="36">
        <f t="shared" si="24"/>
        <v>125.8925411794168</v>
      </c>
      <c r="J13" s="24">
        <f t="shared" si="25"/>
        <v>100.58206757968843</v>
      </c>
      <c r="K13" s="24">
        <f t="shared" si="26"/>
        <v>18.972557801654819</v>
      </c>
      <c r="L13" s="14">
        <f t="shared" si="0"/>
        <v>0.67018069634200106</v>
      </c>
      <c r="M13" s="14">
        <f t="shared" si="1"/>
        <v>-0.73852867104691422</v>
      </c>
      <c r="N13" s="14">
        <f t="shared" si="2"/>
        <v>7.2158216939383578E-4</v>
      </c>
      <c r="O13" s="14">
        <f t="shared" si="3"/>
        <v>-29.527615730097654</v>
      </c>
      <c r="P13" s="14">
        <f t="shared" si="4"/>
        <v>-1.2084344070074295</v>
      </c>
      <c r="Q13" s="14">
        <f t="shared" si="5"/>
        <v>-6.0091284196275997E-2</v>
      </c>
      <c r="R13" s="14">
        <f t="shared" si="6"/>
        <v>-4.7770754073562559E-6</v>
      </c>
      <c r="S13" s="23">
        <f t="shared" si="27"/>
        <v>-30.326235685340844</v>
      </c>
      <c r="T13" s="23">
        <f t="shared" si="28"/>
        <v>-4.683879313751298</v>
      </c>
      <c r="U13" s="14">
        <f t="shared" si="7"/>
        <v>20000</v>
      </c>
      <c r="V13" s="14">
        <f t="shared" si="8"/>
        <v>-89.967075435783812</v>
      </c>
      <c r="W13" s="14">
        <f t="shared" si="9"/>
        <v>-64.812052417705459</v>
      </c>
      <c r="X13" s="14">
        <f t="shared" si="10"/>
        <v>41.026751185072399</v>
      </c>
      <c r="Y13" s="14">
        <f t="shared" si="11"/>
        <v>2.4479297176521535</v>
      </c>
      <c r="Z13" s="14">
        <f t="shared" si="12"/>
        <v>-0.22660539258705586</v>
      </c>
      <c r="AA13" s="14">
        <f t="shared" si="13"/>
        <v>-6.7932979051619764E-5</v>
      </c>
      <c r="AB13" s="23">
        <f t="shared" si="29"/>
        <v>-49.166929643298467</v>
      </c>
      <c r="AC13" s="23">
        <f t="shared" si="30"/>
        <v>23.656409280247271</v>
      </c>
      <c r="AD13" s="14">
        <f t="shared" si="14"/>
        <v>0.18128465434993832</v>
      </c>
      <c r="AE13" s="14">
        <f t="shared" si="15"/>
        <v>4.3477229006095687E-5</v>
      </c>
      <c r="AF13" s="14">
        <f t="shared" si="16"/>
        <v>2.7192788874336902E-3</v>
      </c>
      <c r="AG13" s="14">
        <f t="shared" si="17"/>
        <v>9.7824251847928811E-9</v>
      </c>
      <c r="AH13" s="14">
        <f t="shared" si="18"/>
        <v>-0.10877102490965466</v>
      </c>
      <c r="AI13" s="14">
        <f t="shared" si="19"/>
        <v>-1.5651852584031003E-5</v>
      </c>
      <c r="AJ13" s="23">
        <f t="shared" si="31"/>
        <v>7.5232908327717354E-2</v>
      </c>
      <c r="AK13" s="23">
        <f t="shared" si="32"/>
        <v>2.7835158847249479E-5</v>
      </c>
      <c r="AL13" s="14">
        <f t="shared" si="20"/>
        <v>0</v>
      </c>
      <c r="AM13" s="14">
        <f t="shared" si="21"/>
        <v>0</v>
      </c>
      <c r="AN13" s="14">
        <f t="shared" si="22"/>
        <v>0</v>
      </c>
      <c r="AO13" s="14">
        <f t="shared" si="23"/>
        <v>0</v>
      </c>
      <c r="AP13" s="23">
        <f t="shared" si="33"/>
        <v>0</v>
      </c>
      <c r="AQ13" s="23">
        <f t="shared" si="34"/>
        <v>0</v>
      </c>
    </row>
    <row r="14" spans="1:43" x14ac:dyDescent="0.25">
      <c r="C14" s="312" t="s">
        <v>135</v>
      </c>
      <c r="D14" s="25" t="s">
        <v>129</v>
      </c>
      <c r="E14" s="26" t="str">
        <f>z_ff</f>
        <v/>
      </c>
      <c r="F14" s="31" t="s">
        <v>23</v>
      </c>
      <c r="H14" s="14">
        <v>1.1100000000000001</v>
      </c>
      <c r="I14" s="36">
        <f t="shared" si="24"/>
        <v>128.82495516931345</v>
      </c>
      <c r="J14" s="24">
        <f t="shared" si="25"/>
        <v>100.64440789627034</v>
      </c>
      <c r="K14" s="24">
        <f t="shared" si="26"/>
        <v>18.810464123794382</v>
      </c>
      <c r="L14" s="14">
        <f t="shared" si="0"/>
        <v>0.67018069634200106</v>
      </c>
      <c r="M14" s="14">
        <f t="shared" si="1"/>
        <v>-0.75572924124368634</v>
      </c>
      <c r="N14" s="14">
        <f t="shared" si="2"/>
        <v>7.5558633122270425E-4</v>
      </c>
      <c r="O14" s="14">
        <f t="shared" si="3"/>
        <v>-30.096691782063449</v>
      </c>
      <c r="P14" s="14">
        <f t="shared" si="4"/>
        <v>-1.2578667955181333</v>
      </c>
      <c r="Q14" s="14">
        <f t="shared" si="5"/>
        <v>-6.1490988952644293E-2</v>
      </c>
      <c r="R14" s="14">
        <f t="shared" si="6"/>
        <v>-5.0022119058070399E-6</v>
      </c>
      <c r="S14" s="23">
        <f t="shared" si="27"/>
        <v>-30.913912012259779</v>
      </c>
      <c r="T14" s="23">
        <f t="shared" si="28"/>
        <v>-4.7332779232366722</v>
      </c>
      <c r="U14" s="14">
        <f t="shared" si="7"/>
        <v>20000</v>
      </c>
      <c r="V14" s="14">
        <f t="shared" si="8"/>
        <v>-89.967824890204795</v>
      </c>
      <c r="W14" s="14">
        <f t="shared" si="9"/>
        <v>-65.012052353160385</v>
      </c>
      <c r="X14" s="14">
        <f t="shared" si="10"/>
        <v>41.68104316699371</v>
      </c>
      <c r="Y14" s="14">
        <f t="shared" si="11"/>
        <v>2.5352364744671947</v>
      </c>
      <c r="Z14" s="14">
        <f t="shared" si="12"/>
        <v>-0.23188365326680352</v>
      </c>
      <c r="AA14" s="14">
        <f t="shared" si="13"/>
        <v>-7.1134535498118694E-5</v>
      </c>
      <c r="AB14" s="23">
        <f t="shared" si="29"/>
        <v>-48.518665376477891</v>
      </c>
      <c r="AC14" s="23">
        <f t="shared" si="30"/>
        <v>23.543712900050934</v>
      </c>
      <c r="AD14" s="14">
        <f t="shared" si="14"/>
        <v>0.18550728723008217</v>
      </c>
      <c r="AE14" s="14">
        <f t="shared" si="15"/>
        <v>4.5526236942105514E-5</v>
      </c>
      <c r="AF14" s="14">
        <f t="shared" si="16"/>
        <v>2.7826190294694361E-3</v>
      </c>
      <c r="AG14" s="14">
        <f t="shared" si="17"/>
        <v>1.0243456645436006E-8</v>
      </c>
      <c r="AH14" s="14">
        <f t="shared" si="18"/>
        <v>-0.1113046212515577</v>
      </c>
      <c r="AI14" s="14">
        <f t="shared" si="19"/>
        <v>-1.6389500278800355E-5</v>
      </c>
      <c r="AJ14" s="23">
        <f t="shared" si="31"/>
        <v>7.6985285007993912E-2</v>
      </c>
      <c r="AK14" s="23">
        <f t="shared" si="32"/>
        <v>2.9146980119950595E-5</v>
      </c>
      <c r="AL14" s="14">
        <f t="shared" si="20"/>
        <v>0</v>
      </c>
      <c r="AM14" s="14">
        <f t="shared" si="21"/>
        <v>0</v>
      </c>
      <c r="AN14" s="14">
        <f t="shared" si="22"/>
        <v>0</v>
      </c>
      <c r="AO14" s="14">
        <f t="shared" si="23"/>
        <v>0</v>
      </c>
      <c r="AP14" s="23">
        <f t="shared" si="33"/>
        <v>0</v>
      </c>
      <c r="AQ14" s="23">
        <f t="shared" si="34"/>
        <v>0</v>
      </c>
    </row>
    <row r="15" spans="1:43" ht="15.75" thickBot="1" x14ac:dyDescent="0.3">
      <c r="C15" s="314"/>
      <c r="D15" s="28" t="s">
        <v>130</v>
      </c>
      <c r="E15" s="29" t="str">
        <f>p_ff</f>
        <v/>
      </c>
      <c r="F15" s="30" t="s">
        <v>23</v>
      </c>
      <c r="H15" s="14">
        <v>1.1200000000000001</v>
      </c>
      <c r="I15" s="36">
        <f t="shared" si="24"/>
        <v>131.82567385564076</v>
      </c>
      <c r="J15" s="24">
        <f t="shared" si="25"/>
        <v>100.7014434747997</v>
      </c>
      <c r="K15" s="24">
        <f t="shared" si="26"/>
        <v>18.648909954292328</v>
      </c>
      <c r="L15" s="14">
        <f t="shared" si="0"/>
        <v>0.67018069634200106</v>
      </c>
      <c r="M15" s="14">
        <f t="shared" si="1"/>
        <v>-0.77333032314227534</v>
      </c>
      <c r="N15" s="14">
        <f t="shared" si="2"/>
        <v>7.911927744664258E-4</v>
      </c>
      <c r="O15" s="14">
        <f t="shared" si="3"/>
        <v>-30.672317985534804</v>
      </c>
      <c r="P15" s="14">
        <f t="shared" si="4"/>
        <v>-1.3090328004710363</v>
      </c>
      <c r="Q15" s="14">
        <f t="shared" si="5"/>
        <v>-6.2923296945104817E-2</v>
      </c>
      <c r="R15" s="14">
        <f t="shared" si="6"/>
        <v>-5.2379587463529965E-6</v>
      </c>
      <c r="S15" s="23">
        <f t="shared" si="27"/>
        <v>-31.508571605622183</v>
      </c>
      <c r="T15" s="23">
        <f t="shared" si="28"/>
        <v>-4.7844085574931716</v>
      </c>
      <c r="U15" s="14">
        <f t="shared" si="7"/>
        <v>20000</v>
      </c>
      <c r="V15" s="14">
        <f t="shared" si="8"/>
        <v>-89.968557284971027</v>
      </c>
      <c r="W15" s="14">
        <f t="shared" si="9"/>
        <v>-65.212052291520308</v>
      </c>
      <c r="X15" s="14">
        <f t="shared" si="10"/>
        <v>42.337078743600664</v>
      </c>
      <c r="Y15" s="14">
        <f t="shared" si="11"/>
        <v>2.6248148563755827</v>
      </c>
      <c r="Z15" s="14">
        <f t="shared" si="12"/>
        <v>-0.2372848563566656</v>
      </c>
      <c r="AA15" s="14">
        <f t="shared" si="13"/>
        <v>-7.4486974124251076E-5</v>
      </c>
      <c r="AB15" s="23">
        <f t="shared" si="29"/>
        <v>-47.868763397727029</v>
      </c>
      <c r="AC15" s="23">
        <f t="shared" si="30"/>
        <v>23.433287991160775</v>
      </c>
      <c r="AD15" s="14">
        <f t="shared" si="14"/>
        <v>0.18982827577880382</v>
      </c>
      <c r="AE15" s="14">
        <f t="shared" si="15"/>
        <v>4.7671810612963741E-5</v>
      </c>
      <c r="AF15" s="14">
        <f t="shared" si="16"/>
        <v>2.8474345529376404E-3</v>
      </c>
      <c r="AG15" s="14">
        <f t="shared" si="17"/>
        <v>1.0726216332504235E-8</v>
      </c>
      <c r="AH15" s="14">
        <f t="shared" si="18"/>
        <v>-0.11389723218280436</v>
      </c>
      <c r="AI15" s="14">
        <f t="shared" si="19"/>
        <v>-1.7161912103986547E-5</v>
      </c>
      <c r="AJ15" s="23">
        <f t="shared" si="31"/>
        <v>7.8778478148937112E-2</v>
      </c>
      <c r="AK15" s="23">
        <f t="shared" si="32"/>
        <v>3.0520624725309704E-5</v>
      </c>
      <c r="AL15" s="14">
        <f t="shared" si="20"/>
        <v>0</v>
      </c>
      <c r="AM15" s="14">
        <f t="shared" si="21"/>
        <v>0</v>
      </c>
      <c r="AN15" s="14">
        <f t="shared" si="22"/>
        <v>0</v>
      </c>
      <c r="AO15" s="14">
        <f t="shared" si="23"/>
        <v>0</v>
      </c>
      <c r="AP15" s="23">
        <f t="shared" si="33"/>
        <v>0</v>
      </c>
      <c r="AQ15" s="23">
        <f t="shared" si="34"/>
        <v>0</v>
      </c>
    </row>
    <row r="16" spans="1:43" x14ac:dyDescent="0.25">
      <c r="C16" s="309" t="s">
        <v>165</v>
      </c>
      <c r="D16" s="40" t="s">
        <v>166</v>
      </c>
      <c r="E16" s="32">
        <f>(INDEX(I3:I503, 1+MATCH(0,K3:K503,-1))/1000+INDEX(I3:I503, MATCH(0,K3:K503,-1))/1000)/2</f>
        <v>1.4963348183022087</v>
      </c>
      <c r="F16" s="41" t="s">
        <v>23</v>
      </c>
      <c r="H16" s="14">
        <v>1.1299999999999999</v>
      </c>
      <c r="I16" s="36">
        <f t="shared" si="24"/>
        <v>134.89628825916535</v>
      </c>
      <c r="J16" s="24">
        <f t="shared" si="25"/>
        <v>100.75298139738219</v>
      </c>
      <c r="K16" s="24">
        <f t="shared" si="26"/>
        <v>18.487866868936607</v>
      </c>
      <c r="L16" s="14">
        <f t="shared" si="0"/>
        <v>0.67018069634200106</v>
      </c>
      <c r="M16" s="14">
        <f t="shared" si="1"/>
        <v>-0.79134123577355642</v>
      </c>
      <c r="N16" s="14">
        <f t="shared" si="2"/>
        <v>8.2847698479806425E-4</v>
      </c>
      <c r="O16" s="14">
        <f t="shared" si="3"/>
        <v>-31.25433471247997</v>
      </c>
      <c r="P16" s="14">
        <f t="shared" si="4"/>
        <v>-1.3619718426139724</v>
      </c>
      <c r="Q16" s="14">
        <f t="shared" si="5"/>
        <v>-6.4388967595149185E-2</v>
      </c>
      <c r="R16" s="14">
        <f t="shared" si="6"/>
        <v>-5.4848159817508751E-6</v>
      </c>
      <c r="S16" s="23">
        <f t="shared" si="27"/>
        <v>-32.110064915848675</v>
      </c>
      <c r="T16" s="23">
        <f t="shared" si="28"/>
        <v>-4.8373105622830108</v>
      </c>
      <c r="U16" s="14">
        <f t="shared" si="7"/>
        <v>20000</v>
      </c>
      <c r="V16" s="14">
        <f t="shared" si="8"/>
        <v>-89.969273008406958</v>
      </c>
      <c r="W16" s="14">
        <f t="shared" si="9"/>
        <v>-65.412052232654489</v>
      </c>
      <c r="X16" s="14">
        <f t="shared" si="10"/>
        <v>42.994517748528573</v>
      </c>
      <c r="Y16" s="14">
        <f t="shared" si="11"/>
        <v>2.7166757889938054</v>
      </c>
      <c r="Z16" s="14">
        <f t="shared" si="12"/>
        <v>-0.24281186526180637</v>
      </c>
      <c r="AA16" s="14">
        <f t="shared" si="13"/>
        <v>-7.7997405539980333E-5</v>
      </c>
      <c r="AB16" s="23">
        <f t="shared" si="29"/>
        <v>-47.217567125140192</v>
      </c>
      <c r="AC16" s="23">
        <f t="shared" si="30"/>
        <v>23.3251454722134</v>
      </c>
      <c r="AD16" s="14">
        <f t="shared" si="14"/>
        <v>0.19424991084470905</v>
      </c>
      <c r="AE16" s="14">
        <f t="shared" si="15"/>
        <v>4.9918500917856685E-5</v>
      </c>
      <c r="AF16" s="14">
        <f t="shared" si="16"/>
        <v>2.9137598238861157E-3</v>
      </c>
      <c r="AG16" s="14">
        <f t="shared" si="17"/>
        <v>1.1231726433107169E-8</v>
      </c>
      <c r="AH16" s="14">
        <f t="shared" si="18"/>
        <v>-0.11655023229753569</v>
      </c>
      <c r="AI16" s="14">
        <f t="shared" si="19"/>
        <v>-1.7970726427719304E-5</v>
      </c>
      <c r="AJ16" s="23">
        <f t="shared" si="31"/>
        <v>8.061343837105947E-2</v>
      </c>
      <c r="AK16" s="23">
        <f t="shared" si="32"/>
        <v>3.1959006216570495E-5</v>
      </c>
      <c r="AL16" s="14">
        <f t="shared" si="20"/>
        <v>0</v>
      </c>
      <c r="AM16" s="14">
        <f t="shared" si="21"/>
        <v>0</v>
      </c>
      <c r="AN16" s="14">
        <f t="shared" si="22"/>
        <v>0</v>
      </c>
      <c r="AO16" s="14">
        <f t="shared" si="23"/>
        <v>0</v>
      </c>
      <c r="AP16" s="23">
        <f t="shared" si="33"/>
        <v>0</v>
      </c>
      <c r="AQ16" s="23">
        <f t="shared" si="34"/>
        <v>0</v>
      </c>
    </row>
    <row r="17" spans="3:43" x14ac:dyDescent="0.25">
      <c r="C17" s="310"/>
      <c r="D17" s="39" t="s">
        <v>167</v>
      </c>
      <c r="E17" s="7">
        <f>(INDEX(J3:J503, 1+MATCH(0,K3:K503,-1))+INDEX(J3:J503, MATCH(0,K3:K503,-1)))/2</f>
        <v>81.70610467695542</v>
      </c>
      <c r="F17" s="35" t="s">
        <v>169</v>
      </c>
      <c r="H17" s="14">
        <v>1.1399999999999999</v>
      </c>
      <c r="I17" s="36">
        <f t="shared" si="24"/>
        <v>138.03842646028852</v>
      </c>
      <c r="J17" s="24">
        <f t="shared" si="25"/>
        <v>100.79883705781718</v>
      </c>
      <c r="K17" s="24">
        <f t="shared" si="26"/>
        <v>18.32730467394159</v>
      </c>
      <c r="L17" s="14">
        <f t="shared" si="0"/>
        <v>0.67018069634200106</v>
      </c>
      <c r="M17" s="14">
        <f t="shared" si="1"/>
        <v>-0.80977151451554219</v>
      </c>
      <c r="N17" s="14">
        <f t="shared" si="2"/>
        <v>8.6751800275923084E-4</v>
      </c>
      <c r="O17" s="14">
        <f t="shared" si="3"/>
        <v>-31.84257007458352</v>
      </c>
      <c r="P17" s="14">
        <f t="shared" si="4"/>
        <v>-1.416722759181352</v>
      </c>
      <c r="Q17" s="14">
        <f t="shared" si="5"/>
        <v>-6.5888778013079352E-2</v>
      </c>
      <c r="R17" s="14">
        <f t="shared" si="6"/>
        <v>-5.7433072231636215E-6</v>
      </c>
      <c r="S17" s="23">
        <f t="shared" si="27"/>
        <v>-32.718230367112142</v>
      </c>
      <c r="T17" s="23">
        <f t="shared" si="28"/>
        <v>-4.8920226963236715</v>
      </c>
      <c r="U17" s="14">
        <f t="shared" si="7"/>
        <v>20000</v>
      </c>
      <c r="V17" s="14">
        <f t="shared" si="8"/>
        <v>-89.969972439997719</v>
      </c>
      <c r="W17" s="14">
        <f t="shared" si="9"/>
        <v>-65.612052176438084</v>
      </c>
      <c r="X17" s="14">
        <f t="shared" si="10"/>
        <v>43.653016336561556</v>
      </c>
      <c r="Y17" s="14">
        <f t="shared" si="11"/>
        <v>2.8108278415237198</v>
      </c>
      <c r="Z17" s="14">
        <f t="shared" si="12"/>
        <v>-0.24846761006382145</v>
      </c>
      <c r="AA17" s="14">
        <f t="shared" si="13"/>
        <v>-8.1673275449550148E-5</v>
      </c>
      <c r="AB17" s="23">
        <f t="shared" si="29"/>
        <v>-46.565423713499982</v>
      </c>
      <c r="AC17" s="23">
        <f t="shared" si="30"/>
        <v>23.21929390508981</v>
      </c>
      <c r="AD17" s="14">
        <f t="shared" si="14"/>
        <v>0.1987745366264507</v>
      </c>
      <c r="AE17" s="14">
        <f t="shared" si="15"/>
        <v>5.2271073228401324E-5</v>
      </c>
      <c r="AF17" s="14">
        <f t="shared" si="16"/>
        <v>2.9816300088507303E-3</v>
      </c>
      <c r="AG17" s="14">
        <f t="shared" si="17"/>
        <v>1.1761061208037122E-8</v>
      </c>
      <c r="AH17" s="14">
        <f t="shared" si="18"/>
        <v>-0.11926502820599837</v>
      </c>
      <c r="AI17" s="14">
        <f t="shared" si="19"/>
        <v>-1.8817658838321413E-5</v>
      </c>
      <c r="AJ17" s="23">
        <f t="shared" si="31"/>
        <v>8.2491138429303071E-2</v>
      </c>
      <c r="AK17" s="23">
        <f t="shared" si="32"/>
        <v>3.3465175451287944E-5</v>
      </c>
      <c r="AL17" s="14">
        <f t="shared" si="20"/>
        <v>0</v>
      </c>
      <c r="AM17" s="14">
        <f t="shared" si="21"/>
        <v>0</v>
      </c>
      <c r="AN17" s="14">
        <f t="shared" si="22"/>
        <v>0</v>
      </c>
      <c r="AO17" s="14">
        <f t="shared" si="23"/>
        <v>0</v>
      </c>
      <c r="AP17" s="23">
        <f t="shared" si="33"/>
        <v>0</v>
      </c>
      <c r="AQ17" s="23">
        <f t="shared" si="34"/>
        <v>0</v>
      </c>
    </row>
    <row r="18" spans="3:43" ht="15.75" thickBot="1" x14ac:dyDescent="0.3">
      <c r="C18" s="311"/>
      <c r="D18" s="42" t="s">
        <v>168</v>
      </c>
      <c r="E18" s="33">
        <f>(INDEX(K3:K503, 1+MATCH(0,J3:J503,-1))+INDEX(K3:K503, 1+MATCH(0,J3:J503,-1)))/2</f>
        <v>-16.051470143018729</v>
      </c>
      <c r="F18" s="34" t="s">
        <v>26</v>
      </c>
      <c r="H18" s="14">
        <v>1.1499999999999999</v>
      </c>
      <c r="I18" s="36">
        <f t="shared" si="24"/>
        <v>141.25375446227542</v>
      </c>
      <c r="J18" s="24">
        <f t="shared" si="25"/>
        <v>100.83883504723076</v>
      </c>
      <c r="K18" s="24">
        <f t="shared" si="26"/>
        <v>18.167191480099518</v>
      </c>
      <c r="L18" s="14">
        <f t="shared" si="0"/>
        <v>0.67018069634200106</v>
      </c>
      <c r="M18" s="14">
        <f t="shared" si="1"/>
        <v>-0.8286309160812263</v>
      </c>
      <c r="N18" s="14">
        <f t="shared" si="2"/>
        <v>9.0839859105783965E-4</v>
      </c>
      <c r="O18" s="14">
        <f t="shared" si="3"/>
        <v>-32.436839919786941</v>
      </c>
      <c r="P18" s="14">
        <f t="shared" si="4"/>
        <v>-1.4733236939623764</v>
      </c>
      <c r="Q18" s="14">
        <f t="shared" si="5"/>
        <v>-6.7423523410004918E-2</v>
      </c>
      <c r="R18" s="14">
        <f t="shared" si="6"/>
        <v>-6.0139807664838721E-6</v>
      </c>
      <c r="S18" s="23">
        <f t="shared" si="27"/>
        <v>-33.332894359278171</v>
      </c>
      <c r="T18" s="23">
        <f t="shared" si="28"/>
        <v>-4.9485830211899406</v>
      </c>
      <c r="U18" s="14">
        <f t="shared" si="7"/>
        <v>20000</v>
      </c>
      <c r="V18" s="14">
        <f t="shared" si="8"/>
        <v>-89.97065595059037</v>
      </c>
      <c r="W18" s="14">
        <f t="shared" si="9"/>
        <v>-65.812052122751808</v>
      </c>
      <c r="X18" s="14">
        <f t="shared" si="10"/>
        <v>44.312227872443607</v>
      </c>
      <c r="Y18" s="14">
        <f t="shared" si="11"/>
        <v>2.9072771908150101</v>
      </c>
      <c r="Z18" s="14">
        <f t="shared" si="12"/>
        <v>-0.25425508907234029</v>
      </c>
      <c r="AA18" s="14">
        <f t="shared" si="13"/>
        <v>-8.5522380437233432E-5</v>
      </c>
      <c r="AB18" s="23">
        <f t="shared" si="29"/>
        <v>-45.9126831672191</v>
      </c>
      <c r="AC18" s="23">
        <f t="shared" si="30"/>
        <v>23.115739458962388</v>
      </c>
      <c r="AD18" s="14">
        <f t="shared" si="14"/>
        <v>0.20340455191464715</v>
      </c>
      <c r="AE18" s="14">
        <f t="shared" si="15"/>
        <v>5.4734517491958974E-5</v>
      </c>
      <c r="AF18" s="14">
        <f t="shared" si="16"/>
        <v>3.0510810935011528E-3</v>
      </c>
      <c r="AG18" s="14">
        <f t="shared" si="17"/>
        <v>1.2315343134459213E-8</v>
      </c>
      <c r="AH18" s="14">
        <f t="shared" si="18"/>
        <v>-0.12204305928013036</v>
      </c>
      <c r="AI18" s="14">
        <f t="shared" si="19"/>
        <v>-1.9704505764276186E-5</v>
      </c>
      <c r="AJ18" s="23">
        <f t="shared" si="31"/>
        <v>8.4412573728017956E-2</v>
      </c>
      <c r="AK18" s="23">
        <f t="shared" si="32"/>
        <v>3.5042327070817242E-5</v>
      </c>
      <c r="AL18" s="14">
        <f t="shared" si="20"/>
        <v>0</v>
      </c>
      <c r="AM18" s="14">
        <f t="shared" si="21"/>
        <v>0</v>
      </c>
      <c r="AN18" s="14">
        <f t="shared" si="22"/>
        <v>0</v>
      </c>
      <c r="AO18" s="14">
        <f t="shared" si="23"/>
        <v>0</v>
      </c>
      <c r="AP18" s="23">
        <f t="shared" si="33"/>
        <v>0</v>
      </c>
      <c r="AQ18" s="23">
        <f t="shared" si="34"/>
        <v>0</v>
      </c>
    </row>
    <row r="19" spans="3:43" x14ac:dyDescent="0.25">
      <c r="H19" s="14">
        <v>1.1599999999999999</v>
      </c>
      <c r="I19" s="36">
        <f t="shared" si="24"/>
        <v>144.54397707459276</v>
      </c>
      <c r="J19" s="24">
        <f t="shared" si="25"/>
        <v>100.87281000837449</v>
      </c>
      <c r="K19" s="24">
        <f t="shared" si="26"/>
        <v>18.007493788933591</v>
      </c>
      <c r="L19" s="14">
        <f t="shared" si="0"/>
        <v>0.67018069634200106</v>
      </c>
      <c r="M19" s="14">
        <f t="shared" si="1"/>
        <v>-0.84792942361893286</v>
      </c>
      <c r="N19" s="14">
        <f t="shared" si="2"/>
        <v>9.5120540968557453E-4</v>
      </c>
      <c r="O19" s="14">
        <f t="shared" si="3"/>
        <v>-33.03694787788006</v>
      </c>
      <c r="P19" s="14">
        <f t="shared" si="4"/>
        <v>-1.5318119852822401</v>
      </c>
      <c r="Q19" s="14">
        <f t="shared" si="5"/>
        <v>-6.8994017519435485E-2</v>
      </c>
      <c r="R19" s="14">
        <f t="shared" si="6"/>
        <v>-6.2974107437289165E-6</v>
      </c>
      <c r="S19" s="23">
        <f t="shared" si="27"/>
        <v>-33.953871319018432</v>
      </c>
      <c r="T19" s="23">
        <f t="shared" si="28"/>
        <v>-5.0070287891211542</v>
      </c>
      <c r="U19" s="14">
        <f t="shared" si="7"/>
        <v>20000</v>
      </c>
      <c r="V19" s="14">
        <f t="shared" si="8"/>
        <v>-89.971323902590512</v>
      </c>
      <c r="W19" s="14">
        <f t="shared" si="9"/>
        <v>-66.012052071481833</v>
      </c>
      <c r="X19" s="14">
        <f t="shared" si="10"/>
        <v>44.971803837548215</v>
      </c>
      <c r="Y19" s="14">
        <f t="shared" si="11"/>
        <v>3.0060275953352007</v>
      </c>
      <c r="Z19" s="14">
        <f t="shared" si="12"/>
        <v>-0.26017737041266514</v>
      </c>
      <c r="AA19" s="14">
        <f t="shared" si="13"/>
        <v>-8.9552884499256592E-5</v>
      </c>
      <c r="AB19" s="23">
        <f t="shared" si="29"/>
        <v>-45.25969743545496</v>
      </c>
      <c r="AC19" s="23">
        <f t="shared" si="30"/>
        <v>23.014485884248494</v>
      </c>
      <c r="AD19" s="14">
        <f t="shared" si="14"/>
        <v>0.20814241136267528</v>
      </c>
      <c r="AE19" s="14">
        <f t="shared" si="15"/>
        <v>5.7314058807381735E-5</v>
      </c>
      <c r="AF19" s="14">
        <f t="shared" si="16"/>
        <v>3.122149901720946E-3</v>
      </c>
      <c r="AG19" s="14">
        <f t="shared" si="17"/>
        <v>1.2895748691876116E-8</v>
      </c>
      <c r="AH19" s="14">
        <f t="shared" si="18"/>
        <v>-0.12488579841650242</v>
      </c>
      <c r="AI19" s="14">
        <f t="shared" si="19"/>
        <v>-2.0633148306335525E-5</v>
      </c>
      <c r="AJ19" s="23">
        <f t="shared" si="31"/>
        <v>8.6378762847893795E-2</v>
      </c>
      <c r="AK19" s="23">
        <f t="shared" si="32"/>
        <v>3.6693806249738084E-5</v>
      </c>
      <c r="AL19" s="14">
        <f t="shared" si="20"/>
        <v>0</v>
      </c>
      <c r="AM19" s="14">
        <f t="shared" si="21"/>
        <v>0</v>
      </c>
      <c r="AN19" s="14">
        <f t="shared" si="22"/>
        <v>0</v>
      </c>
      <c r="AO19" s="14">
        <f t="shared" si="23"/>
        <v>0</v>
      </c>
      <c r="AP19" s="23">
        <f t="shared" si="33"/>
        <v>0</v>
      </c>
      <c r="AQ19" s="23">
        <f t="shared" si="34"/>
        <v>0</v>
      </c>
    </row>
    <row r="20" spans="3:43" x14ac:dyDescent="0.25">
      <c r="H20" s="14">
        <v>1.17</v>
      </c>
      <c r="I20" s="36">
        <f t="shared" si="24"/>
        <v>147.91083881682073</v>
      </c>
      <c r="J20" s="24">
        <f t="shared" si="25"/>
        <v>100.90060745062746</v>
      </c>
      <c r="K20" s="24">
        <f t="shared" si="26"/>
        <v>17.848176590520538</v>
      </c>
      <c r="L20" s="14">
        <f t="shared" si="0"/>
        <v>0.67018069634200106</v>
      </c>
      <c r="M20" s="14">
        <f t="shared" si="1"/>
        <v>-0.86767725192751921</v>
      </c>
      <c r="N20" s="14">
        <f t="shared" si="2"/>
        <v>9.960291992982533E-4</v>
      </c>
      <c r="O20" s="14">
        <f t="shared" si="3"/>
        <v>-33.642685457356208</v>
      </c>
      <c r="P20" s="14">
        <f t="shared" si="4"/>
        <v>-1.592224052461807</v>
      </c>
      <c r="Q20" s="14">
        <f t="shared" si="5"/>
        <v>-7.060109302869079E-2</v>
      </c>
      <c r="R20" s="14">
        <f t="shared" si="6"/>
        <v>-6.5941983438660657E-6</v>
      </c>
      <c r="S20" s="23">
        <f t="shared" si="27"/>
        <v>-34.580963802312418</v>
      </c>
      <c r="T20" s="23">
        <f t="shared" si="28"/>
        <v>-5.0673963292987079</v>
      </c>
      <c r="U20" s="14">
        <f t="shared" si="7"/>
        <v>20000</v>
      </c>
      <c r="V20" s="14">
        <f t="shared" si="8"/>
        <v>-89.971976650154375</v>
      </c>
      <c r="W20" s="14">
        <f t="shared" si="9"/>
        <v>-66.212052022519373</v>
      </c>
      <c r="X20" s="14">
        <f t="shared" si="10"/>
        <v>45.631394748659424</v>
      </c>
      <c r="Y20" s="14">
        <f t="shared" si="11"/>
        <v>3.107080379279533</v>
      </c>
      <c r="Z20" s="14">
        <f t="shared" si="12"/>
        <v>-0.26623759365027433</v>
      </c>
      <c r="AA20" s="14">
        <f t="shared" si="13"/>
        <v>-9.3773336354665377E-5</v>
      </c>
      <c r="AB20" s="23">
        <f t="shared" si="29"/>
        <v>-44.606819495145224</v>
      </c>
      <c r="AC20" s="23">
        <f t="shared" si="30"/>
        <v>22.91553449670343</v>
      </c>
      <c r="AD20" s="14">
        <f t="shared" si="14"/>
        <v>0.21299062678700453</v>
      </c>
      <c r="AE20" s="14">
        <f t="shared" si="15"/>
        <v>6.0015168519470846E-5</v>
      </c>
      <c r="AF20" s="14">
        <f t="shared" si="16"/>
        <v>3.194874115132057E-3</v>
      </c>
      <c r="AG20" s="14">
        <f t="shared" si="17"/>
        <v>1.3503506433473072E-8</v>
      </c>
      <c r="AH20" s="14">
        <f t="shared" si="18"/>
        <v>-0.1277947528170176</v>
      </c>
      <c r="AI20" s="14">
        <f t="shared" si="19"/>
        <v>-2.1605556208478767E-5</v>
      </c>
      <c r="AJ20" s="23">
        <f t="shared" si="31"/>
        <v>8.8390748085118986E-2</v>
      </c>
      <c r="AK20" s="23">
        <f t="shared" si="32"/>
        <v>3.842311581742555E-5</v>
      </c>
      <c r="AL20" s="14">
        <f t="shared" si="20"/>
        <v>0</v>
      </c>
      <c r="AM20" s="14">
        <f t="shared" si="21"/>
        <v>0</v>
      </c>
      <c r="AN20" s="14">
        <f t="shared" si="22"/>
        <v>0</v>
      </c>
      <c r="AO20" s="14">
        <f t="shared" si="23"/>
        <v>0</v>
      </c>
      <c r="AP20" s="23">
        <f t="shared" si="33"/>
        <v>0</v>
      </c>
      <c r="AQ20" s="23">
        <f t="shared" si="34"/>
        <v>0</v>
      </c>
    </row>
    <row r="21" spans="3:43" x14ac:dyDescent="0.25">
      <c r="H21" s="14">
        <v>1.18</v>
      </c>
      <c r="I21" s="36">
        <f t="shared" si="24"/>
        <v>151.35612484362088</v>
      </c>
      <c r="J21" s="24">
        <f t="shared" si="25"/>
        <v>100.92208451789938</v>
      </c>
      <c r="K21" s="24">
        <f t="shared" si="26"/>
        <v>17.689203472513181</v>
      </c>
      <c r="L21" s="14">
        <f t="shared" si="0"/>
        <v>0.67018069634200106</v>
      </c>
      <c r="M21" s="14">
        <f t="shared" si="1"/>
        <v>-0.88788485278883711</v>
      </c>
      <c r="N21" s="14">
        <f t="shared" si="2"/>
        <v>1.0429649731921323E-3</v>
      </c>
      <c r="O21" s="14">
        <f t="shared" si="3"/>
        <v>-34.253832195438967</v>
      </c>
      <c r="P21" s="14">
        <f t="shared" si="4"/>
        <v>-1.6545952813674227</v>
      </c>
      <c r="Q21" s="14">
        <f t="shared" si="5"/>
        <v>-7.2245602020357527E-2</v>
      </c>
      <c r="R21" s="14">
        <f t="shared" si="6"/>
        <v>-6.9049730895677391E-6</v>
      </c>
      <c r="S21" s="23">
        <f t="shared" si="27"/>
        <v>-35.213962650248163</v>
      </c>
      <c r="T21" s="23">
        <f t="shared" si="28"/>
        <v>-5.1297209332051752</v>
      </c>
      <c r="U21" s="14">
        <f t="shared" si="7"/>
        <v>20000</v>
      </c>
      <c r="V21" s="14">
        <f t="shared" si="8"/>
        <v>-89.972614539376707</v>
      </c>
      <c r="W21" s="14">
        <f t="shared" si="9"/>
        <v>-66.412051975760605</v>
      </c>
      <c r="X21" s="14">
        <f t="shared" si="10"/>
        <v>46.290651082974229</v>
      </c>
      <c r="Y21" s="14">
        <f t="shared" si="11"/>
        <v>3.2104344269632539</v>
      </c>
      <c r="Z21" s="14">
        <f t="shared" si="12"/>
        <v>-0.27243897145304496</v>
      </c>
      <c r="AA21" s="14">
        <f t="shared" si="13"/>
        <v>-9.8192687583326211E-5</v>
      </c>
      <c r="AB21" s="23">
        <f t="shared" si="29"/>
        <v>-43.95440242785552</v>
      </c>
      <c r="AC21" s="23">
        <f t="shared" si="30"/>
        <v>22.818884171794689</v>
      </c>
      <c r="AD21" s="14">
        <f t="shared" si="14"/>
        <v>0.21795176849775796</v>
      </c>
      <c r="AE21" s="14">
        <f t="shared" si="15"/>
        <v>6.2843575808993999E-5</v>
      </c>
      <c r="AF21" s="14">
        <f t="shared" si="16"/>
        <v>3.2692922930741206E-3</v>
      </c>
      <c r="AG21" s="14">
        <f t="shared" si="17"/>
        <v>1.4139906629392488E-8</v>
      </c>
      <c r="AH21" s="14">
        <f t="shared" si="18"/>
        <v>-0.13077146478778257</v>
      </c>
      <c r="AI21" s="14">
        <f t="shared" si="19"/>
        <v>-2.2623792050653038E-5</v>
      </c>
      <c r="AJ21" s="23">
        <f t="shared" si="31"/>
        <v>9.0449596003049526E-2</v>
      </c>
      <c r="AK21" s="23">
        <f t="shared" si="32"/>
        <v>4.0233923664970348E-5</v>
      </c>
      <c r="AL21" s="14">
        <f t="shared" si="20"/>
        <v>0</v>
      </c>
      <c r="AM21" s="14">
        <f t="shared" si="21"/>
        <v>0</v>
      </c>
      <c r="AN21" s="14">
        <f t="shared" si="22"/>
        <v>0</v>
      </c>
      <c r="AO21" s="14">
        <f t="shared" si="23"/>
        <v>0</v>
      </c>
      <c r="AP21" s="23">
        <f t="shared" si="33"/>
        <v>0</v>
      </c>
      <c r="AQ21" s="23">
        <f t="shared" si="34"/>
        <v>0</v>
      </c>
    </row>
    <row r="22" spans="3:43" x14ac:dyDescent="0.25">
      <c r="H22" s="14">
        <v>1.19</v>
      </c>
      <c r="I22" s="36">
        <f t="shared" si="24"/>
        <v>154.88166189124817</v>
      </c>
      <c r="J22" s="24">
        <f t="shared" si="25"/>
        <v>100.93711070190724</v>
      </c>
      <c r="K22" s="24">
        <f t="shared" si="26"/>
        <v>17.530536739760578</v>
      </c>
      <c r="L22" s="14">
        <f t="shared" si="0"/>
        <v>0.67018069634200106</v>
      </c>
      <c r="M22" s="14">
        <f t="shared" si="1"/>
        <v>-0.90856292041986952</v>
      </c>
      <c r="N22" s="14">
        <f t="shared" si="2"/>
        <v>1.0921122182937979E-3</v>
      </c>
      <c r="O22" s="14">
        <f t="shared" si="3"/>
        <v>-34.870155862839518</v>
      </c>
      <c r="P22" s="14">
        <f t="shared" si="4"/>
        <v>-1.7189599097045809</v>
      </c>
      <c r="Q22" s="14">
        <f t="shared" si="5"/>
        <v>-7.3928416424026283E-2</v>
      </c>
      <c r="R22" s="14">
        <f t="shared" si="6"/>
        <v>-7.2303941737534648E-6</v>
      </c>
      <c r="S22" s="23">
        <f t="shared" si="27"/>
        <v>-35.85264719968341</v>
      </c>
      <c r="T22" s="23">
        <f t="shared" si="28"/>
        <v>-5.1940367397183165</v>
      </c>
      <c r="U22" s="14">
        <f t="shared" si="7"/>
        <v>20000</v>
      </c>
      <c r="V22" s="14">
        <f t="shared" si="8"/>
        <v>-89.973237908474175</v>
      </c>
      <c r="W22" s="14">
        <f t="shared" si="9"/>
        <v>-66.612051931106308</v>
      </c>
      <c r="X22" s="14">
        <f t="shared" si="10"/>
        <v>46.949224203360224</v>
      </c>
      <c r="Y22" s="14">
        <f t="shared" si="11"/>
        <v>3.3160861875466381</v>
      </c>
      <c r="Z22" s="14">
        <f t="shared" si="12"/>
        <v>-0.27878479129206057</v>
      </c>
      <c r="AA22" s="14">
        <f t="shared" si="13"/>
        <v>-1.0282031159682424E-4</v>
      </c>
      <c r="AB22" s="23">
        <f t="shared" si="29"/>
        <v>-43.302798496406012</v>
      </c>
      <c r="AC22" s="23">
        <f t="shared" si="30"/>
        <v>22.724531349408359</v>
      </c>
      <c r="AD22" s="14">
        <f t="shared" si="14"/>
        <v>0.22302846666019754</v>
      </c>
      <c r="AE22" s="14">
        <f t="shared" si="15"/>
        <v>6.5805279851539929E-5</v>
      </c>
      <c r="AF22" s="14">
        <f t="shared" si="16"/>
        <v>3.345443893049113E-3</v>
      </c>
      <c r="AG22" s="14">
        <f t="shared" si="17"/>
        <v>1.4806299338078943E-8</v>
      </c>
      <c r="AH22" s="14">
        <f t="shared" si="18"/>
        <v>-0.13381751255657151</v>
      </c>
      <c r="AI22" s="14">
        <f t="shared" si="19"/>
        <v>-2.3690015613149068E-5</v>
      </c>
      <c r="AJ22" s="23">
        <f t="shared" si="31"/>
        <v>9.2556397996675144E-2</v>
      </c>
      <c r="AK22" s="23">
        <f t="shared" si="32"/>
        <v>4.2130070537728942E-5</v>
      </c>
      <c r="AL22" s="14">
        <f t="shared" si="20"/>
        <v>0</v>
      </c>
      <c r="AM22" s="14">
        <f t="shared" si="21"/>
        <v>0</v>
      </c>
      <c r="AN22" s="14">
        <f t="shared" si="22"/>
        <v>0</v>
      </c>
      <c r="AO22" s="14">
        <f t="shared" si="23"/>
        <v>0</v>
      </c>
      <c r="AP22" s="23">
        <f t="shared" si="33"/>
        <v>0</v>
      </c>
      <c r="AQ22" s="23">
        <f t="shared" si="34"/>
        <v>0</v>
      </c>
    </row>
    <row r="23" spans="3:43" x14ac:dyDescent="0.25">
      <c r="H23" s="14">
        <v>1.2</v>
      </c>
      <c r="I23" s="36">
        <f t="shared" si="24"/>
        <v>158.48931924611136</v>
      </c>
      <c r="J23" s="24">
        <f t="shared" si="25"/>
        <v>100.94556849368117</v>
      </c>
      <c r="K23" s="24">
        <f t="shared" si="26"/>
        <v>17.372137543792213</v>
      </c>
      <c r="L23" s="14">
        <f t="shared" si="0"/>
        <v>0.67018069634200106</v>
      </c>
      <c r="M23" s="14">
        <f t="shared" si="1"/>
        <v>-0.92972239704702431</v>
      </c>
      <c r="N23" s="14">
        <f t="shared" si="2"/>
        <v>1.1435751055906731E-3</v>
      </c>
      <c r="O23" s="14">
        <f t="shared" si="3"/>
        <v>-35.491412724417422</v>
      </c>
      <c r="P23" s="14">
        <f t="shared" si="4"/>
        <v>-1.7853509127465081</v>
      </c>
      <c r="Q23" s="14">
        <f t="shared" si="5"/>
        <v>-7.5650428478548734E-2</v>
      </c>
      <c r="R23" s="14">
        <f t="shared" si="6"/>
        <v>-7.5711518559186521E-6</v>
      </c>
      <c r="S23" s="23">
        <f t="shared" si="27"/>
        <v>-36.496785549942992</v>
      </c>
      <c r="T23" s="23">
        <f t="shared" si="28"/>
        <v>-5.2603766206306286</v>
      </c>
      <c r="U23" s="14">
        <f t="shared" si="7"/>
        <v>20000</v>
      </c>
      <c r="V23" s="14">
        <f t="shared" si="8"/>
        <v>-89.973847087964742</v>
      </c>
      <c r="W23" s="14">
        <f t="shared" si="9"/>
        <v>-66.812051888461795</v>
      </c>
      <c r="X23" s="14">
        <f t="shared" si="10"/>
        <v>47.606767277900623</v>
      </c>
      <c r="Y23" s="14">
        <f t="shared" si="11"/>
        <v>3.42402969005036</v>
      </c>
      <c r="Z23" s="14">
        <f t="shared" si="12"/>
        <v>-0.2852784171818975</v>
      </c>
      <c r="AA23" s="14">
        <f t="shared" si="13"/>
        <v>-1.0766602352709116E-4</v>
      </c>
      <c r="AB23" s="23">
        <f t="shared" si="29"/>
        <v>-42.652358227246019</v>
      </c>
      <c r="AC23" s="23">
        <f t="shared" si="30"/>
        <v>22.632470048844663</v>
      </c>
      <c r="AD23" s="14">
        <f t="shared" si="14"/>
        <v>0.22822341268785226</v>
      </c>
      <c r="AE23" s="14">
        <f t="shared" si="15"/>
        <v>6.890656254327106E-5</v>
      </c>
      <c r="AF23" s="14">
        <f t="shared" si="16"/>
        <v>3.4233692916422528E-3</v>
      </c>
      <c r="AG23" s="14">
        <f t="shared" si="17"/>
        <v>1.5504098263588976E-8</v>
      </c>
      <c r="AH23" s="14">
        <f t="shared" si="18"/>
        <v>-0.13693451110931737</v>
      </c>
      <c r="AI23" s="14">
        <f t="shared" si="19"/>
        <v>-2.4806488462755754E-5</v>
      </c>
      <c r="AJ23" s="23">
        <f t="shared" si="31"/>
        <v>9.471227087017714E-2</v>
      </c>
      <c r="AK23" s="23">
        <f t="shared" si="32"/>
        <v>4.4115578178778895E-5</v>
      </c>
      <c r="AL23" s="14">
        <f t="shared" si="20"/>
        <v>0</v>
      </c>
      <c r="AM23" s="14">
        <f t="shared" si="21"/>
        <v>0</v>
      </c>
      <c r="AN23" s="14">
        <f t="shared" si="22"/>
        <v>0</v>
      </c>
      <c r="AO23" s="14">
        <f t="shared" si="23"/>
        <v>0</v>
      </c>
      <c r="AP23" s="23">
        <f t="shared" si="33"/>
        <v>0</v>
      </c>
      <c r="AQ23" s="23">
        <f t="shared" si="34"/>
        <v>0</v>
      </c>
    </row>
    <row r="24" spans="3:43" x14ac:dyDescent="0.25">
      <c r="H24" s="14">
        <v>1.21</v>
      </c>
      <c r="I24" s="36">
        <f t="shared" si="24"/>
        <v>162.18100973589299</v>
      </c>
      <c r="J24" s="24">
        <f t="shared" si="25"/>
        <v>100.94735396664763</v>
      </c>
      <c r="K24" s="24">
        <f t="shared" si="26"/>
        <v>17.213966021309734</v>
      </c>
      <c r="L24" s="14">
        <f t="shared" si="0"/>
        <v>0.67018069634200106</v>
      </c>
      <c r="M24" s="14">
        <f t="shared" si="1"/>
        <v>-0.95137447860506696</v>
      </c>
      <c r="N24" s="14">
        <f t="shared" si="2"/>
        <v>1.1974627104404389E-3</v>
      </c>
      <c r="O24" s="14">
        <f t="shared" si="3"/>
        <v>-36.117347856492145</v>
      </c>
      <c r="P24" s="14">
        <f t="shared" si="4"/>
        <v>-1.8537998902202337</v>
      </c>
      <c r="Q24" s="14">
        <f t="shared" si="5"/>
        <v>-7.7412551205058744E-2</v>
      </c>
      <c r="R24" s="14">
        <f t="shared" si="6"/>
        <v>-7.9279689259645918E-6</v>
      </c>
      <c r="S24" s="23">
        <f t="shared" si="27"/>
        <v>-37.146134886302271</v>
      </c>
      <c r="T24" s="23">
        <f t="shared" si="28"/>
        <v>-5.3287720673165744</v>
      </c>
      <c r="U24" s="14">
        <f t="shared" si="7"/>
        <v>20000</v>
      </c>
      <c r="V24" s="14">
        <f t="shared" si="8"/>
        <v>-89.974442400842875</v>
      </c>
      <c r="W24" s="14">
        <f t="shared" si="9"/>
        <v>-67.012051847736601</v>
      </c>
      <c r="X24" s="14">
        <f t="shared" si="10"/>
        <v>48.262936187826185</v>
      </c>
      <c r="Y24" s="14">
        <f t="shared" si="11"/>
        <v>3.5342565685264709</v>
      </c>
      <c r="Z24" s="14">
        <f t="shared" si="12"/>
        <v>-0.29192329146129509</v>
      </c>
      <c r="AA24" s="14">
        <f t="shared" si="13"/>
        <v>-1.1274010103080516E-4</v>
      </c>
      <c r="AB24" s="23">
        <f t="shared" si="29"/>
        <v>-42.003429504477985</v>
      </c>
      <c r="AC24" s="23">
        <f t="shared" si="30"/>
        <v>22.542691893968463</v>
      </c>
      <c r="AD24" s="14">
        <f t="shared" si="14"/>
        <v>0.23353936066801795</v>
      </c>
      <c r="AE24" s="14">
        <f t="shared" si="15"/>
        <v>7.2154001810919267E-5</v>
      </c>
      <c r="AF24" s="14">
        <f t="shared" si="16"/>
        <v>3.5031098059301832E-3</v>
      </c>
      <c r="AG24" s="14">
        <f t="shared" si="17"/>
        <v>1.6234784612900878E-8</v>
      </c>
      <c r="AH24" s="14">
        <f t="shared" si="18"/>
        <v>-0.14012411304606895</v>
      </c>
      <c r="AI24" s="14">
        <f t="shared" si="19"/>
        <v>-2.5975578751048796E-5</v>
      </c>
      <c r="AJ24" s="23">
        <f t="shared" si="31"/>
        <v>9.6918357427879187E-2</v>
      </c>
      <c r="AK24" s="23">
        <f t="shared" si="32"/>
        <v>4.6194657844483374E-5</v>
      </c>
      <c r="AL24" s="14">
        <f t="shared" si="20"/>
        <v>0</v>
      </c>
      <c r="AM24" s="14">
        <f t="shared" si="21"/>
        <v>0</v>
      </c>
      <c r="AN24" s="14">
        <f t="shared" si="22"/>
        <v>0</v>
      </c>
      <c r="AO24" s="14">
        <f t="shared" si="23"/>
        <v>0</v>
      </c>
      <c r="AP24" s="23">
        <f t="shared" si="33"/>
        <v>0</v>
      </c>
      <c r="AQ24" s="23">
        <f t="shared" si="34"/>
        <v>0</v>
      </c>
    </row>
    <row r="25" spans="3:43" x14ac:dyDescent="0.25">
      <c r="H25" s="14">
        <v>1.22</v>
      </c>
      <c r="I25" s="36">
        <f t="shared" si="24"/>
        <v>165.95869074375614</v>
      </c>
      <c r="J25" s="24">
        <f t="shared" si="25"/>
        <v>100.94237728523468</v>
      </c>
      <c r="K25" s="24">
        <f t="shared" si="26"/>
        <v>17.05598144071406</v>
      </c>
      <c r="L25" s="14">
        <f t="shared" si="0"/>
        <v>0.67018069634200106</v>
      </c>
      <c r="M25" s="14">
        <f t="shared" si="1"/>
        <v>-0.97353062056323569</v>
      </c>
      <c r="N25" s="14">
        <f t="shared" si="2"/>
        <v>1.2538892432224216E-3</v>
      </c>
      <c r="O25" s="14">
        <f t="shared" si="3"/>
        <v>-36.747695521096922</v>
      </c>
      <c r="P25" s="14">
        <f t="shared" si="4"/>
        <v>-1.9243369550977405</v>
      </c>
      <c r="Q25" s="14">
        <f t="shared" si="5"/>
        <v>-7.9215718891008965E-2</v>
      </c>
      <c r="R25" s="14">
        <f t="shared" si="6"/>
        <v>-8.30160223167226E-6</v>
      </c>
      <c r="S25" s="23">
        <f t="shared" si="27"/>
        <v>-37.800441860551167</v>
      </c>
      <c r="T25" s="23">
        <f t="shared" si="28"/>
        <v>-5.3992530792946045</v>
      </c>
      <c r="U25" s="14">
        <f t="shared" si="7"/>
        <v>20000</v>
      </c>
      <c r="V25" s="14">
        <f t="shared" si="8"/>
        <v>-89.975024162750827</v>
      </c>
      <c r="W25" s="14">
        <f t="shared" si="9"/>
        <v>-67.212051808844336</v>
      </c>
      <c r="X25" s="14">
        <f t="shared" si="10"/>
        <v>48.91739041807292</v>
      </c>
      <c r="Y25" s="14">
        <f t="shared" si="11"/>
        <v>3.6467560971602091</v>
      </c>
      <c r="Z25" s="14">
        <f t="shared" si="12"/>
        <v>-0.29872293661514254</v>
      </c>
      <c r="AA25" s="14">
        <f t="shared" si="13"/>
        <v>-1.1805330608474692E-4</v>
      </c>
      <c r="AB25" s="23">
        <f t="shared" si="29"/>
        <v>-41.35635668129305</v>
      </c>
      <c r="AC25" s="23">
        <f t="shared" si="30"/>
        <v>22.455186148289414</v>
      </c>
      <c r="AD25" s="14">
        <f t="shared" si="14"/>
        <v>0.23897912882037922</v>
      </c>
      <c r="AE25" s="14">
        <f t="shared" si="15"/>
        <v>7.5554485571586061E-5</v>
      </c>
      <c r="AF25" s="14">
        <f t="shared" si="16"/>
        <v>3.5847077153878392E-3</v>
      </c>
      <c r="AG25" s="14">
        <f t="shared" si="17"/>
        <v>1.6999907095914597E-8</v>
      </c>
      <c r="AH25" s="14">
        <f t="shared" si="18"/>
        <v>-0.14338800945686955</v>
      </c>
      <c r="AI25" s="14">
        <f t="shared" si="19"/>
        <v>-2.7199766228668948E-5</v>
      </c>
      <c r="AJ25" s="23">
        <f t="shared" si="31"/>
        <v>9.9175827078897522E-2</v>
      </c>
      <c r="AK25" s="23">
        <f t="shared" si="32"/>
        <v>4.8371719250013031E-5</v>
      </c>
      <c r="AL25" s="14">
        <f t="shared" si="20"/>
        <v>0</v>
      </c>
      <c r="AM25" s="14">
        <f t="shared" si="21"/>
        <v>0</v>
      </c>
      <c r="AN25" s="14">
        <f t="shared" si="22"/>
        <v>0</v>
      </c>
      <c r="AO25" s="14">
        <f t="shared" si="23"/>
        <v>0</v>
      </c>
      <c r="AP25" s="23">
        <f t="shared" si="33"/>
        <v>0</v>
      </c>
      <c r="AQ25" s="23">
        <f t="shared" si="34"/>
        <v>0</v>
      </c>
    </row>
    <row r="26" spans="3:43" x14ac:dyDescent="0.25">
      <c r="H26" s="14">
        <v>1.23</v>
      </c>
      <c r="I26" s="36">
        <f t="shared" si="24"/>
        <v>169.82436524617447</v>
      </c>
      <c r="J26" s="24">
        <f t="shared" si="25"/>
        <v>100.93056313363452</v>
      </c>
      <c r="K26" s="24">
        <f t="shared" si="26"/>
        <v>16.898142355591581</v>
      </c>
      <c r="L26" s="14">
        <f t="shared" si="0"/>
        <v>0.67018069634200106</v>
      </c>
      <c r="M26" s="14">
        <f t="shared" si="1"/>
        <v>-0.99620254388110041</v>
      </c>
      <c r="N26" s="14">
        <f t="shared" si="2"/>
        <v>1.3129742908032866E-3</v>
      </c>
      <c r="O26" s="14">
        <f t="shared" si="3"/>
        <v>-37.382179596980407</v>
      </c>
      <c r="P26" s="14">
        <f t="shared" si="4"/>
        <v>-1.9969906250573621</v>
      </c>
      <c r="Q26" s="14">
        <f t="shared" si="5"/>
        <v>-8.1060887585478539E-2</v>
      </c>
      <c r="R26" s="14">
        <f t="shared" si="6"/>
        <v>-8.6928443006781492E-6</v>
      </c>
      <c r="S26" s="23">
        <f t="shared" si="27"/>
        <v>-38.459443028446984</v>
      </c>
      <c r="T26" s="23">
        <f t="shared" si="28"/>
        <v>-5.4718480554487146</v>
      </c>
      <c r="U26" s="14">
        <f t="shared" si="7"/>
        <v>20000</v>
      </c>
      <c r="V26" s="14">
        <f t="shared" si="8"/>
        <v>-89.975592682145987</v>
      </c>
      <c r="W26" s="14">
        <f t="shared" si="9"/>
        <v>-67.412051771702522</v>
      </c>
      <c r="X26" s="14">
        <f t="shared" si="10"/>
        <v>49.569793924910392</v>
      </c>
      <c r="Y26" s="14">
        <f t="shared" si="11"/>
        <v>3.7615152349910908</v>
      </c>
      <c r="Z26" s="14">
        <f t="shared" si="12"/>
        <v>-0.30568095713873217</v>
      </c>
      <c r="AA26" s="14">
        <f t="shared" si="13"/>
        <v>-1.2361690781257788E-4</v>
      </c>
      <c r="AB26" s="23">
        <f t="shared" si="29"/>
        <v>-40.711479714374327</v>
      </c>
      <c r="AC26" s="23">
        <f t="shared" si="30"/>
        <v>22.36993975966038</v>
      </c>
      <c r="AD26" s="14">
        <f t="shared" si="14"/>
        <v>0.24454560098951789</v>
      </c>
      <c r="AE26" s="14">
        <f t="shared" si="15"/>
        <v>7.9115226342332129E-5</v>
      </c>
      <c r="AF26" s="14">
        <f t="shared" si="16"/>
        <v>3.6682062843055576E-3</v>
      </c>
      <c r="AG26" s="14">
        <f t="shared" si="17"/>
        <v>1.7801087711416454E-8</v>
      </c>
      <c r="AH26" s="14">
        <f t="shared" si="18"/>
        <v>-0.14672793081801672</v>
      </c>
      <c r="AI26" s="14">
        <f t="shared" si="19"/>
        <v>-2.848164751416098E-5</v>
      </c>
      <c r="AJ26" s="23">
        <f t="shared" si="31"/>
        <v>0.10148587645580673</v>
      </c>
      <c r="AK26" s="23">
        <f t="shared" si="32"/>
        <v>5.0651379915882567E-5</v>
      </c>
      <c r="AL26" s="14">
        <f t="shared" si="20"/>
        <v>0</v>
      </c>
      <c r="AM26" s="14">
        <f t="shared" si="21"/>
        <v>0</v>
      </c>
      <c r="AN26" s="14">
        <f t="shared" si="22"/>
        <v>0</v>
      </c>
      <c r="AO26" s="14">
        <f t="shared" si="23"/>
        <v>0</v>
      </c>
      <c r="AP26" s="23">
        <f t="shared" si="33"/>
        <v>0</v>
      </c>
      <c r="AQ26" s="23">
        <f t="shared" si="34"/>
        <v>0</v>
      </c>
    </row>
    <row r="27" spans="3:43" x14ac:dyDescent="0.25">
      <c r="H27" s="14">
        <v>1.24</v>
      </c>
      <c r="I27" s="36">
        <f t="shared" si="24"/>
        <v>173.78008287493756</v>
      </c>
      <c r="J27" s="24">
        <f t="shared" si="25"/>
        <v>100.91185106013506</v>
      </c>
      <c r="K27" s="24">
        <f t="shared" si="26"/>
        <v>16.740406763991984</v>
      </c>
      <c r="L27" s="14">
        <f t="shared" si="0"/>
        <v>0.67018069634200106</v>
      </c>
      <c r="M27" s="14">
        <f t="shared" si="1"/>
        <v>-1.0194022410967678</v>
      </c>
      <c r="N27" s="14">
        <f t="shared" si="2"/>
        <v>1.3748430693372074E-3</v>
      </c>
      <c r="O27" s="14">
        <f t="shared" si="3"/>
        <v>-38.020514066655608</v>
      </c>
      <c r="P27" s="14">
        <f t="shared" si="4"/>
        <v>-2.0717877173901806</v>
      </c>
      <c r="Q27" s="14">
        <f t="shared" si="5"/>
        <v>-8.2949035606015006E-2</v>
      </c>
      <c r="R27" s="14">
        <f t="shared" si="6"/>
        <v>-9.1025250010210387E-6</v>
      </c>
      <c r="S27" s="23">
        <f t="shared" si="27"/>
        <v>-39.122865343358391</v>
      </c>
      <c r="T27" s="23">
        <f t="shared" si="28"/>
        <v>-5.5465836886836994</v>
      </c>
      <c r="U27" s="14">
        <f t="shared" si="7"/>
        <v>20000</v>
      </c>
      <c r="V27" s="14">
        <f t="shared" si="8"/>
        <v>-89.976148260464441</v>
      </c>
      <c r="W27" s="14">
        <f t="shared" si="9"/>
        <v>-67.61205173623236</v>
      </c>
      <c r="X27" s="14">
        <f t="shared" si="10"/>
        <v>50.219815975355523</v>
      </c>
      <c r="Y27" s="14">
        <f t="shared" si="11"/>
        <v>3.8785186798598343</v>
      </c>
      <c r="Z27" s="14">
        <f t="shared" si="12"/>
        <v>-0.31280104144525273</v>
      </c>
      <c r="AA27" s="14">
        <f t="shared" si="13"/>
        <v>-1.2944270637193155E-4</v>
      </c>
      <c r="AB27" s="23">
        <f t="shared" si="29"/>
        <v>-40.069133326554173</v>
      </c>
      <c r="AC27" s="23">
        <f t="shared" si="30"/>
        <v>22.286937414200729</v>
      </c>
      <c r="AD27" s="14">
        <f t="shared" si="14"/>
        <v>0.25024172817209323</v>
      </c>
      <c r="AE27" s="14">
        <f t="shared" si="15"/>
        <v>8.2843776526541642E-5</v>
      </c>
      <c r="AF27" s="14">
        <f t="shared" si="16"/>
        <v>3.753649784728399E-3</v>
      </c>
      <c r="AG27" s="14">
        <f t="shared" si="17"/>
        <v>1.8640027533043825E-8</v>
      </c>
      <c r="AH27" s="14">
        <f t="shared" si="18"/>
        <v>-0.15014564790918006</v>
      </c>
      <c r="AI27" s="14">
        <f t="shared" si="19"/>
        <v>-2.9823941598084854E-5</v>
      </c>
      <c r="AJ27" s="23">
        <f t="shared" si="31"/>
        <v>0.10384973004764159</v>
      </c>
      <c r="AK27" s="23">
        <f t="shared" si="32"/>
        <v>5.3038474955989837E-5</v>
      </c>
      <c r="AL27" s="14">
        <f t="shared" si="20"/>
        <v>0</v>
      </c>
      <c r="AM27" s="14">
        <f t="shared" si="21"/>
        <v>0</v>
      </c>
      <c r="AN27" s="14">
        <f t="shared" si="22"/>
        <v>0</v>
      </c>
      <c r="AO27" s="14">
        <f t="shared" si="23"/>
        <v>0</v>
      </c>
      <c r="AP27" s="23">
        <f t="shared" si="33"/>
        <v>0</v>
      </c>
      <c r="AQ27" s="23">
        <f t="shared" si="34"/>
        <v>0</v>
      </c>
    </row>
    <row r="28" spans="3:43" x14ac:dyDescent="0.25">
      <c r="H28" s="14">
        <v>1.25</v>
      </c>
      <c r="I28" s="36">
        <f t="shared" si="24"/>
        <v>177.82794100389236</v>
      </c>
      <c r="J28" s="24">
        <f t="shared" si="25"/>
        <v>100.88619573328614</v>
      </c>
      <c r="K28" s="24">
        <f t="shared" si="26"/>
        <v>16.582732272252574</v>
      </c>
      <c r="L28" s="14">
        <f t="shared" si="0"/>
        <v>0.67018069634200106</v>
      </c>
      <c r="M28" s="14">
        <f t="shared" si="1"/>
        <v>-1.043141982550049</v>
      </c>
      <c r="N28" s="14">
        <f t="shared" si="2"/>
        <v>1.4396266889318136E-3</v>
      </c>
      <c r="O28" s="14">
        <f t="shared" si="3"/>
        <v>-38.662403558270697</v>
      </c>
      <c r="P28" s="14">
        <f t="shared" si="4"/>
        <v>-2.1487532481270093</v>
      </c>
      <c r="Q28" s="14">
        <f t="shared" si="5"/>
        <v>-8.4881164057277941E-2</v>
      </c>
      <c r="R28" s="14">
        <f t="shared" si="6"/>
        <v>-9.5315133174055874E-6</v>
      </c>
      <c r="S28" s="23">
        <f t="shared" si="27"/>
        <v>-39.790426704878023</v>
      </c>
      <c r="T28" s="23">
        <f t="shared" si="28"/>
        <v>-5.6234848647892495</v>
      </c>
      <c r="U28" s="14">
        <f t="shared" si="7"/>
        <v>20000</v>
      </c>
      <c r="V28" s="14">
        <f t="shared" si="8"/>
        <v>-89.976691192280697</v>
      </c>
      <c r="W28" s="14">
        <f t="shared" si="9"/>
        <v>-67.812051702358616</v>
      </c>
      <c r="X28" s="14">
        <f t="shared" si="10"/>
        <v>50.867131953414834</v>
      </c>
      <c r="Y28" s="14">
        <f t="shared" si="11"/>
        <v>3.9977489311114645</v>
      </c>
      <c r="Z28" s="14">
        <f t="shared" si="12"/>
        <v>-0.3200869638175135</v>
      </c>
      <c r="AA28" s="14">
        <f t="shared" si="13"/>
        <v>-1.3554305798277726E-4</v>
      </c>
      <c r="AB28" s="23">
        <f t="shared" si="29"/>
        <v>-39.429646202683379</v>
      </c>
      <c r="AC28" s="23">
        <f t="shared" si="30"/>
        <v>22.206161598974489</v>
      </c>
      <c r="AD28" s="14">
        <f t="shared" si="14"/>
        <v>0.25607053007949099</v>
      </c>
      <c r="AE28" s="14">
        <f t="shared" si="15"/>
        <v>8.6748044436831605E-5</v>
      </c>
      <c r="AF28" s="14">
        <f t="shared" si="16"/>
        <v>3.8410835199297459E-3</v>
      </c>
      <c r="AG28" s="14">
        <f t="shared" si="17"/>
        <v>1.9518504780630089E-8</v>
      </c>
      <c r="AH28" s="14">
        <f t="shared" si="18"/>
        <v>-0.15364297275185765</v>
      </c>
      <c r="AI28" s="14">
        <f t="shared" si="19"/>
        <v>-3.122949560939787E-5</v>
      </c>
      <c r="AJ28" s="23">
        <f t="shared" si="31"/>
        <v>0.10626864084756307</v>
      </c>
      <c r="AK28" s="23">
        <f t="shared" si="32"/>
        <v>5.5538067332214364E-5</v>
      </c>
      <c r="AL28" s="14">
        <f t="shared" si="20"/>
        <v>0</v>
      </c>
      <c r="AM28" s="14">
        <f t="shared" si="21"/>
        <v>0</v>
      </c>
      <c r="AN28" s="14">
        <f t="shared" si="22"/>
        <v>0</v>
      </c>
      <c r="AO28" s="14">
        <f t="shared" si="23"/>
        <v>0</v>
      </c>
      <c r="AP28" s="23">
        <f t="shared" si="33"/>
        <v>0</v>
      </c>
      <c r="AQ28" s="23">
        <f t="shared" si="34"/>
        <v>0</v>
      </c>
    </row>
    <row r="29" spans="3:43" x14ac:dyDescent="0.25">
      <c r="H29" s="14">
        <v>1.26</v>
      </c>
      <c r="I29" s="36">
        <f t="shared" si="24"/>
        <v>181.97008586099841</v>
      </c>
      <c r="J29" s="24">
        <f t="shared" si="25"/>
        <v>100.85356710707528</v>
      </c>
      <c r="K29" s="24">
        <f t="shared" si="26"/>
        <v>16.425076262063833</v>
      </c>
      <c r="L29" s="14">
        <f t="shared" si="0"/>
        <v>0.67018069634200106</v>
      </c>
      <c r="M29" s="14">
        <f t="shared" si="1"/>
        <v>-1.067434322743257</v>
      </c>
      <c r="N29" s="14">
        <f t="shared" si="2"/>
        <v>1.5074624307069204E-3</v>
      </c>
      <c r="O29" s="14">
        <f t="shared" si="3"/>
        <v>-39.307543940545663</v>
      </c>
      <c r="P29" s="14">
        <f t="shared" si="4"/>
        <v>-2.2279103361533705</v>
      </c>
      <c r="Q29" s="14">
        <f t="shared" si="5"/>
        <v>-8.6858297361759457E-2</v>
      </c>
      <c r="R29" s="14">
        <f t="shared" si="6"/>
        <v>-9.9807191853229326E-6</v>
      </c>
      <c r="S29" s="23">
        <f t="shared" si="27"/>
        <v>-40.461836560650681</v>
      </c>
      <c r="T29" s="23">
        <f t="shared" si="28"/>
        <v>-5.7025745662797043</v>
      </c>
      <c r="U29" s="14">
        <f t="shared" si="7"/>
        <v>20000</v>
      </c>
      <c r="V29" s="14">
        <f t="shared" si="8"/>
        <v>-89.977221765464037</v>
      </c>
      <c r="W29" s="14">
        <f t="shared" si="9"/>
        <v>-68.012051670009441</v>
      </c>
      <c r="X29" s="14">
        <f t="shared" si="10"/>
        <v>51.511424128579399</v>
      </c>
      <c r="Y29" s="14">
        <f t="shared" si="11"/>
        <v>4.1191863605158865</v>
      </c>
      <c r="Z29" s="14">
        <f t="shared" si="12"/>
        <v>-0.32754258640491835</v>
      </c>
      <c r="AA29" s="14">
        <f t="shared" si="13"/>
        <v>-1.4193090112401161E-4</v>
      </c>
      <c r="AB29" s="23">
        <f t="shared" si="29"/>
        <v>-38.793340223289555</v>
      </c>
      <c r="AC29" s="23">
        <f t="shared" si="30"/>
        <v>22.127592672884948</v>
      </c>
      <c r="AD29" s="14">
        <f t="shared" si="14"/>
        <v>0.26203509673676362</v>
      </c>
      <c r="AE29" s="14">
        <f t="shared" si="15"/>
        <v>9.0836311062201641E-5</v>
      </c>
      <c r="AF29" s="14">
        <f t="shared" si="16"/>
        <v>3.930553848431691E-3</v>
      </c>
      <c r="AG29" s="14">
        <f t="shared" si="17"/>
        <v>2.0438382534824256E-8</v>
      </c>
      <c r="AH29" s="14">
        <f t="shared" si="18"/>
        <v>-0.15722175956966922</v>
      </c>
      <c r="AI29" s="14">
        <f t="shared" si="19"/>
        <v>-3.2701290853748622E-5</v>
      </c>
      <c r="AJ29" s="23">
        <f t="shared" si="31"/>
        <v>0.10874389101552612</v>
      </c>
      <c r="AK29" s="23">
        <f t="shared" si="32"/>
        <v>5.8155458590987844E-5</v>
      </c>
      <c r="AL29" s="14">
        <f t="shared" si="20"/>
        <v>0</v>
      </c>
      <c r="AM29" s="14">
        <f t="shared" si="21"/>
        <v>0</v>
      </c>
      <c r="AN29" s="14">
        <f t="shared" si="22"/>
        <v>0</v>
      </c>
      <c r="AO29" s="14">
        <f t="shared" si="23"/>
        <v>0</v>
      </c>
      <c r="AP29" s="23">
        <f t="shared" si="33"/>
        <v>0</v>
      </c>
      <c r="AQ29" s="23">
        <f t="shared" si="34"/>
        <v>0</v>
      </c>
    </row>
    <row r="30" spans="3:43" x14ac:dyDescent="0.25">
      <c r="H30" s="14">
        <v>1.27</v>
      </c>
      <c r="I30" s="36">
        <f t="shared" si="24"/>
        <v>186.2087136662868</v>
      </c>
      <c r="J30" s="24">
        <f t="shared" si="25"/>
        <v>100.81395049325167</v>
      </c>
      <c r="K30" s="24">
        <f t="shared" si="26"/>
        <v>16.267396059426886</v>
      </c>
      <c r="L30" s="14">
        <f t="shared" si="0"/>
        <v>0.67018069634200106</v>
      </c>
      <c r="M30" s="14">
        <f t="shared" si="1"/>
        <v>-1.0922921068423119</v>
      </c>
      <c r="N30" s="14">
        <f t="shared" si="2"/>
        <v>1.5784940368573617E-3</v>
      </c>
      <c r="O30" s="14">
        <f t="shared" si="3"/>
        <v>-39.955622968485017</v>
      </c>
      <c r="P30" s="14">
        <f t="shared" si="4"/>
        <v>-2.3092801130621585</v>
      </c>
      <c r="Q30" s="14">
        <f t="shared" si="5"/>
        <v>-8.8881483802862829E-2</v>
      </c>
      <c r="R30" s="14">
        <f t="shared" si="6"/>
        <v>-1.0451095421601136E-5</v>
      </c>
      <c r="S30" s="23">
        <f t="shared" si="27"/>
        <v>-41.136796559130197</v>
      </c>
      <c r="T30" s="23">
        <f t="shared" si="28"/>
        <v>-5.7838737819585777</v>
      </c>
      <c r="U30" s="14">
        <f t="shared" si="7"/>
        <v>20000</v>
      </c>
      <c r="V30" s="14">
        <f t="shared" si="8"/>
        <v>-89.977740261331022</v>
      </c>
      <c r="W30" s="14">
        <f t="shared" si="9"/>
        <v>-68.212051639116225</v>
      </c>
      <c r="X30" s="14">
        <f t="shared" si="10"/>
        <v>52.152382382423326</v>
      </c>
      <c r="Y30" s="14">
        <f t="shared" si="11"/>
        <v>4.2428092908059147</v>
      </c>
      <c r="Z30" s="14">
        <f t="shared" si="12"/>
        <v>-0.33517186126672788</v>
      </c>
      <c r="AA30" s="14">
        <f t="shared" si="13"/>
        <v>-1.4861978396572714E-4</v>
      </c>
      <c r="AB30" s="23">
        <f t="shared" si="29"/>
        <v>-38.160529740174425</v>
      </c>
      <c r="AC30" s="23">
        <f t="shared" si="30"/>
        <v>22.051208945185351</v>
      </c>
      <c r="AD30" s="14">
        <f t="shared" si="14"/>
        <v>0.26813859011869812</v>
      </c>
      <c r="AE30" s="14">
        <f t="shared" si="15"/>
        <v>9.5117247633405336E-5</v>
      </c>
      <c r="AF30" s="14">
        <f t="shared" si="16"/>
        <v>4.0221082085849401E-3</v>
      </c>
      <c r="AG30" s="14">
        <f t="shared" si="17"/>
        <v>2.1401614523055588E-8</v>
      </c>
      <c r="AH30" s="14">
        <f t="shared" si="18"/>
        <v>-0.1608839057709926</v>
      </c>
      <c r="AI30" s="14">
        <f t="shared" si="19"/>
        <v>-3.4242449135251893E-5</v>
      </c>
      <c r="AJ30" s="23">
        <f t="shared" si="31"/>
        <v>0.11127679255629047</v>
      </c>
      <c r="AK30" s="23">
        <f t="shared" si="32"/>
        <v>6.0896200112676498E-5</v>
      </c>
      <c r="AL30" s="14">
        <f t="shared" si="20"/>
        <v>0</v>
      </c>
      <c r="AM30" s="14">
        <f t="shared" si="21"/>
        <v>0</v>
      </c>
      <c r="AN30" s="14">
        <f t="shared" si="22"/>
        <v>0</v>
      </c>
      <c r="AO30" s="14">
        <f t="shared" si="23"/>
        <v>0</v>
      </c>
      <c r="AP30" s="23">
        <f t="shared" si="33"/>
        <v>0</v>
      </c>
      <c r="AQ30" s="23">
        <f t="shared" si="34"/>
        <v>0</v>
      </c>
    </row>
    <row r="31" spans="3:43" x14ac:dyDescent="0.25">
      <c r="H31" s="14">
        <v>1.28</v>
      </c>
      <c r="I31" s="36">
        <f t="shared" si="24"/>
        <v>190.54607179632478</v>
      </c>
      <c r="J31" s="24">
        <f t="shared" si="25"/>
        <v>100.76734653992446</v>
      </c>
      <c r="K31" s="24">
        <f t="shared" si="26"/>
        <v>16.10964910412811</v>
      </c>
      <c r="L31" s="14">
        <f t="shared" si="0"/>
        <v>0.67018069634200106</v>
      </c>
      <c r="M31" s="14">
        <f t="shared" si="1"/>
        <v>-1.1177284773208609</v>
      </c>
      <c r="N31" s="14">
        <f t="shared" si="2"/>
        <v>1.6528720143056403E-3</v>
      </c>
      <c r="O31" s="14">
        <f t="shared" si="3"/>
        <v>-40.60632097705026</v>
      </c>
      <c r="P31" s="14">
        <f t="shared" si="4"/>
        <v>-2.3928816394664354</v>
      </c>
      <c r="Q31" s="14">
        <f t="shared" si="5"/>
        <v>-9.0951796080626104E-2</v>
      </c>
      <c r="R31" s="14">
        <f t="shared" si="6"/>
        <v>-1.0943639755242441E-5</v>
      </c>
      <c r="S31" s="23">
        <f t="shared" si="27"/>
        <v>-41.815001250451743</v>
      </c>
      <c r="T31" s="23">
        <f t="shared" si="28"/>
        <v>-5.8674014229297402</v>
      </c>
      <c r="U31" s="14">
        <f t="shared" si="7"/>
        <v>20000</v>
      </c>
      <c r="V31" s="14">
        <f t="shared" si="8"/>
        <v>-89.97824695479467</v>
      </c>
      <c r="W31" s="14">
        <f t="shared" si="9"/>
        <v>-68.412051609613414</v>
      </c>
      <c r="X31" s="14">
        <f t="shared" si="10"/>
        <v>52.789704889620431</v>
      </c>
      <c r="Y31" s="14">
        <f t="shared" si="11"/>
        <v>4.3685940811798769</v>
      </c>
      <c r="Z31" s="14">
        <f t="shared" si="12"/>
        <v>-0.34297883246267014</v>
      </c>
      <c r="AA31" s="14">
        <f t="shared" si="13"/>
        <v>-1.5562389310267655E-4</v>
      </c>
      <c r="AB31" s="23">
        <f t="shared" si="29"/>
        <v>-37.531520897636909</v>
      </c>
      <c r="AC31" s="23">
        <f t="shared" si="30"/>
        <v>21.976986760952986</v>
      </c>
      <c r="AD31" s="14">
        <f t="shared" si="14"/>
        <v>0.27438424582386667</v>
      </c>
      <c r="AE31" s="14">
        <f t="shared" si="15"/>
        <v>9.9599934005806311E-5</v>
      </c>
      <c r="AF31" s="14">
        <f t="shared" si="16"/>
        <v>4.1157951437212435E-3</v>
      </c>
      <c r="AG31" s="14">
        <f t="shared" si="17"/>
        <v>2.2410241262223634E-8</v>
      </c>
      <c r="AH31" s="14">
        <f t="shared" si="18"/>
        <v>-0.16463135295446094</v>
      </c>
      <c r="AI31" s="14">
        <f t="shared" si="19"/>
        <v>-3.5856239382956705E-5</v>
      </c>
      <c r="AJ31" s="23">
        <f t="shared" si="31"/>
        <v>0.11386868801312697</v>
      </c>
      <c r="AK31" s="23">
        <f t="shared" si="32"/>
        <v>6.3766104864111818E-5</v>
      </c>
      <c r="AL31" s="14">
        <f t="shared" si="20"/>
        <v>0</v>
      </c>
      <c r="AM31" s="14">
        <f t="shared" si="21"/>
        <v>0</v>
      </c>
      <c r="AN31" s="14">
        <f t="shared" si="22"/>
        <v>0</v>
      </c>
      <c r="AO31" s="14">
        <f t="shared" si="23"/>
        <v>0</v>
      </c>
      <c r="AP31" s="23">
        <f t="shared" si="33"/>
        <v>0</v>
      </c>
      <c r="AQ31" s="23">
        <f t="shared" si="34"/>
        <v>0</v>
      </c>
    </row>
    <row r="32" spans="3:43" x14ac:dyDescent="0.25">
      <c r="H32" s="14">
        <v>1.29</v>
      </c>
      <c r="I32" s="36">
        <f t="shared" si="24"/>
        <v>194.98445997580464</v>
      </c>
      <c r="J32" s="24">
        <f t="shared" si="25"/>
        <v>100.71377111656767</v>
      </c>
      <c r="K32" s="24">
        <f t="shared" si="26"/>
        <v>15.951793118349432</v>
      </c>
      <c r="L32" s="14">
        <f t="shared" si="0"/>
        <v>0.67018069634200106</v>
      </c>
      <c r="M32" s="14">
        <f t="shared" si="1"/>
        <v>-1.1437568807501457</v>
      </c>
      <c r="N32" s="14">
        <f t="shared" si="2"/>
        <v>1.7307539525892638E-3</v>
      </c>
      <c r="O32" s="14">
        <f t="shared" si="3"/>
        <v>-41.259311619465841</v>
      </c>
      <c r="P32" s="14">
        <f t="shared" si="4"/>
        <v>-2.4787318284579811</v>
      </c>
      <c r="Q32" s="14">
        <f t="shared" si="5"/>
        <v>-9.307033188038559E-2</v>
      </c>
      <c r="R32" s="14">
        <f t="shared" si="6"/>
        <v>-1.1459396925759999E-5</v>
      </c>
      <c r="S32" s="23">
        <f t="shared" si="27"/>
        <v>-42.496138832096371</v>
      </c>
      <c r="T32" s="23">
        <f t="shared" si="28"/>
        <v>-5.9531742457401728</v>
      </c>
      <c r="U32" s="14">
        <f t="shared" si="7"/>
        <v>20000</v>
      </c>
      <c r="V32" s="14">
        <f t="shared" si="8"/>
        <v>-89.97874211451024</v>
      </c>
      <c r="W32" s="14">
        <f t="shared" si="9"/>
        <v>-68.612051581438465</v>
      </c>
      <c r="X32" s="14">
        <f t="shared" si="10"/>
        <v>53.423098750188686</v>
      </c>
      <c r="Y32" s="14">
        <f t="shared" si="11"/>
        <v>4.4965152190723243</v>
      </c>
      <c r="Z32" s="14">
        <f t="shared" si="12"/>
        <v>-0.35096763819198662</v>
      </c>
      <c r="AA32" s="14">
        <f t="shared" si="13"/>
        <v>-1.6295808362744304E-4</v>
      </c>
      <c r="AB32" s="23">
        <f t="shared" si="29"/>
        <v>-36.906611002513543</v>
      </c>
      <c r="AC32" s="23">
        <f t="shared" si="30"/>
        <v>21.904900592829858</v>
      </c>
      <c r="AD32" s="14">
        <f t="shared" si="14"/>
        <v>0.28077537478753822</v>
      </c>
      <c r="AE32" s="14">
        <f t="shared" si="15"/>
        <v>1.0429387792141028E-4</v>
      </c>
      <c r="AF32" s="14">
        <f t="shared" si="16"/>
        <v>4.2116643278916968E-3</v>
      </c>
      <c r="AG32" s="14">
        <f t="shared" si="17"/>
        <v>2.3466403559282533E-8</v>
      </c>
      <c r="AH32" s="14">
        <f t="shared" si="18"/>
        <v>-0.16846608793785228</v>
      </c>
      <c r="AI32" s="14">
        <f t="shared" si="19"/>
        <v>-3.7546084578146837E-5</v>
      </c>
      <c r="AJ32" s="23">
        <f t="shared" si="31"/>
        <v>0.11652095117757766</v>
      </c>
      <c r="AK32" s="23">
        <f t="shared" si="32"/>
        <v>6.6771259746822726E-5</v>
      </c>
      <c r="AL32" s="14">
        <f t="shared" si="20"/>
        <v>0</v>
      </c>
      <c r="AM32" s="14">
        <f t="shared" si="21"/>
        <v>0</v>
      </c>
      <c r="AN32" s="14">
        <f t="shared" si="22"/>
        <v>0</v>
      </c>
      <c r="AO32" s="14">
        <f t="shared" si="23"/>
        <v>0</v>
      </c>
      <c r="AP32" s="23">
        <f t="shared" si="33"/>
        <v>0</v>
      </c>
      <c r="AQ32" s="23">
        <f t="shared" si="34"/>
        <v>0</v>
      </c>
    </row>
    <row r="33" spans="2:43" x14ac:dyDescent="0.25">
      <c r="H33" s="14">
        <v>1.3</v>
      </c>
      <c r="I33" s="36">
        <f t="shared" si="24"/>
        <v>199.52623149688804</v>
      </c>
      <c r="J33" s="24">
        <f t="shared" si="25"/>
        <v>100.65325510656693</v>
      </c>
      <c r="K33" s="24">
        <f t="shared" si="26"/>
        <v>15.793786273044827</v>
      </c>
      <c r="L33" s="14">
        <f t="shared" si="0"/>
        <v>0.67018069634200106</v>
      </c>
      <c r="M33" s="14">
        <f t="shared" si="1"/>
        <v>-1.1703910747373754</v>
      </c>
      <c r="N33" s="14">
        <f t="shared" si="2"/>
        <v>1.8123048566327567E-3</v>
      </c>
      <c r="O33" s="14">
        <f t="shared" si="3"/>
        <v>-41.914262646344454</v>
      </c>
      <c r="P33" s="14">
        <f t="shared" si="4"/>
        <v>-2.5668453768510071</v>
      </c>
      <c r="Q33" s="14">
        <f t="shared" si="5"/>
        <v>-9.5238214454679684E-2</v>
      </c>
      <c r="R33" s="14">
        <f t="shared" si="6"/>
        <v>-1.1999460918445202E-5</v>
      </c>
      <c r="S33" s="23">
        <f t="shared" si="27"/>
        <v>-43.17989193553651</v>
      </c>
      <c r="T33" s="23">
        <f t="shared" si="28"/>
        <v>-6.0412067832931475</v>
      </c>
      <c r="U33" s="14">
        <f t="shared" si="7"/>
        <v>20000</v>
      </c>
      <c r="V33" s="14">
        <f t="shared" si="8"/>
        <v>-89.979226003017686</v>
      </c>
      <c r="W33" s="14">
        <f t="shared" si="9"/>
        <v>-68.812051554531593</v>
      </c>
      <c r="X33" s="14">
        <f t="shared" si="10"/>
        <v>54.052280570287536</v>
      </c>
      <c r="Y33" s="14">
        <f t="shared" si="11"/>
        <v>4.6265454174620926</v>
      </c>
      <c r="Z33" s="14">
        <f t="shared" si="12"/>
        <v>-0.35914251298202299</v>
      </c>
      <c r="AA33" s="14">
        <f t="shared" si="13"/>
        <v>-1.7063791062810877E-4</v>
      </c>
      <c r="AB33" s="23">
        <f t="shared" si="29"/>
        <v>-36.286087945712175</v>
      </c>
      <c r="AC33" s="23">
        <f t="shared" si="30"/>
        <v>21.834923138299498</v>
      </c>
      <c r="AD33" s="14">
        <f t="shared" si="14"/>
        <v>0.28731536503434374</v>
      </c>
      <c r="AE33" s="14">
        <f t="shared" si="15"/>
        <v>1.0920903515776014E-4</v>
      </c>
      <c r="AF33" s="14">
        <f t="shared" si="16"/>
        <v>4.3097665922045758E-3</v>
      </c>
      <c r="AG33" s="14">
        <f t="shared" si="17"/>
        <v>2.4572340582585955E-8</v>
      </c>
      <c r="AH33" s="14">
        <f t="shared" si="18"/>
        <v>-0.17239014381091433</v>
      </c>
      <c r="AI33" s="14">
        <f t="shared" si="19"/>
        <v>-3.931556902104337E-5</v>
      </c>
      <c r="AJ33" s="23">
        <f t="shared" si="31"/>
        <v>0.11923498781563396</v>
      </c>
      <c r="AK33" s="23">
        <f t="shared" si="32"/>
        <v>6.9918038477299367E-5</v>
      </c>
      <c r="AL33" s="14">
        <f t="shared" si="20"/>
        <v>0</v>
      </c>
      <c r="AM33" s="14">
        <f t="shared" si="21"/>
        <v>0</v>
      </c>
      <c r="AN33" s="14">
        <f t="shared" si="22"/>
        <v>0</v>
      </c>
      <c r="AO33" s="14">
        <f t="shared" si="23"/>
        <v>0</v>
      </c>
      <c r="AP33" s="23">
        <f t="shared" si="33"/>
        <v>0</v>
      </c>
      <c r="AQ33" s="23">
        <f t="shared" si="34"/>
        <v>0</v>
      </c>
    </row>
    <row r="34" spans="2:43" x14ac:dyDescent="0.25">
      <c r="H34" s="14">
        <v>1.31</v>
      </c>
      <c r="I34" s="36">
        <f t="shared" si="24"/>
        <v>204.17379446695298</v>
      </c>
      <c r="J34" s="24">
        <f t="shared" si="25"/>
        <v>100.58584410942719</v>
      </c>
      <c r="K34" s="24">
        <f t="shared" si="26"/>
        <v>15.635587350743748</v>
      </c>
      <c r="L34" s="14">
        <f t="shared" si="0"/>
        <v>0.67018069634200106</v>
      </c>
      <c r="M34" s="14">
        <f t="shared" si="1"/>
        <v>-1.1976451350153681</v>
      </c>
      <c r="N34" s="14">
        <f t="shared" si="2"/>
        <v>1.8976974951037454E-3</v>
      </c>
      <c r="O34" s="14">
        <f t="shared" si="3"/>
        <v>-42.570836721363207</v>
      </c>
      <c r="P34" s="14">
        <f t="shared" si="4"/>
        <v>-2.6572347047953668</v>
      </c>
      <c r="Q34" s="14">
        <f t="shared" si="5"/>
        <v>-9.7456593218701759E-2</v>
      </c>
      <c r="R34" s="14">
        <f t="shared" si="6"/>
        <v>-1.2564977270991064E-5</v>
      </c>
      <c r="S34" s="23">
        <f t="shared" si="27"/>
        <v>-43.86593844959728</v>
      </c>
      <c r="T34" s="23">
        <f t="shared" si="28"/>
        <v>-6.1315112841153896</v>
      </c>
      <c r="U34" s="14">
        <f t="shared" si="7"/>
        <v>20000</v>
      </c>
      <c r="V34" s="14">
        <f t="shared" si="8"/>
        <v>-89.979698876880818</v>
      </c>
      <c r="W34" s="14">
        <f t="shared" si="9"/>
        <v>-69.012051528835727</v>
      </c>
      <c r="X34" s="14">
        <f t="shared" si="10"/>
        <v>54.676976989422073</v>
      </c>
      <c r="Y34" s="14">
        <f t="shared" si="11"/>
        <v>4.758655716962271</v>
      </c>
      <c r="Z34" s="14">
        <f t="shared" si="12"/>
        <v>-0.36750778992749844</v>
      </c>
      <c r="AA34" s="14">
        <f t="shared" si="13"/>
        <v>-1.7867966216820661E-4</v>
      </c>
      <c r="AB34" s="23">
        <f t="shared" si="29"/>
        <v>-35.670229677386246</v>
      </c>
      <c r="AC34" s="23">
        <f t="shared" si="30"/>
        <v>21.767025421744002</v>
      </c>
      <c r="AD34" s="14">
        <f t="shared" si="14"/>
        <v>0.29400768347161499</v>
      </c>
      <c r="AE34" s="14">
        <f t="shared" si="15"/>
        <v>1.1435583065816677E-4</v>
      </c>
      <c r="AF34" s="14">
        <f t="shared" si="16"/>
        <v>4.410153951776654E-3</v>
      </c>
      <c r="AG34" s="14">
        <f t="shared" si="17"/>
        <v>2.573039950516152E-8</v>
      </c>
      <c r="AH34" s="14">
        <f t="shared" si="18"/>
        <v>-0.1764056010126791</v>
      </c>
      <c r="AI34" s="14">
        <f t="shared" si="19"/>
        <v>-4.116844592147601E-5</v>
      </c>
      <c r="AJ34" s="23">
        <f t="shared" si="31"/>
        <v>0.12201223641071252</v>
      </c>
      <c r="AK34" s="23">
        <f t="shared" si="32"/>
        <v>7.3213115136195925E-5</v>
      </c>
      <c r="AL34" s="14">
        <f t="shared" si="20"/>
        <v>0</v>
      </c>
      <c r="AM34" s="14">
        <f t="shared" si="21"/>
        <v>0</v>
      </c>
      <c r="AN34" s="14">
        <f t="shared" si="22"/>
        <v>0</v>
      </c>
      <c r="AO34" s="14">
        <f t="shared" si="23"/>
        <v>0</v>
      </c>
      <c r="AP34" s="23">
        <f t="shared" si="33"/>
        <v>0</v>
      </c>
      <c r="AQ34" s="23">
        <f t="shared" si="34"/>
        <v>0</v>
      </c>
    </row>
    <row r="35" spans="2:43" x14ac:dyDescent="0.25">
      <c r="H35" s="14">
        <v>1.32</v>
      </c>
      <c r="I35" s="36">
        <f t="shared" si="24"/>
        <v>208.92961308540401</v>
      </c>
      <c r="J35" s="24">
        <f t="shared" si="25"/>
        <v>100.51159805570774</v>
      </c>
      <c r="K35" s="24">
        <f t="shared" si="26"/>
        <v>15.477155903490994</v>
      </c>
      <c r="L35" s="14">
        <f t="shared" si="0"/>
        <v>0.67018069634200106</v>
      </c>
      <c r="M35" s="14">
        <f t="shared" si="1"/>
        <v>-1.2255334626862533</v>
      </c>
      <c r="N35" s="14">
        <f t="shared" si="2"/>
        <v>1.987112765096043E-3</v>
      </c>
      <c r="O35" s="14">
        <f t="shared" si="3"/>
        <v>-43.228692268806917</v>
      </c>
      <c r="P35" s="14">
        <f t="shared" si="4"/>
        <v>-2.749909904280015</v>
      </c>
      <c r="Q35" s="14">
        <f t="shared" si="5"/>
        <v>-9.9726644359616673E-2</v>
      </c>
      <c r="R35" s="14">
        <f t="shared" si="6"/>
        <v>-1.3157145509330845E-5</v>
      </c>
      <c r="S35" s="23">
        <f t="shared" si="27"/>
        <v>-44.553952375852781</v>
      </c>
      <c r="T35" s="23">
        <f t="shared" si="28"/>
        <v>-6.2240976604982832</v>
      </c>
      <c r="U35" s="14">
        <f t="shared" si="7"/>
        <v>20000</v>
      </c>
      <c r="V35" s="14">
        <f t="shared" si="8"/>
        <v>-89.980160986823364</v>
      </c>
      <c r="W35" s="14">
        <f t="shared" si="9"/>
        <v>-69.212051504296369</v>
      </c>
      <c r="X35" s="14">
        <f t="shared" si="10"/>
        <v>55.296925152441695</v>
      </c>
      <c r="Y35" s="14">
        <f t="shared" si="11"/>
        <v>4.8928155919215639</v>
      </c>
      <c r="Z35" s="14">
        <f t="shared" si="12"/>
        <v>-0.37606790298161191</v>
      </c>
      <c r="AA35" s="14">
        <f t="shared" si="13"/>
        <v>-1.8710039382216132E-4</v>
      </c>
      <c r="AB35" s="23">
        <f t="shared" si="29"/>
        <v>-35.05930373736328</v>
      </c>
      <c r="AC35" s="23">
        <f t="shared" si="30"/>
        <v>21.701176900510998</v>
      </c>
      <c r="AD35" s="14">
        <f t="shared" si="14"/>
        <v>0.30085587772432798</v>
      </c>
      <c r="AE35" s="14">
        <f t="shared" si="15"/>
        <v>1.1974518061817006E-4</v>
      </c>
      <c r="AF35" s="14">
        <f t="shared" si="16"/>
        <v>4.5128796333122967E-3</v>
      </c>
      <c r="AG35" s="14">
        <f t="shared" si="17"/>
        <v>2.6943037433365541E-8</v>
      </c>
      <c r="AH35" s="14">
        <f t="shared" si="18"/>
        <v>-0.18051458843383608</v>
      </c>
      <c r="AI35" s="14">
        <f t="shared" si="19"/>
        <v>-4.3108645375235642E-5</v>
      </c>
      <c r="AJ35" s="23">
        <f t="shared" si="31"/>
        <v>0.12485416892380422</v>
      </c>
      <c r="AK35" s="23">
        <f t="shared" si="32"/>
        <v>7.6663478280367792E-5</v>
      </c>
      <c r="AL35" s="14">
        <f t="shared" si="20"/>
        <v>0</v>
      </c>
      <c r="AM35" s="14">
        <f t="shared" si="21"/>
        <v>0</v>
      </c>
      <c r="AN35" s="14">
        <f t="shared" si="22"/>
        <v>0</v>
      </c>
      <c r="AO35" s="14">
        <f t="shared" si="23"/>
        <v>0</v>
      </c>
      <c r="AP35" s="23">
        <f t="shared" si="33"/>
        <v>0</v>
      </c>
      <c r="AQ35" s="23">
        <f t="shared" si="34"/>
        <v>0</v>
      </c>
    </row>
    <row r="36" spans="2:43" x14ac:dyDescent="0.25">
      <c r="H36" s="14">
        <v>1.33</v>
      </c>
      <c r="I36" s="36">
        <f t="shared" si="24"/>
        <v>213.79620895022333</v>
      </c>
      <c r="J36" s="24">
        <f t="shared" si="25"/>
        <v>100.43059073865082</v>
      </c>
      <c r="K36" s="24">
        <f t="shared" si="26"/>
        <v>15.318452404697824</v>
      </c>
      <c r="L36" s="14">
        <f t="shared" si="0"/>
        <v>0.67018069634200106</v>
      </c>
      <c r="M36" s="14">
        <f t="shared" si="1"/>
        <v>-1.2540707916220311</v>
      </c>
      <c r="N36" s="14">
        <f t="shared" si="2"/>
        <v>2.0807400738567386E-3</v>
      </c>
      <c r="O36" s="14">
        <f t="shared" si="3"/>
        <v>-43.887484347927504</v>
      </c>
      <c r="P36" s="14">
        <f t="shared" si="4"/>
        <v>-2.8448786969763802</v>
      </c>
      <c r="Q36" s="14">
        <f t="shared" si="5"/>
        <v>-0.10204957146006362</v>
      </c>
      <c r="R36" s="14">
        <f t="shared" si="6"/>
        <v>-1.377722168954762E-5</v>
      </c>
      <c r="S36" s="23">
        <f t="shared" si="27"/>
        <v>-45.243604711009603</v>
      </c>
      <c r="T36" s="23">
        <f t="shared" si="28"/>
        <v>-6.3189734459620679</v>
      </c>
      <c r="U36" s="14">
        <f t="shared" si="7"/>
        <v>20000</v>
      </c>
      <c r="V36" s="14">
        <f t="shared" si="8"/>
        <v>-89.980612577861891</v>
      </c>
      <c r="W36" s="14">
        <f t="shared" si="9"/>
        <v>-69.412051480861464</v>
      </c>
      <c r="X36" s="14">
        <f t="shared" si="10"/>
        <v>55.911873125251297</v>
      </c>
      <c r="Y36" s="14">
        <f t="shared" si="11"/>
        <v>5.0289930597607748</v>
      </c>
      <c r="Z36" s="14">
        <f t="shared" si="12"/>
        <v>-0.38482738930017057</v>
      </c>
      <c r="AA36" s="14">
        <f t="shared" si="13"/>
        <v>-1.9591796483363333E-4</v>
      </c>
      <c r="AB36" s="23">
        <f t="shared" si="29"/>
        <v>-34.453566841910764</v>
      </c>
      <c r="AC36" s="23">
        <f t="shared" si="30"/>
        <v>21.637345574214102</v>
      </c>
      <c r="AD36" s="14">
        <f t="shared" si="14"/>
        <v>0.30786357801261283</v>
      </c>
      <c r="AE36" s="14">
        <f t="shared" si="15"/>
        <v>1.2538851564969781E-4</v>
      </c>
      <c r="AF36" s="14">
        <f t="shared" si="16"/>
        <v>4.6179981033249457E-3</v>
      </c>
      <c r="AG36" s="14">
        <f t="shared" si="17"/>
        <v>2.8212823335537711E-8</v>
      </c>
      <c r="AH36" s="14">
        <f t="shared" si="18"/>
        <v>-0.18471928454474448</v>
      </c>
      <c r="AI36" s="14">
        <f t="shared" si="19"/>
        <v>-4.5140282681744526E-5</v>
      </c>
      <c r="AJ36" s="23">
        <f t="shared" si="31"/>
        <v>0.12776229157119331</v>
      </c>
      <c r="AK36" s="23">
        <f t="shared" si="32"/>
        <v>8.0276445791288827E-5</v>
      </c>
      <c r="AL36" s="14">
        <f t="shared" si="20"/>
        <v>0</v>
      </c>
      <c r="AM36" s="14">
        <f t="shared" si="21"/>
        <v>0</v>
      </c>
      <c r="AN36" s="14">
        <f t="shared" si="22"/>
        <v>0</v>
      </c>
      <c r="AO36" s="14">
        <f t="shared" si="23"/>
        <v>0</v>
      </c>
      <c r="AP36" s="23">
        <f t="shared" si="33"/>
        <v>0</v>
      </c>
      <c r="AQ36" s="23">
        <f t="shared" si="34"/>
        <v>0</v>
      </c>
    </row>
    <row r="37" spans="2:43" x14ac:dyDescent="0.25">
      <c r="H37" s="14">
        <v>1.34</v>
      </c>
      <c r="I37" s="36">
        <f t="shared" si="24"/>
        <v>218.77616239495538</v>
      </c>
      <c r="J37" s="24">
        <f t="shared" si="25"/>
        <v>100.34290926730088</v>
      </c>
      <c r="K37" s="24">
        <f t="shared" si="26"/>
        <v>15.159438393760052</v>
      </c>
      <c r="L37" s="14">
        <f t="shared" si="0"/>
        <v>0.67018069634200106</v>
      </c>
      <c r="M37" s="14">
        <f t="shared" si="1"/>
        <v>-1.2832721960248006</v>
      </c>
      <c r="N37" s="14">
        <f t="shared" si="2"/>
        <v>2.1787777383889904E-3</v>
      </c>
      <c r="O37" s="14">
        <f t="shared" si="3"/>
        <v>-44.546865548755363</v>
      </c>
      <c r="P37" s="14">
        <f t="shared" si="4"/>
        <v>-2.9421464017935648</v>
      </c>
      <c r="Q37" s="14">
        <f t="shared" si="5"/>
        <v>-0.10442660613617545</v>
      </c>
      <c r="R37" s="14">
        <f t="shared" si="6"/>
        <v>-1.4426521067069521E-5</v>
      </c>
      <c r="S37" s="23">
        <f t="shared" si="27"/>
        <v>-45.934564350916339</v>
      </c>
      <c r="T37" s="23">
        <f t="shared" si="28"/>
        <v>-6.4161437624140971</v>
      </c>
      <c r="U37" s="14">
        <f t="shared" si="7"/>
        <v>20000</v>
      </c>
      <c r="V37" s="14">
        <f t="shared" si="8"/>
        <v>-89.981053889435714</v>
      </c>
      <c r="W37" s="14">
        <f t="shared" si="9"/>
        <v>-69.612051458481304</v>
      </c>
      <c r="X37" s="14">
        <f t="shared" si="10"/>
        <v>56.521580253672731</v>
      </c>
      <c r="Y37" s="14">
        <f t="shared" si="11"/>
        <v>5.1671547927714281</v>
      </c>
      <c r="Z37" s="14">
        <f t="shared" si="12"/>
        <v>-0.39379089163995068</v>
      </c>
      <c r="AA37" s="14">
        <f t="shared" si="13"/>
        <v>-2.0515107597574096E-4</v>
      </c>
      <c r="AB37" s="23">
        <f t="shared" si="29"/>
        <v>-33.853264527402935</v>
      </c>
      <c r="AC37" s="23">
        <f t="shared" si="30"/>
        <v>21.575498096493774</v>
      </c>
      <c r="AD37" s="14">
        <f t="shared" si="14"/>
        <v>0.31503449907280667</v>
      </c>
      <c r="AE37" s="14">
        <f t="shared" si="15"/>
        <v>1.3129780500938207E-4</v>
      </c>
      <c r="AF37" s="14">
        <f t="shared" si="16"/>
        <v>4.7255650970159735E-3</v>
      </c>
      <c r="AG37" s="14">
        <f t="shared" si="17"/>
        <v>2.954245154258535E-8</v>
      </c>
      <c r="AH37" s="14">
        <f t="shared" si="18"/>
        <v>-0.18902191854967965</v>
      </c>
      <c r="AI37" s="14">
        <f t="shared" si="19"/>
        <v>-4.7267667085970813E-5</v>
      </c>
      <c r="AJ37" s="23">
        <f t="shared" si="31"/>
        <v>0.13073814562014302</v>
      </c>
      <c r="AK37" s="23">
        <f t="shared" si="32"/>
        <v>8.4059680374953848E-5</v>
      </c>
      <c r="AL37" s="14">
        <f t="shared" si="20"/>
        <v>0</v>
      </c>
      <c r="AM37" s="14">
        <f t="shared" si="21"/>
        <v>0</v>
      </c>
      <c r="AN37" s="14">
        <f t="shared" si="22"/>
        <v>0</v>
      </c>
      <c r="AO37" s="14">
        <f t="shared" si="23"/>
        <v>0</v>
      </c>
      <c r="AP37" s="23">
        <f t="shared" si="33"/>
        <v>0</v>
      </c>
      <c r="AQ37" s="23">
        <f t="shared" si="34"/>
        <v>0</v>
      </c>
    </row>
    <row r="38" spans="2:43" x14ac:dyDescent="0.25">
      <c r="H38" s="14">
        <v>1.35</v>
      </c>
      <c r="I38" s="36">
        <f t="shared" si="24"/>
        <v>223.87211385683403</v>
      </c>
      <c r="J38" s="24">
        <f t="shared" si="25"/>
        <v>100.24865344666743</v>
      </c>
      <c r="K38" s="24">
        <f t="shared" si="26"/>
        <v>15.000076612394388</v>
      </c>
      <c r="L38" s="14">
        <f t="shared" si="0"/>
        <v>0.67018069634200106</v>
      </c>
      <c r="M38" s="14">
        <f t="shared" si="1"/>
        <v>-1.3131530981494715</v>
      </c>
      <c r="N38" s="14">
        <f t="shared" si="2"/>
        <v>2.2814334037477065E-3</v>
      </c>
      <c r="O38" s="14">
        <f t="shared" si="3"/>
        <v>-45.206486903745365</v>
      </c>
      <c r="P38" s="14">
        <f t="shared" si="4"/>
        <v>-3.0417159124338284</v>
      </c>
      <c r="Q38" s="14">
        <f t="shared" si="5"/>
        <v>-0.10685900869045199</v>
      </c>
      <c r="R38" s="14">
        <f t="shared" si="6"/>
        <v>-1.5106420875792233E-5</v>
      </c>
      <c r="S38" s="23">
        <f t="shared" si="27"/>
        <v>-46.626499010585285</v>
      </c>
      <c r="T38" s="23">
        <f t="shared" si="28"/>
        <v>-6.5156112972888121</v>
      </c>
      <c r="U38" s="14">
        <f t="shared" si="7"/>
        <v>20000</v>
      </c>
      <c r="V38" s="14">
        <f t="shared" si="8"/>
        <v>-89.981485155533861</v>
      </c>
      <c r="W38" s="14">
        <f t="shared" si="9"/>
        <v>-69.812051437108408</v>
      </c>
      <c r="X38" s="14">
        <f t="shared" si="10"/>
        <v>57.12581746539616</v>
      </c>
      <c r="Y38" s="14">
        <f t="shared" si="11"/>
        <v>5.3072662316153707</v>
      </c>
      <c r="Z38" s="14">
        <f t="shared" si="12"/>
        <v>-0.40296316081252725</v>
      </c>
      <c r="AA38" s="14">
        <f t="shared" si="13"/>
        <v>-2.1481930919984194E-4</v>
      </c>
      <c r="AB38" s="23">
        <f t="shared" si="29"/>
        <v>-33.258630850950226</v>
      </c>
      <c r="AC38" s="23">
        <f t="shared" si="30"/>
        <v>21.515599888477389</v>
      </c>
      <c r="AD38" s="14">
        <f t="shared" si="14"/>
        <v>0.32237244212305133</v>
      </c>
      <c r="AE38" s="14">
        <f t="shared" si="15"/>
        <v>1.3748558197584882E-4</v>
      </c>
      <c r="AF38" s="14">
        <f t="shared" si="16"/>
        <v>4.8356376478262192E-3</v>
      </c>
      <c r="AG38" s="14">
        <f t="shared" si="17"/>
        <v>3.0934745605292993E-8</v>
      </c>
      <c r="AH38" s="14">
        <f t="shared" si="18"/>
        <v>-0.19342477156792154</v>
      </c>
      <c r="AI38" s="14">
        <f t="shared" si="19"/>
        <v>-4.9495310911794567E-5</v>
      </c>
      <c r="AJ38" s="23">
        <f t="shared" si="31"/>
        <v>0.13378330820295603</v>
      </c>
      <c r="AK38" s="23">
        <f t="shared" si="32"/>
        <v>8.8021205809659547E-5</v>
      </c>
      <c r="AL38" s="14">
        <f t="shared" si="20"/>
        <v>0</v>
      </c>
      <c r="AM38" s="14">
        <f t="shared" si="21"/>
        <v>0</v>
      </c>
      <c r="AN38" s="14">
        <f t="shared" si="22"/>
        <v>0</v>
      </c>
      <c r="AO38" s="14">
        <f t="shared" si="23"/>
        <v>0</v>
      </c>
      <c r="AP38" s="23">
        <f t="shared" si="33"/>
        <v>0</v>
      </c>
      <c r="AQ38" s="23">
        <f t="shared" si="34"/>
        <v>0</v>
      </c>
    </row>
    <row r="39" spans="2:43" x14ac:dyDescent="0.25">
      <c r="H39" s="14">
        <v>1.36</v>
      </c>
      <c r="I39" s="36">
        <f t="shared" si="24"/>
        <v>229.08676527677738</v>
      </c>
      <c r="J39" s="24">
        <f t="shared" si="25"/>
        <v>100.14793509115106</v>
      </c>
      <c r="K39" s="24">
        <f t="shared" si="26"/>
        <v>14.840331131751428</v>
      </c>
      <c r="L39" s="14">
        <f t="shared" si="0"/>
        <v>0.67018069634200106</v>
      </c>
      <c r="M39" s="14">
        <f t="shared" si="1"/>
        <v>-1.3437292761917705</v>
      </c>
      <c r="N39" s="14">
        <f t="shared" si="2"/>
        <v>2.3889244808903681E-3</v>
      </c>
      <c r="O39" s="14">
        <f t="shared" si="3"/>
        <v>-45.865998809451874</v>
      </c>
      <c r="P39" s="14">
        <f t="shared" si="4"/>
        <v>-3.1435876851491216</v>
      </c>
      <c r="Q39" s="14">
        <f t="shared" si="5"/>
        <v>-0.10934806877983289</v>
      </c>
      <c r="R39" s="14">
        <f t="shared" si="6"/>
        <v>-1.5818363261487151E-5</v>
      </c>
      <c r="S39" s="23">
        <f t="shared" si="27"/>
        <v>-47.319076154423477</v>
      </c>
      <c r="T39" s="23">
        <f t="shared" si="28"/>
        <v>-6.6173762908693483</v>
      </c>
      <c r="U39" s="14">
        <f t="shared" si="7"/>
        <v>20000</v>
      </c>
      <c r="V39" s="14">
        <f t="shared" si="8"/>
        <v>-89.981906604819144</v>
      </c>
      <c r="W39" s="14">
        <f t="shared" si="9"/>
        <v>-70.01205141669746</v>
      </c>
      <c r="X39" s="14">
        <f t="shared" si="10"/>
        <v>57.724367515438672</v>
      </c>
      <c r="Y39" s="14">
        <f t="shared" si="11"/>
        <v>5.4492916997837995</v>
      </c>
      <c r="Z39" s="14">
        <f t="shared" si="12"/>
        <v>-0.41234905819483753</v>
      </c>
      <c r="AA39" s="14">
        <f t="shared" si="13"/>
        <v>-2.2494316915183026E-4</v>
      </c>
      <c r="AB39" s="23">
        <f t="shared" si="29"/>
        <v>-32.669888147575307</v>
      </c>
      <c r="AC39" s="23">
        <f t="shared" si="30"/>
        <v>21.457615253196813</v>
      </c>
      <c r="AD39" s="14">
        <f t="shared" si="14"/>
        <v>0.32988129687445811</v>
      </c>
      <c r="AE39" s="14">
        <f t="shared" si="15"/>
        <v>1.4396497043957788E-4</v>
      </c>
      <c r="AF39" s="14">
        <f t="shared" si="16"/>
        <v>4.9482741176758533E-3</v>
      </c>
      <c r="AG39" s="14">
        <f t="shared" si="17"/>
        <v>3.239265443701223E-8</v>
      </c>
      <c r="AH39" s="14">
        <f t="shared" si="18"/>
        <v>-0.19793017784230738</v>
      </c>
      <c r="AI39" s="14">
        <f t="shared" si="19"/>
        <v>-5.1827939131178114E-5</v>
      </c>
      <c r="AJ39" s="23">
        <f t="shared" si="31"/>
        <v>0.13689939314982658</v>
      </c>
      <c r="AK39" s="23">
        <f t="shared" si="32"/>
        <v>9.2169423962836766E-5</v>
      </c>
      <c r="AL39" s="14">
        <f t="shared" si="20"/>
        <v>0</v>
      </c>
      <c r="AM39" s="14">
        <f t="shared" si="21"/>
        <v>0</v>
      </c>
      <c r="AN39" s="14">
        <f t="shared" si="22"/>
        <v>0</v>
      </c>
      <c r="AO39" s="14">
        <f t="shared" si="23"/>
        <v>0</v>
      </c>
      <c r="AP39" s="23">
        <f t="shared" si="33"/>
        <v>0</v>
      </c>
      <c r="AQ39" s="23">
        <f t="shared" si="34"/>
        <v>0</v>
      </c>
    </row>
    <row r="40" spans="2:43" x14ac:dyDescent="0.25">
      <c r="B40" s="304"/>
      <c r="C40" s="304" t="s">
        <v>176</v>
      </c>
      <c r="D40" s="304"/>
      <c r="E40" s="304" t="s">
        <v>175</v>
      </c>
      <c r="F40" s="304"/>
      <c r="H40" s="14">
        <v>1.37</v>
      </c>
      <c r="I40" s="36">
        <f t="shared" si="24"/>
        <v>234.42288153199235</v>
      </c>
      <c r="J40" s="24">
        <f t="shared" si="25"/>
        <v>100.0408772780192</v>
      </c>
      <c r="K40" s="24">
        <f t="shared" si="26"/>
        <v>14.680167469481727</v>
      </c>
      <c r="L40" s="14">
        <f t="shared" si="0"/>
        <v>0.67018069634200106</v>
      </c>
      <c r="M40" s="14">
        <f t="shared" si="1"/>
        <v>-1.3750168723443577</v>
      </c>
      <c r="N40" s="14">
        <f t="shared" si="2"/>
        <v>2.5014786049845157E-3</v>
      </c>
      <c r="O40" s="14">
        <f t="shared" si="3"/>
        <v>-46.525051952307166</v>
      </c>
      <c r="P40" s="14">
        <f t="shared" si="4"/>
        <v>-3.2477597368085371</v>
      </c>
      <c r="Q40" s="14">
        <f t="shared" si="5"/>
        <v>-0.11189510609932302</v>
      </c>
      <c r="R40" s="14">
        <f t="shared" si="6"/>
        <v>-1.6563858332850207E-5</v>
      </c>
      <c r="S40" s="23">
        <f t="shared" si="27"/>
        <v>-48.011963930750852</v>
      </c>
      <c r="T40" s="23">
        <f t="shared" si="28"/>
        <v>-6.7214365338997411</v>
      </c>
      <c r="U40" s="14">
        <f t="shared" si="7"/>
        <v>20000</v>
      </c>
      <c r="V40" s="14">
        <f t="shared" si="8"/>
        <v>-89.98231846074934</v>
      </c>
      <c r="W40" s="14">
        <f t="shared" si="9"/>
        <v>-70.212051397205158</v>
      </c>
      <c r="X40" s="14">
        <f t="shared" si="10"/>
        <v>58.317025175976255</v>
      </c>
      <c r="Y40" s="14">
        <f t="shared" si="11"/>
        <v>5.5931945183010336</v>
      </c>
      <c r="Z40" s="14">
        <f t="shared" si="12"/>
        <v>-0.42195355829776687</v>
      </c>
      <c r="AA40" s="14">
        <f t="shared" si="13"/>
        <v>-2.3554412662717914E-4</v>
      </c>
      <c r="AB40" s="23">
        <f t="shared" si="29"/>
        <v>-32.087246843070851</v>
      </c>
      <c r="AC40" s="23">
        <f t="shared" si="30"/>
        <v>21.401507490248871</v>
      </c>
      <c r="AD40" s="14">
        <f t="shared" si="14"/>
        <v>0.33756504358888556</v>
      </c>
      <c r="AE40" s="14">
        <f t="shared" si="15"/>
        <v>1.5074971271106631E-4</v>
      </c>
      <c r="AF40" s="14">
        <f t="shared" si="16"/>
        <v>5.0635342279086266E-3</v>
      </c>
      <c r="AG40" s="14">
        <f t="shared" si="17"/>
        <v>3.391927352886556E-8</v>
      </c>
      <c r="AH40" s="14">
        <f t="shared" si="18"/>
        <v>-0.20254052597588446</v>
      </c>
      <c r="AI40" s="14">
        <f t="shared" si="19"/>
        <v>-5.4270499388420231E-5</v>
      </c>
      <c r="AJ40" s="23">
        <f t="shared" si="31"/>
        <v>0.14008805184090972</v>
      </c>
      <c r="AK40" s="23">
        <f t="shared" si="32"/>
        <v>9.6513132596174941E-5</v>
      </c>
      <c r="AL40" s="14">
        <f t="shared" si="20"/>
        <v>0</v>
      </c>
      <c r="AM40" s="14">
        <f t="shared" si="21"/>
        <v>0</v>
      </c>
      <c r="AN40" s="14">
        <f t="shared" si="22"/>
        <v>0</v>
      </c>
      <c r="AO40" s="14">
        <f t="shared" si="23"/>
        <v>0</v>
      </c>
      <c r="AP40" s="23">
        <f t="shared" si="33"/>
        <v>0</v>
      </c>
      <c r="AQ40" s="23">
        <f t="shared" si="34"/>
        <v>0</v>
      </c>
    </row>
    <row r="41" spans="2:43" x14ac:dyDescent="0.25">
      <c r="B41" s="304"/>
      <c r="C41" s="53" t="s">
        <v>174</v>
      </c>
      <c r="D41" s="53" t="s">
        <v>173</v>
      </c>
      <c r="E41" s="53" t="s">
        <v>174</v>
      </c>
      <c r="F41" s="53" t="s">
        <v>173</v>
      </c>
      <c r="H41" s="14">
        <v>1.38</v>
      </c>
      <c r="I41" s="36">
        <f t="shared" si="24"/>
        <v>239.88329190194906</v>
      </c>
      <c r="J41" s="24">
        <f t="shared" si="25"/>
        <v>99.92761354818397</v>
      </c>
      <c r="K41" s="24">
        <f t="shared" si="26"/>
        <v>14.51955269605682</v>
      </c>
      <c r="L41" s="14">
        <f t="shared" si="0"/>
        <v>0.67018069634200106</v>
      </c>
      <c r="M41" s="14">
        <f t="shared" si="1"/>
        <v>-1.4070324010238564</v>
      </c>
      <c r="N41" s="14">
        <f t="shared" si="2"/>
        <v>2.6193341151433264E-3</v>
      </c>
      <c r="O41" s="14">
        <f t="shared" si="3"/>
        <v>-47.183298232528685</v>
      </c>
      <c r="P41" s="14">
        <f t="shared" si="4"/>
        <v>-3.354227653294064</v>
      </c>
      <c r="Q41" s="14">
        <f t="shared" si="5"/>
        <v>-0.11450147108153284</v>
      </c>
      <c r="R41" s="14">
        <f t="shared" si="6"/>
        <v>-1.7344487366835046E-5</v>
      </c>
      <c r="S41" s="23">
        <f t="shared" si="27"/>
        <v>-48.704832104634072</v>
      </c>
      <c r="T41" s="23">
        <f t="shared" si="28"/>
        <v>-6.8277873755041432</v>
      </c>
      <c r="U41" s="14">
        <f t="shared" si="7"/>
        <v>20000</v>
      </c>
      <c r="V41" s="14">
        <f t="shared" si="8"/>
        <v>-89.982720941695788</v>
      </c>
      <c r="W41" s="14">
        <f t="shared" si="9"/>
        <v>-70.412051378590149</v>
      </c>
      <c r="X41" s="14">
        <f t="shared" si="10"/>
        <v>58.903597371829868</v>
      </c>
      <c r="Y41" s="14">
        <f t="shared" si="11"/>
        <v>5.7389371199915686</v>
      </c>
      <c r="Z41" s="14">
        <f t="shared" si="12"/>
        <v>-0.43178175139407843</v>
      </c>
      <c r="AA41" s="14">
        <f t="shared" si="13"/>
        <v>-2.4664466410344836E-4</v>
      </c>
      <c r="AB41" s="23">
        <f t="shared" si="29"/>
        <v>-31.510905321259997</v>
      </c>
      <c r="AC41" s="23">
        <f t="shared" si="30"/>
        <v>21.347239010016942</v>
      </c>
      <c r="AD41" s="14">
        <f t="shared" si="14"/>
        <v>0.34542775518439978</v>
      </c>
      <c r="AE41" s="14">
        <f t="shared" si="15"/>
        <v>1.578541986764556E-4</v>
      </c>
      <c r="AF41" s="14">
        <f t="shared" si="16"/>
        <v>5.1814790909568958E-3</v>
      </c>
      <c r="AG41" s="14">
        <f t="shared" si="17"/>
        <v>3.5517839163781284E-8</v>
      </c>
      <c r="AH41" s="14">
        <f t="shared" si="18"/>
        <v>-0.20725826019731469</v>
      </c>
      <c r="AI41" s="14">
        <f t="shared" si="19"/>
        <v>-5.6828172492987212E-5</v>
      </c>
      <c r="AJ41" s="23">
        <f t="shared" si="31"/>
        <v>0.14335097407804198</v>
      </c>
      <c r="AK41" s="23">
        <f t="shared" si="32"/>
        <v>1.0106154402263217E-4</v>
      </c>
      <c r="AL41" s="14">
        <f t="shared" si="20"/>
        <v>0</v>
      </c>
      <c r="AM41" s="14">
        <f t="shared" si="21"/>
        <v>0</v>
      </c>
      <c r="AN41" s="14">
        <f t="shared" si="22"/>
        <v>0</v>
      </c>
      <c r="AO41" s="14">
        <f t="shared" si="23"/>
        <v>0</v>
      </c>
      <c r="AP41" s="23">
        <f t="shared" si="33"/>
        <v>0</v>
      </c>
      <c r="AQ41" s="23">
        <f t="shared" si="34"/>
        <v>0</v>
      </c>
    </row>
    <row r="42" spans="2:43" x14ac:dyDescent="0.25">
      <c r="B42" s="304">
        <v>1</v>
      </c>
      <c r="C42" s="53">
        <v>100</v>
      </c>
      <c r="D42" s="53">
        <v>0</v>
      </c>
      <c r="E42" s="53">
        <v>1000000</v>
      </c>
      <c r="F42" s="53">
        <v>0</v>
      </c>
      <c r="H42" s="14">
        <v>1.39</v>
      </c>
      <c r="I42" s="36">
        <f t="shared" si="24"/>
        <v>245.47089156850305</v>
      </c>
      <c r="J42" s="24">
        <f t="shared" si="25"/>
        <v>99.80828706188673</v>
      </c>
      <c r="K42" s="24">
        <f t="shared" si="26"/>
        <v>14.35845552977883</v>
      </c>
      <c r="L42" s="14">
        <f t="shared" si="0"/>
        <v>0.67018069634200106</v>
      </c>
      <c r="M42" s="14">
        <f t="shared" si="1"/>
        <v>-1.4397927572715949</v>
      </c>
      <c r="N42" s="14">
        <f t="shared" si="2"/>
        <v>2.742740556551508E-3</v>
      </c>
      <c r="O42" s="14">
        <f t="shared" si="3"/>
        <v>-47.84039168020287</v>
      </c>
      <c r="P42" s="14">
        <f t="shared" si="4"/>
        <v>-3.4629846081492488</v>
      </c>
      <c r="Q42" s="14">
        <f t="shared" si="5"/>
        <v>-0.11716854561250362</v>
      </c>
      <c r="R42" s="14">
        <f t="shared" si="6"/>
        <v>-1.8161906162483795E-5</v>
      </c>
      <c r="S42" s="23">
        <f t="shared" si="27"/>
        <v>-49.397352983086968</v>
      </c>
      <c r="T42" s="23">
        <f t="shared" si="28"/>
        <v>-6.936421741336714</v>
      </c>
      <c r="U42" s="14">
        <f t="shared" si="7"/>
        <v>20000</v>
      </c>
      <c r="V42" s="14">
        <f t="shared" si="8"/>
        <v>-89.983114261059015</v>
      </c>
      <c r="W42" s="14">
        <f t="shared" si="9"/>
        <v>-70.612051360812956</v>
      </c>
      <c r="X42" s="14">
        <f t="shared" si="10"/>
        <v>59.48390326326318</v>
      </c>
      <c r="Y42" s="14">
        <f t="shared" si="11"/>
        <v>5.886481162667625</v>
      </c>
      <c r="Z42" s="14">
        <f t="shared" si="12"/>
        <v>-0.44183884620703512</v>
      </c>
      <c r="AA42" s="14">
        <f t="shared" si="13"/>
        <v>-2.5826832338288891E-4</v>
      </c>
      <c r="AB42" s="23">
        <f t="shared" si="29"/>
        <v>-30.941049844002869</v>
      </c>
      <c r="AC42" s="23">
        <f t="shared" si="30"/>
        <v>21.294771446810913</v>
      </c>
      <c r="AD42" s="14">
        <f t="shared" si="14"/>
        <v>0.35347359938951106</v>
      </c>
      <c r="AE42" s="14">
        <f t="shared" si="15"/>
        <v>1.6529349629091622E-4</v>
      </c>
      <c r="AF42" s="14">
        <f t="shared" si="16"/>
        <v>5.3021712427442375E-3</v>
      </c>
      <c r="AG42" s="14">
        <f t="shared" si="17"/>
        <v>3.7191743845732488E-8</v>
      </c>
      <c r="AH42" s="14">
        <f t="shared" si="18"/>
        <v>-0.21208588165569689</v>
      </c>
      <c r="AI42" s="14">
        <f t="shared" si="19"/>
        <v>-5.9506383404056437E-5</v>
      </c>
      <c r="AJ42" s="23">
        <f t="shared" si="31"/>
        <v>0.14668988897655841</v>
      </c>
      <c r="AK42" s="23">
        <f t="shared" si="32"/>
        <v>1.058243046307055E-4</v>
      </c>
      <c r="AL42" s="14">
        <f t="shared" si="20"/>
        <v>0</v>
      </c>
      <c r="AM42" s="14">
        <f t="shared" si="21"/>
        <v>0</v>
      </c>
      <c r="AN42" s="14">
        <f t="shared" si="22"/>
        <v>0</v>
      </c>
      <c r="AO42" s="14">
        <f t="shared" si="23"/>
        <v>0</v>
      </c>
      <c r="AP42" s="23">
        <f t="shared" si="33"/>
        <v>0</v>
      </c>
      <c r="AQ42" s="23">
        <f t="shared" si="34"/>
        <v>0</v>
      </c>
    </row>
    <row r="43" spans="2:43" x14ac:dyDescent="0.25">
      <c r="B43" s="304"/>
      <c r="C43" s="53">
        <f>fc*1000</f>
        <v>1496.3348183022088</v>
      </c>
      <c r="D43" s="53">
        <v>0</v>
      </c>
      <c r="E43" s="53">
        <f>(INDEX(I3:I503, 1+MATCH(0,J3:J503,-1))+INDEX(I3:I503, MATCH(0,J3:J503,-1)))/2</f>
        <v>17989.901343244539</v>
      </c>
      <c r="F43" s="53">
        <v>0</v>
      </c>
      <c r="H43" s="14">
        <v>1.4</v>
      </c>
      <c r="I43" s="36">
        <f t="shared" si="24"/>
        <v>251.188643150958</v>
      </c>
      <c r="J43" s="24">
        <f t="shared" si="25"/>
        <v>99.6830497171389</v>
      </c>
      <c r="K43" s="24">
        <f t="shared" si="26"/>
        <v>14.196846420047191</v>
      </c>
      <c r="L43" s="14">
        <f t="shared" si="0"/>
        <v>0.67018069634200106</v>
      </c>
      <c r="M43" s="14">
        <f t="shared" si="1"/>
        <v>-1.4733152253308128</v>
      </c>
      <c r="N43" s="14">
        <f t="shared" si="2"/>
        <v>2.871959206046141E-3</v>
      </c>
      <c r="O43" s="14">
        <f t="shared" si="3"/>
        <v>-48.495989357686597</v>
      </c>
      <c r="P43" s="14">
        <f t="shared" si="4"/>
        <v>-3.5740213913136549</v>
      </c>
      <c r="Q43" s="14">
        <f t="shared" si="5"/>
        <v>-0.11989774376419512</v>
      </c>
      <c r="R43" s="14">
        <f t="shared" si="6"/>
        <v>-1.9017848556755204E-5</v>
      </c>
      <c r="S43" s="23">
        <f t="shared" si="27"/>
        <v>-50.08920232678161</v>
      </c>
      <c r="T43" s="23">
        <f t="shared" si="28"/>
        <v>-7.0473301617940205</v>
      </c>
      <c r="U43" s="14">
        <f t="shared" si="7"/>
        <v>20000</v>
      </c>
      <c r="V43" s="14">
        <f t="shared" si="8"/>
        <v>-89.983498627382019</v>
      </c>
      <c r="W43" s="14">
        <f t="shared" si="9"/>
        <v>-70.812051343835861</v>
      </c>
      <c r="X43" s="14">
        <f t="shared" si="10"/>
        <v>60.057774278085965</v>
      </c>
      <c r="Y43" s="14">
        <f t="shared" si="11"/>
        <v>6.0357876406376034</v>
      </c>
      <c r="Z43" s="14">
        <f t="shared" si="12"/>
        <v>-0.45213017266108496</v>
      </c>
      <c r="AA43" s="14">
        <f t="shared" si="13"/>
        <v>-2.704397555031206E-4</v>
      </c>
      <c r="AB43" s="23">
        <f t="shared" si="29"/>
        <v>-30.37785452195714</v>
      </c>
      <c r="AC43" s="23">
        <f t="shared" si="30"/>
        <v>21.244065770325864</v>
      </c>
      <c r="AD43" s="14">
        <f t="shared" si="14"/>
        <v>0.36170684094730082</v>
      </c>
      <c r="AE43" s="14">
        <f t="shared" si="15"/>
        <v>1.7308338354472385E-4</v>
      </c>
      <c r="AF43" s="14">
        <f t="shared" si="16"/>
        <v>5.425674675842789E-3</v>
      </c>
      <c r="AG43" s="14">
        <f t="shared" si="17"/>
        <v>3.8944536299736604E-8</v>
      </c>
      <c r="AH43" s="14">
        <f t="shared" si="18"/>
        <v>-0.21702594974548639</v>
      </c>
      <c r="AI43" s="14">
        <f t="shared" si="19"/>
        <v>-6.2310812733764367E-5</v>
      </c>
      <c r="AJ43" s="23">
        <f t="shared" si="31"/>
        <v>0.15010656587765719</v>
      </c>
      <c r="AK43" s="23">
        <f t="shared" si="32"/>
        <v>1.1081151534725922E-4</v>
      </c>
      <c r="AL43" s="14">
        <f t="shared" si="20"/>
        <v>0</v>
      </c>
      <c r="AM43" s="14">
        <f t="shared" si="21"/>
        <v>0</v>
      </c>
      <c r="AN43" s="14">
        <f t="shared" si="22"/>
        <v>0</v>
      </c>
      <c r="AO43" s="14">
        <f t="shared" si="23"/>
        <v>0</v>
      </c>
      <c r="AP43" s="23">
        <f t="shared" si="33"/>
        <v>0</v>
      </c>
      <c r="AQ43" s="23">
        <f t="shared" si="34"/>
        <v>0</v>
      </c>
    </row>
    <row r="44" spans="2:43" x14ac:dyDescent="0.25">
      <c r="B44" s="304">
        <v>2</v>
      </c>
      <c r="C44" s="53">
        <f>fc*1000</f>
        <v>1496.3348183022088</v>
      </c>
      <c r="D44" s="53">
        <v>0</v>
      </c>
      <c r="E44" s="53">
        <f>(INDEX(I4:I504, 1+MATCH(0,J4:J504,-1))+INDEX(I4:I504, MATCH(0,J4:J504,-1)))/2</f>
        <v>17989.901343244539</v>
      </c>
      <c r="F44" s="53">
        <v>0</v>
      </c>
      <c r="H44" s="14">
        <v>1.41</v>
      </c>
      <c r="I44" s="36">
        <f t="shared" si="24"/>
        <v>257.03957827688646</v>
      </c>
      <c r="J44" s="24">
        <f t="shared" si="25"/>
        <v>99.552061238898887</v>
      </c>
      <c r="K44" s="24">
        <f t="shared" si="26"/>
        <v>14.034697618587012</v>
      </c>
      <c r="L44" s="14">
        <f t="shared" si="0"/>
        <v>0.67018069634200106</v>
      </c>
      <c r="M44" s="14">
        <f t="shared" si="1"/>
        <v>-1.5076174874031014</v>
      </c>
      <c r="N44" s="14">
        <f t="shared" si="2"/>
        <v>3.007263622197949E-3</v>
      </c>
      <c r="O44" s="14">
        <f t="shared" si="3"/>
        <v>-49.14975224263123</v>
      </c>
      <c r="P44" s="14">
        <f t="shared" si="4"/>
        <v>-3.6873264476870431</v>
      </c>
      <c r="Q44" s="14">
        <f t="shared" si="5"/>
        <v>-0.12269051254402492</v>
      </c>
      <c r="R44" s="14">
        <f t="shared" si="6"/>
        <v>-1.9914130090777302E-5</v>
      </c>
      <c r="S44" s="23">
        <f t="shared" si="27"/>
        <v>-50.780060242578358</v>
      </c>
      <c r="T44" s="23">
        <f t="shared" si="28"/>
        <v>-7.1605008100327909</v>
      </c>
      <c r="U44" s="14">
        <f t="shared" si="7"/>
        <v>20000</v>
      </c>
      <c r="V44" s="14">
        <f t="shared" si="8"/>
        <v>-89.983874244460779</v>
      </c>
      <c r="W44" s="14">
        <f t="shared" si="9"/>
        <v>-71.012051327622871</v>
      </c>
      <c r="X44" s="14">
        <f t="shared" si="10"/>
        <v>60.625054095352297</v>
      </c>
      <c r="Y44" s="14">
        <f t="shared" si="11"/>
        <v>6.18681699398301</v>
      </c>
      <c r="Z44" s="14">
        <f t="shared" si="12"/>
        <v>-0.46266118469602269</v>
      </c>
      <c r="AA44" s="14">
        <f t="shared" si="13"/>
        <v>-2.831847729851278E-4</v>
      </c>
      <c r="AB44" s="23">
        <f t="shared" si="29"/>
        <v>-29.821481333804506</v>
      </c>
      <c r="AC44" s="23">
        <f t="shared" si="30"/>
        <v>21.195082394866777</v>
      </c>
      <c r="AD44" s="14">
        <f t="shared" si="14"/>
        <v>0.37013184387058429</v>
      </c>
      <c r="AE44" s="14">
        <f t="shared" si="15"/>
        <v>1.812403818961657E-4</v>
      </c>
      <c r="AF44" s="14">
        <f t="shared" si="16"/>
        <v>5.5520548734029505E-3</v>
      </c>
      <c r="AG44" s="14">
        <f t="shared" si="17"/>
        <v>4.0779936901094393E-8</v>
      </c>
      <c r="AH44" s="14">
        <f t="shared" si="18"/>
        <v>-0.22208108346221087</v>
      </c>
      <c r="AI44" s="14">
        <f t="shared" si="19"/>
        <v>-6.5247408807721962E-5</v>
      </c>
      <c r="AJ44" s="23">
        <f t="shared" si="31"/>
        <v>0.15360281528177636</v>
      </c>
      <c r="AK44" s="23">
        <f t="shared" si="32"/>
        <v>1.1603375302534483E-4</v>
      </c>
      <c r="AL44" s="14">
        <f t="shared" si="20"/>
        <v>0</v>
      </c>
      <c r="AM44" s="14">
        <f t="shared" si="21"/>
        <v>0</v>
      </c>
      <c r="AN44" s="14">
        <f t="shared" si="22"/>
        <v>0</v>
      </c>
      <c r="AO44" s="14">
        <f t="shared" si="23"/>
        <v>0</v>
      </c>
      <c r="AP44" s="23">
        <f t="shared" si="33"/>
        <v>0</v>
      </c>
      <c r="AQ44" s="23">
        <f t="shared" si="34"/>
        <v>0</v>
      </c>
    </row>
    <row r="45" spans="2:43" x14ac:dyDescent="0.25">
      <c r="B45" s="304"/>
      <c r="C45" s="53">
        <f>fc*1000</f>
        <v>1496.3348183022088</v>
      </c>
      <c r="D45" s="53">
        <f>PM</f>
        <v>81.70610467695542</v>
      </c>
      <c r="E45" s="53">
        <f>(INDEX(I5:I505, 1+MATCH(0,J5:J505,-1))+INDEX(I5:I505, MATCH(0,J5:J505,-1)))/2</f>
        <v>17989.901343244539</v>
      </c>
      <c r="F45" s="53">
        <f>GM</f>
        <v>-16.051470143018729</v>
      </c>
      <c r="H45" s="14">
        <v>1.42</v>
      </c>
      <c r="I45" s="36">
        <f t="shared" si="24"/>
        <v>263.02679918953822</v>
      </c>
      <c r="J45" s="24">
        <f t="shared" si="25"/>
        <v>99.415488246986627</v>
      </c>
      <c r="K45" s="24">
        <f t="shared" si="26"/>
        <v>13.871983238478764</v>
      </c>
      <c r="L45" s="14">
        <f t="shared" si="0"/>
        <v>0.67018069634200106</v>
      </c>
      <c r="M45" s="14">
        <f t="shared" si="1"/>
        <v>-1.5427176325867724</v>
      </c>
      <c r="N45" s="14">
        <f t="shared" si="2"/>
        <v>3.1489402210868362E-3</v>
      </c>
      <c r="O45" s="14">
        <f t="shared" si="3"/>
        <v>-49.801346086162653</v>
      </c>
      <c r="P45" s="14">
        <f t="shared" si="4"/>
        <v>-3.8028859251819784</v>
      </c>
      <c r="Q45" s="14">
        <f t="shared" si="5"/>
        <v>-0.12554833266185381</v>
      </c>
      <c r="R45" s="14">
        <f t="shared" si="6"/>
        <v>-2.0852651874739843E-5</v>
      </c>
      <c r="S45" s="23">
        <f t="shared" si="27"/>
        <v>-51.469612051411275</v>
      </c>
      <c r="T45" s="23">
        <f t="shared" si="28"/>
        <v>-7.275919549450621</v>
      </c>
      <c r="U45" s="14">
        <f t="shared" si="7"/>
        <v>20000</v>
      </c>
      <c r="V45" s="14">
        <f t="shared" si="8"/>
        <v>-89.984241311452323</v>
      </c>
      <c r="W45" s="14">
        <f t="shared" si="9"/>
        <v>-71.212051312139579</v>
      </c>
      <c r="X45" s="14">
        <f t="shared" si="10"/>
        <v>61.185598583192828</v>
      </c>
      <c r="Y45" s="14">
        <f t="shared" si="11"/>
        <v>6.3395292151009937</v>
      </c>
      <c r="Z45" s="14">
        <f t="shared" si="12"/>
        <v>-0.47343746314605639</v>
      </c>
      <c r="AA45" s="14">
        <f t="shared" si="13"/>
        <v>-2.9653040455144208E-4</v>
      </c>
      <c r="AB45" s="23">
        <f t="shared" si="29"/>
        <v>-29.27208019140555</v>
      </c>
      <c r="AC45" s="23">
        <f t="shared" si="30"/>
        <v>21.147781285836491</v>
      </c>
      <c r="AD45" s="14">
        <f t="shared" si="14"/>
        <v>0.37875307374927208</v>
      </c>
      <c r="AE45" s="14">
        <f t="shared" si="15"/>
        <v>1.8978179131776815E-4</v>
      </c>
      <c r="AF45" s="14">
        <f t="shared" si="16"/>
        <v>5.6813788438733817E-3</v>
      </c>
      <c r="AG45" s="14">
        <f t="shared" si="17"/>
        <v>4.2701835746734417E-8</v>
      </c>
      <c r="AH45" s="14">
        <f t="shared" si="18"/>
        <v>-0.2272539627896927</v>
      </c>
      <c r="AI45" s="14">
        <f t="shared" si="19"/>
        <v>-6.8322400259643193E-5</v>
      </c>
      <c r="AJ45" s="23">
        <f t="shared" si="31"/>
        <v>0.15718048980345276</v>
      </c>
      <c r="AK45" s="23">
        <f t="shared" si="32"/>
        <v>1.2150209289387169E-4</v>
      </c>
      <c r="AL45" s="14">
        <f t="shared" si="20"/>
        <v>0</v>
      </c>
      <c r="AM45" s="14">
        <f t="shared" si="21"/>
        <v>0</v>
      </c>
      <c r="AN45" s="14">
        <f t="shared" si="22"/>
        <v>0</v>
      </c>
      <c r="AO45" s="14">
        <f t="shared" si="23"/>
        <v>0</v>
      </c>
      <c r="AP45" s="23">
        <f t="shared" si="33"/>
        <v>0</v>
      </c>
      <c r="AQ45" s="23">
        <f t="shared" si="34"/>
        <v>0</v>
      </c>
    </row>
    <row r="46" spans="2:43" x14ac:dyDescent="0.25">
      <c r="B46" s="304">
        <v>3</v>
      </c>
      <c r="C46" s="53">
        <f>fc*1000</f>
        <v>1496.3348183022088</v>
      </c>
      <c r="D46" s="53">
        <f>PM</f>
        <v>81.70610467695542</v>
      </c>
      <c r="E46" s="53">
        <f>(INDEX(I4:I504, 1+MATCH(0,J4:J504,-1))+INDEX(I4:I504, MATCH(0,J4:J504,-1)))/2</f>
        <v>17989.901343244539</v>
      </c>
      <c r="F46" s="53">
        <f>GM</f>
        <v>-16.051470143018729</v>
      </c>
      <c r="H46" s="14">
        <v>1.43</v>
      </c>
      <c r="I46" s="36">
        <f t="shared" si="24"/>
        <v>269.15348039269156</v>
      </c>
      <c r="J46" s="24">
        <f t="shared" si="25"/>
        <v>99.273503310654277</v>
      </c>
      <c r="K46" s="24">
        <f t="shared" si="26"/>
        <v>13.70867930096045</v>
      </c>
      <c r="L46" s="14">
        <f t="shared" si="0"/>
        <v>0.67018069634200106</v>
      </c>
      <c r="M46" s="14">
        <f t="shared" si="1"/>
        <v>-1.5786341659998435</v>
      </c>
      <c r="N46" s="14">
        <f t="shared" si="2"/>
        <v>3.2972888788707737E-3</v>
      </c>
      <c r="O46" s="14">
        <f t="shared" si="3"/>
        <v>-50.450442241042836</v>
      </c>
      <c r="P46" s="14">
        <f t="shared" si="4"/>
        <v>-3.9206837318435288</v>
      </c>
      <c r="Q46" s="14">
        <f t="shared" si="5"/>
        <v>-0.12847271931482473</v>
      </c>
      <c r="R46" s="14">
        <f t="shared" si="6"/>
        <v>-2.1835404610923745E-5</v>
      </c>
      <c r="S46" s="23">
        <f t="shared" si="27"/>
        <v>-52.157549126357502</v>
      </c>
      <c r="T46" s="23">
        <f t="shared" si="28"/>
        <v>-7.3935699902071237</v>
      </c>
      <c r="U46" s="14">
        <f t="shared" si="7"/>
        <v>20000</v>
      </c>
      <c r="V46" s="14">
        <f t="shared" si="8"/>
        <v>-89.984600022980274</v>
      </c>
      <c r="W46" s="14">
        <f t="shared" si="9"/>
        <v>-71.412051297353145</v>
      </c>
      <c r="X46" s="14">
        <f t="shared" si="10"/>
        <v>61.739275693529159</v>
      </c>
      <c r="Y46" s="14">
        <f t="shared" si="11"/>
        <v>6.4938839520614842</v>
      </c>
      <c r="Z46" s="14">
        <f t="shared" si="12"/>
        <v>-0.48446471868525204</v>
      </c>
      <c r="AA46" s="14">
        <f t="shared" si="13"/>
        <v>-3.1050495239914801E-4</v>
      </c>
      <c r="AB46" s="23">
        <f t="shared" si="29"/>
        <v>-28.729789048136368</v>
      </c>
      <c r="AC46" s="23">
        <f t="shared" si="30"/>
        <v>21.102122063035566</v>
      </c>
      <c r="AD46" s="14">
        <f t="shared" si="14"/>
        <v>0.38757510011112711</v>
      </c>
      <c r="AE46" s="14">
        <f t="shared" si="15"/>
        <v>1.9872572695768352E-4</v>
      </c>
      <c r="AF46" s="14">
        <f t="shared" si="16"/>
        <v>5.8137151565297576E-3</v>
      </c>
      <c r="AG46" s="14">
        <f t="shared" si="17"/>
        <v>4.4714311941761806E-8</v>
      </c>
      <c r="AH46" s="14">
        <f t="shared" si="18"/>
        <v>-0.23254733011950907</v>
      </c>
      <c r="AI46" s="14">
        <f t="shared" si="19"/>
        <v>-7.1542309262292493E-5</v>
      </c>
      <c r="AJ46" s="23">
        <f t="shared" si="31"/>
        <v>0.16084148514814778</v>
      </c>
      <c r="AK46" s="23">
        <f t="shared" si="32"/>
        <v>1.2722813200733278E-4</v>
      </c>
      <c r="AL46" s="14">
        <f t="shared" si="20"/>
        <v>0</v>
      </c>
      <c r="AM46" s="14">
        <f t="shared" si="21"/>
        <v>0</v>
      </c>
      <c r="AN46" s="14">
        <f t="shared" si="22"/>
        <v>0</v>
      </c>
      <c r="AO46" s="14">
        <f t="shared" si="23"/>
        <v>0</v>
      </c>
      <c r="AP46" s="23">
        <f t="shared" si="33"/>
        <v>0</v>
      </c>
      <c r="AQ46" s="23">
        <f t="shared" si="34"/>
        <v>0</v>
      </c>
    </row>
    <row r="47" spans="2:43" x14ac:dyDescent="0.25">
      <c r="B47" s="304"/>
      <c r="C47" s="53">
        <v>1000000</v>
      </c>
      <c r="D47" s="53">
        <f>PM</f>
        <v>81.70610467695542</v>
      </c>
      <c r="E47" s="53">
        <v>100</v>
      </c>
      <c r="F47" s="53">
        <f>GM</f>
        <v>-16.051470143018729</v>
      </c>
      <c r="H47" s="14">
        <v>1.44</v>
      </c>
      <c r="I47" s="36">
        <f t="shared" si="24"/>
        <v>275.42287033381666</v>
      </c>
      <c r="J47" s="24">
        <f t="shared" si="25"/>
        <v>99.12628399754874</v>
      </c>
      <c r="K47" s="24">
        <f t="shared" si="26"/>
        <v>13.544763770100342</v>
      </c>
      <c r="L47" s="14">
        <f t="shared" si="0"/>
        <v>0.67018069634200106</v>
      </c>
      <c r="M47" s="14">
        <f t="shared" si="1"/>
        <v>-1.6153860180902553</v>
      </c>
      <c r="N47" s="14">
        <f t="shared" si="2"/>
        <v>3.4526235624645352E-3</v>
      </c>
      <c r="O47" s="14">
        <f t="shared" si="3"/>
        <v>-51.096718454985712</v>
      </c>
      <c r="P47" s="14">
        <f t="shared" si="4"/>
        <v>-4.040701601541052</v>
      </c>
      <c r="Q47" s="14">
        <f t="shared" si="5"/>
        <v>-0.13146522299046839</v>
      </c>
      <c r="R47" s="14">
        <f t="shared" si="6"/>
        <v>-2.2864472817296712E-5</v>
      </c>
      <c r="S47" s="23">
        <f t="shared" si="27"/>
        <v>-52.843569696066439</v>
      </c>
      <c r="T47" s="23">
        <f t="shared" si="28"/>
        <v>-7.5134335542892599</v>
      </c>
      <c r="U47" s="14">
        <f t="shared" si="7"/>
        <v>20000</v>
      </c>
      <c r="V47" s="14">
        <f t="shared" si="8"/>
        <v>-89.984950569238151</v>
      </c>
      <c r="W47" s="14">
        <f t="shared" si="9"/>
        <v>-71.612051283232219</v>
      </c>
      <c r="X47" s="14">
        <f t="shared" si="10"/>
        <v>62.285965316582647</v>
      </c>
      <c r="Y47" s="14">
        <f t="shared" si="11"/>
        <v>6.6498406083805595</v>
      </c>
      <c r="Z47" s="14">
        <f t="shared" si="12"/>
        <v>-0.49574879484084611</v>
      </c>
      <c r="AA47" s="14">
        <f t="shared" si="13"/>
        <v>-3.251380522029698E-4</v>
      </c>
      <c r="AB47" s="23">
        <f t="shared" si="29"/>
        <v>-28.19473404749635</v>
      </c>
      <c r="AC47" s="23">
        <f t="shared" si="30"/>
        <v>21.058064100375759</v>
      </c>
      <c r="AD47" s="14">
        <f t="shared" si="14"/>
        <v>0.39660259883713156</v>
      </c>
      <c r="AE47" s="14">
        <f t="shared" si="15"/>
        <v>2.0809115755499586E-4</v>
      </c>
      <c r="AF47" s="14">
        <f t="shared" si="16"/>
        <v>5.9491339778310797E-3</v>
      </c>
      <c r="AG47" s="14">
        <f t="shared" si="17"/>
        <v>4.6821631670802613E-8</v>
      </c>
      <c r="AH47" s="14">
        <f t="shared" si="18"/>
        <v>-0.23796399170343294</v>
      </c>
      <c r="AI47" s="14">
        <f t="shared" si="19"/>
        <v>-7.4913965342665172E-5</v>
      </c>
      <c r="AJ47" s="23">
        <f t="shared" si="31"/>
        <v>0.16458774111152971</v>
      </c>
      <c r="AK47" s="23">
        <f t="shared" si="32"/>
        <v>1.332240138440015E-4</v>
      </c>
      <c r="AL47" s="14">
        <f t="shared" si="20"/>
        <v>0</v>
      </c>
      <c r="AM47" s="14">
        <f t="shared" si="21"/>
        <v>0</v>
      </c>
      <c r="AN47" s="14">
        <f t="shared" si="22"/>
        <v>0</v>
      </c>
      <c r="AO47" s="14">
        <f t="shared" si="23"/>
        <v>0</v>
      </c>
      <c r="AP47" s="23">
        <f t="shared" si="33"/>
        <v>0</v>
      </c>
      <c r="AQ47" s="23">
        <f t="shared" si="34"/>
        <v>0</v>
      </c>
    </row>
    <row r="48" spans="2:43" x14ac:dyDescent="0.25">
      <c r="H48" s="14">
        <v>1.45</v>
      </c>
      <c r="I48" s="36">
        <f t="shared" si="24"/>
        <v>281.83829312644548</v>
      </c>
      <c r="J48" s="24">
        <f t="shared" si="25"/>
        <v>98.97401192452628</v>
      </c>
      <c r="K48" s="24">
        <f t="shared" si="26"/>
        <v>13.380216575557629</v>
      </c>
      <c r="L48" s="14">
        <f t="shared" si="0"/>
        <v>0.67018069634200106</v>
      </c>
      <c r="M48" s="14">
        <f t="shared" si="1"/>
        <v>-1.6529925541358856</v>
      </c>
      <c r="N48" s="14">
        <f t="shared" si="2"/>
        <v>3.6152729895707397E-3</v>
      </c>
      <c r="O48" s="14">
        <f t="shared" si="3"/>
        <v>-51.739859624698546</v>
      </c>
      <c r="P48" s="14">
        <f t="shared" si="4"/>
        <v>-4.1629191676705615</v>
      </c>
      <c r="Q48" s="14">
        <f t="shared" si="5"/>
        <v>-0.13452743028850123</v>
      </c>
      <c r="R48" s="14">
        <f t="shared" si="6"/>
        <v>-2.3942039251673606E-5</v>
      </c>
      <c r="S48" s="23">
        <f t="shared" si="27"/>
        <v>-53.527379609122931</v>
      </c>
      <c r="T48" s="23">
        <f t="shared" si="28"/>
        <v>-7.6354895485580974</v>
      </c>
      <c r="U48" s="14">
        <f t="shared" si="7"/>
        <v>20000</v>
      </c>
      <c r="V48" s="14">
        <f t="shared" si="8"/>
        <v>-89.985293136090093</v>
      </c>
      <c r="W48" s="14">
        <f t="shared" si="9"/>
        <v>-71.812051269746846</v>
      </c>
      <c r="X48" s="14">
        <f t="shared" si="10"/>
        <v>62.825559098213553</v>
      </c>
      <c r="Y48" s="14">
        <f t="shared" si="11"/>
        <v>6.8073584388648021</v>
      </c>
      <c r="Z48" s="14">
        <f t="shared" si="12"/>
        <v>-0.50729567107595996</v>
      </c>
      <c r="AA48" s="14">
        <f t="shared" si="13"/>
        <v>-3.4046073590602769E-4</v>
      </c>
      <c r="AB48" s="23">
        <f t="shared" si="29"/>
        <v>-27.667029708952498</v>
      </c>
      <c r="AC48" s="23">
        <f t="shared" si="30"/>
        <v>21.015566621661677</v>
      </c>
      <c r="AD48" s="14">
        <f t="shared" si="14"/>
        <v>0.4058403546327104</v>
      </c>
      <c r="AE48" s="14">
        <f t="shared" si="15"/>
        <v>2.1789794565512278E-4</v>
      </c>
      <c r="AF48" s="14">
        <f t="shared" si="16"/>
        <v>6.0877071086228246E-3</v>
      </c>
      <c r="AG48" s="14">
        <f t="shared" si="17"/>
        <v>4.9028267484552447E-8</v>
      </c>
      <c r="AH48" s="14">
        <f t="shared" si="18"/>
        <v>-0.24350681913961822</v>
      </c>
      <c r="AI48" s="14">
        <f t="shared" si="19"/>
        <v>-7.8444519872032491E-5</v>
      </c>
      <c r="AJ48" s="23">
        <f t="shared" si="31"/>
        <v>0.16842124260171501</v>
      </c>
      <c r="AK48" s="23">
        <f t="shared" si="32"/>
        <v>1.3950245405057484E-4</v>
      </c>
      <c r="AL48" s="14">
        <f t="shared" si="20"/>
        <v>0</v>
      </c>
      <c r="AM48" s="14">
        <f t="shared" si="21"/>
        <v>0</v>
      </c>
      <c r="AN48" s="14">
        <f t="shared" si="22"/>
        <v>0</v>
      </c>
      <c r="AO48" s="14">
        <f t="shared" si="23"/>
        <v>0</v>
      </c>
      <c r="AP48" s="23">
        <f t="shared" si="33"/>
        <v>0</v>
      </c>
      <c r="AQ48" s="23">
        <f t="shared" si="34"/>
        <v>0</v>
      </c>
    </row>
    <row r="49" spans="8:43" x14ac:dyDescent="0.25">
      <c r="H49" s="14">
        <v>1.46</v>
      </c>
      <c r="I49" s="36">
        <f t="shared" si="24"/>
        <v>288.40315031266067</v>
      </c>
      <c r="J49" s="24">
        <f t="shared" si="25"/>
        <v>98.816871817422665</v>
      </c>
      <c r="K49" s="24">
        <f t="shared" si="26"/>
        <v>13.215019623759332</v>
      </c>
      <c r="L49" s="14">
        <f t="shared" si="0"/>
        <v>0.67018069634200106</v>
      </c>
      <c r="M49" s="14">
        <f t="shared" si="1"/>
        <v>-1.6914735839368777</v>
      </c>
      <c r="N49" s="14">
        <f t="shared" si="2"/>
        <v>3.7855813194320048E-3</v>
      </c>
      <c r="O49" s="14">
        <f t="shared" si="3"/>
        <v>-52.379558506660715</v>
      </c>
      <c r="P49" s="14">
        <f t="shared" si="4"/>
        <v>-4.287314044247843</v>
      </c>
      <c r="Q49" s="14">
        <f t="shared" si="5"/>
        <v>-0.13766096476174952</v>
      </c>
      <c r="R49" s="14">
        <f t="shared" si="6"/>
        <v>-2.5070389542226105E-5</v>
      </c>
      <c r="S49" s="23">
        <f t="shared" si="27"/>
        <v>-54.20869305535934</v>
      </c>
      <c r="T49" s="23">
        <f t="shared" si="28"/>
        <v>-7.7597152451558085</v>
      </c>
      <c r="U49" s="14">
        <f t="shared" si="7"/>
        <v>20000</v>
      </c>
      <c r="V49" s="14">
        <f t="shared" si="8"/>
        <v>-89.985627905169508</v>
      </c>
      <c r="W49" s="14">
        <f t="shared" si="9"/>
        <v>-72.012051256868403</v>
      </c>
      <c r="X49" s="14">
        <f t="shared" si="10"/>
        <v>63.357960223209801</v>
      </c>
      <c r="Y49" s="14">
        <f t="shared" si="11"/>
        <v>6.9663966412340548</v>
      </c>
      <c r="Z49" s="14">
        <f t="shared" si="12"/>
        <v>-0.51911146594327129</v>
      </c>
      <c r="AA49" s="14">
        <f t="shared" si="13"/>
        <v>-3.5650549750432963E-4</v>
      </c>
      <c r="AB49" s="23">
        <f t="shared" si="29"/>
        <v>-27.146779147902979</v>
      </c>
      <c r="AC49" s="23">
        <f t="shared" si="30"/>
        <v>20.974588792147774</v>
      </c>
      <c r="AD49" s="14">
        <f t="shared" si="14"/>
        <v>0.41529326355608481</v>
      </c>
      <c r="AE49" s="14">
        <f t="shared" si="15"/>
        <v>2.2816688970233716E-4</v>
      </c>
      <c r="AF49" s="14">
        <f t="shared" si="16"/>
        <v>6.2295080222066809E-3</v>
      </c>
      <c r="AG49" s="14">
        <f t="shared" si="17"/>
        <v>5.1338898299775682E-8</v>
      </c>
      <c r="AH49" s="14">
        <f t="shared" si="18"/>
        <v>-0.24917875089331015</v>
      </c>
      <c r="AI49" s="14">
        <f t="shared" si="19"/>
        <v>-8.2141461234693029E-5</v>
      </c>
      <c r="AJ49" s="23">
        <f t="shared" si="31"/>
        <v>0.17234402068498134</v>
      </c>
      <c r="AK49" s="23">
        <f t="shared" si="32"/>
        <v>1.460767673659439E-4</v>
      </c>
      <c r="AL49" s="14">
        <f t="shared" si="20"/>
        <v>0</v>
      </c>
      <c r="AM49" s="14">
        <f t="shared" si="21"/>
        <v>0</v>
      </c>
      <c r="AN49" s="14">
        <f t="shared" si="22"/>
        <v>0</v>
      </c>
      <c r="AO49" s="14">
        <f t="shared" si="23"/>
        <v>0</v>
      </c>
      <c r="AP49" s="23">
        <f t="shared" si="33"/>
        <v>0</v>
      </c>
      <c r="AQ49" s="23">
        <f t="shared" si="34"/>
        <v>0</v>
      </c>
    </row>
    <row r="50" spans="8:43" x14ac:dyDescent="0.25">
      <c r="H50" s="14">
        <v>1.47</v>
      </c>
      <c r="I50" s="36">
        <f t="shared" si="24"/>
        <v>295.12092266663865</v>
      </c>
      <c r="J50" s="24">
        <f t="shared" si="25"/>
        <v>98.655050586452447</v>
      </c>
      <c r="K50" s="24">
        <f t="shared" si="26"/>
        <v>13.0491567979235</v>
      </c>
      <c r="L50" s="14">
        <f t="shared" si="0"/>
        <v>0.67018069634200106</v>
      </c>
      <c r="M50" s="14">
        <f t="shared" si="1"/>
        <v>-1.7308493717026894</v>
      </c>
      <c r="N50" s="14">
        <f t="shared" si="2"/>
        <v>3.9639088757102547E-3</v>
      </c>
      <c r="O50" s="14">
        <f t="shared" si="3"/>
        <v>-53.015516381127725</v>
      </c>
      <c r="P50" s="14">
        <f t="shared" si="4"/>
        <v>-4.4138619137229229</v>
      </c>
      <c r="Q50" s="14">
        <f t="shared" si="5"/>
        <v>-0.14086748777664485</v>
      </c>
      <c r="R50" s="14">
        <f t="shared" si="6"/>
        <v>-2.625191703012605E-5</v>
      </c>
      <c r="S50" s="23">
        <f t="shared" si="27"/>
        <v>-54.88723324060706</v>
      </c>
      <c r="T50" s="23">
        <f t="shared" si="28"/>
        <v>-7.8860859686020985</v>
      </c>
      <c r="U50" s="14">
        <f t="shared" si="7"/>
        <v>20000</v>
      </c>
      <c r="V50" s="14">
        <f t="shared" si="8"/>
        <v>-89.985955053975289</v>
      </c>
      <c r="W50" s="14">
        <f t="shared" si="9"/>
        <v>-72.212051244569594</v>
      </c>
      <c r="X50" s="14">
        <f t="shared" si="10"/>
        <v>63.883083167690572</v>
      </c>
      <c r="Y50" s="14">
        <f t="shared" si="11"/>
        <v>7.1269144432815814</v>
      </c>
      <c r="Z50" s="14">
        <f t="shared" si="12"/>
        <v>-0.53120244031124175</v>
      </c>
      <c r="AA50" s="14">
        <f t="shared" si="13"/>
        <v>-3.7330636188831988E-4</v>
      </c>
      <c r="AB50" s="23">
        <f t="shared" si="29"/>
        <v>-26.634074326595957</v>
      </c>
      <c r="AC50" s="23">
        <f t="shared" si="30"/>
        <v>20.935089805629726</v>
      </c>
      <c r="AD50" s="14">
        <f t="shared" si="14"/>
        <v>0.42496633560505381</v>
      </c>
      <c r="AE50" s="14">
        <f t="shared" si="15"/>
        <v>2.3891976814813736E-4</v>
      </c>
      <c r="AF50" s="14">
        <f t="shared" si="16"/>
        <v>6.374611903297034E-3</v>
      </c>
      <c r="AG50" s="14">
        <f t="shared" si="17"/>
        <v>5.375842675719893E-8</v>
      </c>
      <c r="AH50" s="14">
        <f t="shared" si="18"/>
        <v>-0.25498279385287609</v>
      </c>
      <c r="AI50" s="14">
        <f t="shared" si="19"/>
        <v>-8.6012630702414288E-5</v>
      </c>
      <c r="AJ50" s="23">
        <f t="shared" si="31"/>
        <v>0.17635815365547475</v>
      </c>
      <c r="AK50" s="23">
        <f t="shared" si="32"/>
        <v>1.5296089587248028E-4</v>
      </c>
      <c r="AL50" s="14">
        <f t="shared" si="20"/>
        <v>0</v>
      </c>
      <c r="AM50" s="14">
        <f t="shared" si="21"/>
        <v>0</v>
      </c>
      <c r="AN50" s="14">
        <f t="shared" si="22"/>
        <v>0</v>
      </c>
      <c r="AO50" s="14">
        <f t="shared" si="23"/>
        <v>0</v>
      </c>
      <c r="AP50" s="23">
        <f t="shared" si="33"/>
        <v>0</v>
      </c>
      <c r="AQ50" s="23">
        <f t="shared" si="34"/>
        <v>0</v>
      </c>
    </row>
    <row r="51" spans="8:43" x14ac:dyDescent="0.25">
      <c r="H51" s="14">
        <v>1.48</v>
      </c>
      <c r="I51" s="36">
        <f t="shared" si="24"/>
        <v>301.99517204020162</v>
      </c>
      <c r="J51" s="24">
        <f t="shared" si="25"/>
        <v>98.488736423417947</v>
      </c>
      <c r="K51" s="24">
        <f t="shared" si="26"/>
        <v>12.882613947448613</v>
      </c>
      <c r="L51" s="14">
        <f t="shared" si="0"/>
        <v>0.67018069634200106</v>
      </c>
      <c r="M51" s="14">
        <f t="shared" si="1"/>
        <v>-1.7711406461362071</v>
      </c>
      <c r="N51" s="14">
        <f t="shared" si="2"/>
        <v>4.1506329029690715E-3</v>
      </c>
      <c r="O51" s="14">
        <f t="shared" si="3"/>
        <v>-53.647443666351371</v>
      </c>
      <c r="P51" s="14">
        <f t="shared" si="4"/>
        <v>-4.5425366208060423</v>
      </c>
      <c r="Q51" s="14">
        <f t="shared" si="5"/>
        <v>-0.14414869939374375</v>
      </c>
      <c r="R51" s="14">
        <f t="shared" si="6"/>
        <v>-2.7489127847464471E-5</v>
      </c>
      <c r="S51" s="23">
        <f t="shared" si="27"/>
        <v>-55.562733011881328</v>
      </c>
      <c r="T51" s="23">
        <f t="shared" si="28"/>
        <v>-8.0145751888687755</v>
      </c>
      <c r="U51" s="14">
        <f t="shared" si="7"/>
        <v>20000</v>
      </c>
      <c r="V51" s="14">
        <f t="shared" si="8"/>
        <v>-89.986274755965951</v>
      </c>
      <c r="W51" s="14">
        <f t="shared" si="9"/>
        <v>-72.412051232824311</v>
      </c>
      <c r="X51" s="14">
        <f t="shared" si="10"/>
        <v>64.400853423800314</v>
      </c>
      <c r="Y51" s="14">
        <f t="shared" si="11"/>
        <v>7.2888711853805077</v>
      </c>
      <c r="Z51" s="14">
        <f t="shared" si="12"/>
        <v>-0.54357500066451714</v>
      </c>
      <c r="AA51" s="14">
        <f t="shared" si="13"/>
        <v>-3.9089895695520289E-4</v>
      </c>
      <c r="AB51" s="23">
        <f t="shared" si="29"/>
        <v>-26.128996332830155</v>
      </c>
      <c r="AC51" s="23">
        <f t="shared" si="30"/>
        <v>20.897028966878867</v>
      </c>
      <c r="AD51" s="14">
        <f t="shared" si="14"/>
        <v>0.43486469736353206</v>
      </c>
      <c r="AE51" s="14">
        <f t="shared" si="15"/>
        <v>2.501793856081067E-4</v>
      </c>
      <c r="AF51" s="14">
        <f t="shared" si="16"/>
        <v>6.5230956878848684E-3</v>
      </c>
      <c r="AG51" s="14">
        <f t="shared" si="17"/>
        <v>5.6291983078820012E-8</v>
      </c>
      <c r="AH51" s="14">
        <f t="shared" si="18"/>
        <v>-0.26092202492197392</v>
      </c>
      <c r="AI51" s="14">
        <f t="shared" si="19"/>
        <v>-9.0066239070476213E-5</v>
      </c>
      <c r="AJ51" s="23">
        <f t="shared" si="31"/>
        <v>0.18046576812944304</v>
      </c>
      <c r="AK51" s="23">
        <f t="shared" si="32"/>
        <v>1.6016943852070932E-4</v>
      </c>
      <c r="AL51" s="14">
        <f t="shared" si="20"/>
        <v>0</v>
      </c>
      <c r="AM51" s="14">
        <f t="shared" si="21"/>
        <v>0</v>
      </c>
      <c r="AN51" s="14">
        <f t="shared" si="22"/>
        <v>0</v>
      </c>
      <c r="AO51" s="14">
        <f t="shared" si="23"/>
        <v>0</v>
      </c>
      <c r="AP51" s="23">
        <f t="shared" si="33"/>
        <v>0</v>
      </c>
      <c r="AQ51" s="23">
        <f t="shared" si="34"/>
        <v>0</v>
      </c>
    </row>
    <row r="52" spans="8:43" x14ac:dyDescent="0.25">
      <c r="H52" s="14">
        <v>1.49</v>
      </c>
      <c r="I52" s="36">
        <f t="shared" si="24"/>
        <v>309.0295432513592</v>
      </c>
      <c r="J52" s="24">
        <f t="shared" si="25"/>
        <v>98.31811792636708</v>
      </c>
      <c r="K52" s="24">
        <f t="shared" si="26"/>
        <v>12.715378867268031</v>
      </c>
      <c r="L52" s="14">
        <f t="shared" si="0"/>
        <v>0.67018069634200106</v>
      </c>
      <c r="M52" s="14">
        <f t="shared" si="1"/>
        <v>-1.812368610717159</v>
      </c>
      <c r="N52" s="14">
        <f t="shared" si="2"/>
        <v>4.3461483582889439E-3</v>
      </c>
      <c r="O52" s="14">
        <f t="shared" si="3"/>
        <v>-54.275060480528204</v>
      </c>
      <c r="P52" s="14">
        <f t="shared" si="4"/>
        <v>-4.673310271564576</v>
      </c>
      <c r="Q52" s="14">
        <f t="shared" si="5"/>
        <v>-0.14750633926873943</v>
      </c>
      <c r="R52" s="14">
        <f t="shared" si="6"/>
        <v>-2.8784646236230335E-5</v>
      </c>
      <c r="S52" s="23">
        <f t="shared" si="27"/>
        <v>-56.234935430514099</v>
      </c>
      <c r="T52" s="23">
        <f t="shared" si="28"/>
        <v>-8.1451546196903788</v>
      </c>
      <c r="U52" s="14">
        <f t="shared" si="7"/>
        <v>20000</v>
      </c>
      <c r="V52" s="14">
        <f t="shared" si="8"/>
        <v>-89.986587180651682</v>
      </c>
      <c r="W52" s="14">
        <f t="shared" si="9"/>
        <v>-72.612051221607658</v>
      </c>
      <c r="X52" s="14">
        <f t="shared" si="10"/>
        <v>64.911207199848491</v>
      </c>
      <c r="Y52" s="14">
        <f t="shared" si="11"/>
        <v>7.4522263981934511</v>
      </c>
      <c r="Z52" s="14">
        <f t="shared" si="12"/>
        <v>-0.55623570248016685</v>
      </c>
      <c r="AA52" s="14">
        <f t="shared" si="13"/>
        <v>-4.0932058909965601E-4</v>
      </c>
      <c r="AB52" s="23">
        <f t="shared" si="29"/>
        <v>-25.631615683283357</v>
      </c>
      <c r="AC52" s="23">
        <f t="shared" si="30"/>
        <v>20.860365769276321</v>
      </c>
      <c r="AD52" s="14">
        <f t="shared" si="14"/>
        <v>0.44499359470920113</v>
      </c>
      <c r="AE52" s="14">
        <f t="shared" si="15"/>
        <v>2.6196962120403458E-4</v>
      </c>
      <c r="AF52" s="14">
        <f t="shared" si="16"/>
        <v>6.6750381040302084E-3</v>
      </c>
      <c r="AG52" s="14">
        <f t="shared" si="17"/>
        <v>5.894494242580123E-8</v>
      </c>
      <c r="AH52" s="14">
        <f t="shared" si="18"/>
        <v>-0.26699959264869177</v>
      </c>
      <c r="AI52" s="14">
        <f t="shared" si="19"/>
        <v>-9.4310884057224585E-5</v>
      </c>
      <c r="AJ52" s="23">
        <f t="shared" si="31"/>
        <v>0.18466904016453956</v>
      </c>
      <c r="AK52" s="23">
        <f t="shared" si="32"/>
        <v>1.6771768208923579E-4</v>
      </c>
      <c r="AL52" s="14">
        <f t="shared" si="20"/>
        <v>0</v>
      </c>
      <c r="AM52" s="14">
        <f t="shared" si="21"/>
        <v>0</v>
      </c>
      <c r="AN52" s="14">
        <f t="shared" si="22"/>
        <v>0</v>
      </c>
      <c r="AO52" s="14">
        <f t="shared" si="23"/>
        <v>0</v>
      </c>
      <c r="AP52" s="23">
        <f t="shared" si="33"/>
        <v>0</v>
      </c>
      <c r="AQ52" s="23">
        <f t="shared" si="34"/>
        <v>0</v>
      </c>
    </row>
    <row r="53" spans="8:43" x14ac:dyDescent="0.25">
      <c r="H53" s="14">
        <v>1.5</v>
      </c>
      <c r="I53" s="36">
        <f t="shared" si="24"/>
        <v>316.22776601683802</v>
      </c>
      <c r="J53" s="24">
        <f t="shared" si="25"/>
        <v>98.14338325675709</v>
      </c>
      <c r="K53" s="24">
        <f t="shared" si="26"/>
        <v>12.54744126783517</v>
      </c>
      <c r="L53" s="14">
        <f t="shared" si="0"/>
        <v>0.67018069634200106</v>
      </c>
      <c r="M53" s="14">
        <f t="shared" si="1"/>
        <v>-1.8545549541869428</v>
      </c>
      <c r="N53" s="14">
        <f t="shared" si="2"/>
        <v>4.5508687396394578E-3</v>
      </c>
      <c r="O53" s="14">
        <f t="shared" si="3"/>
        <v>-54.898097149519955</v>
      </c>
      <c r="P53" s="14">
        <f t="shared" si="4"/>
        <v>-4.8061533370289373</v>
      </c>
      <c r="Q53" s="14">
        <f t="shared" si="5"/>
        <v>-0.15094218757443809</v>
      </c>
      <c r="R53" s="14">
        <f t="shared" si="6"/>
        <v>-3.0141220114132865E-5</v>
      </c>
      <c r="S53" s="23">
        <f t="shared" si="27"/>
        <v>-56.903594291281337</v>
      </c>
      <c r="T53" s="23">
        <f t="shared" si="28"/>
        <v>-8.2777943213472671</v>
      </c>
      <c r="U53" s="14">
        <f t="shared" si="7"/>
        <v>20000</v>
      </c>
      <c r="V53" s="14">
        <f t="shared" si="8"/>
        <v>-89.986892493684095</v>
      </c>
      <c r="W53" s="14">
        <f t="shared" si="9"/>
        <v>-72.812051210895831</v>
      </c>
      <c r="X53" s="14">
        <f t="shared" si="10"/>
        <v>65.414091098999222</v>
      </c>
      <c r="Y53" s="14">
        <f t="shared" si="11"/>
        <v>7.6169398754873594</v>
      </c>
      <c r="Z53" s="14">
        <f t="shared" si="12"/>
        <v>-0.56919125368144752</v>
      </c>
      <c r="AA53" s="14">
        <f t="shared" si="13"/>
        <v>-4.2861032227150674E-4</v>
      </c>
      <c r="AB53" s="23">
        <f t="shared" si="29"/>
        <v>-25.141992648366323</v>
      </c>
      <c r="AC53" s="23">
        <f t="shared" si="30"/>
        <v>20.825059967548885</v>
      </c>
      <c r="AD53" s="14">
        <f t="shared" si="14"/>
        <v>0.45535839558365654</v>
      </c>
      <c r="AE53" s="14">
        <f t="shared" si="15"/>
        <v>2.7431547917598466E-4</v>
      </c>
      <c r="AF53" s="14">
        <f t="shared" si="16"/>
        <v>6.8305197136047284E-3</v>
      </c>
      <c r="AG53" s="14">
        <f t="shared" si="17"/>
        <v>6.1722930684433088E-8</v>
      </c>
      <c r="AH53" s="14">
        <f t="shared" si="18"/>
        <v>-0.27321871889251104</v>
      </c>
      <c r="AI53" s="14">
        <f t="shared" si="19"/>
        <v>-9.8755568553900668E-5</v>
      </c>
      <c r="AJ53" s="23">
        <f t="shared" si="31"/>
        <v>0.18897019640475021</v>
      </c>
      <c r="AK53" s="23">
        <f t="shared" si="32"/>
        <v>1.7562163355276843E-4</v>
      </c>
      <c r="AL53" s="14">
        <f t="shared" si="20"/>
        <v>0</v>
      </c>
      <c r="AM53" s="14">
        <f t="shared" si="21"/>
        <v>0</v>
      </c>
      <c r="AN53" s="14">
        <f t="shared" si="22"/>
        <v>0</v>
      </c>
      <c r="AO53" s="14">
        <f t="shared" si="23"/>
        <v>0</v>
      </c>
      <c r="AP53" s="23">
        <f t="shared" si="33"/>
        <v>0</v>
      </c>
      <c r="AQ53" s="23">
        <f t="shared" si="34"/>
        <v>0</v>
      </c>
    </row>
    <row r="54" spans="8:43" x14ac:dyDescent="0.25">
      <c r="H54" s="14">
        <v>1.51</v>
      </c>
      <c r="I54" s="36">
        <f t="shared" si="24"/>
        <v>323.59365692962831</v>
      </c>
      <c r="J54" s="24">
        <f t="shared" si="25"/>
        <v>97.96471933357283</v>
      </c>
      <c r="K54" s="24">
        <f t="shared" si="26"/>
        <v>12.378792736459097</v>
      </c>
      <c r="L54" s="14">
        <f t="shared" si="0"/>
        <v>0.67018069634200106</v>
      </c>
      <c r="M54" s="14">
        <f t="shared" si="1"/>
        <v>-1.8977218612368743</v>
      </c>
      <c r="N54" s="14">
        <f t="shared" si="2"/>
        <v>4.7652269526702751E-3</v>
      </c>
      <c r="O54" s="14">
        <f t="shared" si="3"/>
        <v>-55.5162946589234</v>
      </c>
      <c r="P54" s="14">
        <f t="shared" si="4"/>
        <v>-4.9410347605339107</v>
      </c>
      <c r="Q54" s="14">
        <f t="shared" si="5"/>
        <v>-0.1544580659441904</v>
      </c>
      <c r="R54" s="14">
        <f t="shared" si="6"/>
        <v>-3.1561726891122446E-5</v>
      </c>
      <c r="S54" s="23">
        <f t="shared" si="27"/>
        <v>-57.568474586104465</v>
      </c>
      <c r="T54" s="23">
        <f t="shared" si="28"/>
        <v>-8.412462807145987</v>
      </c>
      <c r="U54" s="14">
        <f t="shared" si="7"/>
        <v>20000</v>
      </c>
      <c r="V54" s="14">
        <f t="shared" si="8"/>
        <v>-89.987190856944125</v>
      </c>
      <c r="W54" s="14">
        <f t="shared" si="9"/>
        <v>-73.012051200666136</v>
      </c>
      <c r="X54" s="14">
        <f t="shared" si="10"/>
        <v>65.90946177954072</v>
      </c>
      <c r="Y54" s="14">
        <f t="shared" si="11"/>
        <v>7.7829717419982893</v>
      </c>
      <c r="Z54" s="14">
        <f t="shared" si="12"/>
        <v>-0.58244851817082466</v>
      </c>
      <c r="AA54" s="14">
        <f t="shared" si="13"/>
        <v>-4.4880906073105153E-4</v>
      </c>
      <c r="AB54" s="23">
        <f t="shared" si="29"/>
        <v>-24.660177595574229</v>
      </c>
      <c r="AC54" s="23">
        <f t="shared" si="30"/>
        <v>20.791071645551046</v>
      </c>
      <c r="AD54" s="14">
        <f t="shared" si="14"/>
        <v>0.46596459282647212</v>
      </c>
      <c r="AE54" s="14">
        <f t="shared" si="15"/>
        <v>2.8724314189333466E-4</v>
      </c>
      <c r="AF54" s="14">
        <f t="shared" si="16"/>
        <v>6.9896229550067083E-3</v>
      </c>
      <c r="AG54" s="14">
        <f t="shared" si="17"/>
        <v>6.4631843752682231E-8</v>
      </c>
      <c r="AH54" s="14">
        <f t="shared" si="18"/>
        <v>-0.27958270052996692</v>
      </c>
      <c r="AI54" s="14">
        <f t="shared" si="19"/>
        <v>-1.0340971969964963E-4</v>
      </c>
      <c r="AJ54" s="23">
        <f t="shared" si="31"/>
        <v>0.19337151525151192</v>
      </c>
      <c r="AK54" s="23">
        <f t="shared" si="32"/>
        <v>1.8389805403743771E-4</v>
      </c>
      <c r="AL54" s="14">
        <f t="shared" si="20"/>
        <v>0</v>
      </c>
      <c r="AM54" s="14">
        <f t="shared" si="21"/>
        <v>0</v>
      </c>
      <c r="AN54" s="14">
        <f t="shared" si="22"/>
        <v>0</v>
      </c>
      <c r="AO54" s="14">
        <f t="shared" si="23"/>
        <v>0</v>
      </c>
      <c r="AP54" s="23">
        <f t="shared" si="33"/>
        <v>0</v>
      </c>
      <c r="AQ54" s="23">
        <f t="shared" si="34"/>
        <v>0</v>
      </c>
    </row>
    <row r="55" spans="8:43" x14ac:dyDescent="0.25">
      <c r="H55" s="14">
        <v>1.52</v>
      </c>
      <c r="I55" s="36">
        <f t="shared" si="24"/>
        <v>331.13112148259125</v>
      </c>
      <c r="J55" s="24">
        <f t="shared" si="25"/>
        <v>97.782311068222072</v>
      </c>
      <c r="K55" s="24">
        <f t="shared" si="26"/>
        <v>12.20942669075235</v>
      </c>
      <c r="L55" s="14">
        <f t="shared" si="0"/>
        <v>0.67018069634200106</v>
      </c>
      <c r="M55" s="14">
        <f t="shared" si="1"/>
        <v>-1.941892023401691</v>
      </c>
      <c r="N55" s="14">
        <f t="shared" si="2"/>
        <v>4.989676217672206E-3</v>
      </c>
      <c r="O55" s="14">
        <f t="shared" si="3"/>
        <v>-56.129405049593679</v>
      </c>
      <c r="P55" s="14">
        <f t="shared" si="4"/>
        <v>-5.0779220680192561</v>
      </c>
      <c r="Q55" s="14">
        <f t="shared" si="5"/>
        <v>-0.15805583843727306</v>
      </c>
      <c r="R55" s="14">
        <f t="shared" si="6"/>
        <v>-3.3049179594467046E-5</v>
      </c>
      <c r="S55" s="23">
        <f t="shared" si="27"/>
        <v>-58.229352911432642</v>
      </c>
      <c r="T55" s="23">
        <f t="shared" si="28"/>
        <v>-8.5491271528190325</v>
      </c>
      <c r="U55" s="14">
        <f t="shared" si="7"/>
        <v>20000</v>
      </c>
      <c r="V55" s="14">
        <f t="shared" si="8"/>
        <v>-89.987482428627871</v>
      </c>
      <c r="W55" s="14">
        <f t="shared" si="9"/>
        <v>-73.212051190896844</v>
      </c>
      <c r="X55" s="14">
        <f t="shared" si="10"/>
        <v>66.397285599664997</v>
      </c>
      <c r="Y55" s="14">
        <f t="shared" si="11"/>
        <v>7.9502825163300219</v>
      </c>
      <c r="Z55" s="14">
        <f t="shared" si="12"/>
        <v>-0.59601451944400585</v>
      </c>
      <c r="AA55" s="14">
        <f t="shared" si="13"/>
        <v>-4.6995963571943363E-4</v>
      </c>
      <c r="AB55" s="23">
        <f t="shared" si="29"/>
        <v>-24.186211348406879</v>
      </c>
      <c r="AC55" s="23">
        <f t="shared" si="30"/>
        <v>20.758361279077082</v>
      </c>
      <c r="AD55" s="14">
        <f t="shared" si="14"/>
        <v>0.47681780707461835</v>
      </c>
      <c r="AE55" s="14">
        <f t="shared" si="15"/>
        <v>3.0078002533979391E-4</v>
      </c>
      <c r="AF55" s="14">
        <f t="shared" si="16"/>
        <v>7.1524321868709009E-3</v>
      </c>
      <c r="AG55" s="14">
        <f t="shared" si="17"/>
        <v>6.7677849468845164E-8</v>
      </c>
      <c r="AH55" s="14">
        <f t="shared" si="18"/>
        <v>-0.28609491119989633</v>
      </c>
      <c r="AI55" s="14">
        <f t="shared" si="19"/>
        <v>-1.0828320888968473E-4</v>
      </c>
      <c r="AJ55" s="23">
        <f t="shared" si="31"/>
        <v>0.19787532806159291</v>
      </c>
      <c r="AK55" s="23">
        <f t="shared" si="32"/>
        <v>1.9256449429957804E-4</v>
      </c>
      <c r="AL55" s="14">
        <f t="shared" si="20"/>
        <v>0</v>
      </c>
      <c r="AM55" s="14">
        <f t="shared" si="21"/>
        <v>0</v>
      </c>
      <c r="AN55" s="14">
        <f t="shared" si="22"/>
        <v>0</v>
      </c>
      <c r="AO55" s="14">
        <f t="shared" si="23"/>
        <v>0</v>
      </c>
      <c r="AP55" s="23">
        <f t="shared" si="33"/>
        <v>0</v>
      </c>
      <c r="AQ55" s="23">
        <f t="shared" si="34"/>
        <v>0</v>
      </c>
    </row>
    <row r="56" spans="8:43" x14ac:dyDescent="0.25">
      <c r="H56" s="14">
        <v>1.53</v>
      </c>
      <c r="I56" s="36">
        <f t="shared" si="24"/>
        <v>338.84415613920271</v>
      </c>
      <c r="J56" s="24">
        <f t="shared" si="25"/>
        <v>97.596340643401177</v>
      </c>
      <c r="K56" s="24">
        <f t="shared" si="26"/>
        <v>12.039338324982454</v>
      </c>
      <c r="L56" s="14">
        <f t="shared" si="0"/>
        <v>0.67018069634200106</v>
      </c>
      <c r="M56" s="14">
        <f t="shared" si="1"/>
        <v>-1.9870886501600078</v>
      </c>
      <c r="N56" s="14">
        <f t="shared" si="2"/>
        <v>5.2246910185582938E-3</v>
      </c>
      <c r="O56" s="14">
        <f t="shared" si="3"/>
        <v>-56.737191756240115</v>
      </c>
      <c r="P56" s="14">
        <f t="shared" si="4"/>
        <v>-5.216781480519856</v>
      </c>
      <c r="Q56" s="14">
        <f t="shared" si="5"/>
        <v>-0.16173741252673191</v>
      </c>
      <c r="R56" s="14">
        <f t="shared" si="6"/>
        <v>-3.4606733236807229E-5</v>
      </c>
      <c r="S56" s="23">
        <f t="shared" si="27"/>
        <v>-58.886017818926859</v>
      </c>
      <c r="T56" s="23">
        <f t="shared" si="28"/>
        <v>-8.6877531080723891</v>
      </c>
      <c r="U56" s="14">
        <f t="shared" si="7"/>
        <v>20000</v>
      </c>
      <c r="V56" s="14">
        <f t="shared" si="8"/>
        <v>-89.98776736333042</v>
      </c>
      <c r="W56" s="14">
        <f t="shared" si="9"/>
        <v>-73.412051181567236</v>
      </c>
      <c r="X56" s="14">
        <f t="shared" si="10"/>
        <v>66.877538249572922</v>
      </c>
      <c r="Y56" s="14">
        <f t="shared" si="11"/>
        <v>8.1188331689067041</v>
      </c>
      <c r="Z56" s="14">
        <f t="shared" si="12"/>
        <v>-0.60989644428678413</v>
      </c>
      <c r="AA56" s="14">
        <f t="shared" si="13"/>
        <v>-4.9210689619587746E-4</v>
      </c>
      <c r="AB56" s="23">
        <f t="shared" si="29"/>
        <v>-23.72012555804428</v>
      </c>
      <c r="AC56" s="23">
        <f t="shared" si="30"/>
        <v>20.726889793722897</v>
      </c>
      <c r="AD56" s="14">
        <f t="shared" si="14"/>
        <v>0.48792378972871608</v>
      </c>
      <c r="AE56" s="14">
        <f t="shared" si="15"/>
        <v>3.1495483722452923E-4</v>
      </c>
      <c r="AF56" s="14">
        <f t="shared" si="16"/>
        <v>7.3190337327965448E-3</v>
      </c>
      <c r="AG56" s="14">
        <f t="shared" si="17"/>
        <v>7.086740689809593E-8</v>
      </c>
      <c r="AH56" s="14">
        <f t="shared" si="18"/>
        <v>-0.29275880308918578</v>
      </c>
      <c r="AI56" s="14">
        <f t="shared" si="19"/>
        <v>-1.1338637268571874E-4</v>
      </c>
      <c r="AJ56" s="23">
        <f t="shared" si="31"/>
        <v>0.20248402037232682</v>
      </c>
      <c r="AK56" s="23">
        <f t="shared" si="32"/>
        <v>2.0163933194570859E-4</v>
      </c>
      <c r="AL56" s="14">
        <f t="shared" si="20"/>
        <v>0</v>
      </c>
      <c r="AM56" s="14">
        <f t="shared" si="21"/>
        <v>0</v>
      </c>
      <c r="AN56" s="14">
        <f t="shared" si="22"/>
        <v>0</v>
      </c>
      <c r="AO56" s="14">
        <f t="shared" si="23"/>
        <v>0</v>
      </c>
      <c r="AP56" s="23">
        <f t="shared" si="33"/>
        <v>0</v>
      </c>
      <c r="AQ56" s="23">
        <f t="shared" si="34"/>
        <v>0</v>
      </c>
    </row>
    <row r="57" spans="8:43" x14ac:dyDescent="0.25">
      <c r="H57" s="14">
        <v>1.54</v>
      </c>
      <c r="I57" s="36">
        <f t="shared" si="24"/>
        <v>346.73685045253183</v>
      </c>
      <c r="J57" s="24">
        <f t="shared" si="25"/>
        <v>97.406986838496451</v>
      </c>
      <c r="K57" s="24">
        <f t="shared" si="26"/>
        <v>11.868524550136939</v>
      </c>
      <c r="L57" s="14">
        <f t="shared" si="0"/>
        <v>0.67018069634200106</v>
      </c>
      <c r="M57" s="14">
        <f t="shared" si="1"/>
        <v>-2.0333354802432448</v>
      </c>
      <c r="N57" s="14">
        <f t="shared" si="2"/>
        <v>5.470768095743486E-3</v>
      </c>
      <c r="O57" s="14">
        <f t="shared" si="3"/>
        <v>-57.339429889207075</v>
      </c>
      <c r="P57" s="14">
        <f t="shared" si="4"/>
        <v>-5.3575780280904102</v>
      </c>
      <c r="Q57" s="14">
        <f t="shared" si="5"/>
        <v>-0.16550474011020738</v>
      </c>
      <c r="R57" s="14">
        <f t="shared" si="6"/>
        <v>-3.6237691523619392E-5</v>
      </c>
      <c r="S57" s="23">
        <f t="shared" si="27"/>
        <v>-59.538270109560528</v>
      </c>
      <c r="T57" s="23">
        <f t="shared" si="28"/>
        <v>-8.8283052095240446</v>
      </c>
      <c r="U57" s="14">
        <f t="shared" si="7"/>
        <v>20000</v>
      </c>
      <c r="V57" s="14">
        <f t="shared" si="8"/>
        <v>-89.988045812127893</v>
      </c>
      <c r="W57" s="14">
        <f t="shared" si="9"/>
        <v>-73.61205117265753</v>
      </c>
      <c r="X57" s="14">
        <f t="shared" si="10"/>
        <v>67.350204373586607</v>
      </c>
      <c r="Y57" s="14">
        <f t="shared" si="11"/>
        <v>8.2885851750323809</v>
      </c>
      <c r="Z57" s="14">
        <f t="shared" si="12"/>
        <v>-0.62410164655652467</v>
      </c>
      <c r="AA57" s="14">
        <f t="shared" si="13"/>
        <v>-5.1529780385137713E-4</v>
      </c>
      <c r="AB57" s="23">
        <f t="shared" si="29"/>
        <v>-23.261943085097812</v>
      </c>
      <c r="AC57" s="23">
        <f t="shared" si="30"/>
        <v>20.696618617850625</v>
      </c>
      <c r="AD57" s="14">
        <f t="shared" si="14"/>
        <v>0.49928842598763079</v>
      </c>
      <c r="AE57" s="14">
        <f t="shared" si="15"/>
        <v>3.2979763782521924E-4</v>
      </c>
      <c r="AF57" s="14">
        <f t="shared" si="16"/>
        <v>7.489515927117254E-3</v>
      </c>
      <c r="AG57" s="14">
        <f t="shared" si="17"/>
        <v>7.4207285619033753E-8</v>
      </c>
      <c r="AH57" s="14">
        <f t="shared" si="18"/>
        <v>-0.29957790875995283</v>
      </c>
      <c r="AI57" s="14">
        <f t="shared" si="19"/>
        <v>-1.1873003475206312E-4</v>
      </c>
      <c r="AJ57" s="23">
        <f t="shared" si="31"/>
        <v>0.20720003315479518</v>
      </c>
      <c r="AK57" s="23">
        <f t="shared" si="32"/>
        <v>2.1114181035877515E-4</v>
      </c>
      <c r="AL57" s="14">
        <f t="shared" si="20"/>
        <v>0</v>
      </c>
      <c r="AM57" s="14">
        <f t="shared" si="21"/>
        <v>0</v>
      </c>
      <c r="AN57" s="14">
        <f t="shared" si="22"/>
        <v>0</v>
      </c>
      <c r="AO57" s="14">
        <f t="shared" si="23"/>
        <v>0</v>
      </c>
      <c r="AP57" s="23">
        <f t="shared" si="33"/>
        <v>0</v>
      </c>
      <c r="AQ57" s="23">
        <f t="shared" si="34"/>
        <v>0</v>
      </c>
    </row>
    <row r="58" spans="8:43" x14ac:dyDescent="0.25">
      <c r="H58" s="14">
        <v>1.55</v>
      </c>
      <c r="I58" s="36">
        <f t="shared" si="24"/>
        <v>354.81338923357555</v>
      </c>
      <c r="J58" s="24">
        <f t="shared" si="25"/>
        <v>97.214424403474538</v>
      </c>
      <c r="K58" s="24">
        <f t="shared" si="26"/>
        <v>11.696983928518613</v>
      </c>
      <c r="L58" s="14">
        <f t="shared" si="0"/>
        <v>0.67018069634200106</v>
      </c>
      <c r="M58" s="14">
        <f t="shared" si="1"/>
        <v>-2.0806567931543278</v>
      </c>
      <c r="N58" s="14">
        <f t="shared" si="2"/>
        <v>5.7284274849452779E-3</v>
      </c>
      <c r="O58" s="14">
        <f t="shared" si="3"/>
        <v>-57.935906460020433</v>
      </c>
      <c r="P58" s="14">
        <f t="shared" si="4"/>
        <v>-5.5002756644318254</v>
      </c>
      <c r="Q58" s="14">
        <f t="shared" si="5"/>
        <v>-0.16935981854427573</v>
      </c>
      <c r="R58" s="14">
        <f t="shared" si="6"/>
        <v>-3.794551384801003E-5</v>
      </c>
      <c r="S58" s="23">
        <f t="shared" si="27"/>
        <v>-60.185923071719031</v>
      </c>
      <c r="T58" s="23">
        <f t="shared" si="28"/>
        <v>-8.9707468942985837</v>
      </c>
      <c r="U58" s="14">
        <f t="shared" si="7"/>
        <v>20000</v>
      </c>
      <c r="V58" s="14">
        <f t="shared" si="8"/>
        <v>-89.988317922657444</v>
      </c>
      <c r="W58" s="14">
        <f t="shared" si="9"/>
        <v>-73.812051164148826</v>
      </c>
      <c r="X58" s="14">
        <f t="shared" si="10"/>
        <v>67.815277184805609</v>
      </c>
      <c r="Y58" s="14">
        <f t="shared" si="11"/>
        <v>8.4595005631395246</v>
      </c>
      <c r="Z58" s="14">
        <f t="shared" si="12"/>
        <v>-0.6386376510501568</v>
      </c>
      <c r="AA58" s="14">
        <f t="shared" si="13"/>
        <v>-5.3958153258330897E-4</v>
      </c>
      <c r="AB58" s="23">
        <f t="shared" si="29"/>
        <v>-22.811678388901992</v>
      </c>
      <c r="AC58" s="23">
        <f t="shared" si="30"/>
        <v>20.667509730737741</v>
      </c>
      <c r="AD58" s="14">
        <f t="shared" si="14"/>
        <v>0.51091773795294382</v>
      </c>
      <c r="AE58" s="14">
        <f t="shared" si="15"/>
        <v>3.4533990369776349E-4</v>
      </c>
      <c r="AF58" s="14">
        <f t="shared" si="16"/>
        <v>7.6639691617369689E-3</v>
      </c>
      <c r="AG58" s="14">
        <f t="shared" si="17"/>
        <v>7.7704567652336241E-8</v>
      </c>
      <c r="AH58" s="14">
        <f t="shared" si="18"/>
        <v>-0.30655584301911309</v>
      </c>
      <c r="AI58" s="14">
        <f t="shared" si="19"/>
        <v>-1.2432552880964424E-4</v>
      </c>
      <c r="AJ58" s="23">
        <f t="shared" si="31"/>
        <v>0.21202586409556767</v>
      </c>
      <c r="AK58" s="23">
        <f t="shared" si="32"/>
        <v>2.210920794557716E-4</v>
      </c>
      <c r="AL58" s="14">
        <f t="shared" si="20"/>
        <v>0</v>
      </c>
      <c r="AM58" s="14">
        <f t="shared" si="21"/>
        <v>0</v>
      </c>
      <c r="AN58" s="14">
        <f t="shared" si="22"/>
        <v>0</v>
      </c>
      <c r="AO58" s="14">
        <f t="shared" si="23"/>
        <v>0</v>
      </c>
      <c r="AP58" s="23">
        <f t="shared" si="33"/>
        <v>0</v>
      </c>
      <c r="AQ58" s="23">
        <f t="shared" si="34"/>
        <v>0</v>
      </c>
    </row>
    <row r="59" spans="8:43" x14ac:dyDescent="0.25">
      <c r="H59" s="14">
        <v>1.56</v>
      </c>
      <c r="I59" s="36">
        <f t="shared" si="24"/>
        <v>363.07805477010157</v>
      </c>
      <c r="J59" s="24">
        <f t="shared" si="25"/>
        <v>97.018823482623446</v>
      </c>
      <c r="K59" s="24">
        <f t="shared" si="26"/>
        <v>11.524716603684606</v>
      </c>
      <c r="L59" s="14">
        <f t="shared" si="0"/>
        <v>0.67018069634200106</v>
      </c>
      <c r="M59" s="14">
        <f t="shared" si="1"/>
        <v>-2.1290774208972754</v>
      </c>
      <c r="N59" s="14">
        <f t="shared" si="2"/>
        <v>5.9982136039474212E-3</v>
      </c>
      <c r="O59" s="14">
        <f t="shared" si="3"/>
        <v>-58.526420551717557</v>
      </c>
      <c r="P59" s="14">
        <f t="shared" si="4"/>
        <v>-5.6448373815158472</v>
      </c>
      <c r="Q59" s="14">
        <f t="shared" si="5"/>
        <v>-0.17330469170285159</v>
      </c>
      <c r="R59" s="14">
        <f t="shared" si="6"/>
        <v>-3.9733822640340431E-5</v>
      </c>
      <c r="S59" s="23">
        <f t="shared" si="27"/>
        <v>-60.828802664317685</v>
      </c>
      <c r="T59" s="23">
        <f t="shared" si="28"/>
        <v>-9.1150406135723951</v>
      </c>
      <c r="U59" s="14">
        <f t="shared" si="7"/>
        <v>20000</v>
      </c>
      <c r="V59" s="14">
        <f t="shared" si="8"/>
        <v>-89.988583839195641</v>
      </c>
      <c r="W59" s="14">
        <f t="shared" si="9"/>
        <v>-74.012051156023077</v>
      </c>
      <c r="X59" s="14">
        <f t="shared" si="10"/>
        <v>68.272758074689747</v>
      </c>
      <c r="Y59" s="14">
        <f t="shared" si="11"/>
        <v>8.6315419583347168</v>
      </c>
      <c r="Z59" s="14">
        <f t="shared" si="12"/>
        <v>-0.65351215746057856</v>
      </c>
      <c r="AA59" s="14">
        <f t="shared" si="13"/>
        <v>-5.6500957265972693E-4</v>
      </c>
      <c r="AB59" s="23">
        <f t="shared" si="29"/>
        <v>-22.369337921966473</v>
      </c>
      <c r="AC59" s="23">
        <f t="shared" si="30"/>
        <v>20.639525706018603</v>
      </c>
      <c r="AD59" s="14">
        <f t="shared" si="14"/>
        <v>0.52281788780487337</v>
      </c>
      <c r="AE59" s="14">
        <f t="shared" si="15"/>
        <v>3.6161459437770158E-4</v>
      </c>
      <c r="AF59" s="14">
        <f t="shared" si="16"/>
        <v>7.8424859340569079E-3</v>
      </c>
      <c r="AG59" s="14">
        <f t="shared" si="17"/>
        <v>8.1366670604616522E-8</v>
      </c>
      <c r="AH59" s="14">
        <f t="shared" si="18"/>
        <v>-0.31369630483130895</v>
      </c>
      <c r="AI59" s="14">
        <f t="shared" si="19"/>
        <v>-1.3018472265032745E-4</v>
      </c>
      <c r="AJ59" s="23">
        <f t="shared" si="31"/>
        <v>0.21696406890762132</v>
      </c>
      <c r="AK59" s="23">
        <f t="shared" si="32"/>
        <v>2.3151123839797874E-4</v>
      </c>
      <c r="AL59" s="14">
        <f t="shared" si="20"/>
        <v>0</v>
      </c>
      <c r="AM59" s="14">
        <f t="shared" si="21"/>
        <v>0</v>
      </c>
      <c r="AN59" s="14">
        <f t="shared" si="22"/>
        <v>0</v>
      </c>
      <c r="AO59" s="14">
        <f t="shared" si="23"/>
        <v>0</v>
      </c>
      <c r="AP59" s="23">
        <f t="shared" si="33"/>
        <v>0</v>
      </c>
      <c r="AQ59" s="23">
        <f t="shared" si="34"/>
        <v>0</v>
      </c>
    </row>
    <row r="60" spans="8:43" x14ac:dyDescent="0.25">
      <c r="H60" s="14">
        <v>1.57</v>
      </c>
      <c r="I60" s="36">
        <f t="shared" si="24"/>
        <v>371.53522909717276</v>
      </c>
      <c r="J60" s="24">
        <f t="shared" si="25"/>
        <v>96.820349088943104</v>
      </c>
      <c r="K60" s="24">
        <f t="shared" si="26"/>
        <v>11.351724226530138</v>
      </c>
      <c r="L60" s="14">
        <f t="shared" si="0"/>
        <v>0.67018069634200106</v>
      </c>
      <c r="M60" s="14">
        <f t="shared" si="1"/>
        <v>-2.1786227599185164</v>
      </c>
      <c r="N60" s="14">
        <f t="shared" si="2"/>
        <v>6.2806963895382754E-3</v>
      </c>
      <c r="O60" s="14">
        <f t="shared" si="3"/>
        <v>-59.110783435379687</v>
      </c>
      <c r="P60" s="14">
        <f t="shared" si="4"/>
        <v>-5.7912253235395266</v>
      </c>
      <c r="Q60" s="14">
        <f t="shared" si="5"/>
        <v>-0.17734145106020999</v>
      </c>
      <c r="R60" s="14">
        <f t="shared" si="6"/>
        <v>-4.1606411039890405E-5</v>
      </c>
      <c r="S60" s="23">
        <f t="shared" si="27"/>
        <v>-61.466747646358414</v>
      </c>
      <c r="T60" s="23">
        <f t="shared" si="28"/>
        <v>-9.2611479453988839</v>
      </c>
      <c r="U60" s="14">
        <f t="shared" si="7"/>
        <v>20000</v>
      </c>
      <c r="V60" s="14">
        <f t="shared" si="8"/>
        <v>-89.988843702734926</v>
      </c>
      <c r="W60" s="14">
        <f t="shared" si="9"/>
        <v>-74.212051148263058</v>
      </c>
      <c r="X60" s="14">
        <f t="shared" si="10"/>
        <v>68.722656219788774</v>
      </c>
      <c r="Y60" s="14">
        <f t="shared" si="11"/>
        <v>8.804672621371946</v>
      </c>
      <c r="Z60" s="14">
        <f t="shared" si="12"/>
        <v>-0.66873304442340664</v>
      </c>
      <c r="AA60" s="14">
        <f t="shared" si="13"/>
        <v>-5.9163583977310096E-4</v>
      </c>
      <c r="AB60" s="23">
        <f t="shared" si="29"/>
        <v>-21.934920527369556</v>
      </c>
      <c r="AC60" s="23">
        <f t="shared" si="30"/>
        <v>20.612629750548741</v>
      </c>
      <c r="AD60" s="14">
        <f t="shared" si="14"/>
        <v>0.53499518105124377</v>
      </c>
      <c r="AE60" s="14">
        <f t="shared" si="15"/>
        <v>3.7865622223308372E-4</v>
      </c>
      <c r="AF60" s="14">
        <f t="shared" si="16"/>
        <v>8.0251608960188233E-3</v>
      </c>
      <c r="AG60" s="14">
        <f t="shared" si="17"/>
        <v>8.5201363097660453E-8</v>
      </c>
      <c r="AH60" s="14">
        <f t="shared" si="18"/>
        <v>-0.32100307927619404</v>
      </c>
      <c r="AI60" s="14">
        <f t="shared" si="19"/>
        <v>-1.3632004331565182E-4</v>
      </c>
      <c r="AJ60" s="23">
        <f t="shared" si="31"/>
        <v>0.22201726267106853</v>
      </c>
      <c r="AK60" s="23">
        <f t="shared" si="32"/>
        <v>2.4242138028052958E-4</v>
      </c>
      <c r="AL60" s="14">
        <f t="shared" si="20"/>
        <v>0</v>
      </c>
      <c r="AM60" s="14">
        <f t="shared" si="21"/>
        <v>0</v>
      </c>
      <c r="AN60" s="14">
        <f t="shared" si="22"/>
        <v>0</v>
      </c>
      <c r="AO60" s="14">
        <f t="shared" si="23"/>
        <v>0</v>
      </c>
      <c r="AP60" s="23">
        <f t="shared" si="33"/>
        <v>0</v>
      </c>
      <c r="AQ60" s="23">
        <f t="shared" si="34"/>
        <v>0</v>
      </c>
    </row>
    <row r="61" spans="8:43" x14ac:dyDescent="0.25">
      <c r="H61" s="14">
        <v>1.58</v>
      </c>
      <c r="I61" s="36">
        <f t="shared" si="24"/>
        <v>380.1893963205614</v>
      </c>
      <c r="J61" s="24">
        <f t="shared" si="25"/>
        <v>96.619160629454811</v>
      </c>
      <c r="K61" s="24">
        <f t="shared" si="26"/>
        <v>11.178009878296828</v>
      </c>
      <c r="L61" s="14">
        <f t="shared" si="0"/>
        <v>0.67018069634200106</v>
      </c>
      <c r="M61" s="14">
        <f t="shared" si="1"/>
        <v>-2.2293187832605521</v>
      </c>
      <c r="N61" s="14">
        <f t="shared" si="2"/>
        <v>6.5764724868536831E-3</v>
      </c>
      <c r="O61" s="14">
        <f t="shared" si="3"/>
        <v>-59.688818634649266</v>
      </c>
      <c r="P61" s="14">
        <f t="shared" si="4"/>
        <v>-5.939400899581754</v>
      </c>
      <c r="Q61" s="14">
        <f t="shared" si="5"/>
        <v>-0.18147223679919933</v>
      </c>
      <c r="R61" s="14">
        <f t="shared" si="6"/>
        <v>-4.356725094641649E-5</v>
      </c>
      <c r="S61" s="23">
        <f t="shared" si="27"/>
        <v>-62.09960965470902</v>
      </c>
      <c r="T61" s="23">
        <f t="shared" si="28"/>
        <v>-9.409029706183702</v>
      </c>
      <c r="U61" s="14">
        <f t="shared" si="7"/>
        <v>20000</v>
      </c>
      <c r="V61" s="14">
        <f t="shared" si="8"/>
        <v>-89.989097651058316</v>
      </c>
      <c r="W61" s="14">
        <f t="shared" si="9"/>
        <v>-74.412051140852284</v>
      </c>
      <c r="X61" s="14">
        <f t="shared" si="10"/>
        <v>69.164988187673856</v>
      </c>
      <c r="Y61" s="14">
        <f t="shared" si="11"/>
        <v>8.9788564832034918</v>
      </c>
      <c r="Z61" s="14">
        <f t="shared" si="12"/>
        <v>-0.6843083736560559</v>
      </c>
      <c r="AA61" s="14">
        <f t="shared" si="13"/>
        <v>-6.1951678923139277E-4</v>
      </c>
      <c r="AB61" s="23">
        <f t="shared" si="29"/>
        <v>-21.508417837040515</v>
      </c>
      <c r="AC61" s="23">
        <f t="shared" si="30"/>
        <v>20.586785738841602</v>
      </c>
      <c r="AD61" s="14">
        <f t="shared" si="14"/>
        <v>0.54745606985114348</v>
      </c>
      <c r="AE61" s="14">
        <f t="shared" si="15"/>
        <v>3.9650092559571524E-4</v>
      </c>
      <c r="AF61" s="14">
        <f t="shared" si="16"/>
        <v>8.2120909042906753E-3</v>
      </c>
      <c r="AG61" s="14">
        <f t="shared" si="17"/>
        <v>8.9216780197663761E-8</v>
      </c>
      <c r="AH61" s="14">
        <f t="shared" si="18"/>
        <v>-0.32848003955109722</v>
      </c>
      <c r="AI61" s="14">
        <f t="shared" si="19"/>
        <v>-1.4274450344764359E-4</v>
      </c>
      <c r="AJ61" s="23">
        <f t="shared" si="31"/>
        <v>0.2271881212043369</v>
      </c>
      <c r="AK61" s="23">
        <f t="shared" si="32"/>
        <v>2.5384563892826933E-4</v>
      </c>
      <c r="AL61" s="14">
        <f t="shared" si="20"/>
        <v>0</v>
      </c>
      <c r="AM61" s="14">
        <f t="shared" si="21"/>
        <v>0</v>
      </c>
      <c r="AN61" s="14">
        <f t="shared" si="22"/>
        <v>0</v>
      </c>
      <c r="AO61" s="14">
        <f t="shared" si="23"/>
        <v>0</v>
      </c>
      <c r="AP61" s="23">
        <f t="shared" si="33"/>
        <v>0</v>
      </c>
      <c r="AQ61" s="23">
        <f t="shared" si="34"/>
        <v>0</v>
      </c>
    </row>
    <row r="62" spans="8:43" x14ac:dyDescent="0.25">
      <c r="H62" s="14">
        <v>1.59</v>
      </c>
      <c r="I62" s="36">
        <f t="shared" si="24"/>
        <v>389.04514499428075</v>
      </c>
      <c r="J62" s="24">
        <f t="shared" si="25"/>
        <v>96.415411481211393</v>
      </c>
      <c r="K62" s="24">
        <f t="shared" si="26"/>
        <v>11.003577991256808</v>
      </c>
      <c r="L62" s="14">
        <f t="shared" si="0"/>
        <v>0.67018069634200106</v>
      </c>
      <c r="M62" s="14">
        <f t="shared" si="1"/>
        <v>-2.281192052928251</v>
      </c>
      <c r="N62" s="14">
        <f t="shared" si="2"/>
        <v>6.8861664934854582E-3</v>
      </c>
      <c r="O62" s="14">
        <f t="shared" si="3"/>
        <v>-60.26036194033572</v>
      </c>
      <c r="P62" s="14">
        <f t="shared" si="4"/>
        <v>-6.0893248943785769</v>
      </c>
      <c r="Q62" s="14">
        <f t="shared" si="5"/>
        <v>-0.18569923894522894</v>
      </c>
      <c r="R62" s="14">
        <f t="shared" si="6"/>
        <v>-4.5620501441956107E-5</v>
      </c>
      <c r="S62" s="23">
        <f t="shared" si="27"/>
        <v>-62.7272532322092</v>
      </c>
      <c r="T62" s="23">
        <f t="shared" si="28"/>
        <v>-9.5586460602243886</v>
      </c>
      <c r="U62" s="14">
        <f t="shared" si="7"/>
        <v>20000</v>
      </c>
      <c r="V62" s="14">
        <f t="shared" si="8"/>
        <v>-89.989345818812552</v>
      </c>
      <c r="W62" s="14">
        <f t="shared" si="9"/>
        <v>-74.612051133775054</v>
      </c>
      <c r="X62" s="14">
        <f t="shared" si="10"/>
        <v>69.599777543957842</v>
      </c>
      <c r="Y62" s="14">
        <f t="shared" si="11"/>
        <v>9.154058175274244</v>
      </c>
      <c r="Z62" s="14">
        <f t="shared" si="12"/>
        <v>-0.7002463941911512</v>
      </c>
      <c r="AA62" s="14">
        <f t="shared" si="13"/>
        <v>-6.4871153551499189E-4</v>
      </c>
      <c r="AB62" s="23">
        <f t="shared" si="29"/>
        <v>-21.089814669045861</v>
      </c>
      <c r="AC62" s="23">
        <f t="shared" si="30"/>
        <v>20.5619582432433</v>
      </c>
      <c r="AD62" s="14">
        <f t="shared" si="14"/>
        <v>0.56020715641493635</v>
      </c>
      <c r="AE62" s="14">
        <f t="shared" si="15"/>
        <v>4.1518654532852074E-4</v>
      </c>
      <c r="AF62" s="14">
        <f t="shared" si="16"/>
        <v>8.4033750716212361E-3</v>
      </c>
      <c r="AG62" s="14">
        <f t="shared" si="17"/>
        <v>9.3421436915813869E-8</v>
      </c>
      <c r="AH62" s="14">
        <f t="shared" si="18"/>
        <v>-0.33613114902010222</v>
      </c>
      <c r="AI62" s="14">
        <f t="shared" si="19"/>
        <v>-1.494717288695142E-4</v>
      </c>
      <c r="AJ62" s="23">
        <f t="shared" si="31"/>
        <v>0.23247938246645539</v>
      </c>
      <c r="AK62" s="23">
        <f t="shared" si="32"/>
        <v>2.6580823789592234E-4</v>
      </c>
      <c r="AL62" s="14">
        <f t="shared" si="20"/>
        <v>0</v>
      </c>
      <c r="AM62" s="14">
        <f t="shared" si="21"/>
        <v>0</v>
      </c>
      <c r="AN62" s="14">
        <f t="shared" si="22"/>
        <v>0</v>
      </c>
      <c r="AO62" s="14">
        <f t="shared" si="23"/>
        <v>0</v>
      </c>
      <c r="AP62" s="23">
        <f t="shared" si="33"/>
        <v>0</v>
      </c>
      <c r="AQ62" s="23">
        <f t="shared" si="34"/>
        <v>0</v>
      </c>
    </row>
    <row r="63" spans="8:43" x14ac:dyDescent="0.25">
      <c r="H63" s="14">
        <v>1.6</v>
      </c>
      <c r="I63" s="36">
        <f t="shared" si="24"/>
        <v>398.10717055349755</v>
      </c>
      <c r="J63" s="24">
        <f t="shared" si="25"/>
        <v>96.209248617341302</v>
      </c>
      <c r="K63" s="24">
        <f t="shared" si="26"/>
        <v>10.828434267789325</v>
      </c>
      <c r="L63" s="14">
        <f t="shared" si="0"/>
        <v>0.67018069634200106</v>
      </c>
      <c r="M63" s="14">
        <f t="shared" si="1"/>
        <v>-2.3342697324677855</v>
      </c>
      <c r="N63" s="14">
        <f t="shared" si="2"/>
        <v>7.2104322608315058E-3</v>
      </c>
      <c r="O63" s="14">
        <f t="shared" si="3"/>
        <v>-60.825261377492843</v>
      </c>
      <c r="P63" s="14">
        <f t="shared" si="4"/>
        <v>-6.2409575766822716</v>
      </c>
      <c r="Q63" s="14">
        <f t="shared" si="5"/>
        <v>-0.1900246985266294</v>
      </c>
      <c r="R63" s="14">
        <f t="shared" si="6"/>
        <v>-4.7770517611802512E-5</v>
      </c>
      <c r="S63" s="23">
        <f t="shared" si="27"/>
        <v>-63.34955580848726</v>
      </c>
      <c r="T63" s="23">
        <f t="shared" si="28"/>
        <v>-9.709956626776906</v>
      </c>
      <c r="U63" s="14">
        <f t="shared" si="7"/>
        <v>20000</v>
      </c>
      <c r="V63" s="14">
        <f t="shared" si="8"/>
        <v>-89.98958833757942</v>
      </c>
      <c r="W63" s="14">
        <f t="shared" si="9"/>
        <v>-74.81205112701636</v>
      </c>
      <c r="X63" s="14">
        <f t="shared" si="10"/>
        <v>70.027054462123189</v>
      </c>
      <c r="Y63" s="14">
        <f t="shared" si="11"/>
        <v>9.3302430557386362</v>
      </c>
      <c r="Z63" s="14">
        <f t="shared" si="12"/>
        <v>-0.71655554670632737</v>
      </c>
      <c r="AA63" s="14">
        <f t="shared" si="13"/>
        <v>-6.7928197745494121E-4</v>
      </c>
      <c r="AB63" s="23">
        <f t="shared" si="29"/>
        <v>-20.679089422162559</v>
      </c>
      <c r="AC63" s="23">
        <f t="shared" si="30"/>
        <v>20.538112560024445</v>
      </c>
      <c r="AD63" s="14">
        <f t="shared" si="14"/>
        <v>0.57325519648233103</v>
      </c>
      <c r="AE63" s="14">
        <f t="shared" si="15"/>
        <v>4.3475270502337502E-4</v>
      </c>
      <c r="AF63" s="14">
        <f t="shared" si="16"/>
        <v>8.599114819390909E-3</v>
      </c>
      <c r="AG63" s="14">
        <f t="shared" si="17"/>
        <v>9.7824253280801144E-8</v>
      </c>
      <c r="AH63" s="14">
        <f t="shared" si="18"/>
        <v>-0.34396046331061153</v>
      </c>
      <c r="AI63" s="14">
        <f t="shared" si="19"/>
        <v>-1.5651598749069038E-4</v>
      </c>
      <c r="AJ63" s="23">
        <f t="shared" si="31"/>
        <v>0.23789384799111041</v>
      </c>
      <c r="AK63" s="23">
        <f t="shared" si="32"/>
        <v>2.7833454178596547E-4</v>
      </c>
      <c r="AL63" s="14">
        <f t="shared" si="20"/>
        <v>0</v>
      </c>
      <c r="AM63" s="14">
        <f t="shared" si="21"/>
        <v>0</v>
      </c>
      <c r="AN63" s="14">
        <f t="shared" si="22"/>
        <v>0</v>
      </c>
      <c r="AO63" s="14">
        <f t="shared" si="23"/>
        <v>0</v>
      </c>
      <c r="AP63" s="23">
        <f t="shared" si="33"/>
        <v>0</v>
      </c>
      <c r="AQ63" s="23">
        <f t="shared" si="34"/>
        <v>0</v>
      </c>
    </row>
    <row r="64" spans="8:43" x14ac:dyDescent="0.25">
      <c r="H64" s="14">
        <v>1.61</v>
      </c>
      <c r="I64" s="36">
        <f t="shared" si="24"/>
        <v>407.38027780411301</v>
      </c>
      <c r="J64" s="24">
        <f t="shared" si="25"/>
        <v>96.000812282059385</v>
      </c>
      <c r="K64" s="24">
        <f t="shared" si="26"/>
        <v>10.652585598526025</v>
      </c>
      <c r="L64" s="14">
        <f t="shared" si="0"/>
        <v>0.67018069634200106</v>
      </c>
      <c r="M64" s="14">
        <f t="shared" si="1"/>
        <v>-2.3885795997578327</v>
      </c>
      <c r="N64" s="14">
        <f t="shared" si="2"/>
        <v>7.5499542552331517E-3</v>
      </c>
      <c r="O64" s="14">
        <f t="shared" si="3"/>
        <v>-61.383377127586428</v>
      </c>
      <c r="P64" s="14">
        <f t="shared" si="4"/>
        <v>-6.3942588047195548</v>
      </c>
      <c r="Q64" s="14">
        <f t="shared" si="5"/>
        <v>-0.19445090876199572</v>
      </c>
      <c r="R64" s="14">
        <f t="shared" si="6"/>
        <v>-5.0021859780073621E-5</v>
      </c>
      <c r="S64" s="23">
        <f t="shared" si="27"/>
        <v>-63.966407636106254</v>
      </c>
      <c r="T64" s="23">
        <f t="shared" si="28"/>
        <v>-9.8629205841619569</v>
      </c>
      <c r="U64" s="14">
        <f t="shared" si="7"/>
        <v>20000</v>
      </c>
      <c r="V64" s="14">
        <f t="shared" si="8"/>
        <v>-89.98982533594554</v>
      </c>
      <c r="W64" s="14">
        <f t="shared" si="9"/>
        <v>-75.01205112056185</v>
      </c>
      <c r="X64" s="14">
        <f t="shared" si="10"/>
        <v>70.446855337710531</v>
      </c>
      <c r="Y64" s="14">
        <f t="shared" si="11"/>
        <v>9.507377231789544</v>
      </c>
      <c r="Z64" s="14">
        <f t="shared" si="12"/>
        <v>-0.73324446795249931</v>
      </c>
      <c r="AA64" s="14">
        <f t="shared" si="13"/>
        <v>-7.1129292929741851E-4</v>
      </c>
      <c r="AB64" s="23">
        <f t="shared" si="29"/>
        <v>-20.276214466187508</v>
      </c>
      <c r="AC64" s="23">
        <f t="shared" si="30"/>
        <v>20.515214731578023</v>
      </c>
      <c r="AD64" s="14">
        <f t="shared" si="14"/>
        <v>0.58660710288024309</v>
      </c>
      <c r="AE64" s="14">
        <f t="shared" si="15"/>
        <v>4.5524089493499534E-4</v>
      </c>
      <c r="AF64" s="14">
        <f t="shared" si="16"/>
        <v>8.7994139313865849E-3</v>
      </c>
      <c r="AG64" s="14">
        <f t="shared" si="17"/>
        <v>1.0243456976805509E-7</v>
      </c>
      <c r="AH64" s="14">
        <f t="shared" si="18"/>
        <v>-0.35197213245848102</v>
      </c>
      <c r="AI64" s="14">
        <f t="shared" si="19"/>
        <v>-1.6389221954575607E-4</v>
      </c>
      <c r="AJ64" s="23">
        <f t="shared" si="31"/>
        <v>0.24343438435314868</v>
      </c>
      <c r="AK64" s="23">
        <f t="shared" si="32"/>
        <v>2.9145110995900737E-4</v>
      </c>
      <c r="AL64" s="14">
        <f t="shared" si="20"/>
        <v>0</v>
      </c>
      <c r="AM64" s="14">
        <f t="shared" si="21"/>
        <v>0</v>
      </c>
      <c r="AN64" s="14">
        <f t="shared" si="22"/>
        <v>0</v>
      </c>
      <c r="AO64" s="14">
        <f t="shared" si="23"/>
        <v>0</v>
      </c>
      <c r="AP64" s="23">
        <f t="shared" si="33"/>
        <v>0</v>
      </c>
      <c r="AQ64" s="23">
        <f t="shared" si="34"/>
        <v>0</v>
      </c>
    </row>
    <row r="65" spans="1:43" x14ac:dyDescent="0.25">
      <c r="H65" s="14">
        <v>1.62</v>
      </c>
      <c r="I65" s="36">
        <f t="shared" si="24"/>
        <v>416.86938347033561</v>
      </c>
      <c r="J65" s="24">
        <f t="shared" si="25"/>
        <v>95.790235713222685</v>
      </c>
      <c r="K65" s="24">
        <f t="shared" si="26"/>
        <v>10.47603998019701</v>
      </c>
      <c r="L65" s="14">
        <f t="shared" si="0"/>
        <v>0.67018069634200106</v>
      </c>
      <c r="M65" s="14">
        <f t="shared" si="1"/>
        <v>-2.4441500600123347</v>
      </c>
      <c r="N65" s="14">
        <f t="shared" si="2"/>
        <v>7.905448981581218E-3</v>
      </c>
      <c r="O65" s="14">
        <f t="shared" si="3"/>
        <v>-61.93458140856351</v>
      </c>
      <c r="P65" s="14">
        <f t="shared" si="4"/>
        <v>-6.5491881283166089</v>
      </c>
      <c r="Q65" s="14">
        <f t="shared" si="5"/>
        <v>-0.19898021627514115</v>
      </c>
      <c r="R65" s="14">
        <f t="shared" si="6"/>
        <v>-5.2379303186869553E-5</v>
      </c>
      <c r="S65" s="23">
        <f t="shared" si="27"/>
        <v>-64.577711684850996</v>
      </c>
      <c r="T65" s="23">
        <f t="shared" si="28"/>
        <v>-10.01749677047607</v>
      </c>
      <c r="U65" s="14">
        <f t="shared" si="7"/>
        <v>20000</v>
      </c>
      <c r="V65" s="14">
        <f t="shared" si="8"/>
        <v>-89.99005693957055</v>
      </c>
      <c r="W65" s="14">
        <f t="shared" si="9"/>
        <v>-75.212051114397838</v>
      </c>
      <c r="X65" s="14">
        <f t="shared" si="10"/>
        <v>70.859222408258745</v>
      </c>
      <c r="Y65" s="14">
        <f t="shared" si="11"/>
        <v>9.6854275782964532</v>
      </c>
      <c r="Z65" s="14">
        <f t="shared" si="12"/>
        <v>-0.75032199528273225</v>
      </c>
      <c r="AA65" s="14">
        <f t="shared" si="13"/>
        <v>-7.4481225793668489E-4</v>
      </c>
      <c r="AB65" s="23">
        <f t="shared" si="29"/>
        <v>-19.881156526594538</v>
      </c>
      <c r="AC65" s="23">
        <f t="shared" si="30"/>
        <v>20.493231564920304</v>
      </c>
      <c r="AD65" s="14">
        <f t="shared" si="14"/>
        <v>0.60026994916222531</v>
      </c>
      <c r="AE65" s="14">
        <f t="shared" si="15"/>
        <v>4.7669455989529603E-4</v>
      </c>
      <c r="AF65" s="14">
        <f t="shared" si="16"/>
        <v>9.0043786088291264E-3</v>
      </c>
      <c r="AG65" s="14">
        <f t="shared" si="17"/>
        <v>1.0726216080032564E-7</v>
      </c>
      <c r="AH65" s="14">
        <f t="shared" si="18"/>
        <v>-0.36017040310283921</v>
      </c>
      <c r="AI65" s="14">
        <f t="shared" si="19"/>
        <v>-1.7161606928102743E-4</v>
      </c>
      <c r="AJ65" s="23">
        <f t="shared" si="31"/>
        <v>0.24910392466821518</v>
      </c>
      <c r="AK65" s="23">
        <f t="shared" si="32"/>
        <v>3.0518575277506898E-4</v>
      </c>
      <c r="AL65" s="14">
        <f t="shared" si="20"/>
        <v>0</v>
      </c>
      <c r="AM65" s="14">
        <f t="shared" si="21"/>
        <v>0</v>
      </c>
      <c r="AN65" s="14">
        <f t="shared" si="22"/>
        <v>0</v>
      </c>
      <c r="AO65" s="14">
        <f t="shared" si="23"/>
        <v>0</v>
      </c>
      <c r="AP65" s="23">
        <f t="shared" si="33"/>
        <v>0</v>
      </c>
      <c r="AQ65" s="23">
        <f t="shared" si="34"/>
        <v>0</v>
      </c>
    </row>
    <row r="66" spans="1:43" x14ac:dyDescent="0.25">
      <c r="H66" s="14">
        <v>1.63</v>
      </c>
      <c r="I66" s="36">
        <f t="shared" si="24"/>
        <v>426.57951880159266</v>
      </c>
      <c r="J66" s="24">
        <f t="shared" si="25"/>
        <v>95.577644910701451</v>
      </c>
      <c r="K66" s="24">
        <f t="shared" si="26"/>
        <v>10.298806433762394</v>
      </c>
      <c r="L66" s="14">
        <f t="shared" si="0"/>
        <v>0.67018069634200106</v>
      </c>
      <c r="M66" s="14">
        <f t="shared" si="1"/>
        <v>-2.5010101589936498</v>
      </c>
      <c r="N66" s="14">
        <f t="shared" si="2"/>
        <v>8.2776664721647356E-3</v>
      </c>
      <c r="O66" s="14">
        <f t="shared" si="3"/>
        <v>-62.478758315783935</v>
      </c>
      <c r="P66" s="14">
        <f t="shared" si="4"/>
        <v>-6.7057048873114189</v>
      </c>
      <c r="Q66" s="14">
        <f t="shared" si="5"/>
        <v>-0.20361502233829823</v>
      </c>
      <c r="R66" s="14">
        <f t="shared" si="6"/>
        <v>-5.4847848107011796E-5</v>
      </c>
      <c r="S66" s="23">
        <f t="shared" si="27"/>
        <v>-65.183383497115884</v>
      </c>
      <c r="T66" s="23">
        <f t="shared" si="28"/>
        <v>-10.173643780525216</v>
      </c>
      <c r="U66" s="14">
        <f t="shared" si="7"/>
        <v>20000</v>
      </c>
      <c r="V66" s="14">
        <f t="shared" si="8"/>
        <v>-89.990283271253745</v>
      </c>
      <c r="W66" s="14">
        <f t="shared" si="9"/>
        <v>-75.41205110851125</v>
      </c>
      <c r="X66" s="14">
        <f t="shared" si="10"/>
        <v>71.264203380228722</v>
      </c>
      <c r="Y66" s="14">
        <f t="shared" si="11"/>
        <v>9.8643617529553165</v>
      </c>
      <c r="Z66" s="14">
        <f t="shared" si="12"/>
        <v>-0.76779717128386382</v>
      </c>
      <c r="AA66" s="14">
        <f t="shared" si="13"/>
        <v>-7.7991102658701329E-4</v>
      </c>
      <c r="AB66" s="23">
        <f t="shared" si="29"/>
        <v>-19.493877062308886</v>
      </c>
      <c r="AC66" s="23">
        <f t="shared" si="30"/>
        <v>20.472130646697106</v>
      </c>
      <c r="AD66" s="14">
        <f t="shared" si="14"/>
        <v>0.61425097333126821</v>
      </c>
      <c r="AE66" s="14">
        <f t="shared" si="15"/>
        <v>4.9915919134841541E-4</v>
      </c>
      <c r="AF66" s="14">
        <f t="shared" si="16"/>
        <v>9.2141175266825439E-3</v>
      </c>
      <c r="AG66" s="14">
        <f t="shared" si="17"/>
        <v>1.1231727139212264E-7</v>
      </c>
      <c r="AH66" s="14">
        <f t="shared" si="18"/>
        <v>-0.36855962073172688</v>
      </c>
      <c r="AI66" s="14">
        <f t="shared" si="19"/>
        <v>-1.7970391811568683E-4</v>
      </c>
      <c r="AJ66" s="23">
        <f t="shared" si="31"/>
        <v>0.25490547012622389</v>
      </c>
      <c r="AK66" s="23">
        <f t="shared" si="32"/>
        <v>3.1956759050412074E-4</v>
      </c>
      <c r="AL66" s="14">
        <f t="shared" si="20"/>
        <v>0</v>
      </c>
      <c r="AM66" s="14">
        <f t="shared" si="21"/>
        <v>0</v>
      </c>
      <c r="AN66" s="14">
        <f t="shared" si="22"/>
        <v>0</v>
      </c>
      <c r="AO66" s="14">
        <f t="shared" si="23"/>
        <v>0</v>
      </c>
      <c r="AP66" s="23">
        <f t="shared" si="33"/>
        <v>0</v>
      </c>
      <c r="AQ66" s="23">
        <f t="shared" si="34"/>
        <v>0</v>
      </c>
    </row>
    <row r="67" spans="1:43" ht="15.75" x14ac:dyDescent="0.25">
      <c r="A67" s="261" t="s">
        <v>481</v>
      </c>
      <c r="H67" s="14">
        <v>1.64</v>
      </c>
      <c r="I67" s="36">
        <f t="shared" si="24"/>
        <v>436.51583224016611</v>
      </c>
      <c r="J67" s="24">
        <f t="shared" si="25"/>
        <v>95.36315844857566</v>
      </c>
      <c r="K67" s="24">
        <f t="shared" si="26"/>
        <v>10.120894923363934</v>
      </c>
      <c r="L67" s="14">
        <f t="shared" ref="L67:L130" si="35">A_PS</f>
        <v>0.67018069634200106</v>
      </c>
      <c r="M67" s="14">
        <f t="shared" ref="M67:M130" si="36">-180/PI()*ATAN($I67/z_RHP/1000)</f>
        <v>-2.5591895964345164</v>
      </c>
      <c r="N67" s="14">
        <f t="shared" ref="N67:N130" si="37">20*LOG(SQRT(($I67/z_RHP/1000)^2+1))</f>
        <v>8.6673918436716169E-3</v>
      </c>
      <c r="O67" s="14">
        <f t="shared" ref="O67:O130" si="38">-180/PI()*ATAN($I67/p_small)</f>
        <v>-63.015803626884697</v>
      </c>
      <c r="P67" s="14">
        <f t="shared" ref="P67:P130" si="39">-20*LOG(SQRT(($I67/p_small)^2+1))</f>
        <v>-6.863768305927044</v>
      </c>
      <c r="Q67" s="14">
        <f t="shared" ref="Q67:Q130" si="40">-180/PI()*ATAN($I67/p_large/1000)</f>
        <v>-0.20835778414422429</v>
      </c>
      <c r="R67" s="14">
        <f t="shared" ref="R67:R130" si="41">-20*LOG(SQRT(($I67/p_large/1000)^2+1))</f>
        <v>-5.7432730458572693E-5</v>
      </c>
      <c r="S67" s="23">
        <f t="shared" si="27"/>
        <v>-65.783351007463438</v>
      </c>
      <c r="T67" s="23">
        <f t="shared" si="28"/>
        <v>-10.331320058651686</v>
      </c>
      <c r="U67" s="14">
        <f t="shared" ref="U67:U130" si="42">A_EA</f>
        <v>20000</v>
      </c>
      <c r="V67" s="14">
        <f t="shared" ref="V67:V130" si="43">-180/PI()*ATAN($I67/p_EA)</f>
        <v>-89.990504450999126</v>
      </c>
      <c r="W67" s="14">
        <f t="shared" ref="W67:W130" si="44">-20*LOG(SQRT(($I67/p_EA)^2+1))</f>
        <v>-75.612051102889609</v>
      </c>
      <c r="X67" s="14">
        <f t="shared" ref="X67:X130" si="45">180/PI()*ATAN($I67/z_comp)</f>
        <v>71.661851063991932</v>
      </c>
      <c r="Y67" s="14">
        <f t="shared" ref="Y67:Y130" si="46">20*LOG(SQRT(($I67/z_comp)^2+1))</f>
        <v>10.04414820815586</v>
      </c>
      <c r="Z67" s="14">
        <f t="shared" ref="Z67:Z130" si="47">IF(p_comp="",0,-180/PI()*ATAN($I67/p_comp/1000))</f>
        <v>-0.78567924851308502</v>
      </c>
      <c r="AA67" s="14">
        <f t="shared" ref="AA67:AA130" si="48">IF(p_comp="",0,-20*LOG(SQRT(($I67/p_comp/1000)^2+1)))</f>
        <v>-8.1666364521411979E-4</v>
      </c>
      <c r="AB67" s="23">
        <f t="shared" si="29"/>
        <v>-19.114332635520277</v>
      </c>
      <c r="AC67" s="23">
        <f t="shared" si="30"/>
        <v>20.451880354900663</v>
      </c>
      <c r="AD67" s="14">
        <f t="shared" ref="AD67:AD130" si="49">IF(z_esr_1="",0,180/PI()*ATAN($I67/z_esr_1/1000))</f>
        <v>0.62855758164781572</v>
      </c>
      <c r="AE67" s="14">
        <f t="shared" ref="AE67:AE130" si="50">IF(z_esr_1="",0,20*LOG(SQRT(($I67/z_esr_1/1000)^2+1)))</f>
        <v>5.2268242371792382E-4</v>
      </c>
      <c r="AF67" s="14">
        <f t="shared" ref="AF67:AF130" si="51">180/PI()*ATAN($I67/z_esr_2/1000)</f>
        <v>9.4287418912748187E-3</v>
      </c>
      <c r="AG67" s="14">
        <f t="shared" ref="AG67:AG130" si="52">20*LOG(SQRT(($I67/z_esr_2/1000)^2+1))</f>
        <v>1.1761062100702195E-7</v>
      </c>
      <c r="AH67" s="14">
        <f t="shared" ref="AH67:AH130" si="53">IF(p_esr="",0,-180/PI()*ATAN($I67/p_esr/1000))</f>
        <v>-0.37714423197972052</v>
      </c>
      <c r="AI67" s="14">
        <f t="shared" ref="AI67:AI130" si="54">IF(p_esr="",0,-20*LOG(SQRT(($I67/p_esr/1000)^2+1)))</f>
        <v>-1.8817291938153912E-4</v>
      </c>
      <c r="AJ67" s="23">
        <f t="shared" si="31"/>
        <v>0.26084209155937005</v>
      </c>
      <c r="AK67" s="23">
        <f t="shared" si="32"/>
        <v>3.3462711495739169E-4</v>
      </c>
      <c r="AL67" s="14">
        <f t="shared" ref="AL67:AL130" si="55">IF(z_ff="",0,180/PI()*ATAN($I67/z_ff/1000))</f>
        <v>0</v>
      </c>
      <c r="AM67" s="14">
        <f t="shared" ref="AM67:AM130" si="56">IF(z_ff="",0,20*LOG(SQRT(($I67/z_ff/1000)^2+1)))</f>
        <v>0</v>
      </c>
      <c r="AN67" s="14">
        <f t="shared" ref="AN67:AN130" si="57">IF(p_ff="",0,-180/PI()*ATAN($I67/p_ff/1000))</f>
        <v>0</v>
      </c>
      <c r="AO67" s="14">
        <f t="shared" ref="AO67:AO130" si="58">IF(p_ff="",0,-20*LOG(SQRT(($I67/p_ff/1000)^2+1)))</f>
        <v>0</v>
      </c>
      <c r="AP67" s="23">
        <f t="shared" si="33"/>
        <v>0</v>
      </c>
      <c r="AQ67" s="23">
        <f t="shared" si="34"/>
        <v>0</v>
      </c>
    </row>
    <row r="68" spans="1:43" x14ac:dyDescent="0.25">
      <c r="H68" s="14">
        <v>1.65</v>
      </c>
      <c r="I68" s="36">
        <f t="shared" ref="I68:I131" si="59">10*10^H68</f>
        <v>446.68359215096325</v>
      </c>
      <c r="J68" s="24">
        <f t="shared" ref="J68:J131" si="60">180+S68+AB68+AJ68+AP68</f>
        <v>95.146887328952999</v>
      </c>
      <c r="K68" s="24">
        <f t="shared" ref="K68:K131" si="61">T68+AC68+AK68+AQ68</f>
        <v>9.9423162765807902</v>
      </c>
      <c r="L68" s="14">
        <f t="shared" si="35"/>
        <v>0.67018069634200106</v>
      </c>
      <c r="M68" s="14">
        <f t="shared" si="36"/>
        <v>-2.6187187396667402</v>
      </c>
      <c r="N68" s="14">
        <f t="shared" si="37"/>
        <v>9.075446925351803E-3</v>
      </c>
      <c r="O68" s="14">
        <f t="shared" si="38"/>
        <v>-63.545624573716395</v>
      </c>
      <c r="P68" s="14">
        <f t="shared" si="39"/>
        <v>-7.0233375828316316</v>
      </c>
      <c r="Q68" s="14">
        <f t="shared" si="40"/>
        <v>-0.21321101610787785</v>
      </c>
      <c r="R68" s="14">
        <f t="shared" si="41"/>
        <v>-6.0139432914687064E-5</v>
      </c>
      <c r="S68" s="23">
        <f t="shared" ref="S68:S131" si="62">M68+O68+Q68</f>
        <v>-66.377554329491019</v>
      </c>
      <c r="T68" s="23">
        <f t="shared" ref="T68:T131" si="63">20*LOG(L68)+N68+P68+R68</f>
        <v>-10.490483987177049</v>
      </c>
      <c r="U68" s="14">
        <f t="shared" si="42"/>
        <v>20000</v>
      </c>
      <c r="V68" s="14">
        <f t="shared" si="43"/>
        <v>-89.990720596079129</v>
      </c>
      <c r="W68" s="14">
        <f t="shared" si="44"/>
        <v>-75.812051097520978</v>
      </c>
      <c r="X68" s="14">
        <f t="shared" si="45"/>
        <v>72.052223017819458</v>
      </c>
      <c r="Y68" s="14">
        <f t="shared" si="46"/>
        <v>10.224756199773161</v>
      </c>
      <c r="Z68" s="14">
        <f t="shared" si="47"/>
        <v>-0.80397769434170885</v>
      </c>
      <c r="AA68" s="14">
        <f t="shared" si="48"/>
        <v>-8.5514802804453687E-4</v>
      </c>
      <c r="AB68" s="23">
        <f t="shared" ref="AB68:AB131" si="64">V68+X68+Z68</f>
        <v>-18.742475272601379</v>
      </c>
      <c r="AC68" s="23">
        <f t="shared" ref="AC68:AC131" si="65">20*LOG(U68)+W68+Y68+AA68</f>
        <v>20.432449867503763</v>
      </c>
      <c r="AD68" s="14">
        <f t="shared" si="49"/>
        <v>0.64319735252487076</v>
      </c>
      <c r="AE68" s="14">
        <f t="shared" si="50"/>
        <v>5.4731413531573434E-4</v>
      </c>
      <c r="AF68" s="14">
        <f t="shared" si="51"/>
        <v>9.6483654992608296E-3</v>
      </c>
      <c r="AG68" s="14">
        <f t="shared" si="52"/>
        <v>1.2315343827344936E-7</v>
      </c>
      <c r="AH68" s="14">
        <f t="shared" si="53"/>
        <v>-0.38592878697872468</v>
      </c>
      <c r="AI68" s="14">
        <f t="shared" si="54"/>
        <v>-1.9704103467794458E-4</v>
      </c>
      <c r="AJ68" s="23">
        <f t="shared" ref="AJ68:AJ131" si="66">AD68+AF68+AH68</f>
        <v>0.26691693104540692</v>
      </c>
      <c r="AK68" s="23">
        <f t="shared" ref="AK68:AK131" si="67">AE68+AG68+AI68</f>
        <v>3.5039625407606325E-4</v>
      </c>
      <c r="AL68" s="14">
        <f t="shared" si="55"/>
        <v>0</v>
      </c>
      <c r="AM68" s="14">
        <f t="shared" si="56"/>
        <v>0</v>
      </c>
      <c r="AN68" s="14">
        <f t="shared" si="57"/>
        <v>0</v>
      </c>
      <c r="AO68" s="14">
        <f t="shared" si="58"/>
        <v>0</v>
      </c>
      <c r="AP68" s="23">
        <f t="shared" ref="AP68:AP131" si="68">AL68+AN68</f>
        <v>0</v>
      </c>
      <c r="AQ68" s="23">
        <f t="shared" ref="AQ68:AQ131" si="69">AM68+AO68</f>
        <v>0</v>
      </c>
    </row>
    <row r="69" spans="1:43" x14ac:dyDescent="0.25">
      <c r="H69" s="14">
        <v>1.66</v>
      </c>
      <c r="I69" s="36">
        <f t="shared" si="59"/>
        <v>457.08818961487509</v>
      </c>
      <c r="J69" s="24">
        <f t="shared" si="60"/>
        <v>94.928934875034059</v>
      </c>
      <c r="K69" s="24">
        <f t="shared" si="61"/>
        <v>9.7630821064214075</v>
      </c>
      <c r="L69" s="14">
        <f t="shared" si="35"/>
        <v>0.67018069634200106</v>
      </c>
      <c r="M69" s="14">
        <f t="shared" si="36"/>
        <v>-2.6796286374540146</v>
      </c>
      <c r="N69" s="14">
        <f t="shared" si="37"/>
        <v>9.5026919614877633E-3</v>
      </c>
      <c r="O69" s="14">
        <f t="shared" si="38"/>
        <v>-64.068139584524914</v>
      </c>
      <c r="P69" s="14">
        <f t="shared" si="39"/>
        <v>-7.1843719766622982</v>
      </c>
      <c r="Q69" s="14">
        <f t="shared" si="40"/>
        <v>-0.21817729119835394</v>
      </c>
      <c r="R69" s="14">
        <f t="shared" si="41"/>
        <v>-6.2973696520565733E-5</v>
      </c>
      <c r="S69" s="23">
        <f t="shared" si="62"/>
        <v>-66.965945513177289</v>
      </c>
      <c r="T69" s="23">
        <f t="shared" si="63"/>
        <v>-10.651093970235186</v>
      </c>
      <c r="U69" s="14">
        <f t="shared" si="42"/>
        <v>20000</v>
      </c>
      <c r="V69" s="14">
        <f t="shared" si="43"/>
        <v>-89.990931821096652</v>
      </c>
      <c r="W69" s="14">
        <f t="shared" si="44"/>
        <v>-76.012051092393989</v>
      </c>
      <c r="X69" s="14">
        <f t="shared" si="45"/>
        <v>72.435381201669486</v>
      </c>
      <c r="Y69" s="14">
        <f t="shared" si="46"/>
        <v>10.406155793089908</v>
      </c>
      <c r="Z69" s="14">
        <f t="shared" si="47"/>
        <v>-0.82270219590840565</v>
      </c>
      <c r="AA69" s="14">
        <f t="shared" si="48"/>
        <v>-8.9544575845192055E-4</v>
      </c>
      <c r="AB69" s="23">
        <f t="shared" si="64"/>
        <v>-18.378252815335571</v>
      </c>
      <c r="AC69" s="23">
        <f t="shared" si="65"/>
        <v>20.413809168217092</v>
      </c>
      <c r="AD69" s="14">
        <f t="shared" si="49"/>
        <v>0.6581780405121086</v>
      </c>
      <c r="AE69" s="14">
        <f t="shared" si="50"/>
        <v>5.7310655398288223E-4</v>
      </c>
      <c r="AF69" s="14">
        <f t="shared" si="51"/>
        <v>9.8731047979587691E-3</v>
      </c>
      <c r="AG69" s="14">
        <f t="shared" si="52"/>
        <v>1.2895748219987985E-7</v>
      </c>
      <c r="AH69" s="14">
        <f t="shared" si="53"/>
        <v>-0.39491794176315115</v>
      </c>
      <c r="AI69" s="14">
        <f t="shared" si="54"/>
        <v>-2.0632707196333256E-4</v>
      </c>
      <c r="AJ69" s="23">
        <f t="shared" si="66"/>
        <v>0.27313320354691623</v>
      </c>
      <c r="AK69" s="23">
        <f t="shared" si="67"/>
        <v>3.669084395017496E-4</v>
      </c>
      <c r="AL69" s="14">
        <f t="shared" si="55"/>
        <v>0</v>
      </c>
      <c r="AM69" s="14">
        <f t="shared" si="56"/>
        <v>0</v>
      </c>
      <c r="AN69" s="14">
        <f t="shared" si="57"/>
        <v>0</v>
      </c>
      <c r="AO69" s="14">
        <f t="shared" si="58"/>
        <v>0</v>
      </c>
      <c r="AP69" s="23">
        <f t="shared" si="68"/>
        <v>0</v>
      </c>
      <c r="AQ69" s="23">
        <f t="shared" si="69"/>
        <v>0</v>
      </c>
    </row>
    <row r="70" spans="1:43" x14ac:dyDescent="0.25">
      <c r="A70" t="s">
        <v>472</v>
      </c>
      <c r="H70" s="14">
        <v>1.67</v>
      </c>
      <c r="I70" s="36">
        <f t="shared" si="59"/>
        <v>467.73514128719819</v>
      </c>
      <c r="J70" s="24">
        <f t="shared" si="60"/>
        <v>94.709396660920973</v>
      </c>
      <c r="K70" s="24">
        <f t="shared" si="61"/>
        <v>9.5832047354328456</v>
      </c>
      <c r="L70" s="14">
        <f t="shared" si="35"/>
        <v>0.67018069634200106</v>
      </c>
      <c r="M70" s="14">
        <f t="shared" si="36"/>
        <v>-2.7419510340256745</v>
      </c>
      <c r="N70" s="14">
        <f t="shared" si="37"/>
        <v>9.9500273914402623E-3</v>
      </c>
      <c r="O70" s="14">
        <f t="shared" si="38"/>
        <v>-64.583277999550162</v>
      </c>
      <c r="P70" s="14">
        <f t="shared" si="39"/>
        <v>-7.3468308868389789</v>
      </c>
      <c r="Q70" s="14">
        <f t="shared" si="40"/>
        <v>-0.22325924230177541</v>
      </c>
      <c r="R70" s="14">
        <f t="shared" si="41"/>
        <v>-6.5941532871631366E-5</v>
      </c>
      <c r="S70" s="23">
        <f t="shared" si="62"/>
        <v>-67.548488275877617</v>
      </c>
      <c r="T70" s="23">
        <f t="shared" si="63"/>
        <v>-10.813108512818266</v>
      </c>
      <c r="U70" s="14">
        <f t="shared" si="42"/>
        <v>20000</v>
      </c>
      <c r="V70" s="14">
        <f t="shared" si="43"/>
        <v>-89.991138238046048</v>
      </c>
      <c r="W70" s="14">
        <f t="shared" si="44"/>
        <v>-76.212051087497741</v>
      </c>
      <c r="X70" s="14">
        <f t="shared" si="45"/>
        <v>72.811391641441531</v>
      </c>
      <c r="Y70" s="14">
        <f t="shared" si="46"/>
        <v>10.588317866053492</v>
      </c>
      <c r="Z70" s="14">
        <f t="shared" si="47"/>
        <v>-0.84186266518420927</v>
      </c>
      <c r="AA70" s="14">
        <f t="shared" si="48"/>
        <v>-9.3764226161938819E-4</v>
      </c>
      <c r="AB70" s="23">
        <f t="shared" si="64"/>
        <v>-18.021609261788726</v>
      </c>
      <c r="AC70" s="23">
        <f t="shared" si="65"/>
        <v>20.395929049573759</v>
      </c>
      <c r="AD70" s="14">
        <f t="shared" si="49"/>
        <v>0.67350758037094482</v>
      </c>
      <c r="AE70" s="14">
        <f t="shared" si="50"/>
        <v>6.0011436771590808E-4</v>
      </c>
      <c r="AF70" s="14">
        <f t="shared" si="51"/>
        <v>1.0103078947091899E-2</v>
      </c>
      <c r="AG70" s="14">
        <f t="shared" si="52"/>
        <v>1.3503505953272657E-7</v>
      </c>
      <c r="AH70" s="14">
        <f t="shared" si="53"/>
        <v>-0.40411646073072138</v>
      </c>
      <c r="AI70" s="14">
        <f t="shared" si="54"/>
        <v>-2.1605072542368859E-4</v>
      </c>
      <c r="AJ70" s="23">
        <f t="shared" si="66"/>
        <v>0.27949419858731539</v>
      </c>
      <c r="AK70" s="23">
        <f t="shared" si="67"/>
        <v>3.841986773517522E-4</v>
      </c>
      <c r="AL70" s="14">
        <f t="shared" si="55"/>
        <v>0</v>
      </c>
      <c r="AM70" s="14">
        <f t="shared" si="56"/>
        <v>0</v>
      </c>
      <c r="AN70" s="14">
        <f t="shared" si="57"/>
        <v>0</v>
      </c>
      <c r="AO70" s="14">
        <f t="shared" si="58"/>
        <v>0</v>
      </c>
      <c r="AP70" s="23">
        <f t="shared" si="68"/>
        <v>0</v>
      </c>
      <c r="AQ70" s="23">
        <f t="shared" si="69"/>
        <v>0</v>
      </c>
    </row>
    <row r="71" spans="1:43" x14ac:dyDescent="0.25">
      <c r="H71" s="14">
        <v>1.68</v>
      </c>
      <c r="I71" s="36">
        <f t="shared" si="59"/>
        <v>478.63009232263857</v>
      </c>
      <c r="J71" s="24">
        <f t="shared" si="60"/>
        <v>94.488360475579782</v>
      </c>
      <c r="K71" s="24">
        <f t="shared" si="61"/>
        <v>9.4026971222578855</v>
      </c>
      <c r="L71" s="14">
        <f t="shared" si="35"/>
        <v>0.67018069634200106</v>
      </c>
      <c r="M71" s="14">
        <f t="shared" si="36"/>
        <v>-2.8057183833075938</v>
      </c>
      <c r="N71" s="14">
        <f t="shared" si="37"/>
        <v>1.0418395710675821E-2</v>
      </c>
      <c r="O71" s="14">
        <f t="shared" si="38"/>
        <v>-65.090979763181949</v>
      </c>
      <c r="P71" s="14">
        <f t="shared" si="39"/>
        <v>-7.5106739295415537</v>
      </c>
      <c r="Q71" s="14">
        <f t="shared" si="40"/>
        <v>-0.22845956361585898</v>
      </c>
      <c r="R71" s="14">
        <f t="shared" si="41"/>
        <v>-6.9049236868194718E-5</v>
      </c>
      <c r="S71" s="23">
        <f t="shared" si="62"/>
        <v>-68.125157710105398</v>
      </c>
      <c r="T71" s="23">
        <f t="shared" si="63"/>
        <v>-10.976486294905602</v>
      </c>
      <c r="U71" s="14">
        <f t="shared" si="42"/>
        <v>20000</v>
      </c>
      <c r="V71" s="14">
        <f t="shared" si="43"/>
        <v>-89.991339956372229</v>
      </c>
      <c r="W71" s="14">
        <f t="shared" si="44"/>
        <v>-76.412051082821861</v>
      </c>
      <c r="X71" s="14">
        <f t="shared" si="45"/>
        <v>73.180324104244704</v>
      </c>
      <c r="Y71" s="14">
        <f t="shared" si="46"/>
        <v>10.771214110068687</v>
      </c>
      <c r="Z71" s="14">
        <f t="shared" si="47"/>
        <v>-0.86146924415164572</v>
      </c>
      <c r="AA71" s="14">
        <f t="shared" si="48"/>
        <v>-9.8182698529578581E-4</v>
      </c>
      <c r="AB71" s="23">
        <f t="shared" si="64"/>
        <v>-17.672485096279171</v>
      </c>
      <c r="AC71" s="23">
        <f t="shared" si="65"/>
        <v>20.378781113541155</v>
      </c>
      <c r="AD71" s="14">
        <f t="shared" si="49"/>
        <v>0.68919409124254549</v>
      </c>
      <c r="AE71" s="14">
        <f t="shared" si="50"/>
        <v>6.2839484048428796E-4</v>
      </c>
      <c r="AF71" s="14">
        <f t="shared" si="51"/>
        <v>1.033840988196851E-2</v>
      </c>
      <c r="AG71" s="14">
        <f t="shared" si="52"/>
        <v>1.4139906525808822E-7</v>
      </c>
      <c r="AH71" s="14">
        <f t="shared" si="53"/>
        <v>-0.41352921916016033</v>
      </c>
      <c r="AI71" s="14">
        <f t="shared" si="54"/>
        <v>-2.2623261721818521E-4</v>
      </c>
      <c r="AJ71" s="23">
        <f t="shared" si="66"/>
        <v>0.28600328196435371</v>
      </c>
      <c r="AK71" s="23">
        <f t="shared" si="67"/>
        <v>4.0230362233136083E-4</v>
      </c>
      <c r="AL71" s="14">
        <f t="shared" si="55"/>
        <v>0</v>
      </c>
      <c r="AM71" s="14">
        <f t="shared" si="56"/>
        <v>0</v>
      </c>
      <c r="AN71" s="14">
        <f t="shared" si="57"/>
        <v>0</v>
      </c>
      <c r="AO71" s="14">
        <f t="shared" si="58"/>
        <v>0</v>
      </c>
      <c r="AP71" s="23">
        <f t="shared" si="68"/>
        <v>0</v>
      </c>
      <c r="AQ71" s="23">
        <f t="shared" si="69"/>
        <v>0</v>
      </c>
    </row>
    <row r="72" spans="1:43" x14ac:dyDescent="0.25">
      <c r="A72" s="262" t="s">
        <v>474</v>
      </c>
      <c r="B72">
        <v>0.3</v>
      </c>
      <c r="C72" t="s">
        <v>23</v>
      </c>
      <c r="H72" s="14">
        <v>1.69</v>
      </c>
      <c r="I72" s="36">
        <f t="shared" si="59"/>
        <v>489.77881936844631</v>
      </c>
      <c r="J72" s="24">
        <f t="shared" si="60"/>
        <v>94.26590631831057</v>
      </c>
      <c r="K72" s="24">
        <f t="shared" si="61"/>
        <v>9.221572790922135</v>
      </c>
      <c r="L72" s="14">
        <f t="shared" si="35"/>
        <v>0.67018069634200106</v>
      </c>
      <c r="M72" s="14">
        <f t="shared" si="36"/>
        <v>-2.8709638633457399</v>
      </c>
      <c r="N72" s="14">
        <f t="shared" si="37"/>
        <v>1.0908783416322638E-2</v>
      </c>
      <c r="O72" s="14">
        <f t="shared" si="38"/>
        <v>-65.591195095753534</v>
      </c>
      <c r="P72" s="14">
        <f t="shared" si="39"/>
        <v>-7.6758610087678116</v>
      </c>
      <c r="Q72" s="14">
        <f t="shared" si="40"/>
        <v>-0.23378101207688573</v>
      </c>
      <c r="R72" s="14">
        <f t="shared" si="41"/>
        <v>-7.2303400056302608E-5</v>
      </c>
      <c r="S72" s="23">
        <f t="shared" si="62"/>
        <v>-68.695939971176159</v>
      </c>
      <c r="T72" s="23">
        <f t="shared" si="63"/>
        <v>-11.1411862405894</v>
      </c>
      <c r="U72" s="14">
        <f t="shared" si="42"/>
        <v>20000</v>
      </c>
      <c r="V72" s="14">
        <f t="shared" si="43"/>
        <v>-89.991537083028945</v>
      </c>
      <c r="W72" s="14">
        <f t="shared" si="44"/>
        <v>-76.61205107835643</v>
      </c>
      <c r="X72" s="14">
        <f t="shared" si="45"/>
        <v>73.542251785114175</v>
      </c>
      <c r="Y72" s="14">
        <f t="shared" si="46"/>
        <v>10.954817028522095</v>
      </c>
      <c r="Z72" s="14">
        <f t="shared" si="47"/>
        <v>-0.88153231010035826</v>
      </c>
      <c r="AA72" s="14">
        <f t="shared" si="48"/>
        <v>-1.0280935890387799E-3</v>
      </c>
      <c r="AB72" s="23">
        <f t="shared" si="64"/>
        <v>-17.330817608015128</v>
      </c>
      <c r="AC72" s="23">
        <f t="shared" si="65"/>
        <v>20.36233776985625</v>
      </c>
      <c r="AD72" s="14">
        <f t="shared" si="49"/>
        <v>0.7052458809108012</v>
      </c>
      <c r="AE72" s="14">
        <f t="shared" si="50"/>
        <v>6.5800793349054512E-4</v>
      </c>
      <c r="AF72" s="14">
        <f t="shared" si="51"/>
        <v>1.0579222378133458E-2</v>
      </c>
      <c r="AG72" s="14">
        <f t="shared" si="52"/>
        <v>1.4806299803098188E-7</v>
      </c>
      <c r="AH72" s="14">
        <f t="shared" si="53"/>
        <v>-0.42316120578707644</v>
      </c>
      <c r="AI72" s="14">
        <f t="shared" si="54"/>
        <v>-2.368943412040421E-4</v>
      </c>
      <c r="AJ72" s="23">
        <f t="shared" si="66"/>
        <v>0.29266389750185823</v>
      </c>
      <c r="AK72" s="23">
        <f t="shared" si="67"/>
        <v>4.2126165528453402E-4</v>
      </c>
      <c r="AL72" s="14">
        <f t="shared" si="55"/>
        <v>0</v>
      </c>
      <c r="AM72" s="14">
        <f t="shared" si="56"/>
        <v>0</v>
      </c>
      <c r="AN72" s="14">
        <f t="shared" si="57"/>
        <v>0</v>
      </c>
      <c r="AO72" s="14">
        <f t="shared" si="58"/>
        <v>0</v>
      </c>
      <c r="AP72" s="23">
        <f t="shared" si="68"/>
        <v>0</v>
      </c>
      <c r="AQ72" s="23">
        <f t="shared" si="69"/>
        <v>0</v>
      </c>
    </row>
    <row r="73" spans="1:43" x14ac:dyDescent="0.25">
      <c r="A73" s="262" t="s">
        <v>473</v>
      </c>
      <c r="B73">
        <v>0.5</v>
      </c>
      <c r="C73" t="s">
        <v>23</v>
      </c>
      <c r="H73" s="14">
        <v>1.7</v>
      </c>
      <c r="I73" s="36">
        <f t="shared" si="59"/>
        <v>501.18723362727235</v>
      </c>
      <c r="J73" s="24">
        <f t="shared" si="60"/>
        <v>94.042106423062535</v>
      </c>
      <c r="K73" s="24">
        <f t="shared" si="61"/>
        <v>9.0398457630857418</v>
      </c>
      <c r="L73" s="14">
        <f t="shared" si="35"/>
        <v>0.67018069634200106</v>
      </c>
      <c r="M73" s="14">
        <f t="shared" si="36"/>
        <v>-2.9377213909172144</v>
      </c>
      <c r="N73" s="14">
        <f t="shared" si="37"/>
        <v>1.1422223040897503E-2</v>
      </c>
      <c r="O73" s="14">
        <f t="shared" si="38"/>
        <v>-66.08388414797011</v>
      </c>
      <c r="P73" s="14">
        <f t="shared" si="39"/>
        <v>-7.8423523824312857</v>
      </c>
      <c r="Q73" s="14">
        <f t="shared" si="40"/>
        <v>-0.23922640881982987</v>
      </c>
      <c r="R73" s="14">
        <f t="shared" si="41"/>
        <v>-7.5710924618389101E-5</v>
      </c>
      <c r="S73" s="23">
        <f t="shared" si="62"/>
        <v>-69.26083194770716</v>
      </c>
      <c r="T73" s="23">
        <f t="shared" si="63"/>
        <v>-11.307167582152861</v>
      </c>
      <c r="U73" s="14">
        <f t="shared" si="42"/>
        <v>20000</v>
      </c>
      <c r="V73" s="14">
        <f t="shared" si="43"/>
        <v>-89.991729722535325</v>
      </c>
      <c r="W73" s="14">
        <f t="shared" si="44"/>
        <v>-76.812051074091968</v>
      </c>
      <c r="X73" s="14">
        <f t="shared" si="45"/>
        <v>73.897251005506178</v>
      </c>
      <c r="Y73" s="14">
        <f t="shared" si="46"/>
        <v>11.139099933228874</v>
      </c>
      <c r="Z73" s="14">
        <f t="shared" si="47"/>
        <v>-0.90206248104166276</v>
      </c>
      <c r="AA73" s="14">
        <f t="shared" si="48"/>
        <v>-1.0765401423663591E-3</v>
      </c>
      <c r="AB73" s="23">
        <f t="shared" si="64"/>
        <v>-16.996541198070812</v>
      </c>
      <c r="AC73" s="23">
        <f t="shared" si="65"/>
        <v>20.346572232274163</v>
      </c>
      <c r="AD73" s="14">
        <f t="shared" si="49"/>
        <v>0.72167145016233303</v>
      </c>
      <c r="AE73" s="14">
        <f t="shared" si="50"/>
        <v>6.8901643215544205E-4</v>
      </c>
      <c r="AF73" s="14">
        <f t="shared" si="51"/>
        <v>1.0825644117525695E-2</v>
      </c>
      <c r="AG73" s="14">
        <f t="shared" si="52"/>
        <v>1.5504099296246974E-7</v>
      </c>
      <c r="AH73" s="14">
        <f t="shared" si="53"/>
        <v>-0.4330175254393519</v>
      </c>
      <c r="AI73" s="14">
        <f t="shared" si="54"/>
        <v>-2.4805850870797521E-4</v>
      </c>
      <c r="AJ73" s="23">
        <f t="shared" si="66"/>
        <v>0.29947956884050686</v>
      </c>
      <c r="AK73" s="23">
        <f t="shared" si="67"/>
        <v>4.4111296444042928E-4</v>
      </c>
      <c r="AL73" s="14">
        <f t="shared" si="55"/>
        <v>0</v>
      </c>
      <c r="AM73" s="14">
        <f t="shared" si="56"/>
        <v>0</v>
      </c>
      <c r="AN73" s="14">
        <f t="shared" si="57"/>
        <v>0</v>
      </c>
      <c r="AO73" s="14">
        <f t="shared" si="58"/>
        <v>0</v>
      </c>
      <c r="AP73" s="23">
        <f t="shared" si="68"/>
        <v>0</v>
      </c>
      <c r="AQ73" s="23">
        <f t="shared" si="69"/>
        <v>0</v>
      </c>
    </row>
    <row r="74" spans="1:43" x14ac:dyDescent="0.25">
      <c r="A74" s="262" t="s">
        <v>475</v>
      </c>
      <c r="B74">
        <v>77</v>
      </c>
      <c r="C74" t="s">
        <v>169</v>
      </c>
      <c r="H74" s="14">
        <v>1.71</v>
      </c>
      <c r="I74" s="36">
        <f t="shared" si="59"/>
        <v>512.86138399136485</v>
      </c>
      <c r="J74" s="24">
        <f t="shared" si="60"/>
        <v>93.817025308940501</v>
      </c>
      <c r="K74" s="24">
        <f t="shared" si="61"/>
        <v>8.8575304934504118</v>
      </c>
      <c r="L74" s="14">
        <f t="shared" si="35"/>
        <v>0.67018069634200106</v>
      </c>
      <c r="M74" s="14">
        <f t="shared" si="36"/>
        <v>-3.0060256363227462</v>
      </c>
      <c r="N74" s="14">
        <f t="shared" si="37"/>
        <v>1.1959795278097516E-2</v>
      </c>
      <c r="O74" s="14">
        <f t="shared" si="38"/>
        <v>-66.569016640863083</v>
      </c>
      <c r="P74" s="14">
        <f t="shared" si="39"/>
        <v>-8.0101087234961312</v>
      </c>
      <c r="Q74" s="14">
        <f t="shared" si="40"/>
        <v>-0.24479864067240723</v>
      </c>
      <c r="R74" s="14">
        <f t="shared" si="41"/>
        <v>-7.9279038000215331E-5</v>
      </c>
      <c r="S74" s="23">
        <f t="shared" si="62"/>
        <v>-69.819840917858244</v>
      </c>
      <c r="T74" s="23">
        <f t="shared" si="63"/>
        <v>-11.474389919093889</v>
      </c>
      <c r="U74" s="14">
        <f t="shared" si="42"/>
        <v>20000</v>
      </c>
      <c r="V74" s="14">
        <f t="shared" si="43"/>
        <v>-89.991917977031363</v>
      </c>
      <c r="W74" s="14">
        <f t="shared" si="44"/>
        <v>-77.012051070019453</v>
      </c>
      <c r="X74" s="14">
        <f t="shared" si="45"/>
        <v>74.245400923806187</v>
      </c>
      <c r="Y74" s="14">
        <f t="shared" si="46"/>
        <v>11.324036938985868</v>
      </c>
      <c r="Z74" s="14">
        <f t="shared" si="47"/>
        <v>-0.92307062124447048</v>
      </c>
      <c r="AA74" s="14">
        <f t="shared" si="48"/>
        <v>-1.1272693321763621E-3</v>
      </c>
      <c r="AB74" s="23">
        <f t="shared" si="64"/>
        <v>-16.669587674469646</v>
      </c>
      <c r="AC74" s="23">
        <f t="shared" si="65"/>
        <v>20.331458512913866</v>
      </c>
      <c r="AD74" s="14">
        <f t="shared" si="49"/>
        <v>0.7384794972456179</v>
      </c>
      <c r="AE74" s="14">
        <f t="shared" si="50"/>
        <v>7.214860790430434E-4</v>
      </c>
      <c r="AF74" s="14">
        <f t="shared" si="51"/>
        <v>1.107780575617673E-2</v>
      </c>
      <c r="AG74" s="14">
        <f t="shared" si="52"/>
        <v>1.6234785054947483E-7</v>
      </c>
      <c r="AH74" s="14">
        <f t="shared" si="53"/>
        <v>-0.44310340173339047</v>
      </c>
      <c r="AI74" s="14">
        <f t="shared" si="54"/>
        <v>-2.5974879645786631E-4</v>
      </c>
      <c r="AJ74" s="23">
        <f t="shared" si="66"/>
        <v>0.30645390126840422</v>
      </c>
      <c r="AK74" s="23">
        <f t="shared" si="67"/>
        <v>4.6189963043572662E-4</v>
      </c>
      <c r="AL74" s="14">
        <f t="shared" si="55"/>
        <v>0</v>
      </c>
      <c r="AM74" s="14">
        <f t="shared" si="56"/>
        <v>0</v>
      </c>
      <c r="AN74" s="14">
        <f t="shared" si="57"/>
        <v>0</v>
      </c>
      <c r="AO74" s="14">
        <f t="shared" si="58"/>
        <v>0</v>
      </c>
      <c r="AP74" s="23">
        <f t="shared" si="68"/>
        <v>0</v>
      </c>
      <c r="AQ74" s="23">
        <f t="shared" si="69"/>
        <v>0</v>
      </c>
    </row>
    <row r="75" spans="1:43" x14ac:dyDescent="0.25">
      <c r="A75" s="262" t="s">
        <v>477</v>
      </c>
      <c r="B75">
        <v>81</v>
      </c>
      <c r="C75" t="s">
        <v>169</v>
      </c>
      <c r="H75" s="14">
        <v>1.72</v>
      </c>
      <c r="I75" s="36">
        <f t="shared" si="59"/>
        <v>524.80746024977282</v>
      </c>
      <c r="J75" s="24">
        <f t="shared" si="60"/>
        <v>93.590719854285368</v>
      </c>
      <c r="K75" s="24">
        <f t="shared" si="61"/>
        <v>8.6746418084702626</v>
      </c>
      <c r="L75" s="14">
        <f t="shared" si="35"/>
        <v>0.67018069634200106</v>
      </c>
      <c r="M75" s="14">
        <f t="shared" si="36"/>
        <v>-3.0759120383538536</v>
      </c>
      <c r="N75" s="14">
        <f t="shared" si="37"/>
        <v>1.2522631204539012E-2</v>
      </c>
      <c r="O75" s="14">
        <f t="shared" si="38"/>
        <v>-67.046571494040009</v>
      </c>
      <c r="P75" s="14">
        <f t="shared" si="39"/>
        <v>-8.1790911761812701</v>
      </c>
      <c r="Q75" s="14">
        <f t="shared" si="40"/>
        <v>-0.25050066168383045</v>
      </c>
      <c r="R75" s="14">
        <f t="shared" si="41"/>
        <v>-8.3015308241584062E-5</v>
      </c>
      <c r="S75" s="23">
        <f t="shared" si="62"/>
        <v>-70.372984194077688</v>
      </c>
      <c r="T75" s="23">
        <f t="shared" si="63"/>
        <v>-11.642813272122828</v>
      </c>
      <c r="U75" s="14">
        <f t="shared" si="42"/>
        <v>20000</v>
      </c>
      <c r="V75" s="14">
        <f t="shared" si="43"/>
        <v>-89.992101946332056</v>
      </c>
      <c r="W75" s="14">
        <f t="shared" si="44"/>
        <v>-77.212051066130229</v>
      </c>
      <c r="X75" s="14">
        <f t="shared" si="45"/>
        <v>74.586783257997922</v>
      </c>
      <c r="Y75" s="14">
        <f t="shared" si="46"/>
        <v>11.509602956408278</v>
      </c>
      <c r="Z75" s="14">
        <f t="shared" si="47"/>
        <v>-0.94456784689507667</v>
      </c>
      <c r="AA75" s="14">
        <f t="shared" si="48"/>
        <v>-1.180388679947635E-3</v>
      </c>
      <c r="AB75" s="23">
        <f t="shared" si="64"/>
        <v>-16.34988653522921</v>
      </c>
      <c r="AC75" s="23">
        <f t="shared" si="65"/>
        <v>20.316971414877727</v>
      </c>
      <c r="AD75" s="14">
        <f t="shared" si="49"/>
        <v>0.75567892243137513</v>
      </c>
      <c r="AE75" s="14">
        <f t="shared" si="50"/>
        <v>7.5548571306182158E-4</v>
      </c>
      <c r="AF75" s="14">
        <f t="shared" si="51"/>
        <v>1.1335840993486054E-2</v>
      </c>
      <c r="AG75" s="14">
        <f t="shared" si="52"/>
        <v>1.6999906753325149E-7</v>
      </c>
      <c r="AH75" s="14">
        <f t="shared" si="53"/>
        <v>-0.4534241798326073</v>
      </c>
      <c r="AI75" s="14">
        <f t="shared" si="54"/>
        <v>-2.7198999676705495E-4</v>
      </c>
      <c r="AJ75" s="23">
        <f t="shared" si="66"/>
        <v>0.31359058359225389</v>
      </c>
      <c r="AK75" s="23">
        <f t="shared" si="67"/>
        <v>4.8366571536229993E-4</v>
      </c>
      <c r="AL75" s="14">
        <f t="shared" si="55"/>
        <v>0</v>
      </c>
      <c r="AM75" s="14">
        <f t="shared" si="56"/>
        <v>0</v>
      </c>
      <c r="AN75" s="14">
        <f t="shared" si="57"/>
        <v>0</v>
      </c>
      <c r="AO75" s="14">
        <f t="shared" si="58"/>
        <v>0</v>
      </c>
      <c r="AP75" s="23">
        <f t="shared" si="68"/>
        <v>0</v>
      </c>
      <c r="AQ75" s="23">
        <f t="shared" si="69"/>
        <v>0</v>
      </c>
    </row>
    <row r="76" spans="1:43" x14ac:dyDescent="0.25">
      <c r="A76" s="262" t="s">
        <v>476</v>
      </c>
      <c r="B76">
        <v>-16.7</v>
      </c>
      <c r="C76" t="s">
        <v>26</v>
      </c>
      <c r="H76" s="14">
        <v>1.73</v>
      </c>
      <c r="I76" s="36">
        <f t="shared" si="59"/>
        <v>537.03179637025289</v>
      </c>
      <c r="J76" s="24">
        <f t="shared" si="60"/>
        <v>93.363239391771103</v>
      </c>
      <c r="K76" s="24">
        <f t="shared" si="61"/>
        <v>8.4911948484760646</v>
      </c>
      <c r="L76" s="14">
        <f t="shared" si="35"/>
        <v>0.67018069634200106</v>
      </c>
      <c r="M76" s="14">
        <f t="shared" si="36"/>
        <v>-3.1474168194268839</v>
      </c>
      <c r="N76" s="14">
        <f t="shared" si="37"/>
        <v>1.3111914601656637E-2</v>
      </c>
      <c r="O76" s="14">
        <f t="shared" si="38"/>
        <v>-67.516536444861146</v>
      </c>
      <c r="P76" s="14">
        <f t="shared" si="39"/>
        <v>-8.3492614072974405</v>
      </c>
      <c r="Q76" s="14">
        <f t="shared" si="40"/>
        <v>-0.2563354946890708</v>
      </c>
      <c r="R76" s="14">
        <f t="shared" si="41"/>
        <v>-8.6927660032026717E-5</v>
      </c>
      <c r="S76" s="23">
        <f t="shared" si="62"/>
        <v>-70.920288758977094</v>
      </c>
      <c r="T76" s="23">
        <f t="shared" si="63"/>
        <v>-11.812398132193671</v>
      </c>
      <c r="U76" s="14">
        <f t="shared" si="42"/>
        <v>20000</v>
      </c>
      <c r="V76" s="14">
        <f t="shared" si="43"/>
        <v>-89.992281727980398</v>
      </c>
      <c r="W76" s="14">
        <f t="shared" si="44"/>
        <v>-77.412051062416054</v>
      </c>
      <c r="X76" s="14">
        <f t="shared" si="45"/>
        <v>74.921482020561996</v>
      </c>
      <c r="Y76" s="14">
        <f t="shared" si="46"/>
        <v>11.695773683219297</v>
      </c>
      <c r="Z76" s="14">
        <f t="shared" si="47"/>
        <v>-0.96656553188333572</v>
      </c>
      <c r="AA76" s="14">
        <f t="shared" si="48"/>
        <v>-1.2360107690991932E-3</v>
      </c>
      <c r="AB76" s="23">
        <f t="shared" si="64"/>
        <v>-16.037365239301739</v>
      </c>
      <c r="AC76" s="23">
        <f t="shared" si="65"/>
        <v>20.30308652331377</v>
      </c>
      <c r="AD76" s="14">
        <f t="shared" si="49"/>
        <v>0.7732788326763852</v>
      </c>
      <c r="AE76" s="14">
        <f t="shared" si="50"/>
        <v>7.9108741518142331E-4</v>
      </c>
      <c r="AF76" s="14">
        <f t="shared" si="51"/>
        <v>1.1599886643110071E-2</v>
      </c>
      <c r="AG76" s="14">
        <f t="shared" si="52"/>
        <v>1.7801087740112894E-7</v>
      </c>
      <c r="AH76" s="14">
        <f t="shared" si="53"/>
        <v>-0.46398532926956548</v>
      </c>
      <c r="AI76" s="14">
        <f t="shared" si="54"/>
        <v>-2.8480807009256722E-4</v>
      </c>
      <c r="AJ76" s="23">
        <f t="shared" si="66"/>
        <v>0.32089339004992978</v>
      </c>
      <c r="AK76" s="23">
        <f t="shared" si="67"/>
        <v>5.0645735596625721E-4</v>
      </c>
      <c r="AL76" s="14">
        <f t="shared" si="55"/>
        <v>0</v>
      </c>
      <c r="AM76" s="14">
        <f t="shared" si="56"/>
        <v>0</v>
      </c>
      <c r="AN76" s="14">
        <f t="shared" si="57"/>
        <v>0</v>
      </c>
      <c r="AO76" s="14">
        <f t="shared" si="58"/>
        <v>0</v>
      </c>
      <c r="AP76" s="23">
        <f t="shared" si="68"/>
        <v>0</v>
      </c>
      <c r="AQ76" s="23">
        <f t="shared" si="69"/>
        <v>0</v>
      </c>
    </row>
    <row r="77" spans="1:43" x14ac:dyDescent="0.25">
      <c r="A77" s="262" t="s">
        <v>478</v>
      </c>
      <c r="B77">
        <v>-16.8</v>
      </c>
      <c r="C77" t="s">
        <v>26</v>
      </c>
      <c r="H77" s="14">
        <v>1.74</v>
      </c>
      <c r="I77" s="36">
        <f t="shared" si="59"/>
        <v>549.54087385762466</v>
      </c>
      <c r="J77" s="24">
        <f t="shared" si="60"/>
        <v>93.134625822040107</v>
      </c>
      <c r="K77" s="24">
        <f t="shared" si="61"/>
        <v>8.3072050132868487</v>
      </c>
      <c r="L77" s="14">
        <f t="shared" si="35"/>
        <v>0.67018069634200106</v>
      </c>
      <c r="M77" s="14">
        <f t="shared" si="36"/>
        <v>-3.220577000875243</v>
      </c>
      <c r="N77" s="14">
        <f t="shared" si="37"/>
        <v>1.372888438198116E-2</v>
      </c>
      <c r="O77" s="14">
        <f t="shared" si="38"/>
        <v>-67.978907661026156</v>
      </c>
      <c r="P77" s="14">
        <f t="shared" si="39"/>
        <v>-8.5205816528089642</v>
      </c>
      <c r="Q77" s="14">
        <f t="shared" si="40"/>
        <v>-0.26230623290944854</v>
      </c>
      <c r="R77" s="14">
        <f t="shared" si="41"/>
        <v>-9.10243915010868E-5</v>
      </c>
      <c r="S77" s="23">
        <f t="shared" si="62"/>
        <v>-71.461790894810846</v>
      </c>
      <c r="T77" s="23">
        <f t="shared" si="63"/>
        <v>-11.98310550465634</v>
      </c>
      <c r="U77" s="14">
        <f t="shared" si="42"/>
        <v>20000</v>
      </c>
      <c r="V77" s="14">
        <f t="shared" si="43"/>
        <v>-89.992457417298922</v>
      </c>
      <c r="W77" s="14">
        <f t="shared" si="44"/>
        <v>-77.612051058869028</v>
      </c>
      <c r="X77" s="14">
        <f t="shared" si="45"/>
        <v>75.249583265602396</v>
      </c>
      <c r="Y77" s="14">
        <f t="shared" si="46"/>
        <v>11.882525594154377</v>
      </c>
      <c r="Z77" s="14">
        <f t="shared" si="47"/>
        <v>-0.98907531371777901</v>
      </c>
      <c r="AA77" s="14">
        <f t="shared" si="48"/>
        <v>-1.2942534830319137E-3</v>
      </c>
      <c r="AB77" s="23">
        <f t="shared" si="64"/>
        <v>-15.731949465414305</v>
      </c>
      <c r="AC77" s="23">
        <f t="shared" si="65"/>
        <v>20.289780195081942</v>
      </c>
      <c r="AD77" s="14">
        <f t="shared" si="49"/>
        <v>0.79128854639295254</v>
      </c>
      <c r="AE77" s="14">
        <f t="shared" si="50"/>
        <v>8.2836666102992717E-4</v>
      </c>
      <c r="AF77" s="14">
        <f t="shared" si="51"/>
        <v>1.1870082705502391E-2</v>
      </c>
      <c r="AG77" s="14">
        <f t="shared" si="52"/>
        <v>1.8640026967305058E-7</v>
      </c>
      <c r="AH77" s="14">
        <f t="shared" si="53"/>
        <v>-0.47479244683320426</v>
      </c>
      <c r="AI77" s="14">
        <f t="shared" si="54"/>
        <v>-2.982302000538625E-4</v>
      </c>
      <c r="AJ77" s="23">
        <f t="shared" si="66"/>
        <v>0.32836618226525066</v>
      </c>
      <c r="AK77" s="23">
        <f t="shared" si="67"/>
        <v>5.3032286124573777E-4</v>
      </c>
      <c r="AL77" s="14">
        <f t="shared" si="55"/>
        <v>0</v>
      </c>
      <c r="AM77" s="14">
        <f t="shared" si="56"/>
        <v>0</v>
      </c>
      <c r="AN77" s="14">
        <f t="shared" si="57"/>
        <v>0</v>
      </c>
      <c r="AO77" s="14">
        <f t="shared" si="58"/>
        <v>0</v>
      </c>
      <c r="AP77" s="23">
        <f t="shared" si="68"/>
        <v>0</v>
      </c>
      <c r="AQ77" s="23">
        <f t="shared" si="69"/>
        <v>0</v>
      </c>
    </row>
    <row r="78" spans="1:43" x14ac:dyDescent="0.25">
      <c r="H78" s="14">
        <v>1.75</v>
      </c>
      <c r="I78" s="36">
        <f t="shared" si="59"/>
        <v>562.34132519034915</v>
      </c>
      <c r="J78" s="24">
        <f t="shared" si="60"/>
        <v>92.904913743492358</v>
      </c>
      <c r="K78" s="24">
        <f t="shared" si="61"/>
        <v>8.1226879113495727</v>
      </c>
      <c r="L78" s="14">
        <f t="shared" si="35"/>
        <v>0.67018069634200106</v>
      </c>
      <c r="M78" s="14">
        <f t="shared" si="36"/>
        <v>-3.2954304183899747</v>
      </c>
      <c r="N78" s="14">
        <f t="shared" si="37"/>
        <v>1.4374837124265386E-2</v>
      </c>
      <c r="O78" s="14">
        <f t="shared" si="38"/>
        <v>-68.433689348895669</v>
      </c>
      <c r="P78" s="14">
        <f t="shared" si="39"/>
        <v>-8.6930147597366343</v>
      </c>
      <c r="Q78" s="14">
        <f t="shared" si="40"/>
        <v>-0.26841604159038712</v>
      </c>
      <c r="R78" s="14">
        <f t="shared" si="41"/>
        <v>-9.5314191835753326E-5</v>
      </c>
      <c r="S78" s="23">
        <f t="shared" si="62"/>
        <v>-71.997535808876023</v>
      </c>
      <c r="T78" s="23">
        <f t="shared" si="63"/>
        <v>-12.154896948642058</v>
      </c>
      <c r="U78" s="14">
        <f t="shared" si="42"/>
        <v>20000</v>
      </c>
      <c r="V78" s="14">
        <f t="shared" si="43"/>
        <v>-89.99262910744045</v>
      </c>
      <c r="W78" s="14">
        <f t="shared" si="44"/>
        <v>-77.812051055481646</v>
      </c>
      <c r="X78" s="14">
        <f t="shared" si="45"/>
        <v>75.571174848135314</v>
      </c>
      <c r="Y78" s="14">
        <f t="shared" si="46"/>
        <v>12.069835929633379</v>
      </c>
      <c r="Z78" s="14">
        <f t="shared" si="47"/>
        <v>-1.0121090995722599</v>
      </c>
      <c r="AA78" s="14">
        <f t="shared" si="48"/>
        <v>-1.3552402543479689E-3</v>
      </c>
      <c r="AB78" s="23">
        <f t="shared" si="64"/>
        <v>-15.433563358877397</v>
      </c>
      <c r="AC78" s="23">
        <f t="shared" si="65"/>
        <v>20.277029547177008</v>
      </c>
      <c r="AD78" s="14">
        <f t="shared" si="49"/>
        <v>0.80971759832625334</v>
      </c>
      <c r="AE78" s="14">
        <f t="shared" si="50"/>
        <v>8.6740248063212999E-4</v>
      </c>
      <c r="AF78" s="14">
        <f t="shared" si="51"/>
        <v>1.2146572442143668E-2</v>
      </c>
      <c r="AG78" s="14">
        <f t="shared" si="52"/>
        <v>1.9518504390389989E-7</v>
      </c>
      <c r="AH78" s="14">
        <f t="shared" si="53"/>
        <v>-0.48585125952262342</v>
      </c>
      <c r="AI78" s="14">
        <f t="shared" si="54"/>
        <v>-3.1228485105266001E-4</v>
      </c>
      <c r="AJ78" s="23">
        <f t="shared" si="66"/>
        <v>0.33601291124577359</v>
      </c>
      <c r="AK78" s="23">
        <f t="shared" si="67"/>
        <v>5.5531281462337394E-4</v>
      </c>
      <c r="AL78" s="14">
        <f t="shared" si="55"/>
        <v>0</v>
      </c>
      <c r="AM78" s="14">
        <f t="shared" si="56"/>
        <v>0</v>
      </c>
      <c r="AN78" s="14">
        <f t="shared" si="57"/>
        <v>0</v>
      </c>
      <c r="AO78" s="14">
        <f t="shared" si="58"/>
        <v>0</v>
      </c>
      <c r="AP78" s="23">
        <f t="shared" si="68"/>
        <v>0</v>
      </c>
      <c r="AQ78" s="23">
        <f t="shared" si="69"/>
        <v>0</v>
      </c>
    </row>
    <row r="79" spans="1:43" x14ac:dyDescent="0.25">
      <c r="H79" s="14">
        <v>1.76</v>
      </c>
      <c r="I79" s="36">
        <f t="shared" si="59"/>
        <v>575.43993733715695</v>
      </c>
      <c r="J79" s="24">
        <f t="shared" si="60"/>
        <v>92.674130595954722</v>
      </c>
      <c r="K79" s="24">
        <f t="shared" si="61"/>
        <v>7.9376593124186625</v>
      </c>
      <c r="L79" s="14">
        <f t="shared" si="35"/>
        <v>0.67018069634200106</v>
      </c>
      <c r="M79" s="14">
        <f t="shared" si="36"/>
        <v>-3.3720157375977959</v>
      </c>
      <c r="N79" s="14">
        <f t="shared" si="37"/>
        <v>1.5051129722079948E-2</v>
      </c>
      <c r="O79" s="14">
        <f t="shared" si="38"/>
        <v>-68.880893359710299</v>
      </c>
      <c r="P79" s="14">
        <f t="shared" si="39"/>
        <v>-8.8665242235395727</v>
      </c>
      <c r="Q79" s="14">
        <f t="shared" si="40"/>
        <v>-0.27466815967719127</v>
      </c>
      <c r="R79" s="14">
        <f t="shared" si="41"/>
        <v>-9.9806159690305683E-5</v>
      </c>
      <c r="S79" s="23">
        <f t="shared" si="62"/>
        <v>-72.527577256985282</v>
      </c>
      <c r="T79" s="23">
        <f t="shared" si="63"/>
        <v>-12.327734611815039</v>
      </c>
      <c r="U79" s="14">
        <f t="shared" si="42"/>
        <v>20000</v>
      </c>
      <c r="V79" s="14">
        <f t="shared" si="43"/>
        <v>-89.992796889437358</v>
      </c>
      <c r="W79" s="14">
        <f t="shared" si="44"/>
        <v>-78.012051052246733</v>
      </c>
      <c r="X79" s="14">
        <f t="shared" si="45"/>
        <v>75.886346195419677</v>
      </c>
      <c r="Y79" s="14">
        <f t="shared" si="46"/>
        <v>12.25768268334564</v>
      </c>
      <c r="Z79" s="14">
        <f t="shared" si="47"/>
        <v>-1.0356790724667435</v>
      </c>
      <c r="AA79" s="14">
        <f t="shared" si="48"/>
        <v>-1.4191003257447478E-3</v>
      </c>
      <c r="AB79" s="23">
        <f t="shared" si="64"/>
        <v>-15.142129766484425</v>
      </c>
      <c r="AC79" s="23">
        <f t="shared" si="65"/>
        <v>20.26481244405279</v>
      </c>
      <c r="AD79" s="14">
        <f t="shared" si="49"/>
        <v>0.82857574454185989</v>
      </c>
      <c r="AE79" s="14">
        <f t="shared" si="50"/>
        <v>9.0827762567651069E-4</v>
      </c>
      <c r="AF79" s="14">
        <f t="shared" si="51"/>
        <v>1.2429502451500502E-2</v>
      </c>
      <c r="AG79" s="14">
        <f t="shared" si="52"/>
        <v>2.0438383282734765E-7</v>
      </c>
      <c r="AH79" s="14">
        <f t="shared" si="53"/>
        <v>-0.49716762756892735</v>
      </c>
      <c r="AI79" s="14">
        <f t="shared" si="54"/>
        <v>-3.2700182859774261E-4</v>
      </c>
      <c r="AJ79" s="23">
        <f t="shared" si="66"/>
        <v>0.34383761942443308</v>
      </c>
      <c r="AK79" s="23">
        <f t="shared" si="67"/>
        <v>5.8148018091159549E-4</v>
      </c>
      <c r="AL79" s="14">
        <f t="shared" si="55"/>
        <v>0</v>
      </c>
      <c r="AM79" s="14">
        <f t="shared" si="56"/>
        <v>0</v>
      </c>
      <c r="AN79" s="14">
        <f t="shared" si="57"/>
        <v>0</v>
      </c>
      <c r="AO79" s="14">
        <f t="shared" si="58"/>
        <v>0</v>
      </c>
      <c r="AP79" s="23">
        <f t="shared" si="68"/>
        <v>0</v>
      </c>
      <c r="AQ79" s="23">
        <f t="shared" si="69"/>
        <v>0</v>
      </c>
    </row>
    <row r="80" spans="1:43" x14ac:dyDescent="0.25">
      <c r="H80" s="14">
        <v>1.77</v>
      </c>
      <c r="I80" s="36">
        <f t="shared" si="59"/>
        <v>588.84365535558948</v>
      </c>
      <c r="J80" s="24">
        <f t="shared" si="60"/>
        <v>92.442296816073892</v>
      </c>
      <c r="K80" s="24">
        <f t="shared" si="61"/>
        <v>7.752135103760124</v>
      </c>
      <c r="L80" s="14">
        <f t="shared" si="35"/>
        <v>0.67018069634200106</v>
      </c>
      <c r="M80" s="14">
        <f t="shared" si="36"/>
        <v>-3.4503724697644018</v>
      </c>
      <c r="N80" s="14">
        <f t="shared" si="37"/>
        <v>1.5759182150610892E-2</v>
      </c>
      <c r="O80" s="14">
        <f t="shared" si="38"/>
        <v>-69.320538795701992</v>
      </c>
      <c r="P80" s="14">
        <f t="shared" si="39"/>
        <v>-9.0410742211319572</v>
      </c>
      <c r="Q80" s="14">
        <f t="shared" si="40"/>
        <v>-0.28106590152972433</v>
      </c>
      <c r="R80" s="14">
        <f t="shared" si="41"/>
        <v>-1.0450982248690519E-4</v>
      </c>
      <c r="S80" s="23">
        <f t="shared" si="62"/>
        <v>-73.051977166996124</v>
      </c>
      <c r="T80" s="23">
        <f t="shared" si="63"/>
        <v>-12.501581260641688</v>
      </c>
      <c r="U80" s="14">
        <f t="shared" si="42"/>
        <v>20000</v>
      </c>
      <c r="V80" s="14">
        <f t="shared" si="43"/>
        <v>-89.992960852249851</v>
      </c>
      <c r="W80" s="14">
        <f t="shared" si="44"/>
        <v>-78.212051049157424</v>
      </c>
      <c r="X80" s="14">
        <f t="shared" si="45"/>
        <v>76.195188090158908</v>
      </c>
      <c r="Y80" s="14">
        <f t="shared" si="46"/>
        <v>12.446044588884462</v>
      </c>
      <c r="Z80" s="14">
        <f t="shared" si="47"/>
        <v>-1.0597976975848948</v>
      </c>
      <c r="AA80" s="14">
        <f t="shared" si="48"/>
        <v>-1.4859690231566833E-3</v>
      </c>
      <c r="AB80" s="23">
        <f t="shared" si="64"/>
        <v>-14.857570459675838</v>
      </c>
      <c r="AC80" s="23">
        <f t="shared" si="65"/>
        <v>20.253107483983506</v>
      </c>
      <c r="AD80" s="14">
        <f t="shared" si="49"/>
        <v>0.84787296752575925</v>
      </c>
      <c r="AE80" s="14">
        <f t="shared" si="50"/>
        <v>9.5107874463083914E-4</v>
      </c>
      <c r="AF80" s="14">
        <f t="shared" si="51"/>
        <v>1.2719022746753662E-2</v>
      </c>
      <c r="AG80" s="14">
        <f t="shared" si="52"/>
        <v>2.14016146714901E-7</v>
      </c>
      <c r="AH80" s="14">
        <f t="shared" si="53"/>
        <v>-0.50874754752666218</v>
      </c>
      <c r="AI80" s="14">
        <f t="shared" si="54"/>
        <v>-3.4241234247139624E-4</v>
      </c>
      <c r="AJ80" s="23">
        <f t="shared" si="66"/>
        <v>0.35184444274585069</v>
      </c>
      <c r="AK80" s="23">
        <f t="shared" si="67"/>
        <v>6.0888041830615784E-4</v>
      </c>
      <c r="AL80" s="14">
        <f t="shared" si="55"/>
        <v>0</v>
      </c>
      <c r="AM80" s="14">
        <f t="shared" si="56"/>
        <v>0</v>
      </c>
      <c r="AN80" s="14">
        <f t="shared" si="57"/>
        <v>0</v>
      </c>
      <c r="AO80" s="14">
        <f t="shared" si="58"/>
        <v>0</v>
      </c>
      <c r="AP80" s="23">
        <f t="shared" si="68"/>
        <v>0</v>
      </c>
      <c r="AQ80" s="23">
        <f t="shared" si="69"/>
        <v>0</v>
      </c>
    </row>
    <row r="81" spans="1:43" x14ac:dyDescent="0.25">
      <c r="H81" s="14">
        <v>1.78</v>
      </c>
      <c r="I81" s="36">
        <f t="shared" si="59"/>
        <v>602.55958607435821</v>
      </c>
      <c r="J81" s="24">
        <f t="shared" si="60"/>
        <v>92.209426002404385</v>
      </c>
      <c r="K81" s="24">
        <f t="shared" si="61"/>
        <v>7.5661312498421109</v>
      </c>
      <c r="L81" s="14">
        <f t="shared" si="35"/>
        <v>0.67018069634200106</v>
      </c>
      <c r="M81" s="14">
        <f t="shared" si="36"/>
        <v>-3.530540987609565</v>
      </c>
      <c r="N81" s="14">
        <f t="shared" si="37"/>
        <v>1.6500480356656144E-2</v>
      </c>
      <c r="O81" s="14">
        <f t="shared" si="38"/>
        <v>-69.752651617924656</v>
      </c>
      <c r="P81" s="14">
        <f t="shared" si="39"/>
        <v>-9.2166296397055643</v>
      </c>
      <c r="Q81" s="14">
        <f t="shared" si="40"/>
        <v>-0.28761265867688046</v>
      </c>
      <c r="R81" s="14">
        <f t="shared" si="41"/>
        <v>-1.0943515662233455E-4</v>
      </c>
      <c r="S81" s="23">
        <f t="shared" si="62"/>
        <v>-73.570805264211103</v>
      </c>
      <c r="T81" s="23">
        <f t="shared" si="63"/>
        <v>-12.676400306343385</v>
      </c>
      <c r="U81" s="14">
        <f t="shared" si="42"/>
        <v>20000</v>
      </c>
      <c r="V81" s="14">
        <f t="shared" si="43"/>
        <v>-89.99312108281319</v>
      </c>
      <c r="W81" s="14">
        <f t="shared" si="44"/>
        <v>-78.412051046207139</v>
      </c>
      <c r="X81" s="14">
        <f t="shared" si="45"/>
        <v>76.497792465361655</v>
      </c>
      <c r="Y81" s="14">
        <f t="shared" si="46"/>
        <v>12.634901105559102</v>
      </c>
      <c r="Z81" s="14">
        <f t="shared" si="47"/>
        <v>-1.0844777287311285</v>
      </c>
      <c r="AA81" s="14">
        <f t="shared" si="48"/>
        <v>-1.5559880416966998E-3</v>
      </c>
      <c r="AB81" s="23">
        <f t="shared" si="64"/>
        <v>-14.579806346182663</v>
      </c>
      <c r="AC81" s="23">
        <f t="shared" si="65"/>
        <v>20.24189398458989</v>
      </c>
      <c r="AD81" s="14">
        <f t="shared" si="49"/>
        <v>0.86761948139921974</v>
      </c>
      <c r="AE81" s="14">
        <f t="shared" si="50"/>
        <v>9.9589656607247949E-4</v>
      </c>
      <c r="AF81" s="14">
        <f t="shared" si="51"/>
        <v>1.3015286835336749E-2</v>
      </c>
      <c r="AG81" s="14">
        <f t="shared" si="52"/>
        <v>2.2410241580629702E-7</v>
      </c>
      <c r="AH81" s="14">
        <f t="shared" si="53"/>
        <v>-0.52059715543640372</v>
      </c>
      <c r="AI81" s="14">
        <f t="shared" si="54"/>
        <v>-3.5854907288183143E-4</v>
      </c>
      <c r="AJ81" s="23">
        <f t="shared" si="66"/>
        <v>0.36003761279815272</v>
      </c>
      <c r="AK81" s="23">
        <f t="shared" si="67"/>
        <v>6.3757159560645443E-4</v>
      </c>
      <c r="AL81" s="14">
        <f t="shared" si="55"/>
        <v>0</v>
      </c>
      <c r="AM81" s="14">
        <f t="shared" si="56"/>
        <v>0</v>
      </c>
      <c r="AN81" s="14">
        <f t="shared" si="57"/>
        <v>0</v>
      </c>
      <c r="AO81" s="14">
        <f t="shared" si="58"/>
        <v>0</v>
      </c>
      <c r="AP81" s="23">
        <f t="shared" si="68"/>
        <v>0</v>
      </c>
      <c r="AQ81" s="23">
        <f t="shared" si="69"/>
        <v>0</v>
      </c>
    </row>
    <row r="82" spans="1:43" x14ac:dyDescent="0.25">
      <c r="H82" s="14">
        <v>1.79</v>
      </c>
      <c r="I82" s="36">
        <f t="shared" si="59"/>
        <v>616.59500186148261</v>
      </c>
      <c r="J82" s="24">
        <f t="shared" si="60"/>
        <v>91.97552508829466</v>
      </c>
      <c r="K82" s="24">
        <f t="shared" si="61"/>
        <v>7.3796637554531852</v>
      </c>
      <c r="L82" s="14">
        <f t="shared" si="35"/>
        <v>0.67018069634200106</v>
      </c>
      <c r="M82" s="14">
        <f t="shared" si="36"/>
        <v>-3.6125625412191589</v>
      </c>
      <c r="N82" s="14">
        <f t="shared" si="37"/>
        <v>1.7276579276891555E-2</v>
      </c>
      <c r="O82" s="14">
        <f t="shared" si="38"/>
        <v>-70.177264257464216</v>
      </c>
      <c r="P82" s="14">
        <f t="shared" si="39"/>
        <v>-9.3931561015413134</v>
      </c>
      <c r="Q82" s="14">
        <f t="shared" si="40"/>
        <v>-0.29431190161177218</v>
      </c>
      <c r="R82" s="14">
        <f t="shared" si="41"/>
        <v>-1.1459260861942773E-4</v>
      </c>
      <c r="S82" s="23">
        <f t="shared" si="62"/>
        <v>-74.084138700295156</v>
      </c>
      <c r="T82" s="23">
        <f t="shared" si="63"/>
        <v>-12.852155826710897</v>
      </c>
      <c r="U82" s="14">
        <f t="shared" si="42"/>
        <v>20000</v>
      </c>
      <c r="V82" s="14">
        <f t="shared" si="43"/>
        <v>-89.993277666083728</v>
      </c>
      <c r="W82" s="14">
        <f t="shared" si="44"/>
        <v>-78.612051043389641</v>
      </c>
      <c r="X82" s="14">
        <f t="shared" si="45"/>
        <v>76.794252210612242</v>
      </c>
      <c r="Y82" s="14">
        <f t="shared" si="46"/>
        <v>12.824232403504103</v>
      </c>
      <c r="Z82" s="14">
        <f t="shared" si="47"/>
        <v>-1.109732214929837</v>
      </c>
      <c r="AA82" s="14">
        <f t="shared" si="48"/>
        <v>-1.6293057449966676E-3</v>
      </c>
      <c r="AB82" s="23">
        <f t="shared" si="64"/>
        <v>-14.308757670401322</v>
      </c>
      <c r="AC82" s="23">
        <f t="shared" si="65"/>
        <v>20.231151967649094</v>
      </c>
      <c r="AD82" s="14">
        <f t="shared" si="49"/>
        <v>0.88782573725091107</v>
      </c>
      <c r="AE82" s="14">
        <f t="shared" si="50"/>
        <v>1.0428260906551357E-3</v>
      </c>
      <c r="AF82" s="14">
        <f t="shared" si="51"/>
        <v>1.3318451800327652E-2</v>
      </c>
      <c r="AG82" s="14">
        <f t="shared" si="52"/>
        <v>2.3466403659720409E-7</v>
      </c>
      <c r="AH82" s="14">
        <f t="shared" si="53"/>
        <v>-0.53272273006010551</v>
      </c>
      <c r="AI82" s="14">
        <f t="shared" si="54"/>
        <v>-3.7544623970347721E-4</v>
      </c>
      <c r="AJ82" s="23">
        <f t="shared" si="66"/>
        <v>0.36842145899113321</v>
      </c>
      <c r="AK82" s="23">
        <f t="shared" si="67"/>
        <v>6.6761451498825568E-4</v>
      </c>
      <c r="AL82" s="14">
        <f t="shared" si="55"/>
        <v>0</v>
      </c>
      <c r="AM82" s="14">
        <f t="shared" si="56"/>
        <v>0</v>
      </c>
      <c r="AN82" s="14">
        <f t="shared" si="57"/>
        <v>0</v>
      </c>
      <c r="AO82" s="14">
        <f t="shared" si="58"/>
        <v>0</v>
      </c>
      <c r="AP82" s="23">
        <f t="shared" si="68"/>
        <v>0</v>
      </c>
      <c r="AQ82" s="23">
        <f t="shared" si="69"/>
        <v>0</v>
      </c>
    </row>
    <row r="83" spans="1:43" x14ac:dyDescent="0.25">
      <c r="H83" s="14">
        <v>1.8</v>
      </c>
      <c r="I83" s="36">
        <f t="shared" si="59"/>
        <v>630.95734448019368</v>
      </c>
      <c r="J83" s="24">
        <f t="shared" si="60"/>
        <v>91.740594520810205</v>
      </c>
      <c r="K83" s="24">
        <f t="shared" si="61"/>
        <v>7.1927486321724556</v>
      </c>
      <c r="L83" s="14">
        <f t="shared" si="35"/>
        <v>0.67018069634200106</v>
      </c>
      <c r="M83" s="14">
        <f t="shared" si="36"/>
        <v>-3.6964792740376535</v>
      </c>
      <c r="N83" s="14">
        <f t="shared" si="37"/>
        <v>1.8089105989757413E-2</v>
      </c>
      <c r="O83" s="14">
        <f t="shared" si="38"/>
        <v>-70.59441523152239</v>
      </c>
      <c r="P83" s="14">
        <f t="shared" si="39"/>
        <v>-9.5706199850021481</v>
      </c>
      <c r="Q83" s="14">
        <f t="shared" si="40"/>
        <v>-0.30116718162856471</v>
      </c>
      <c r="R83" s="14">
        <f t="shared" si="41"/>
        <v>-1.1999311727330106E-4</v>
      </c>
      <c r="S83" s="23">
        <f t="shared" si="62"/>
        <v>-74.592061687188618</v>
      </c>
      <c r="T83" s="23">
        <f t="shared" si="63"/>
        <v>-13.02881258396752</v>
      </c>
      <c r="U83" s="14">
        <f t="shared" si="42"/>
        <v>20000</v>
      </c>
      <c r="V83" s="14">
        <f t="shared" si="43"/>
        <v>-89.993430685083965</v>
      </c>
      <c r="W83" s="14">
        <f t="shared" si="44"/>
        <v>-78.812051040698947</v>
      </c>
      <c r="X83" s="14">
        <f t="shared" si="45"/>
        <v>77.084660989470692</v>
      </c>
      <c r="Y83" s="14">
        <f t="shared" si="46"/>
        <v>13.014019348197415</v>
      </c>
      <c r="Z83" s="14">
        <f t="shared" si="47"/>
        <v>-1.135574507169506</v>
      </c>
      <c r="AA83" s="14">
        <f t="shared" si="48"/>
        <v>-1.7060774785977197E-3</v>
      </c>
      <c r="AB83" s="23">
        <f t="shared" si="64"/>
        <v>-14.04434420278278</v>
      </c>
      <c r="AC83" s="23">
        <f t="shared" si="65"/>
        <v>20.220862143299495</v>
      </c>
      <c r="AD83" s="14">
        <f t="shared" si="49"/>
        <v>0.90850242858869357</v>
      </c>
      <c r="AE83" s="14">
        <f t="shared" si="50"/>
        <v>1.0919667920699107E-3</v>
      </c>
      <c r="AF83" s="14">
        <f t="shared" si="51"/>
        <v>1.3628678383735734E-2</v>
      </c>
      <c r="AG83" s="14">
        <f t="shared" si="52"/>
        <v>2.4572341234095744E-7</v>
      </c>
      <c r="AH83" s="14">
        <f t="shared" si="53"/>
        <v>-0.54513069619081933</v>
      </c>
      <c r="AI83" s="14">
        <f t="shared" si="54"/>
        <v>-3.931396750015041E-4</v>
      </c>
      <c r="AJ83" s="23">
        <f t="shared" si="66"/>
        <v>0.37700041078160995</v>
      </c>
      <c r="AK83" s="23">
        <f t="shared" si="67"/>
        <v>6.9907284048074752E-4</v>
      </c>
      <c r="AL83" s="14">
        <f t="shared" si="55"/>
        <v>0</v>
      </c>
      <c r="AM83" s="14">
        <f t="shared" si="56"/>
        <v>0</v>
      </c>
      <c r="AN83" s="14">
        <f t="shared" si="57"/>
        <v>0</v>
      </c>
      <c r="AO83" s="14">
        <f t="shared" si="58"/>
        <v>0</v>
      </c>
      <c r="AP83" s="23">
        <f t="shared" si="68"/>
        <v>0</v>
      </c>
      <c r="AQ83" s="23">
        <f t="shared" si="69"/>
        <v>0</v>
      </c>
    </row>
    <row r="84" spans="1:43" x14ac:dyDescent="0.25">
      <c r="H84" s="14">
        <v>1.81</v>
      </c>
      <c r="I84" s="36">
        <f t="shared" si="59"/>
        <v>645.65422903465583</v>
      </c>
      <c r="J84" s="24">
        <f t="shared" si="60"/>
        <v>91.504628444069553</v>
      </c>
      <c r="K84" s="24">
        <f t="shared" si="61"/>
        <v>7.0054018681005541</v>
      </c>
      <c r="L84" s="14">
        <f t="shared" si="35"/>
        <v>0.67018069634200106</v>
      </c>
      <c r="M84" s="14">
        <f t="shared" si="36"/>
        <v>-3.7823342389230694</v>
      </c>
      <c r="N84" s="14">
        <f t="shared" si="37"/>
        <v>1.8939763006394036E-2</v>
      </c>
      <c r="O84" s="14">
        <f t="shared" si="38"/>
        <v>-71.004148765707896</v>
      </c>
      <c r="P84" s="14">
        <f t="shared" si="39"/>
        <v>-9.7489884419067163</v>
      </c>
      <c r="Q84" s="14">
        <f t="shared" si="40"/>
        <v>-0.3081821327019208</v>
      </c>
      <c r="R84" s="14">
        <f t="shared" si="41"/>
        <v>-1.2564813686178009E-4</v>
      </c>
      <c r="S84" s="23">
        <f t="shared" si="62"/>
        <v>-75.094665137332882</v>
      </c>
      <c r="T84" s="23">
        <f t="shared" si="63"/>
        <v>-13.20633603887504</v>
      </c>
      <c r="U84" s="14">
        <f t="shared" si="42"/>
        <v>20000</v>
      </c>
      <c r="V84" s="14">
        <f t="shared" si="43"/>
        <v>-89.993580220946598</v>
      </c>
      <c r="W84" s="14">
        <f t="shared" si="44"/>
        <v>-79.012051038129357</v>
      </c>
      <c r="X84" s="14">
        <f t="shared" si="45"/>
        <v>77.369113067696688</v>
      </c>
      <c r="Y84" s="14">
        <f t="shared" si="46"/>
        <v>13.204243484490835</v>
      </c>
      <c r="Z84" s="14">
        <f t="shared" si="47"/>
        <v>-1.1620182652944691</v>
      </c>
      <c r="AA84" s="14">
        <f t="shared" si="48"/>
        <v>-1.7864658979962805E-3</v>
      </c>
      <c r="AB84" s="23">
        <f t="shared" si="64"/>
        <v>-13.786485418544379</v>
      </c>
      <c r="AC84" s="23">
        <f t="shared" si="65"/>
        <v>20.211005893743106</v>
      </c>
      <c r="AD84" s="14">
        <f t="shared" si="49"/>
        <v>0.92966049691354957</v>
      </c>
      <c r="AE84" s="14">
        <f t="shared" si="50"/>
        <v>1.1434228274431329E-3</v>
      </c>
      <c r="AF84" s="14">
        <f t="shared" si="51"/>
        <v>1.3946131071729047E-2</v>
      </c>
      <c r="AG84" s="14">
        <f t="shared" si="52"/>
        <v>2.5730399933625732E-7</v>
      </c>
      <c r="AH84" s="14">
        <f t="shared" si="53"/>
        <v>-0.55782762803846597</v>
      </c>
      <c r="AI84" s="14">
        <f t="shared" si="54"/>
        <v>-4.1166689895397125E-4</v>
      </c>
      <c r="AJ84" s="23">
        <f t="shared" si="66"/>
        <v>0.38577899994681264</v>
      </c>
      <c r="AK84" s="23">
        <f t="shared" si="67"/>
        <v>7.3201323248849785E-4</v>
      </c>
      <c r="AL84" s="14">
        <f t="shared" si="55"/>
        <v>0</v>
      </c>
      <c r="AM84" s="14">
        <f t="shared" si="56"/>
        <v>0</v>
      </c>
      <c r="AN84" s="14">
        <f t="shared" si="57"/>
        <v>0</v>
      </c>
      <c r="AO84" s="14">
        <f t="shared" si="58"/>
        <v>0</v>
      </c>
      <c r="AP84" s="23">
        <f t="shared" si="68"/>
        <v>0</v>
      </c>
      <c r="AQ84" s="23">
        <f t="shared" si="69"/>
        <v>0</v>
      </c>
    </row>
    <row r="85" spans="1:43" x14ac:dyDescent="0.25">
      <c r="H85" s="14">
        <v>1.82</v>
      </c>
      <c r="I85" s="36">
        <f t="shared" si="59"/>
        <v>660.6934480075962</v>
      </c>
      <c r="J85" s="24">
        <f t="shared" si="60"/>
        <v>91.267614885504756</v>
      </c>
      <c r="K85" s="24">
        <f t="shared" si="61"/>
        <v>6.8176394007487335</v>
      </c>
      <c r="L85" s="14">
        <f t="shared" si="35"/>
        <v>0.67018069634200106</v>
      </c>
      <c r="M85" s="14">
        <f t="shared" si="36"/>
        <v>-3.8701714142445902</v>
      </c>
      <c r="N85" s="14">
        <f t="shared" si="37"/>
        <v>1.9830331706319287E-2</v>
      </c>
      <c r="O85" s="14">
        <f t="shared" si="38"/>
        <v>-71.406514423713503</v>
      </c>
      <c r="P85" s="14">
        <f t="shared" si="39"/>
        <v>-9.9282294114877168</v>
      </c>
      <c r="Q85" s="14">
        <f t="shared" si="40"/>
        <v>-0.31536047341003265</v>
      </c>
      <c r="R85" s="14">
        <f t="shared" si="41"/>
        <v>-1.3156966141998202E-4</v>
      </c>
      <c r="S85" s="23">
        <f t="shared" si="62"/>
        <v>-75.592046311368136</v>
      </c>
      <c r="T85" s="23">
        <f t="shared" si="63"/>
        <v>-13.384692361280672</v>
      </c>
      <c r="U85" s="14">
        <f t="shared" si="42"/>
        <v>20000</v>
      </c>
      <c r="V85" s="14">
        <f t="shared" si="43"/>
        <v>-89.993726352957523</v>
      </c>
      <c r="W85" s="14">
        <f t="shared" si="44"/>
        <v>-79.212051035675429</v>
      </c>
      <c r="X85" s="14">
        <f t="shared" si="45"/>
        <v>77.647703151970831</v>
      </c>
      <c r="Y85" s="14">
        <f t="shared" si="46"/>
        <v>13.39488702024865</v>
      </c>
      <c r="Z85" s="14">
        <f t="shared" si="47"/>
        <v>-1.1890774650470763</v>
      </c>
      <c r="AA85" s="14">
        <f t="shared" si="48"/>
        <v>-1.8706413120666515E-3</v>
      </c>
      <c r="AB85" s="23">
        <f t="shared" si="64"/>
        <v>-13.535100666033768</v>
      </c>
      <c r="AC85" s="23">
        <f t="shared" si="65"/>
        <v>20.201565256540778</v>
      </c>
      <c r="AD85" s="14">
        <f t="shared" si="49"/>
        <v>0.95131113741815576</v>
      </c>
      <c r="AE85" s="14">
        <f t="shared" si="50"/>
        <v>1.197303257624674E-3</v>
      </c>
      <c r="AF85" s="14">
        <f t="shared" si="51"/>
        <v>1.4270978181846748E-2</v>
      </c>
      <c r="AG85" s="14">
        <f t="shared" si="52"/>
        <v>2.6943036285814008E-7</v>
      </c>
      <c r="AH85" s="14">
        <f t="shared" si="53"/>
        <v>-0.57082025269334169</v>
      </c>
      <c r="AI85" s="14">
        <f t="shared" si="54"/>
        <v>-4.3106719936016784E-4</v>
      </c>
      <c r="AJ85" s="23">
        <f t="shared" si="66"/>
        <v>0.39476186290666082</v>
      </c>
      <c r="AK85" s="23">
        <f t="shared" si="67"/>
        <v>7.6650548862736438E-4</v>
      </c>
      <c r="AL85" s="14">
        <f t="shared" si="55"/>
        <v>0</v>
      </c>
      <c r="AM85" s="14">
        <f t="shared" si="56"/>
        <v>0</v>
      </c>
      <c r="AN85" s="14">
        <f t="shared" si="57"/>
        <v>0</v>
      </c>
      <c r="AO85" s="14">
        <f t="shared" si="58"/>
        <v>0</v>
      </c>
      <c r="AP85" s="23">
        <f t="shared" si="68"/>
        <v>0</v>
      </c>
      <c r="AQ85" s="23">
        <f t="shared" si="69"/>
        <v>0</v>
      </c>
    </row>
    <row r="86" spans="1:43" x14ac:dyDescent="0.25">
      <c r="H86" s="14">
        <v>1.83</v>
      </c>
      <c r="I86" s="36">
        <f t="shared" si="59"/>
        <v>676.0829753919819</v>
      </c>
      <c r="J86" s="24">
        <f t="shared" si="60"/>
        <v>91.029535943693887</v>
      </c>
      <c r="K86" s="24">
        <f t="shared" si="61"/>
        <v>6.6294770929732181</v>
      </c>
      <c r="L86" s="14">
        <f t="shared" si="35"/>
        <v>0.67018069634200106</v>
      </c>
      <c r="M86" s="14">
        <f t="shared" si="36"/>
        <v>-3.960035720001196</v>
      </c>
      <c r="N86" s="14">
        <f t="shared" si="37"/>
        <v>2.0762675923676529E-2</v>
      </c>
      <c r="O86" s="14">
        <f t="shared" si="38"/>
        <v>-71.80156674540676</v>
      </c>
      <c r="P86" s="14">
        <f t="shared" si="39"/>
        <v>-10.108311631141207</v>
      </c>
      <c r="Q86" s="14">
        <f t="shared" si="40"/>
        <v>-0.32270600890224377</v>
      </c>
      <c r="R86" s="14">
        <f t="shared" si="41"/>
        <v>-1.3777025017929834E-4</v>
      </c>
      <c r="S86" s="23">
        <f t="shared" si="62"/>
        <v>-76.084308474310205</v>
      </c>
      <c r="T86" s="23">
        <f t="shared" si="63"/>
        <v>-13.563848437305564</v>
      </c>
      <c r="U86" s="14">
        <f t="shared" si="42"/>
        <v>20000</v>
      </c>
      <c r="V86" s="14">
        <f t="shared" si="43"/>
        <v>-89.99386915859786</v>
      </c>
      <c r="W86" s="14">
        <f t="shared" si="44"/>
        <v>-79.412051033331934</v>
      </c>
      <c r="X86" s="14">
        <f t="shared" si="45"/>
        <v>77.920526238769227</v>
      </c>
      <c r="Y86" s="14">
        <f t="shared" si="46"/>
        <v>13.585932809682518</v>
      </c>
      <c r="Z86" s="14">
        <f t="shared" si="47"/>
        <v>-1.2167664052630425</v>
      </c>
      <c r="AA86" s="14">
        <f t="shared" si="48"/>
        <v>-1.9587820425763483E-3</v>
      </c>
      <c r="AB86" s="23">
        <f t="shared" si="64"/>
        <v>-13.290109325091676</v>
      </c>
      <c r="AC86" s="23">
        <f t="shared" si="65"/>
        <v>20.192522907587634</v>
      </c>
      <c r="AD86" s="14">
        <f t="shared" si="49"/>
        <v>0.97346580481262668</v>
      </c>
      <c r="AE86" s="14">
        <f t="shared" si="50"/>
        <v>1.253722277795109E-3</v>
      </c>
      <c r="AF86" s="14">
        <f t="shared" si="51"/>
        <v>1.4603391952242891E-2</v>
      </c>
      <c r="AG86" s="14">
        <f t="shared" si="52"/>
        <v>2.8212822344567227E-7</v>
      </c>
      <c r="AH86" s="14">
        <f t="shared" si="53"/>
        <v>-0.58411545366909912</v>
      </c>
      <c r="AI86" s="14">
        <f t="shared" si="54"/>
        <v>-4.5138171486967902E-4</v>
      </c>
      <c r="AJ86" s="23">
        <f t="shared" si="66"/>
        <v>0.40395374309577048</v>
      </c>
      <c r="AK86" s="23">
        <f t="shared" si="67"/>
        <v>8.0262269114887567E-4</v>
      </c>
      <c r="AL86" s="14">
        <f t="shared" si="55"/>
        <v>0</v>
      </c>
      <c r="AM86" s="14">
        <f t="shared" si="56"/>
        <v>0</v>
      </c>
      <c r="AN86" s="14">
        <f t="shared" si="57"/>
        <v>0</v>
      </c>
      <c r="AO86" s="14">
        <f t="shared" si="58"/>
        <v>0</v>
      </c>
      <c r="AP86" s="23">
        <f t="shared" si="68"/>
        <v>0</v>
      </c>
      <c r="AQ86" s="23">
        <f t="shared" si="69"/>
        <v>0</v>
      </c>
    </row>
    <row r="87" spans="1:43" x14ac:dyDescent="0.25">
      <c r="H87" s="14">
        <v>1.84</v>
      </c>
      <c r="I87" s="36">
        <f t="shared" si="59"/>
        <v>691.8309709189366</v>
      </c>
      <c r="J87" s="24">
        <f t="shared" si="60"/>
        <v>90.79036797654355</v>
      </c>
      <c r="K87" s="24">
        <f t="shared" si="61"/>
        <v>6.440930711834457</v>
      </c>
      <c r="L87" s="14">
        <f t="shared" si="35"/>
        <v>0.67018069634200106</v>
      </c>
      <c r="M87" s="14">
        <f t="shared" si="36"/>
        <v>-4.0519730339376459</v>
      </c>
      <c r="N87" s="14">
        <f t="shared" si="37"/>
        <v>2.1738745690073467E-2</v>
      </c>
      <c r="O87" s="14">
        <f t="shared" si="38"/>
        <v>-72.189364894220503</v>
      </c>
      <c r="P87" s="14">
        <f t="shared" si="39"/>
        <v>-10.289204644173795</v>
      </c>
      <c r="Q87" s="14">
        <f t="shared" si="40"/>
        <v>-0.33022263291228493</v>
      </c>
      <c r="R87" s="14">
        <f t="shared" si="41"/>
        <v>-1.4426305419580222E-4</v>
      </c>
      <c r="S87" s="23">
        <f t="shared" si="62"/>
        <v>-76.571560561070427</v>
      </c>
      <c r="T87" s="23">
        <f t="shared" si="63"/>
        <v>-13.743771873375772</v>
      </c>
      <c r="U87" s="14">
        <f t="shared" si="42"/>
        <v>20000</v>
      </c>
      <c r="V87" s="14">
        <f t="shared" si="43"/>
        <v>-89.994008713585018</v>
      </c>
      <c r="W87" s="14">
        <f t="shared" si="44"/>
        <v>-79.612051031093912</v>
      </c>
      <c r="X87" s="14">
        <f t="shared" si="45"/>
        <v>78.187677473035748</v>
      </c>
      <c r="Y87" s="14">
        <f t="shared" si="46"/>
        <v>13.777364336463744</v>
      </c>
      <c r="Z87" s="14">
        <f t="shared" si="47"/>
        <v>-1.2450997152227863</v>
      </c>
      <c r="AA87" s="14">
        <f t="shared" si="48"/>
        <v>-2.0510748005056834E-3</v>
      </c>
      <c r="AB87" s="23">
        <f t="shared" si="64"/>
        <v>-13.051430955772055</v>
      </c>
      <c r="AC87" s="23">
        <f t="shared" si="65"/>
        <v>20.183862143848952</v>
      </c>
      <c r="AD87" s="14">
        <f t="shared" si="49"/>
        <v>0.99613621927999429</v>
      </c>
      <c r="AE87" s="14">
        <f t="shared" si="50"/>
        <v>1.3127994589161179E-3</v>
      </c>
      <c r="AF87" s="14">
        <f t="shared" si="51"/>
        <v>1.4943548633008997E-2</v>
      </c>
      <c r="AG87" s="14">
        <f t="shared" si="52"/>
        <v>2.9542451669022725E-7</v>
      </c>
      <c r="AH87" s="14">
        <f t="shared" si="53"/>
        <v>-0.59772027452695931</v>
      </c>
      <c r="AI87" s="14">
        <f t="shared" si="54"/>
        <v>-4.7265352215537164E-4</v>
      </c>
      <c r="AJ87" s="23">
        <f t="shared" si="66"/>
        <v>0.41335949338604394</v>
      </c>
      <c r="AK87" s="23">
        <f t="shared" si="67"/>
        <v>8.404413612774365E-4</v>
      </c>
      <c r="AL87" s="14">
        <f t="shared" si="55"/>
        <v>0</v>
      </c>
      <c r="AM87" s="14">
        <f t="shared" si="56"/>
        <v>0</v>
      </c>
      <c r="AN87" s="14">
        <f t="shared" si="57"/>
        <v>0</v>
      </c>
      <c r="AO87" s="14">
        <f t="shared" si="58"/>
        <v>0</v>
      </c>
      <c r="AP87" s="23">
        <f t="shared" si="68"/>
        <v>0</v>
      </c>
      <c r="AQ87" s="23">
        <f t="shared" si="69"/>
        <v>0</v>
      </c>
    </row>
    <row r="88" spans="1:43" x14ac:dyDescent="0.25">
      <c r="H88" s="14">
        <v>1.85</v>
      </c>
      <c r="I88" s="36">
        <f t="shared" si="59"/>
        <v>707.94578438413862</v>
      </c>
      <c r="J88" s="24">
        <f t="shared" si="60"/>
        <v>90.550081788728235</v>
      </c>
      <c r="K88" s="24">
        <f t="shared" si="61"/>
        <v>6.2520159102554462</v>
      </c>
      <c r="L88" s="14">
        <f t="shared" si="35"/>
        <v>0.67018069634200106</v>
      </c>
      <c r="M88" s="14">
        <f t="shared" si="36"/>
        <v>-4.1460302076320277</v>
      </c>
      <c r="N88" s="14">
        <f t="shared" si="37"/>
        <v>2.2760581140246754E-2</v>
      </c>
      <c r="O88" s="14">
        <f t="shared" si="38"/>
        <v>-72.569972314593983</v>
      </c>
      <c r="P88" s="14">
        <f t="shared" si="39"/>
        <v>-10.470878804753443</v>
      </c>
      <c r="Q88" s="14">
        <f t="shared" si="40"/>
        <v>-0.33791432981817104</v>
      </c>
      <c r="R88" s="14">
        <f t="shared" si="41"/>
        <v>-1.5106184423552892E-4</v>
      </c>
      <c r="S88" s="23">
        <f t="shared" si="62"/>
        <v>-77.053916852044182</v>
      </c>
      <c r="T88" s="23">
        <f t="shared" si="63"/>
        <v>-13.924430997295287</v>
      </c>
      <c r="U88" s="14">
        <f t="shared" si="42"/>
        <v>20000</v>
      </c>
      <c r="V88" s="14">
        <f t="shared" si="43"/>
        <v>-89.994145091912912</v>
      </c>
      <c r="W88" s="14">
        <f t="shared" si="44"/>
        <v>-79.812051028956631</v>
      </c>
      <c r="X88" s="14">
        <f t="shared" si="45"/>
        <v>78.449252016286195</v>
      </c>
      <c r="Y88" s="14">
        <f t="shared" si="46"/>
        <v>13.969165696686964</v>
      </c>
      <c r="Z88" s="14">
        <f t="shared" si="47"/>
        <v>-1.2740923621615576</v>
      </c>
      <c r="AA88" s="14">
        <f t="shared" si="48"/>
        <v>-2.1477150799959037E-3</v>
      </c>
      <c r="AB88" s="23">
        <f t="shared" si="64"/>
        <v>-12.818985437788275</v>
      </c>
      <c r="AC88" s="23">
        <f t="shared" si="65"/>
        <v>20.175566865929962</v>
      </c>
      <c r="AD88" s="14">
        <f t="shared" si="49"/>
        <v>1.0193343725640256</v>
      </c>
      <c r="AE88" s="14">
        <f t="shared" si="50"/>
        <v>1.3746600004864451E-3</v>
      </c>
      <c r="AF88" s="14">
        <f t="shared" si="51"/>
        <v>1.529162857962376E-2</v>
      </c>
      <c r="AG88" s="14">
        <f t="shared" si="52"/>
        <v>3.0934744530913923E-7</v>
      </c>
      <c r="AH88" s="14">
        <f t="shared" si="53"/>
        <v>-0.61164192258296457</v>
      </c>
      <c r="AI88" s="14">
        <f t="shared" si="54"/>
        <v>-4.9492772716087788E-4</v>
      </c>
      <c r="AJ88" s="23">
        <f t="shared" si="66"/>
        <v>0.42298407856068487</v>
      </c>
      <c r="AK88" s="23">
        <f t="shared" si="67"/>
        <v>8.8004162077087624E-4</v>
      </c>
      <c r="AL88" s="14">
        <f t="shared" si="55"/>
        <v>0</v>
      </c>
      <c r="AM88" s="14">
        <f t="shared" si="56"/>
        <v>0</v>
      </c>
      <c r="AN88" s="14">
        <f t="shared" si="57"/>
        <v>0</v>
      </c>
      <c r="AO88" s="14">
        <f t="shared" si="58"/>
        <v>0</v>
      </c>
      <c r="AP88" s="23">
        <f t="shared" si="68"/>
        <v>0</v>
      </c>
      <c r="AQ88" s="23">
        <f t="shared" si="69"/>
        <v>0</v>
      </c>
    </row>
    <row r="89" spans="1:43" x14ac:dyDescent="0.25">
      <c r="H89" s="14">
        <v>1.86</v>
      </c>
      <c r="I89" s="36">
        <f t="shared" si="59"/>
        <v>724.4359600749907</v>
      </c>
      <c r="J89" s="24">
        <f t="shared" si="60"/>
        <v>90.308642817415276</v>
      </c>
      <c r="K89" s="24">
        <f t="shared" si="61"/>
        <v>6.0627482113492928</v>
      </c>
      <c r="L89" s="14">
        <f t="shared" si="35"/>
        <v>0.67018069634200106</v>
      </c>
      <c r="M89" s="14">
        <f t="shared" si="36"/>
        <v>-4.24225508252679</v>
      </c>
      <c r="N89" s="14">
        <f t="shared" si="37"/>
        <v>2.38303165869156E-2</v>
      </c>
      <c r="O89" s="14">
        <f t="shared" si="38"/>
        <v>-72.943456400089048</v>
      </c>
      <c r="P89" s="14">
        <f t="shared" si="39"/>
        <v>-10.653305280266958</v>
      </c>
      <c r="Q89" s="14">
        <f t="shared" si="40"/>
        <v>-0.34578517674982756</v>
      </c>
      <c r="R89" s="14">
        <f t="shared" si="41"/>
        <v>-1.5818103997057391E-4</v>
      </c>
      <c r="S89" s="23">
        <f t="shared" si="62"/>
        <v>-77.531496659365672</v>
      </c>
      <c r="T89" s="23">
        <f t="shared" si="63"/>
        <v>-14.105794856557868</v>
      </c>
      <c r="U89" s="14">
        <f t="shared" si="42"/>
        <v>20000</v>
      </c>
      <c r="V89" s="14">
        <f t="shared" si="43"/>
        <v>-89.99427836589112</v>
      </c>
      <c r="W89" s="14">
        <f t="shared" si="44"/>
        <v>-80.012051026915543</v>
      </c>
      <c r="X89" s="14">
        <f t="shared" si="45"/>
        <v>78.705344923772742</v>
      </c>
      <c r="Y89" s="14">
        <f t="shared" si="46"/>
        <v>14.16132158175275</v>
      </c>
      <c r="Z89" s="14">
        <f t="shared" si="47"/>
        <v>-1.3037596589411646</v>
      </c>
      <c r="AA89" s="14">
        <f t="shared" si="48"/>
        <v>-2.2489075707202559E-3</v>
      </c>
      <c r="AB89" s="23">
        <f t="shared" si="64"/>
        <v>-12.592693101059542</v>
      </c>
      <c r="AC89" s="23">
        <f t="shared" si="65"/>
        <v>20.167621560546113</v>
      </c>
      <c r="AD89" s="14">
        <f t="shared" si="49"/>
        <v>1.0430725341919955</v>
      </c>
      <c r="AE89" s="14">
        <f t="shared" si="50"/>
        <v>1.4394349951713757E-3</v>
      </c>
      <c r="AF89" s="14">
        <f t="shared" si="51"/>
        <v>1.5647816348579389E-2</v>
      </c>
      <c r="AG89" s="14">
        <f t="shared" si="52"/>
        <v>3.2392654086262916E-7</v>
      </c>
      <c r="AH89" s="14">
        <f t="shared" si="53"/>
        <v>-0.62588777270009555</v>
      </c>
      <c r="AI89" s="14">
        <f t="shared" si="54"/>
        <v>-5.1825156066495279E-4</v>
      </c>
      <c r="AJ89" s="23">
        <f t="shared" si="66"/>
        <v>0.43283257784047935</v>
      </c>
      <c r="AK89" s="23">
        <f t="shared" si="67"/>
        <v>9.2150736104728561E-4</v>
      </c>
      <c r="AL89" s="14">
        <f t="shared" si="55"/>
        <v>0</v>
      </c>
      <c r="AM89" s="14">
        <f t="shared" si="56"/>
        <v>0</v>
      </c>
      <c r="AN89" s="14">
        <f t="shared" si="57"/>
        <v>0</v>
      </c>
      <c r="AO89" s="14">
        <f t="shared" si="58"/>
        <v>0</v>
      </c>
      <c r="AP89" s="23">
        <f t="shared" si="68"/>
        <v>0</v>
      </c>
      <c r="AQ89" s="23">
        <f t="shared" si="69"/>
        <v>0</v>
      </c>
    </row>
    <row r="90" spans="1:43" x14ac:dyDescent="0.25">
      <c r="H90" s="14">
        <v>1.87</v>
      </c>
      <c r="I90" s="36">
        <f t="shared" si="59"/>
        <v>741.31024130091816</v>
      </c>
      <c r="J90" s="24">
        <f t="shared" si="60"/>
        <v>90.066011315422628</v>
      </c>
      <c r="K90" s="24">
        <f t="shared" si="61"/>
        <v>5.8731429952839029</v>
      </c>
      <c r="L90" s="14">
        <f t="shared" si="35"/>
        <v>0.67018069634200106</v>
      </c>
      <c r="M90" s="14">
        <f t="shared" si="36"/>
        <v>-4.3406965058727778</v>
      </c>
      <c r="N90" s="14">
        <f t="shared" si="37"/>
        <v>2.4950184771431596E-2</v>
      </c>
      <c r="O90" s="14">
        <f t="shared" si="38"/>
        <v>-73.309888172687096</v>
      </c>
      <c r="P90" s="14">
        <f t="shared" si="39"/>
        <v>-10.836456051283538</v>
      </c>
      <c r="Q90" s="14">
        <f t="shared" si="40"/>
        <v>-0.35383934574554488</v>
      </c>
      <c r="R90" s="14">
        <f t="shared" si="41"/>
        <v>-1.656357405553748E-4</v>
      </c>
      <c r="S90" s="23">
        <f t="shared" si="62"/>
        <v>-78.004424024305422</v>
      </c>
      <c r="T90" s="23">
        <f t="shared" si="63"/>
        <v>-14.287833214090517</v>
      </c>
      <c r="U90" s="14">
        <f t="shared" si="42"/>
        <v>20000</v>
      </c>
      <c r="V90" s="14">
        <f t="shared" si="43"/>
        <v>-89.994408606183285</v>
      </c>
      <c r="W90" s="14">
        <f t="shared" si="44"/>
        <v>-80.212051024966314</v>
      </c>
      <c r="X90" s="14">
        <f t="shared" si="45"/>
        <v>78.95605103033428</v>
      </c>
      <c r="Y90" s="14">
        <f t="shared" si="46"/>
        <v>14.353817261230411</v>
      </c>
      <c r="Z90" s="14">
        <f t="shared" si="47"/>
        <v>-1.3341172718861323</v>
      </c>
      <c r="AA90" s="14">
        <f t="shared" si="48"/>
        <v>-2.3548665895386915E-3</v>
      </c>
      <c r="AB90" s="23">
        <f t="shared" si="64"/>
        <v>-12.372474847735138</v>
      </c>
      <c r="AC90" s="23">
        <f t="shared" si="65"/>
        <v>20.160011282954184</v>
      </c>
      <c r="AD90" s="14">
        <f t="shared" si="49"/>
        <v>1.0673632578350873</v>
      </c>
      <c r="AE90" s="14">
        <f t="shared" si="50"/>
        <v>1.5072617058327139E-3</v>
      </c>
      <c r="AF90" s="14">
        <f t="shared" si="51"/>
        <v>1.6012300795235523E-2</v>
      </c>
      <c r="AG90" s="14">
        <f t="shared" si="52"/>
        <v>3.3919272739938292E-7</v>
      </c>
      <c r="AH90" s="14">
        <f t="shared" si="53"/>
        <v>-0.64046537116713764</v>
      </c>
      <c r="AI90" s="14">
        <f t="shared" si="54"/>
        <v>-5.4267447832402529E-4</v>
      </c>
      <c r="AJ90" s="23">
        <f t="shared" si="66"/>
        <v>0.44291018746318522</v>
      </c>
      <c r="AK90" s="23">
        <f t="shared" si="67"/>
        <v>9.6492642023608796E-4</v>
      </c>
      <c r="AL90" s="14">
        <f t="shared" si="55"/>
        <v>0</v>
      </c>
      <c r="AM90" s="14">
        <f t="shared" si="56"/>
        <v>0</v>
      </c>
      <c r="AN90" s="14">
        <f t="shared" si="57"/>
        <v>0</v>
      </c>
      <c r="AO90" s="14">
        <f t="shared" si="58"/>
        <v>0</v>
      </c>
      <c r="AP90" s="23">
        <f t="shared" si="68"/>
        <v>0</v>
      </c>
      <c r="AQ90" s="23">
        <f t="shared" si="69"/>
        <v>0</v>
      </c>
    </row>
    <row r="91" spans="1:43" x14ac:dyDescent="0.25">
      <c r="H91" s="14">
        <v>1.88</v>
      </c>
      <c r="I91" s="36">
        <f t="shared" si="59"/>
        <v>758.57757502918366</v>
      </c>
      <c r="J91" s="24">
        <f t="shared" si="60"/>
        <v>89.822142531067115</v>
      </c>
      <c r="K91" s="24">
        <f t="shared" si="61"/>
        <v>5.6832154885513004</v>
      </c>
      <c r="L91" s="14">
        <f t="shared" si="35"/>
        <v>0.67018069634200106</v>
      </c>
      <c r="M91" s="14">
        <f t="shared" si="36"/>
        <v>-4.4414043465530897</v>
      </c>
      <c r="N91" s="14">
        <f t="shared" si="37"/>
        <v>2.6122521296955296E-2</v>
      </c>
      <c r="O91" s="14">
        <f t="shared" si="38"/>
        <v>-73.66934197366345</v>
      </c>
      <c r="P91" s="14">
        <f t="shared" si="39"/>
        <v>-11.020303909318445</v>
      </c>
      <c r="Q91" s="14">
        <f t="shared" si="40"/>
        <v>-0.36208110595837217</v>
      </c>
      <c r="R91" s="14">
        <f t="shared" si="41"/>
        <v>-1.7344175663903805E-4</v>
      </c>
      <c r="S91" s="23">
        <f t="shared" si="62"/>
        <v>-78.472827426174902</v>
      </c>
      <c r="T91" s="23">
        <f t="shared" si="63"/>
        <v>-14.470516541615984</v>
      </c>
      <c r="U91" s="14">
        <f t="shared" si="42"/>
        <v>20000</v>
      </c>
      <c r="V91" s="14">
        <f t="shared" si="43"/>
        <v>-89.994535881844499</v>
      </c>
      <c r="W91" s="14">
        <f t="shared" si="44"/>
        <v>-80.412051023104794</v>
      </c>
      <c r="X91" s="14">
        <f t="shared" si="45"/>
        <v>79.201464844556753</v>
      </c>
      <c r="Y91" s="14">
        <f t="shared" si="46"/>
        <v>14.546638565756272</v>
      </c>
      <c r="Z91" s="14">
        <f t="shared" si="47"/>
        <v>-1.3651812287870784</v>
      </c>
      <c r="AA91" s="14">
        <f t="shared" si="48"/>
        <v>-2.4658165323284899E-3</v>
      </c>
      <c r="AB91" s="23">
        <f t="shared" si="64"/>
        <v>-12.158252266074824</v>
      </c>
      <c r="AC91" s="23">
        <f t="shared" si="65"/>
        <v>20.152721639398774</v>
      </c>
      <c r="AD91" s="14">
        <f t="shared" si="49"/>
        <v>1.09221938780908</v>
      </c>
      <c r="AE91" s="14">
        <f t="shared" si="50"/>
        <v>1.5782838555474608E-3</v>
      </c>
      <c r="AF91" s="14">
        <f t="shared" si="51"/>
        <v>1.6385275173952218E-2</v>
      </c>
      <c r="AG91" s="14">
        <f t="shared" si="52"/>
        <v>3.5517838703078039E-7</v>
      </c>
      <c r="AH91" s="14">
        <f t="shared" si="53"/>
        <v>-0.65538243966619003</v>
      </c>
      <c r="AI91" s="14">
        <f t="shared" si="54"/>
        <v>-5.6824826542361932E-4</v>
      </c>
      <c r="AJ91" s="23">
        <f t="shared" si="66"/>
        <v>0.45322222331684214</v>
      </c>
      <c r="AK91" s="23">
        <f t="shared" si="67"/>
        <v>1.010390768510872E-3</v>
      </c>
      <c r="AL91" s="14">
        <f t="shared" si="55"/>
        <v>0</v>
      </c>
      <c r="AM91" s="14">
        <f t="shared" si="56"/>
        <v>0</v>
      </c>
      <c r="AN91" s="14">
        <f t="shared" si="57"/>
        <v>0</v>
      </c>
      <c r="AO91" s="14">
        <f t="shared" si="58"/>
        <v>0</v>
      </c>
      <c r="AP91" s="23">
        <f t="shared" si="68"/>
        <v>0</v>
      </c>
      <c r="AQ91" s="23">
        <f t="shared" si="69"/>
        <v>0</v>
      </c>
    </row>
    <row r="92" spans="1:43" x14ac:dyDescent="0.25">
      <c r="H92" s="14">
        <v>1.89</v>
      </c>
      <c r="I92" s="36">
        <f t="shared" si="59"/>
        <v>776.2471166286922</v>
      </c>
      <c r="J92" s="24">
        <f t="shared" si="60"/>
        <v>89.576986884066855</v>
      </c>
      <c r="K92" s="24">
        <f t="shared" si="61"/>
        <v>5.4929807555090022</v>
      </c>
      <c r="L92" s="14">
        <f t="shared" si="35"/>
        <v>0.67018069634200106</v>
      </c>
      <c r="M92" s="14">
        <f t="shared" si="36"/>
        <v>-4.5444295107509403</v>
      </c>
      <c r="N92" s="14">
        <f t="shared" si="37"/>
        <v>2.7349769251129339E-2</v>
      </c>
      <c r="O92" s="14">
        <f t="shared" si="38"/>
        <v>-74.021895166334133</v>
      </c>
      <c r="P92" s="14">
        <f t="shared" si="39"/>
        <v>-11.204822452585333</v>
      </c>
      <c r="Q92" s="14">
        <f t="shared" si="40"/>
        <v>-0.37051482591360058</v>
      </c>
      <c r="R92" s="14">
        <f t="shared" si="41"/>
        <v>-1.8161564388885008E-4</v>
      </c>
      <c r="S92" s="23">
        <f t="shared" si="62"/>
        <v>-78.93683950299868</v>
      </c>
      <c r="T92" s="23">
        <f t="shared" si="63"/>
        <v>-14.653816010815948</v>
      </c>
      <c r="U92" s="14">
        <f t="shared" si="42"/>
        <v>20000</v>
      </c>
      <c r="V92" s="14">
        <f t="shared" si="43"/>
        <v>-89.994660260358003</v>
      </c>
      <c r="W92" s="14">
        <f t="shared" si="44"/>
        <v>-80.61205102132709</v>
      </c>
      <c r="X92" s="14">
        <f t="shared" si="45"/>
        <v>79.441680450869839</v>
      </c>
      <c r="Y92" s="14">
        <f t="shared" si="46"/>
        <v>14.739771870017261</v>
      </c>
      <c r="Z92" s="14">
        <f t="shared" si="47"/>
        <v>-1.396967927074146</v>
      </c>
      <c r="AA92" s="14">
        <f t="shared" si="48"/>
        <v>-2.5819923469260538E-3</v>
      </c>
      <c r="AB92" s="23">
        <f t="shared" si="64"/>
        <v>-11.94994773656231</v>
      </c>
      <c r="AC92" s="23">
        <f t="shared" si="65"/>
        <v>20.14573876962287</v>
      </c>
      <c r="AD92" s="14">
        <f t="shared" si="49"/>
        <v>1.1176540657180611</v>
      </c>
      <c r="AE92" s="14">
        <f t="shared" si="50"/>
        <v>1.6526519312259661E-3</v>
      </c>
      <c r="AF92" s="14">
        <f t="shared" si="51"/>
        <v>1.6766937240555488E-2</v>
      </c>
      <c r="AG92" s="14">
        <f t="shared" si="52"/>
        <v>3.7191742743377631E-7</v>
      </c>
      <c r="AH92" s="14">
        <f t="shared" si="53"/>
        <v>-0.67064687933077238</v>
      </c>
      <c r="AI92" s="14">
        <f t="shared" si="54"/>
        <v>-5.9502714657311403E-4</v>
      </c>
      <c r="AJ92" s="23">
        <f t="shared" si="66"/>
        <v>0.4637741236278442</v>
      </c>
      <c r="AK92" s="23">
        <f t="shared" si="67"/>
        <v>1.0579967020802859E-3</v>
      </c>
      <c r="AL92" s="14">
        <f t="shared" si="55"/>
        <v>0</v>
      </c>
      <c r="AM92" s="14">
        <f t="shared" si="56"/>
        <v>0</v>
      </c>
      <c r="AN92" s="14">
        <f t="shared" si="57"/>
        <v>0</v>
      </c>
      <c r="AO92" s="14">
        <f t="shared" si="58"/>
        <v>0</v>
      </c>
      <c r="AP92" s="23">
        <f t="shared" si="68"/>
        <v>0</v>
      </c>
      <c r="AQ92" s="23">
        <f t="shared" si="69"/>
        <v>0</v>
      </c>
    </row>
    <row r="93" spans="1:43" x14ac:dyDescent="0.25">
      <c r="H93" s="14">
        <v>1.9</v>
      </c>
      <c r="I93" s="36">
        <f t="shared" si="59"/>
        <v>794.32823472428197</v>
      </c>
      <c r="J93" s="24">
        <f t="shared" si="60"/>
        <v>89.330490136960407</v>
      </c>
      <c r="K93" s="24">
        <f t="shared" si="61"/>
        <v>5.3024536920631711</v>
      </c>
      <c r="L93" s="14">
        <f t="shared" si="35"/>
        <v>0.67018069634200106</v>
      </c>
      <c r="M93" s="14">
        <f t="shared" si="36"/>
        <v>-4.6498239574225675</v>
      </c>
      <c r="N93" s="14">
        <f t="shared" si="37"/>
        <v>2.863448402531895E-2</v>
      </c>
      <c r="O93" s="14">
        <f t="shared" si="38"/>
        <v>-74.367627850877795</v>
      </c>
      <c r="P93" s="14">
        <f t="shared" si="39"/>
        <v>-11.389986079918732</v>
      </c>
      <c r="Q93" s="14">
        <f t="shared" si="40"/>
        <v>-0.37914497581849504</v>
      </c>
      <c r="R93" s="14">
        <f t="shared" si="41"/>
        <v>-1.9017473808853399E-4</v>
      </c>
      <c r="S93" s="23">
        <f t="shared" si="62"/>
        <v>-79.396596784118856</v>
      </c>
      <c r="T93" s="23">
        <f t="shared" si="63"/>
        <v>-14.837703482469356</v>
      </c>
      <c r="U93" s="14">
        <f t="shared" si="42"/>
        <v>20000</v>
      </c>
      <c r="V93" s="14">
        <f t="shared" si="43"/>
        <v>-89.994781807670961</v>
      </c>
      <c r="W93" s="14">
        <f t="shared" si="44"/>
        <v>-80.812051019629379</v>
      </c>
      <c r="X93" s="14">
        <f t="shared" si="45"/>
        <v>79.676791419208925</v>
      </c>
      <c r="Y93" s="14">
        <f t="shared" si="46"/>
        <v>14.93320407586419</v>
      </c>
      <c r="Z93" s="14">
        <f t="shared" si="47"/>
        <v>-1.4294941421632525</v>
      </c>
      <c r="AA93" s="14">
        <f t="shared" si="48"/>
        <v>-2.7036400281714966E-3</v>
      </c>
      <c r="AB93" s="23">
        <f t="shared" si="64"/>
        <v>-11.747484530625288</v>
      </c>
      <c r="AC93" s="23">
        <f t="shared" si="65"/>
        <v>20.139049329486262</v>
      </c>
      <c r="AD93" s="14">
        <f t="shared" si="49"/>
        <v>1.1436807372438571</v>
      </c>
      <c r="AE93" s="14">
        <f t="shared" si="50"/>
        <v>1.7305235014455065E-3</v>
      </c>
      <c r="AF93" s="14">
        <f t="shared" si="51"/>
        <v>1.7157489357189356E-2</v>
      </c>
      <c r="AG93" s="14">
        <f t="shared" si="52"/>
        <v>3.8944535513974156E-7</v>
      </c>
      <c r="AH93" s="14">
        <f t="shared" si="53"/>
        <v>-0.68626677489649635</v>
      </c>
      <c r="AI93" s="14">
        <f t="shared" si="54"/>
        <v>-6.2306790053579409E-4</v>
      </c>
      <c r="AJ93" s="23">
        <f t="shared" si="66"/>
        <v>0.47457145170455006</v>
      </c>
      <c r="AK93" s="23">
        <f t="shared" si="67"/>
        <v>1.1078450462648521E-3</v>
      </c>
      <c r="AL93" s="14">
        <f t="shared" si="55"/>
        <v>0</v>
      </c>
      <c r="AM93" s="14">
        <f t="shared" si="56"/>
        <v>0</v>
      </c>
      <c r="AN93" s="14">
        <f t="shared" si="57"/>
        <v>0</v>
      </c>
      <c r="AO93" s="14">
        <f t="shared" si="58"/>
        <v>0</v>
      </c>
      <c r="AP93" s="23">
        <f t="shared" si="68"/>
        <v>0</v>
      </c>
      <c r="AQ93" s="23">
        <f t="shared" si="69"/>
        <v>0</v>
      </c>
    </row>
    <row r="94" spans="1:43" x14ac:dyDescent="0.25">
      <c r="H94" s="14">
        <v>1.91</v>
      </c>
      <c r="I94" s="36">
        <f t="shared" si="59"/>
        <v>812.83051616409966</v>
      </c>
      <c r="J94" s="24">
        <f t="shared" si="60"/>
        <v>89.082593561596482</v>
      </c>
      <c r="K94" s="24">
        <f t="shared" si="61"/>
        <v>5.1116490213647614</v>
      </c>
      <c r="L94" s="14">
        <f t="shared" si="35"/>
        <v>0.67018069634200106</v>
      </c>
      <c r="M94" s="14">
        <f t="shared" si="36"/>
        <v>-4.7576407135333216</v>
      </c>
      <c r="N94" s="14">
        <f t="shared" si="37"/>
        <v>2.9979338337734546E-2</v>
      </c>
      <c r="O94" s="14">
        <f t="shared" si="38"/>
        <v>-74.706622591351845</v>
      </c>
      <c r="P94" s="14">
        <f t="shared" si="39"/>
        <v>-11.575769983041353</v>
      </c>
      <c r="Q94" s="14">
        <f t="shared" si="40"/>
        <v>-0.38797612992547992</v>
      </c>
      <c r="R94" s="14">
        <f t="shared" si="41"/>
        <v>-1.9913719189216156E-4</v>
      </c>
      <c r="S94" s="23">
        <f t="shared" si="62"/>
        <v>-79.852239434810642</v>
      </c>
      <c r="T94" s="23">
        <f t="shared" si="63"/>
        <v>-15.022151493733364</v>
      </c>
      <c r="U94" s="14">
        <f t="shared" si="42"/>
        <v>20000</v>
      </c>
      <c r="V94" s="14">
        <f t="shared" si="43"/>
        <v>-89.994900588229328</v>
      </c>
      <c r="W94" s="14">
        <f t="shared" si="44"/>
        <v>-81.01205101800808</v>
      </c>
      <c r="X94" s="14">
        <f t="shared" si="45"/>
        <v>79.906890721877176</v>
      </c>
      <c r="Y94" s="14">
        <f t="shared" si="46"/>
        <v>15.126922595594561</v>
      </c>
      <c r="Z94" s="14">
        <f t="shared" si="47"/>
        <v>-1.4627770359779764</v>
      </c>
      <c r="AA94" s="14">
        <f t="shared" si="48"/>
        <v>-2.8310171360498757E-3</v>
      </c>
      <c r="AB94" s="23">
        <f t="shared" si="64"/>
        <v>-11.550786902330129</v>
      </c>
      <c r="AC94" s="23">
        <f t="shared" si="65"/>
        <v>20.132640473730056</v>
      </c>
      <c r="AD94" s="14">
        <f t="shared" si="49"/>
        <v>1.170313159083983</v>
      </c>
      <c r="AE94" s="14">
        <f t="shared" si="50"/>
        <v>1.8120635491917026E-3</v>
      </c>
      <c r="AF94" s="14">
        <f t="shared" si="51"/>
        <v>1.7557138599610375E-2</v>
      </c>
      <c r="AG94" s="14">
        <f t="shared" si="52"/>
        <v>4.0779934882330046E-7</v>
      </c>
      <c r="AH94" s="14">
        <f t="shared" si="53"/>
        <v>-0.70225039894633456</v>
      </c>
      <c r="AI94" s="14">
        <f t="shared" si="54"/>
        <v>-6.5242998047092098E-4</v>
      </c>
      <c r="AJ94" s="23">
        <f t="shared" si="66"/>
        <v>0.48561989873725875</v>
      </c>
      <c r="AK94" s="23">
        <f t="shared" si="67"/>
        <v>1.1600413680696049E-3</v>
      </c>
      <c r="AL94" s="14">
        <f t="shared" si="55"/>
        <v>0</v>
      </c>
      <c r="AM94" s="14">
        <f t="shared" si="56"/>
        <v>0</v>
      </c>
      <c r="AN94" s="14">
        <f t="shared" si="57"/>
        <v>0</v>
      </c>
      <c r="AO94" s="14">
        <f t="shared" si="58"/>
        <v>0</v>
      </c>
      <c r="AP94" s="23">
        <f t="shared" si="68"/>
        <v>0</v>
      </c>
      <c r="AQ94" s="23">
        <f t="shared" si="69"/>
        <v>0</v>
      </c>
    </row>
    <row r="95" spans="1:43" x14ac:dyDescent="0.25">
      <c r="H95" s="14">
        <v>1.92</v>
      </c>
      <c r="I95" s="36">
        <f t="shared" si="59"/>
        <v>831.76377110267129</v>
      </c>
      <c r="J95" s="24">
        <f t="shared" si="60"/>
        <v>88.833234100335218</v>
      </c>
      <c r="K95" s="24">
        <f t="shared" si="61"/>
        <v>4.9205812913942175</v>
      </c>
      <c r="L95" s="14">
        <f t="shared" si="35"/>
        <v>0.67018069634200106</v>
      </c>
      <c r="M95" s="14">
        <f t="shared" si="36"/>
        <v>-4.8679338890114456</v>
      </c>
      <c r="N95" s="14">
        <f t="shared" si="37"/>
        <v>3.1387127467839136E-2</v>
      </c>
      <c r="O95" s="14">
        <f t="shared" si="38"/>
        <v>-75.038964154944992</v>
      </c>
      <c r="P95" s="14">
        <f t="shared" si="39"/>
        <v>-11.762150137342733</v>
      </c>
      <c r="Q95" s="14">
        <f t="shared" si="40"/>
        <v>-0.3970129689499865</v>
      </c>
      <c r="R95" s="14">
        <f t="shared" si="41"/>
        <v>-2.0852201330497921E-4</v>
      </c>
      <c r="S95" s="23">
        <f t="shared" si="62"/>
        <v>-80.303911012906411</v>
      </c>
      <c r="T95" s="23">
        <f t="shared" si="63"/>
        <v>-15.207133243726053</v>
      </c>
      <c r="U95" s="14">
        <f t="shared" si="42"/>
        <v>20000</v>
      </c>
      <c r="V95" s="14">
        <f t="shared" si="43"/>
        <v>-89.995016665012116</v>
      </c>
      <c r="W95" s="14">
        <f t="shared" si="44"/>
        <v>-81.212051016459753</v>
      </c>
      <c r="X95" s="14">
        <f t="shared" si="45"/>
        <v>80.132070657248264</v>
      </c>
      <c r="Y95" s="14">
        <f t="shared" si="46"/>
        <v>15.320915335439748</v>
      </c>
      <c r="Z95" s="14">
        <f t="shared" si="47"/>
        <v>-1.496834165649797</v>
      </c>
      <c r="AA95" s="14">
        <f t="shared" si="48"/>
        <v>-2.9643933380175415E-3</v>
      </c>
      <c r="AB95" s="23">
        <f t="shared" si="64"/>
        <v>-11.35978017341365</v>
      </c>
      <c r="AC95" s="23">
        <f t="shared" si="65"/>
        <v>20.126499838921603</v>
      </c>
      <c r="AD95" s="14">
        <f t="shared" si="49"/>
        <v>1.1975654060408352</v>
      </c>
      <c r="AE95" s="14">
        <f t="shared" si="50"/>
        <v>1.8974448201628188E-3</v>
      </c>
      <c r="AF95" s="14">
        <f t="shared" si="51"/>
        <v>1.7966096866981227E-2</v>
      </c>
      <c r="AG95" s="14">
        <f t="shared" si="52"/>
        <v>4.2701834030578211E-7</v>
      </c>
      <c r="AH95" s="14">
        <f t="shared" si="53"/>
        <v>-0.71860621625252752</v>
      </c>
      <c r="AI95" s="14">
        <f t="shared" si="54"/>
        <v>-6.8317563983552251E-4</v>
      </c>
      <c r="AJ95" s="23">
        <f t="shared" si="66"/>
        <v>0.4969252866552889</v>
      </c>
      <c r="AK95" s="23">
        <f t="shared" si="67"/>
        <v>1.214696198667602E-3</v>
      </c>
      <c r="AL95" s="14">
        <f t="shared" si="55"/>
        <v>0</v>
      </c>
      <c r="AM95" s="14">
        <f t="shared" si="56"/>
        <v>0</v>
      </c>
      <c r="AN95" s="14">
        <f t="shared" si="57"/>
        <v>0</v>
      </c>
      <c r="AO95" s="14">
        <f t="shared" si="58"/>
        <v>0</v>
      </c>
      <c r="AP95" s="23">
        <f t="shared" si="68"/>
        <v>0</v>
      </c>
      <c r="AQ95" s="23">
        <f t="shared" si="69"/>
        <v>0</v>
      </c>
    </row>
    <row r="96" spans="1:43" x14ac:dyDescent="0.25">
      <c r="A96" t="s">
        <v>479</v>
      </c>
      <c r="H96" s="14">
        <v>1.93</v>
      </c>
      <c r="I96" s="36">
        <f t="shared" si="59"/>
        <v>851.13803820237661</v>
      </c>
      <c r="J96" s="24">
        <f t="shared" si="60"/>
        <v>88.582344521679559</v>
      </c>
      <c r="K96" s="24">
        <f t="shared" si="61"/>
        <v>4.7292648743134782</v>
      </c>
      <c r="L96" s="14">
        <f t="shared" si="35"/>
        <v>0.67018069634200106</v>
      </c>
      <c r="M96" s="14">
        <f t="shared" si="36"/>
        <v>-4.9807586913707045</v>
      </c>
      <c r="N96" s="14">
        <f t="shared" si="37"/>
        <v>3.2860774709661922E-2</v>
      </c>
      <c r="O96" s="14">
        <f t="shared" si="38"/>
        <v>-75.364739263441436</v>
      </c>
      <c r="P96" s="14">
        <f t="shared" si="39"/>
        <v>-11.949103291327987</v>
      </c>
      <c r="Q96" s="14">
        <f t="shared" si="40"/>
        <v>-0.40626028254421592</v>
      </c>
      <c r="R96" s="14">
        <f t="shared" si="41"/>
        <v>-2.1834910598939655E-4</v>
      </c>
      <c r="S96" s="23">
        <f t="shared" si="62"/>
        <v>-80.751758237356356</v>
      </c>
      <c r="T96" s="23">
        <f t="shared" si="63"/>
        <v>-15.392622577562168</v>
      </c>
      <c r="U96" s="14">
        <f t="shared" si="42"/>
        <v>20000</v>
      </c>
      <c r="V96" s="14">
        <f t="shared" si="43"/>
        <v>-89.995130099564804</v>
      </c>
      <c r="W96" s="14">
        <f t="shared" si="44"/>
        <v>-81.412051014981103</v>
      </c>
      <c r="X96" s="14">
        <f t="shared" si="45"/>
        <v>80.352422779958218</v>
      </c>
      <c r="Y96" s="14">
        <f t="shared" si="46"/>
        <v>15.515170679287461</v>
      </c>
      <c r="Z96" s="14">
        <f t="shared" si="47"/>
        <v>-1.5316834923994354</v>
      </c>
      <c r="AA96" s="14">
        <f t="shared" si="48"/>
        <v>-3.1040509766348257E-3</v>
      </c>
      <c r="AB96" s="23">
        <f t="shared" si="64"/>
        <v>-11.174390812006022</v>
      </c>
      <c r="AC96" s="23">
        <f t="shared" si="65"/>
        <v>20.120615526609349</v>
      </c>
      <c r="AD96" s="14">
        <f t="shared" si="49"/>
        <v>1.2254518782649484</v>
      </c>
      <c r="AE96" s="14">
        <f t="shared" si="50"/>
        <v>1.9868481873991685E-3</v>
      </c>
      <c r="AF96" s="14">
        <f t="shared" si="51"/>
        <v>1.8384580994221682E-2</v>
      </c>
      <c r="AG96" s="14">
        <f t="shared" si="52"/>
        <v>4.4714309363001227E-7</v>
      </c>
      <c r="AH96" s="14">
        <f t="shared" si="53"/>
        <v>-0.73534288821722471</v>
      </c>
      <c r="AI96" s="14">
        <f t="shared" si="54"/>
        <v>-7.1537006419542903E-4</v>
      </c>
      <c r="AJ96" s="23">
        <f t="shared" si="66"/>
        <v>0.50849357104194526</v>
      </c>
      <c r="AK96" s="23">
        <f t="shared" si="67"/>
        <v>1.2719252662973695E-3</v>
      </c>
      <c r="AL96" s="14">
        <f t="shared" si="55"/>
        <v>0</v>
      </c>
      <c r="AM96" s="14">
        <f t="shared" si="56"/>
        <v>0</v>
      </c>
      <c r="AN96" s="14">
        <f t="shared" si="57"/>
        <v>0</v>
      </c>
      <c r="AO96" s="14">
        <f t="shared" si="58"/>
        <v>0</v>
      </c>
      <c r="AP96" s="23">
        <f t="shared" si="68"/>
        <v>0</v>
      </c>
      <c r="AQ96" s="23">
        <f t="shared" si="69"/>
        <v>0</v>
      </c>
    </row>
    <row r="97" spans="1:43" x14ac:dyDescent="0.25">
      <c r="H97" s="14">
        <v>1.94</v>
      </c>
      <c r="I97" s="36">
        <f t="shared" si="59"/>
        <v>870.96358995608068</v>
      </c>
      <c r="J97" s="24">
        <f t="shared" si="60"/>
        <v>88.32985357013051</v>
      </c>
      <c r="K97" s="24">
        <f t="shared" si="61"/>
        <v>4.5377139674686831</v>
      </c>
      <c r="L97" s="14">
        <f t="shared" si="35"/>
        <v>0.67018069634200106</v>
      </c>
      <c r="M97" s="14">
        <f t="shared" si="36"/>
        <v>-5.0961714399491109</v>
      </c>
      <c r="N97" s="14">
        <f t="shared" si="37"/>
        <v>3.4403337051724645E-2</v>
      </c>
      <c r="O97" s="14">
        <f t="shared" si="38"/>
        <v>-75.684036356810267</v>
      </c>
      <c r="P97" s="14">
        <f t="shared" si="39"/>
        <v>-12.136606954887039</v>
      </c>
      <c r="Q97" s="14">
        <f t="shared" si="40"/>
        <v>-0.41572297182808832</v>
      </c>
      <c r="R97" s="14">
        <f t="shared" si="41"/>
        <v>-2.2863931145001822E-4</v>
      </c>
      <c r="S97" s="23">
        <f t="shared" si="62"/>
        <v>-81.195930768587473</v>
      </c>
      <c r="T97" s="23">
        <f t="shared" si="63"/>
        <v>-15.57859396898462</v>
      </c>
      <c r="U97" s="14">
        <f t="shared" si="42"/>
        <v>20000</v>
      </c>
      <c r="V97" s="14">
        <f t="shared" si="43"/>
        <v>-89.99524095203185</v>
      </c>
      <c r="W97" s="14">
        <f t="shared" si="44"/>
        <v>-81.612051013569001</v>
      </c>
      <c r="X97" s="14">
        <f t="shared" si="45"/>
        <v>80.568037837243722</v>
      </c>
      <c r="Y97" s="14">
        <f t="shared" si="46"/>
        <v>15.709677472666307</v>
      </c>
      <c r="Z97" s="14">
        <f t="shared" si="47"/>
        <v>-1.5673433906019725</v>
      </c>
      <c r="AA97" s="14">
        <f t="shared" si="48"/>
        <v>-3.2502856636530729E-3</v>
      </c>
      <c r="AB97" s="23">
        <f t="shared" si="64"/>
        <v>-10.994546505390101</v>
      </c>
      <c r="AC97" s="23">
        <f t="shared" si="65"/>
        <v>20.114976086713277</v>
      </c>
      <c r="AD97" s="14">
        <f t="shared" si="49"/>
        <v>1.2539873086550961</v>
      </c>
      <c r="AE97" s="14">
        <f t="shared" si="50"/>
        <v>2.0804630329681155E-3</v>
      </c>
      <c r="AF97" s="14">
        <f t="shared" si="51"/>
        <v>1.881281286697661E-2</v>
      </c>
      <c r="AG97" s="14">
        <f t="shared" si="52"/>
        <v>4.6821629570702878E-7</v>
      </c>
      <c r="AH97" s="14">
        <f t="shared" si="53"/>
        <v>-0.75246927741398884</v>
      </c>
      <c r="AI97" s="14">
        <f t="shared" si="54"/>
        <v>-7.4908150923739321E-4</v>
      </c>
      <c r="AJ97" s="23">
        <f t="shared" si="66"/>
        <v>0.52033084410808395</v>
      </c>
      <c r="AK97" s="23">
        <f t="shared" si="67"/>
        <v>1.3318497400264294E-3</v>
      </c>
      <c r="AL97" s="14">
        <f t="shared" si="55"/>
        <v>0</v>
      </c>
      <c r="AM97" s="14">
        <f t="shared" si="56"/>
        <v>0</v>
      </c>
      <c r="AN97" s="14">
        <f t="shared" si="57"/>
        <v>0</v>
      </c>
      <c r="AO97" s="14">
        <f t="shared" si="58"/>
        <v>0</v>
      </c>
      <c r="AP97" s="23">
        <f t="shared" si="68"/>
        <v>0</v>
      </c>
      <c r="AQ97" s="23">
        <f t="shared" si="69"/>
        <v>0</v>
      </c>
    </row>
    <row r="98" spans="1:43" x14ac:dyDescent="0.25">
      <c r="A98" s="262" t="s">
        <v>474</v>
      </c>
      <c r="B98">
        <v>0.8</v>
      </c>
      <c r="C98" t="s">
        <v>23</v>
      </c>
      <c r="H98" s="14">
        <v>1.95</v>
      </c>
      <c r="I98" s="36">
        <f t="shared" si="59"/>
        <v>891.25093813374565</v>
      </c>
      <c r="J98" s="24">
        <f t="shared" si="60"/>
        <v>88.075686110123826</v>
      </c>
      <c r="K98" s="24">
        <f t="shared" si="61"/>
        <v>4.3459425959319544</v>
      </c>
      <c r="L98" s="14">
        <f t="shared" si="35"/>
        <v>0.67018069634200106</v>
      </c>
      <c r="M98" s="14">
        <f t="shared" si="36"/>
        <v>-5.214229579707049</v>
      </c>
      <c r="N98" s="14">
        <f t="shared" si="37"/>
        <v>3.6018011091444493E-2</v>
      </c>
      <c r="O98" s="14">
        <f t="shared" si="38"/>
        <v>-75.996945368781425</v>
      </c>
      <c r="P98" s="14">
        <f t="shared" si="39"/>
        <v>-12.324639386526284</v>
      </c>
      <c r="Q98" s="14">
        <f t="shared" si="40"/>
        <v>-0.42540605197867976</v>
      </c>
      <c r="R98" s="14">
        <f t="shared" si="41"/>
        <v>-2.3941445322101716E-4</v>
      </c>
      <c r="S98" s="23">
        <f t="shared" si="62"/>
        <v>-81.63658100046716</v>
      </c>
      <c r="T98" s="23">
        <f t="shared" si="63"/>
        <v>-15.765022501725916</v>
      </c>
      <c r="U98" s="14">
        <f t="shared" si="42"/>
        <v>20000</v>
      </c>
      <c r="V98" s="14">
        <f t="shared" si="43"/>
        <v>-89.995349281188737</v>
      </c>
      <c r="W98" s="14">
        <f t="shared" si="44"/>
        <v>-81.812051012220479</v>
      </c>
      <c r="X98" s="14">
        <f t="shared" si="45"/>
        <v>80.779005711093134</v>
      </c>
      <c r="Y98" s="14">
        <f t="shared" si="46"/>
        <v>15.904425007015622</v>
      </c>
      <c r="Z98" s="14">
        <f t="shared" si="47"/>
        <v>-1.6038326570383918</v>
      </c>
      <c r="AA98" s="14">
        <f t="shared" si="48"/>
        <v>-3.4034069017884329E-3</v>
      </c>
      <c r="AB98" s="23">
        <f t="shared" si="64"/>
        <v>-10.820176227133995</v>
      </c>
      <c r="AC98" s="23">
        <f t="shared" si="65"/>
        <v>20.109570501172978</v>
      </c>
      <c r="AD98" s="14">
        <f t="shared" si="49"/>
        <v>1.2831867704180528</v>
      </c>
      <c r="AE98" s="14">
        <f t="shared" si="50"/>
        <v>2.1784876475132533E-3</v>
      </c>
      <c r="AF98" s="14">
        <f t="shared" si="51"/>
        <v>1.9251019539261782E-2</v>
      </c>
      <c r="AG98" s="14">
        <f t="shared" si="52"/>
        <v>4.9028264889144473E-7</v>
      </c>
      <c r="AH98" s="14">
        <f t="shared" si="53"/>
        <v>-0.76999445223232765</v>
      </c>
      <c r="AI98" s="14">
        <f t="shared" si="54"/>
        <v>-7.8438144527014835E-4</v>
      </c>
      <c r="AJ98" s="23">
        <f t="shared" si="66"/>
        <v>0.53244333772498686</v>
      </c>
      <c r="AK98" s="23">
        <f t="shared" si="67"/>
        <v>1.3945964848919965E-3</v>
      </c>
      <c r="AL98" s="14">
        <f t="shared" si="55"/>
        <v>0</v>
      </c>
      <c r="AM98" s="14">
        <f t="shared" si="56"/>
        <v>0</v>
      </c>
      <c r="AN98" s="14">
        <f t="shared" si="57"/>
        <v>0</v>
      </c>
      <c r="AO98" s="14">
        <f t="shared" si="58"/>
        <v>0</v>
      </c>
      <c r="AP98" s="23">
        <f t="shared" si="68"/>
        <v>0</v>
      </c>
      <c r="AQ98" s="23">
        <f t="shared" si="69"/>
        <v>0</v>
      </c>
    </row>
    <row r="99" spans="1:43" x14ac:dyDescent="0.25">
      <c r="A99" s="262" t="s">
        <v>473</v>
      </c>
      <c r="B99">
        <v>1.6</v>
      </c>
      <c r="C99" t="s">
        <v>23</v>
      </c>
      <c r="H99" s="14">
        <v>1.96</v>
      </c>
      <c r="I99" s="36">
        <f t="shared" si="59"/>
        <v>912.01083935590975</v>
      </c>
      <c r="J99" s="24">
        <f t="shared" si="60"/>
        <v>87.819763263970344</v>
      </c>
      <c r="K99" s="24">
        <f t="shared" si="61"/>
        <v>4.1539646164757169</v>
      </c>
      <c r="L99" s="14">
        <f t="shared" si="35"/>
        <v>0.67018069634200106</v>
      </c>
      <c r="M99" s="14">
        <f t="shared" si="36"/>
        <v>-5.334991694523759</v>
      </c>
      <c r="N99" s="14">
        <f t="shared" si="37"/>
        <v>3.7708139192011478E-2</v>
      </c>
      <c r="O99" s="14">
        <f t="shared" si="38"/>
        <v>-76.303557514221751</v>
      </c>
      <c r="P99" s="14">
        <f t="shared" si="39"/>
        <v>-12.513179579696192</v>
      </c>
      <c r="Q99" s="14">
        <f t="shared" si="40"/>
        <v>-0.43531465487947563</v>
      </c>
      <c r="R99" s="14">
        <f t="shared" si="41"/>
        <v>-2.5069738312706255E-4</v>
      </c>
      <c r="S99" s="23">
        <f t="shared" si="62"/>
        <v>-82.073863863624993</v>
      </c>
      <c r="T99" s="23">
        <f t="shared" si="63"/>
        <v>-15.951883849725164</v>
      </c>
      <c r="U99" s="14">
        <f t="shared" si="42"/>
        <v>20000</v>
      </c>
      <c r="V99" s="14">
        <f t="shared" si="43"/>
        <v>-89.995455144472984</v>
      </c>
      <c r="W99" s="14">
        <f t="shared" si="44"/>
        <v>-82.012051010932637</v>
      </c>
      <c r="X99" s="14">
        <f t="shared" si="45"/>
        <v>80.985415365887221</v>
      </c>
      <c r="Y99" s="14">
        <f t="shared" si="46"/>
        <v>16.099403004260406</v>
      </c>
      <c r="Z99" s="14">
        <f t="shared" si="47"/>
        <v>-1.6411705203361291</v>
      </c>
      <c r="AA99" s="14">
        <f t="shared" si="48"/>
        <v>-3.5637387354527533E-3</v>
      </c>
      <c r="AB99" s="23">
        <f t="shared" si="64"/>
        <v>-10.651210298921892</v>
      </c>
      <c r="AC99" s="23">
        <f t="shared" si="65"/>
        <v>20.104388167871942</v>
      </c>
      <c r="AD99" s="14">
        <f t="shared" si="49"/>
        <v>1.3130656847908315</v>
      </c>
      <c r="AE99" s="14">
        <f t="shared" si="50"/>
        <v>2.2811296484926396E-3</v>
      </c>
      <c r="AF99" s="14">
        <f t="shared" si="51"/>
        <v>1.9699433353850004E-2</v>
      </c>
      <c r="AG99" s="14">
        <f t="shared" si="52"/>
        <v>5.1338895777084127E-7</v>
      </c>
      <c r="AH99" s="14">
        <f t="shared" si="53"/>
        <v>-0.78792769162745535</v>
      </c>
      <c r="AI99" s="14">
        <f t="shared" si="54"/>
        <v>-8.2134470851176694E-4</v>
      </c>
      <c r="AJ99" s="23">
        <f t="shared" si="66"/>
        <v>0.54483742651722622</v>
      </c>
      <c r="AK99" s="23">
        <f t="shared" si="67"/>
        <v>1.4602983289386433E-3</v>
      </c>
      <c r="AL99" s="14">
        <f t="shared" si="55"/>
        <v>0</v>
      </c>
      <c r="AM99" s="14">
        <f t="shared" si="56"/>
        <v>0</v>
      </c>
      <c r="AN99" s="14">
        <f t="shared" si="57"/>
        <v>0</v>
      </c>
      <c r="AO99" s="14">
        <f t="shared" si="58"/>
        <v>0</v>
      </c>
      <c r="AP99" s="23">
        <f t="shared" si="68"/>
        <v>0</v>
      </c>
      <c r="AQ99" s="23">
        <f t="shared" si="69"/>
        <v>0</v>
      </c>
    </row>
    <row r="100" spans="1:43" x14ac:dyDescent="0.25">
      <c r="A100" s="262" t="s">
        <v>475</v>
      </c>
      <c r="B100">
        <v>96</v>
      </c>
      <c r="C100" t="s">
        <v>169</v>
      </c>
      <c r="H100" s="14">
        <v>1.97</v>
      </c>
      <c r="I100" s="36">
        <f t="shared" si="59"/>
        <v>933.25430079699174</v>
      </c>
      <c r="J100" s="24">
        <f t="shared" si="60"/>
        <v>87.562002543773943</v>
      </c>
      <c r="K100" s="24">
        <f t="shared" si="61"/>
        <v>3.9617937228780811</v>
      </c>
      <c r="L100" s="14">
        <f t="shared" si="35"/>
        <v>0.67018069634200106</v>
      </c>
      <c r="M100" s="14">
        <f t="shared" si="36"/>
        <v>-5.4585175199267049</v>
      </c>
      <c r="N100" s="14">
        <f t="shared" si="37"/>
        <v>3.9477215889775416E-2</v>
      </c>
      <c r="O100" s="14">
        <f t="shared" si="38"/>
        <v>-76.603965088085403</v>
      </c>
      <c r="P100" s="14">
        <f t="shared" si="39"/>
        <v>-12.702207248340054</v>
      </c>
      <c r="Q100" s="14">
        <f t="shared" si="40"/>
        <v>-0.44545403183079918</v>
      </c>
      <c r="R100" s="14">
        <f t="shared" si="41"/>
        <v>-2.6251202971793033E-4</v>
      </c>
      <c r="S100" s="23">
        <f t="shared" si="62"/>
        <v>-82.50793663984291</v>
      </c>
      <c r="T100" s="23">
        <f t="shared" si="63"/>
        <v>-16.139154256317852</v>
      </c>
      <c r="U100" s="14">
        <f t="shared" si="42"/>
        <v>20000</v>
      </c>
      <c r="V100" s="14">
        <f t="shared" si="43"/>
        <v>-89.995558598014711</v>
      </c>
      <c r="W100" s="14">
        <f t="shared" si="44"/>
        <v>-82.212051009702748</v>
      </c>
      <c r="X100" s="14">
        <f t="shared" si="45"/>
        <v>81.187354801216571</v>
      </c>
      <c r="Y100" s="14">
        <f t="shared" si="46"/>
        <v>16.294601601708138</v>
      </c>
      <c r="Z100" s="14">
        <f t="shared" si="47"/>
        <v>-1.6793766506011549</v>
      </c>
      <c r="AA100" s="14">
        <f t="shared" si="48"/>
        <v>-3.7316204317804167E-3</v>
      </c>
      <c r="AB100" s="23">
        <f t="shared" si="64"/>
        <v>-10.487580447399294</v>
      </c>
      <c r="AC100" s="23">
        <f t="shared" si="65"/>
        <v>20.099418884853236</v>
      </c>
      <c r="AD100" s="14">
        <f t="shared" si="49"/>
        <v>1.3436398289282092</v>
      </c>
      <c r="AE100" s="14">
        <f t="shared" si="50"/>
        <v>2.388606417962584E-3</v>
      </c>
      <c r="AF100" s="14">
        <f t="shared" si="51"/>
        <v>2.0158292065461401E-2</v>
      </c>
      <c r="AG100" s="14">
        <f t="shared" si="52"/>
        <v>5.3758423138439088E-7</v>
      </c>
      <c r="AH100" s="14">
        <f t="shared" si="53"/>
        <v>-0.8062784899775266</v>
      </c>
      <c r="AI100" s="14">
        <f t="shared" si="54"/>
        <v>-8.6004965949716509E-4</v>
      </c>
      <c r="AJ100" s="23">
        <f t="shared" si="66"/>
        <v>0.5575196310161441</v>
      </c>
      <c r="AK100" s="23">
        <f t="shared" si="67"/>
        <v>1.5290943426968032E-3</v>
      </c>
      <c r="AL100" s="14">
        <f t="shared" si="55"/>
        <v>0</v>
      </c>
      <c r="AM100" s="14">
        <f t="shared" si="56"/>
        <v>0</v>
      </c>
      <c r="AN100" s="14">
        <f t="shared" si="57"/>
        <v>0</v>
      </c>
      <c r="AO100" s="14">
        <f t="shared" si="58"/>
        <v>0</v>
      </c>
      <c r="AP100" s="23">
        <f t="shared" si="68"/>
        <v>0</v>
      </c>
      <c r="AQ100" s="23">
        <f t="shared" si="69"/>
        <v>0</v>
      </c>
    </row>
    <row r="101" spans="1:43" x14ac:dyDescent="0.25">
      <c r="A101" s="262" t="s">
        <v>477</v>
      </c>
      <c r="B101">
        <v>100</v>
      </c>
      <c r="C101" t="s">
        <v>169</v>
      </c>
      <c r="H101" s="14">
        <v>1.98</v>
      </c>
      <c r="I101" s="36">
        <f t="shared" si="59"/>
        <v>954.99258602143652</v>
      </c>
      <c r="J101" s="24">
        <f t="shared" si="60"/>
        <v>87.302317977354917</v>
      </c>
      <c r="K101" s="24">
        <f t="shared" si="61"/>
        <v>3.7694434524639058</v>
      </c>
      <c r="L101" s="14">
        <f t="shared" si="35"/>
        <v>0.67018069634200106</v>
      </c>
      <c r="M101" s="14">
        <f t="shared" si="36"/>
        <v>-5.5848679551834568</v>
      </c>
      <c r="N101" s="14">
        <f t="shared" si="37"/>
        <v>4.1328894560298431E-2</v>
      </c>
      <c r="O101" s="14">
        <f t="shared" si="38"/>
        <v>-76.898261275677257</v>
      </c>
      <c r="P101" s="14">
        <f t="shared" si="39"/>
        <v>-12.891702811780545</v>
      </c>
      <c r="Q101" s="14">
        <f t="shared" si="40"/>
        <v>-0.45582955632279853</v>
      </c>
      <c r="R101" s="14">
        <f t="shared" si="41"/>
        <v>-2.7488344900005292E-4</v>
      </c>
      <c r="S101" s="23">
        <f t="shared" si="62"/>
        <v>-82.938958787183509</v>
      </c>
      <c r="T101" s="23">
        <f t="shared" si="63"/>
        <v>-16.326810512507102</v>
      </c>
      <c r="U101" s="14">
        <f t="shared" si="42"/>
        <v>20000</v>
      </c>
      <c r="V101" s="14">
        <f t="shared" si="43"/>
        <v>-89.995659696666365</v>
      </c>
      <c r="W101" s="14">
        <f t="shared" si="44"/>
        <v>-82.412051008528223</v>
      </c>
      <c r="X101" s="14">
        <f t="shared" si="45"/>
        <v>81.384911009574267</v>
      </c>
      <c r="Y101" s="14">
        <f t="shared" si="46"/>
        <v>16.490011337281221</v>
      </c>
      <c r="Z101" s="14">
        <f t="shared" si="47"/>
        <v>-1.7184711692440318</v>
      </c>
      <c r="AA101" s="14">
        <f t="shared" si="48"/>
        <v>-3.9074071933331705E-3</v>
      </c>
      <c r="AB101" s="23">
        <f t="shared" si="64"/>
        <v>-10.329219856336129</v>
      </c>
      <c r="AC101" s="23">
        <f t="shared" si="65"/>
        <v>20.094652834839287</v>
      </c>
      <c r="AD101" s="14">
        <f t="shared" si="49"/>
        <v>1.3749253439583484</v>
      </c>
      <c r="AE101" s="14">
        <f t="shared" si="50"/>
        <v>2.501145560843198E-3</v>
      </c>
      <c r="AF101" s="14">
        <f t="shared" si="51"/>
        <v>2.0627838966822968E-2</v>
      </c>
      <c r="AG101" s="14">
        <f t="shared" si="52"/>
        <v>5.6291979508474698E-7</v>
      </c>
      <c r="AH101" s="14">
        <f t="shared" si="53"/>
        <v>-0.82505656205061595</v>
      </c>
      <c r="AI101" s="14">
        <f t="shared" si="54"/>
        <v>-9.0057834891822946E-4</v>
      </c>
      <c r="AJ101" s="23">
        <f t="shared" si="66"/>
        <v>0.57049662087455555</v>
      </c>
      <c r="AK101" s="23">
        <f t="shared" si="67"/>
        <v>1.6011301317200534E-3</v>
      </c>
      <c r="AL101" s="14">
        <f t="shared" si="55"/>
        <v>0</v>
      </c>
      <c r="AM101" s="14">
        <f t="shared" si="56"/>
        <v>0</v>
      </c>
      <c r="AN101" s="14">
        <f t="shared" si="57"/>
        <v>0</v>
      </c>
      <c r="AO101" s="14">
        <f t="shared" si="58"/>
        <v>0</v>
      </c>
      <c r="AP101" s="23">
        <f t="shared" si="68"/>
        <v>0</v>
      </c>
      <c r="AQ101" s="23">
        <f t="shared" si="69"/>
        <v>0</v>
      </c>
    </row>
    <row r="102" spans="1:43" x14ac:dyDescent="0.25">
      <c r="A102" s="262" t="s">
        <v>476</v>
      </c>
      <c r="B102">
        <v>-17.899999999999999</v>
      </c>
      <c r="C102" t="s">
        <v>26</v>
      </c>
      <c r="H102" s="14">
        <v>1.99</v>
      </c>
      <c r="I102" s="36">
        <f t="shared" si="59"/>
        <v>977.23722095581127</v>
      </c>
      <c r="J102" s="24">
        <f t="shared" si="60"/>
        <v>87.040620228248983</v>
      </c>
      <c r="K102" s="24">
        <f t="shared" si="61"/>
        <v>3.576927193791374</v>
      </c>
      <c r="L102" s="14">
        <f t="shared" si="35"/>
        <v>0.67018069634200106</v>
      </c>
      <c r="M102" s="14">
        <f t="shared" si="36"/>
        <v>-5.7141050746808117</v>
      </c>
      <c r="N102" s="14">
        <f t="shared" si="37"/>
        <v>4.3266994351324875E-2</v>
      </c>
      <c r="O102" s="14">
        <f t="shared" si="38"/>
        <v>-77.186539973940299</v>
      </c>
      <c r="P102" s="14">
        <f t="shared" si="39"/>
        <v>-13.081647379052947</v>
      </c>
      <c r="Q102" s="14">
        <f t="shared" si="40"/>
        <v>-0.46644672687241595</v>
      </c>
      <c r="R102" s="14">
        <f t="shared" si="41"/>
        <v>-2.8783787754003086E-4</v>
      </c>
      <c r="S102" s="23">
        <f t="shared" si="62"/>
        <v>-83.367091775493535</v>
      </c>
      <c r="T102" s="23">
        <f t="shared" si="63"/>
        <v>-16.514829934417019</v>
      </c>
      <c r="U102" s="14">
        <f t="shared" si="42"/>
        <v>20000</v>
      </c>
      <c r="V102" s="14">
        <f t="shared" si="43"/>
        <v>-89.995758494031762</v>
      </c>
      <c r="W102" s="14">
        <f t="shared" si="44"/>
        <v>-82.612051007406549</v>
      </c>
      <c r="X102" s="14">
        <f t="shared" si="45"/>
        <v>81.578169938633366</v>
      </c>
      <c r="Y102" s="14">
        <f t="shared" si="46"/>
        <v>16.685623135096538</v>
      </c>
      <c r="Z102" s="14">
        <f t="shared" si="47"/>
        <v>-1.7584746590023295</v>
      </c>
      <c r="AA102" s="14">
        <f t="shared" si="48"/>
        <v>-4.0914709039290686E-3</v>
      </c>
      <c r="AB102" s="23">
        <f t="shared" si="64"/>
        <v>-10.176063214400726</v>
      </c>
      <c r="AC102" s="23">
        <f t="shared" si="65"/>
        <v>20.090080570065684</v>
      </c>
      <c r="AD102" s="14">
        <f t="shared" si="49"/>
        <v>1.4069387432093388</v>
      </c>
      <c r="AE102" s="14">
        <f t="shared" si="50"/>
        <v>2.6189853845773872E-3</v>
      </c>
      <c r="AF102" s="14">
        <f t="shared" si="51"/>
        <v>2.1108323017664601E-2</v>
      </c>
      <c r="AG102" s="14">
        <f t="shared" si="52"/>
        <v>5.8944938504203117E-7</v>
      </c>
      <c r="AH102" s="14">
        <f t="shared" si="53"/>
        <v>-0.84427184808376432</v>
      </c>
      <c r="AI102" s="14">
        <f t="shared" si="54"/>
        <v>-9.4301669125320515E-4</v>
      </c>
      <c r="AJ102" s="23">
        <f t="shared" si="66"/>
        <v>0.58377521814323896</v>
      </c>
      <c r="AK102" s="23">
        <f t="shared" si="67"/>
        <v>1.6765581427092239E-3</v>
      </c>
      <c r="AL102" s="14">
        <f t="shared" si="55"/>
        <v>0</v>
      </c>
      <c r="AM102" s="14">
        <f t="shared" si="56"/>
        <v>0</v>
      </c>
      <c r="AN102" s="14">
        <f t="shared" si="57"/>
        <v>0</v>
      </c>
      <c r="AO102" s="14">
        <f t="shared" si="58"/>
        <v>0</v>
      </c>
      <c r="AP102" s="23">
        <f t="shared" si="68"/>
        <v>0</v>
      </c>
      <c r="AQ102" s="23">
        <f t="shared" si="69"/>
        <v>0</v>
      </c>
    </row>
    <row r="103" spans="1:43" x14ac:dyDescent="0.25">
      <c r="A103" s="262" t="s">
        <v>478</v>
      </c>
      <c r="B103">
        <v>-21</v>
      </c>
      <c r="C103" t="s">
        <v>26</v>
      </c>
      <c r="H103" s="14">
        <v>2</v>
      </c>
      <c r="I103" s="36">
        <f t="shared" si="59"/>
        <v>1000</v>
      </c>
      <c r="J103" s="24">
        <f t="shared" si="60"/>
        <v>86.776816709894703</v>
      </c>
      <c r="K103" s="24">
        <f t="shared" si="61"/>
        <v>3.3842581953991449</v>
      </c>
      <c r="L103" s="14">
        <f t="shared" si="35"/>
        <v>0.67018069634200106</v>
      </c>
      <c r="M103" s="14">
        <f t="shared" si="36"/>
        <v>-5.846292138510317</v>
      </c>
      <c r="N103" s="14">
        <f t="shared" si="37"/>
        <v>4.5295507390817995E-2</v>
      </c>
      <c r="O103" s="14">
        <f t="shared" si="38"/>
        <v>-77.468895623452511</v>
      </c>
      <c r="P103" s="14">
        <f t="shared" si="39"/>
        <v>-13.272022732785585</v>
      </c>
      <c r="Q103" s="14">
        <f t="shared" si="40"/>
        <v>-0.47731116992577471</v>
      </c>
      <c r="R103" s="14">
        <f t="shared" si="41"/>
        <v>-3.0140278806911364E-4</v>
      </c>
      <c r="S103" s="23">
        <f t="shared" si="62"/>
        <v>-83.792498931888602</v>
      </c>
      <c r="T103" s="23">
        <f t="shared" si="63"/>
        <v>-16.70319034002069</v>
      </c>
      <c r="U103" s="14">
        <f t="shared" si="42"/>
        <v>20000</v>
      </c>
      <c r="V103" s="14">
        <f t="shared" si="43"/>
        <v>-89.995855042494597</v>
      </c>
      <c r="W103" s="14">
        <f t="shared" si="44"/>
        <v>-82.812051006335366</v>
      </c>
      <c r="X103" s="14">
        <f t="shared" si="45"/>
        <v>81.767216457829832</v>
      </c>
      <c r="Y103" s="14">
        <f t="shared" si="46"/>
        <v>16.881428291400827</v>
      </c>
      <c r="Z103" s="14">
        <f t="shared" si="47"/>
        <v>-1.7994081741616377</v>
      </c>
      <c r="AA103" s="14">
        <f t="shared" si="48"/>
        <v>-4.2842009091497782E-3</v>
      </c>
      <c r="AB103" s="23">
        <f t="shared" si="64"/>
        <v>-10.028046758826402</v>
      </c>
      <c r="AC103" s="23">
        <f t="shared" si="65"/>
        <v>20.085692997435935</v>
      </c>
      <c r="AD103" s="14">
        <f t="shared" si="49"/>
        <v>1.439696920609419</v>
      </c>
      <c r="AE103" s="14">
        <f t="shared" si="50"/>
        <v>2.7423754011975548E-3</v>
      </c>
      <c r="AF103" s="14">
        <f t="shared" si="51"/>
        <v>2.1599998976719503E-2</v>
      </c>
      <c r="AG103" s="14">
        <f t="shared" si="52"/>
        <v>6.172292774635968E-7</v>
      </c>
      <c r="AH103" s="14">
        <f t="shared" si="53"/>
        <v>-0.86393451897643359</v>
      </c>
      <c r="AI103" s="14">
        <f t="shared" si="54"/>
        <v>-9.8745464657457537E-4</v>
      </c>
      <c r="AJ103" s="23">
        <f t="shared" si="66"/>
        <v>0.59736240060970491</v>
      </c>
      <c r="AK103" s="23">
        <f t="shared" si="67"/>
        <v>1.7555379839004428E-3</v>
      </c>
      <c r="AL103" s="14">
        <f t="shared" si="55"/>
        <v>0</v>
      </c>
      <c r="AM103" s="14">
        <f t="shared" si="56"/>
        <v>0</v>
      </c>
      <c r="AN103" s="14">
        <f t="shared" si="57"/>
        <v>0</v>
      </c>
      <c r="AO103" s="14">
        <f t="shared" si="58"/>
        <v>0</v>
      </c>
      <c r="AP103" s="23">
        <f t="shared" si="68"/>
        <v>0</v>
      </c>
      <c r="AQ103" s="23">
        <f t="shared" si="69"/>
        <v>0</v>
      </c>
    </row>
    <row r="104" spans="1:43" x14ac:dyDescent="0.25">
      <c r="H104" s="14">
        <v>2.0099999999999998</v>
      </c>
      <c r="I104" s="36">
        <f t="shared" si="59"/>
        <v>1023.2929922807544</v>
      </c>
      <c r="J104" s="24">
        <f t="shared" si="60"/>
        <v>86.51081169415815</v>
      </c>
      <c r="K104" s="24">
        <f t="shared" si="61"/>
        <v>3.1914495755354451</v>
      </c>
      <c r="L104" s="14">
        <f t="shared" si="35"/>
        <v>0.67018069634200106</v>
      </c>
      <c r="M104" s="14">
        <f t="shared" si="36"/>
        <v>-5.9814936021739262</v>
      </c>
      <c r="N104" s="14">
        <f t="shared" si="37"/>
        <v>4.7418606278372841E-2</v>
      </c>
      <c r="O104" s="14">
        <f t="shared" si="38"/>
        <v>-77.745423050800625</v>
      </c>
      <c r="P104" s="14">
        <f t="shared" si="39"/>
        <v>-13.462811312720682</v>
      </c>
      <c r="Q104" s="14">
        <f t="shared" si="40"/>
        <v>-0.48842864282747256</v>
      </c>
      <c r="R104" s="14">
        <f t="shared" si="41"/>
        <v>-3.1560694772727693E-4</v>
      </c>
      <c r="S104" s="23">
        <f t="shared" si="62"/>
        <v>-84.215345295802024</v>
      </c>
      <c r="T104" s="23">
        <f t="shared" si="63"/>
        <v>-16.891870025227892</v>
      </c>
      <c r="U104" s="14">
        <f t="shared" si="42"/>
        <v>20000</v>
      </c>
      <c r="V104" s="14">
        <f t="shared" si="43"/>
        <v>-89.995949393246121</v>
      </c>
      <c r="W104" s="14">
        <f t="shared" si="44"/>
        <v>-83.012051005312401</v>
      </c>
      <c r="X104" s="14">
        <f t="shared" si="45"/>
        <v>81.952134328983945</v>
      </c>
      <c r="Y104" s="14">
        <f t="shared" si="46"/>
        <v>17.077418460868813</v>
      </c>
      <c r="Z104" s="14">
        <f t="shared" si="47"/>
        <v>-1.8412932509773623</v>
      </c>
      <c r="AA104" s="14">
        <f t="shared" si="48"/>
        <v>-4.4860048330532956E-3</v>
      </c>
      <c r="AB104" s="23">
        <f t="shared" si="64"/>
        <v>-9.8851083152395383</v>
      </c>
      <c r="AC104" s="23">
        <f t="shared" si="65"/>
        <v>20.081481364002983</v>
      </c>
      <c r="AD104" s="14">
        <f t="shared" si="49"/>
        <v>1.473217159263682</v>
      </c>
      <c r="AE104" s="14">
        <f t="shared" si="50"/>
        <v>2.8715768528241822E-3</v>
      </c>
      <c r="AF104" s="14">
        <f t="shared" si="51"/>
        <v>2.2103127536799497E-2</v>
      </c>
      <c r="AG104" s="14">
        <f t="shared" si="52"/>
        <v>6.4631839466992437E-7</v>
      </c>
      <c r="AH104" s="14">
        <f t="shared" si="53"/>
        <v>-0.88405498160076779</v>
      </c>
      <c r="AI104" s="14">
        <f t="shared" si="54"/>
        <v>-1.0339864108646617E-3</v>
      </c>
      <c r="AJ104" s="23">
        <f t="shared" si="66"/>
        <v>0.61126530519971378</v>
      </c>
      <c r="AK104" s="23">
        <f t="shared" si="67"/>
        <v>1.8382367603541905E-3</v>
      </c>
      <c r="AL104" s="14">
        <f t="shared" si="55"/>
        <v>0</v>
      </c>
      <c r="AM104" s="14">
        <f t="shared" si="56"/>
        <v>0</v>
      </c>
      <c r="AN104" s="14">
        <f t="shared" si="57"/>
        <v>0</v>
      </c>
      <c r="AO104" s="14">
        <f t="shared" si="58"/>
        <v>0</v>
      </c>
      <c r="AP104" s="23">
        <f t="shared" si="68"/>
        <v>0</v>
      </c>
      <c r="AQ104" s="23">
        <f t="shared" si="69"/>
        <v>0</v>
      </c>
    </row>
    <row r="105" spans="1:43" x14ac:dyDescent="0.25">
      <c r="H105" s="14">
        <v>2.02</v>
      </c>
      <c r="I105" s="36">
        <f t="shared" si="59"/>
        <v>1047.1285480508998</v>
      </c>
      <c r="J105" s="24">
        <f t="shared" si="60"/>
        <v>86.242506414376464</v>
      </c>
      <c r="K105" s="24">
        <f t="shared" si="61"/>
        <v>2.9985143327951675</v>
      </c>
      <c r="L105" s="14">
        <f t="shared" si="35"/>
        <v>0.67018069634200106</v>
      </c>
      <c r="M105" s="14">
        <f t="shared" si="36"/>
        <v>-6.1197751253173571</v>
      </c>
      <c r="N105" s="14">
        <f t="shared" si="37"/>
        <v>4.9640651868154133E-2</v>
      </c>
      <c r="O105" s="14">
        <f t="shared" si="38"/>
        <v>-78.016217320981809</v>
      </c>
      <c r="P105" s="14">
        <f t="shared" si="39"/>
        <v>-13.653996198961112</v>
      </c>
      <c r="Q105" s="14">
        <f t="shared" si="40"/>
        <v>-0.49980503685827771</v>
      </c>
      <c r="R105" s="14">
        <f t="shared" si="41"/>
        <v>-3.3048047901221723E-4</v>
      </c>
      <c r="S105" s="23">
        <f t="shared" si="62"/>
        <v>-84.635797483157447</v>
      </c>
      <c r="T105" s="23">
        <f t="shared" si="63"/>
        <v>-17.080847739409823</v>
      </c>
      <c r="U105" s="14">
        <f t="shared" si="42"/>
        <v>20000</v>
      </c>
      <c r="V105" s="14">
        <f t="shared" si="43"/>
        <v>-89.996041596312352</v>
      </c>
      <c r="W105" s="14">
        <f t="shared" si="44"/>
        <v>-83.212051004335464</v>
      </c>
      <c r="X105" s="14">
        <f t="shared" si="45"/>
        <v>82.133006180703646</v>
      </c>
      <c r="Y105" s="14">
        <f t="shared" si="46"/>
        <v>17.273585643268795</v>
      </c>
      <c r="Z105" s="14">
        <f t="shared" si="47"/>
        <v>-1.8841519182993129</v>
      </c>
      <c r="AA105" s="14">
        <f t="shared" si="48"/>
        <v>-4.6973094328074455E-3</v>
      </c>
      <c r="AB105" s="23">
        <f t="shared" si="64"/>
        <v>-9.7471873339080197</v>
      </c>
      <c r="AC105" s="23">
        <f t="shared" si="65"/>
        <v>20.07743724278015</v>
      </c>
      <c r="AD105" s="14">
        <f t="shared" si="49"/>
        <v>1.5075171402099818</v>
      </c>
      <c r="AE105" s="14">
        <f t="shared" si="50"/>
        <v>3.0068632616976768E-3</v>
      </c>
      <c r="AF105" s="14">
        <f t="shared" si="51"/>
        <v>2.2617975463016238E-2</v>
      </c>
      <c r="AG105" s="14">
        <f t="shared" si="52"/>
        <v>6.7677844010032773E-7</v>
      </c>
      <c r="AH105" s="14">
        <f t="shared" si="53"/>
        <v>-0.90464388423107034</v>
      </c>
      <c r="AI105" s="14">
        <f t="shared" si="54"/>
        <v>-1.0827106152971366E-3</v>
      </c>
      <c r="AJ105" s="23">
        <f t="shared" si="66"/>
        <v>0.62549123144192775</v>
      </c>
      <c r="AK105" s="23">
        <f t="shared" si="67"/>
        <v>1.9248294248406406E-3</v>
      </c>
      <c r="AL105" s="14">
        <f t="shared" si="55"/>
        <v>0</v>
      </c>
      <c r="AM105" s="14">
        <f t="shared" si="56"/>
        <v>0</v>
      </c>
      <c r="AN105" s="14">
        <f t="shared" si="57"/>
        <v>0</v>
      </c>
      <c r="AO105" s="14">
        <f t="shared" si="58"/>
        <v>0</v>
      </c>
      <c r="AP105" s="23">
        <f t="shared" si="68"/>
        <v>0</v>
      </c>
      <c r="AQ105" s="23">
        <f t="shared" si="69"/>
        <v>0</v>
      </c>
    </row>
    <row r="106" spans="1:43" x14ac:dyDescent="0.25">
      <c r="H106" s="14">
        <v>2.0299999999999998</v>
      </c>
      <c r="I106" s="36">
        <f t="shared" si="59"/>
        <v>1071.5193052376067</v>
      </c>
      <c r="J106" s="24">
        <f t="shared" si="60"/>
        <v>85.971799163130754</v>
      </c>
      <c r="K106" s="24">
        <f t="shared" si="61"/>
        <v>2.8054653575964346</v>
      </c>
      <c r="L106" s="14">
        <f t="shared" si="35"/>
        <v>0.67018069634200106</v>
      </c>
      <c r="M106" s="14">
        <f t="shared" si="36"/>
        <v>-6.2612035793926628</v>
      </c>
      <c r="N106" s="14">
        <f t="shared" si="37"/>
        <v>5.1966201351524632E-2</v>
      </c>
      <c r="O106" s="14">
        <f t="shared" si="38"/>
        <v>-78.281373599473866</v>
      </c>
      <c r="P106" s="14">
        <f t="shared" si="39"/>
        <v>-13.845561095021679</v>
      </c>
      <c r="Q106" s="14">
        <f t="shared" si="40"/>
        <v>-0.51144638034277845</v>
      </c>
      <c r="R106" s="14">
        <f t="shared" si="41"/>
        <v>-3.4605492363741654E-4</v>
      </c>
      <c r="S106" s="23">
        <f t="shared" si="62"/>
        <v>-85.054023559209298</v>
      </c>
      <c r="T106" s="23">
        <f t="shared" si="63"/>
        <v>-17.270102660431647</v>
      </c>
      <c r="U106" s="14">
        <f t="shared" si="42"/>
        <v>20000</v>
      </c>
      <c r="V106" s="14">
        <f t="shared" si="43"/>
        <v>-89.996131700580577</v>
      </c>
      <c r="W106" s="14">
        <f t="shared" si="44"/>
        <v>-83.412051003402496</v>
      </c>
      <c r="X106" s="14">
        <f t="shared" si="45"/>
        <v>82.309913486325613</v>
      </c>
      <c r="Y106" s="14">
        <f t="shared" si="46"/>
        <v>17.469922170498858</v>
      </c>
      <c r="Z106" s="14">
        <f t="shared" si="47"/>
        <v>-1.9280067084010082</v>
      </c>
      <c r="AA106" s="14">
        <f t="shared" si="48"/>
        <v>-4.9185614929334771E-3</v>
      </c>
      <c r="AB106" s="23">
        <f t="shared" si="64"/>
        <v>-9.6142249226559731</v>
      </c>
      <c r="AC106" s="23">
        <f t="shared" si="65"/>
        <v>20.073552518883055</v>
      </c>
      <c r="AD106" s="14">
        <f t="shared" si="49"/>
        <v>1.5426149513567817</v>
      </c>
      <c r="AE106" s="14">
        <f t="shared" si="50"/>
        <v>3.1485210058524887E-3</v>
      </c>
      <c r="AF106" s="14">
        <f t="shared" si="51"/>
        <v>2.3144815734222283E-2</v>
      </c>
      <c r="AG106" s="14">
        <f t="shared" si="52"/>
        <v>7.0867402367537165E-7</v>
      </c>
      <c r="AH106" s="14">
        <f t="shared" si="53"/>
        <v>-0.92571212209497211</v>
      </c>
      <c r="AI106" s="14">
        <f t="shared" si="54"/>
        <v>-1.1337305348498178E-3</v>
      </c>
      <c r="AJ106" s="23">
        <f t="shared" si="66"/>
        <v>0.64004764499603184</v>
      </c>
      <c r="AK106" s="23">
        <f t="shared" si="67"/>
        <v>2.0154991450263464E-3</v>
      </c>
      <c r="AL106" s="14">
        <f t="shared" si="55"/>
        <v>0</v>
      </c>
      <c r="AM106" s="14">
        <f t="shared" si="56"/>
        <v>0</v>
      </c>
      <c r="AN106" s="14">
        <f t="shared" si="57"/>
        <v>0</v>
      </c>
      <c r="AO106" s="14">
        <f t="shared" si="58"/>
        <v>0</v>
      </c>
      <c r="AP106" s="23">
        <f t="shared" si="68"/>
        <v>0</v>
      </c>
      <c r="AQ106" s="23">
        <f t="shared" si="69"/>
        <v>0</v>
      </c>
    </row>
    <row r="107" spans="1:43" x14ac:dyDescent="0.25">
      <c r="H107" s="14">
        <v>2.04</v>
      </c>
      <c r="I107" s="36">
        <f t="shared" si="59"/>
        <v>1096.4781961431861</v>
      </c>
      <c r="J107" s="24">
        <f t="shared" si="60"/>
        <v>85.698585384985435</v>
      </c>
      <c r="K107" s="24">
        <f t="shared" si="61"/>
        <v>2.6123154444334395</v>
      </c>
      <c r="L107" s="14">
        <f t="shared" si="35"/>
        <v>0.67018069634200106</v>
      </c>
      <c r="M107" s="14">
        <f t="shared" si="36"/>
        <v>-6.405847054144707</v>
      </c>
      <c r="N107" s="14">
        <f t="shared" si="37"/>
        <v>5.440001664735028E-2</v>
      </c>
      <c r="O107" s="14">
        <f t="shared" si="38"/>
        <v>-78.540987023605609</v>
      </c>
      <c r="P107" s="14">
        <f t="shared" si="39"/>
        <v>-14.03749031075656</v>
      </c>
      <c r="Q107" s="14">
        <f t="shared" si="40"/>
        <v>-0.52335884182854842</v>
      </c>
      <c r="R107" s="14">
        <f t="shared" si="41"/>
        <v>-3.6236330936068885E-4</v>
      </c>
      <c r="S107" s="23">
        <f t="shared" si="62"/>
        <v>-85.470192919578864</v>
      </c>
      <c r="T107" s="23">
        <f t="shared" si="63"/>
        <v>-17.459614369256425</v>
      </c>
      <c r="U107" s="14">
        <f t="shared" si="42"/>
        <v>20000</v>
      </c>
      <c r="V107" s="14">
        <f t="shared" si="43"/>
        <v>-89.996219753825287</v>
      </c>
      <c r="W107" s="14">
        <f t="shared" si="44"/>
        <v>-83.612051002511549</v>
      </c>
      <c r="X107" s="14">
        <f t="shared" si="45"/>
        <v>82.482936545160427</v>
      </c>
      <c r="Y107" s="14">
        <f t="shared" si="46"/>
        <v>17.666420693995072</v>
      </c>
      <c r="Z107" s="14">
        <f t="shared" si="47"/>
        <v>-1.9728806680154141</v>
      </c>
      <c r="AA107" s="14">
        <f t="shared" si="48"/>
        <v>-5.1502287609709475E-3</v>
      </c>
      <c r="AB107" s="23">
        <f t="shared" si="64"/>
        <v>-9.4861638766802727</v>
      </c>
      <c r="AC107" s="23">
        <f t="shared" si="65"/>
        <v>20.069819376002176</v>
      </c>
      <c r="AD107" s="14">
        <f t="shared" si="49"/>
        <v>1.5785290966055967</v>
      </c>
      <c r="AE107" s="14">
        <f t="shared" si="50"/>
        <v>3.2968499216251591E-3</v>
      </c>
      <c r="AF107" s="14">
        <f t="shared" si="51"/>
        <v>2.3683927687746437E-2</v>
      </c>
      <c r="AG107" s="14">
        <f t="shared" si="52"/>
        <v>7.4207279680255075E-7</v>
      </c>
      <c r="AH107" s="14">
        <f t="shared" si="53"/>
        <v>-0.9472708430487683</v>
      </c>
      <c r="AI107" s="14">
        <f t="shared" si="54"/>
        <v>-1.1871543067333836E-3</v>
      </c>
      <c r="AJ107" s="23">
        <f t="shared" si="66"/>
        <v>0.65494218124457493</v>
      </c>
      <c r="AK107" s="23">
        <f t="shared" si="67"/>
        <v>2.1104376876885781E-3</v>
      </c>
      <c r="AL107" s="14">
        <f t="shared" si="55"/>
        <v>0</v>
      </c>
      <c r="AM107" s="14">
        <f t="shared" si="56"/>
        <v>0</v>
      </c>
      <c r="AN107" s="14">
        <f t="shared" si="57"/>
        <v>0</v>
      </c>
      <c r="AO107" s="14">
        <f t="shared" si="58"/>
        <v>0</v>
      </c>
      <c r="AP107" s="23">
        <f t="shared" si="68"/>
        <v>0</v>
      </c>
      <c r="AQ107" s="23">
        <f t="shared" si="69"/>
        <v>0</v>
      </c>
    </row>
    <row r="108" spans="1:43" x14ac:dyDescent="0.25">
      <c r="H108" s="14">
        <v>2.0499999999999998</v>
      </c>
      <c r="I108" s="36">
        <f t="shared" si="59"/>
        <v>1122.0184543019634</v>
      </c>
      <c r="J108" s="24">
        <f t="shared" si="60"/>
        <v>85.422757764454019</v>
      </c>
      <c r="K108" s="24">
        <f t="shared" si="61"/>
        <v>2.4190773048470144</v>
      </c>
      <c r="L108" s="14">
        <f t="shared" si="35"/>
        <v>0.67018069634200106</v>
      </c>
      <c r="M108" s="14">
        <f t="shared" si="36"/>
        <v>-6.553774862809413</v>
      </c>
      <c r="N108" s="14">
        <f t="shared" si="37"/>
        <v>5.6947073107870359E-2</v>
      </c>
      <c r="O108" s="14">
        <f t="shared" si="38"/>
        <v>-78.795152582854612</v>
      </c>
      <c r="P108" s="14">
        <f t="shared" si="39"/>
        <v>-14.22976874522811</v>
      </c>
      <c r="Q108" s="14">
        <f t="shared" si="40"/>
        <v>-0.53554873333843556</v>
      </c>
      <c r="R108" s="14">
        <f t="shared" si="41"/>
        <v>-3.7944021998730505E-4</v>
      </c>
      <c r="S108" s="23">
        <f t="shared" si="62"/>
        <v>-85.884476179002462</v>
      </c>
      <c r="T108" s="23">
        <f t="shared" si="63"/>
        <v>-17.649362824178084</v>
      </c>
      <c r="U108" s="14">
        <f t="shared" si="42"/>
        <v>20000</v>
      </c>
      <c r="V108" s="14">
        <f t="shared" si="43"/>
        <v>-89.99630580273346</v>
      </c>
      <c r="W108" s="14">
        <f t="shared" si="44"/>
        <v>-83.812051001660677</v>
      </c>
      <c r="X108" s="14">
        <f t="shared" si="45"/>
        <v>82.652154466819923</v>
      </c>
      <c r="Y108" s="14">
        <f t="shared" si="46"/>
        <v>17.863074172511819</v>
      </c>
      <c r="Z108" s="14">
        <f t="shared" si="47"/>
        <v>-2.0187973695786892</v>
      </c>
      <c r="AA108" s="14">
        <f t="shared" si="48"/>
        <v>-5.3928009264598373E-3</v>
      </c>
      <c r="AB108" s="23">
        <f t="shared" si="64"/>
        <v>-9.3629487054922258</v>
      </c>
      <c r="AC108" s="23">
        <f t="shared" si="65"/>
        <v>20.066230283204309</v>
      </c>
      <c r="AD108" s="14">
        <f t="shared" si="49"/>
        <v>1.6152785051606593</v>
      </c>
      <c r="AE108" s="14">
        <f t="shared" si="50"/>
        <v>3.4521639342395024E-3</v>
      </c>
      <c r="AF108" s="14">
        <f t="shared" si="51"/>
        <v>2.4235597167500324E-2</v>
      </c>
      <c r="AG108" s="14">
        <f t="shared" si="52"/>
        <v>7.7704560666850009E-7</v>
      </c>
      <c r="AH108" s="14">
        <f t="shared" si="53"/>
        <v>-0.96933145337945603</v>
      </c>
      <c r="AI108" s="14">
        <f t="shared" si="54"/>
        <v>-1.2430951590566991E-3</v>
      </c>
      <c r="AJ108" s="23">
        <f t="shared" si="66"/>
        <v>0.67018264894870361</v>
      </c>
      <c r="AK108" s="23">
        <f t="shared" si="67"/>
        <v>2.2098458207894722E-3</v>
      </c>
      <c r="AL108" s="14">
        <f t="shared" si="55"/>
        <v>0</v>
      </c>
      <c r="AM108" s="14">
        <f t="shared" si="56"/>
        <v>0</v>
      </c>
      <c r="AN108" s="14">
        <f t="shared" si="57"/>
        <v>0</v>
      </c>
      <c r="AO108" s="14">
        <f t="shared" si="58"/>
        <v>0</v>
      </c>
      <c r="AP108" s="23">
        <f t="shared" si="68"/>
        <v>0</v>
      </c>
      <c r="AQ108" s="23">
        <f t="shared" si="69"/>
        <v>0</v>
      </c>
    </row>
    <row r="109" spans="1:43" x14ac:dyDescent="0.25">
      <c r="H109" s="14">
        <v>2.06</v>
      </c>
      <c r="I109" s="36">
        <f t="shared" si="59"/>
        <v>1148.1536214968835</v>
      </c>
      <c r="J109" s="24">
        <f t="shared" si="60"/>
        <v>85.144206309471258</v>
      </c>
      <c r="K109" s="24">
        <f t="shared" si="61"/>
        <v>2.2257635810585401</v>
      </c>
      <c r="L109" s="14">
        <f t="shared" si="35"/>
        <v>0.67018069634200106</v>
      </c>
      <c r="M109" s="14">
        <f t="shared" si="36"/>
        <v>-6.7050575459044977</v>
      </c>
      <c r="N109" s="14">
        <f t="shared" si="37"/>
        <v>5.9612568547769383E-2</v>
      </c>
      <c r="O109" s="14">
        <f t="shared" si="38"/>
        <v>-79.043965007697011</v>
      </c>
      <c r="P109" s="14">
        <f t="shared" si="39"/>
        <v>-14.422381869576341</v>
      </c>
      <c r="Q109" s="14">
        <f t="shared" si="40"/>
        <v>-0.54802251369761623</v>
      </c>
      <c r="R109" s="14">
        <f t="shared" si="41"/>
        <v>-3.9732186864761793E-4</v>
      </c>
      <c r="S109" s="23">
        <f t="shared" si="62"/>
        <v>-86.297045067299123</v>
      </c>
      <c r="T109" s="23">
        <f t="shared" si="63"/>
        <v>-17.839328334735075</v>
      </c>
      <c r="U109" s="14">
        <f t="shared" si="42"/>
        <v>20000</v>
      </c>
      <c r="V109" s="14">
        <f t="shared" si="43"/>
        <v>-89.996389892929344</v>
      </c>
      <c r="W109" s="14">
        <f t="shared" si="44"/>
        <v>-84.012051000848089</v>
      </c>
      <c r="X109" s="14">
        <f t="shared" si="45"/>
        <v>82.817645158415175</v>
      </c>
      <c r="Y109" s="14">
        <f t="shared" si="46"/>
        <v>18.059875860273117</v>
      </c>
      <c r="Z109" s="14">
        <f t="shared" si="47"/>
        <v>-2.065780922683353</v>
      </c>
      <c r="AA109" s="14">
        <f t="shared" si="48"/>
        <v>-5.6467906451988393E-3</v>
      </c>
      <c r="AB109" s="23">
        <f t="shared" si="64"/>
        <v>-9.2445256571975207</v>
      </c>
      <c r="AC109" s="23">
        <f t="shared" si="65"/>
        <v>20.062777982059455</v>
      </c>
      <c r="AD109" s="14">
        <f t="shared" si="49"/>
        <v>1.6528825410284009</v>
      </c>
      <c r="AE109" s="14">
        <f t="shared" si="50"/>
        <v>3.6147917177577031E-3</v>
      </c>
      <c r="AF109" s="14">
        <f t="shared" si="51"/>
        <v>2.4800116675535021E-2</v>
      </c>
      <c r="AG109" s="14">
        <f t="shared" si="52"/>
        <v>8.1366663510194987E-7</v>
      </c>
      <c r="AH109" s="14">
        <f t="shared" si="53"/>
        <v>-0.99190562373604341</v>
      </c>
      <c r="AI109" s="14">
        <f t="shared" si="54"/>
        <v>-1.3016716502320157E-3</v>
      </c>
      <c r="AJ109" s="23">
        <f t="shared" si="66"/>
        <v>0.68577703396789247</v>
      </c>
      <c r="AK109" s="23">
        <f t="shared" si="67"/>
        <v>2.3139337341607892E-3</v>
      </c>
      <c r="AL109" s="14">
        <f t="shared" si="55"/>
        <v>0</v>
      </c>
      <c r="AM109" s="14">
        <f t="shared" si="56"/>
        <v>0</v>
      </c>
      <c r="AN109" s="14">
        <f t="shared" si="57"/>
        <v>0</v>
      </c>
      <c r="AO109" s="14">
        <f t="shared" si="58"/>
        <v>0</v>
      </c>
      <c r="AP109" s="23">
        <f t="shared" si="68"/>
        <v>0</v>
      </c>
      <c r="AQ109" s="23">
        <f t="shared" si="69"/>
        <v>0</v>
      </c>
    </row>
    <row r="110" spans="1:43" x14ac:dyDescent="0.25">
      <c r="H110" s="14">
        <v>2.0699999999999998</v>
      </c>
      <c r="I110" s="36">
        <f t="shared" si="59"/>
        <v>1174.8975549395293</v>
      </c>
      <c r="J110" s="24">
        <f t="shared" si="60"/>
        <v>84.862818430670771</v>
      </c>
      <c r="K110" s="24">
        <f t="shared" si="61"/>
        <v>2.0323868602181823</v>
      </c>
      <c r="L110" s="14">
        <f t="shared" si="35"/>
        <v>0.67018069634200106</v>
      </c>
      <c r="M110" s="14">
        <f t="shared" si="36"/>
        <v>-6.8597668734853707</v>
      </c>
      <c r="N110" s="14">
        <f t="shared" si="37"/>
        <v>6.2401932603821687E-2</v>
      </c>
      <c r="O110" s="14">
        <f t="shared" si="38"/>
        <v>-79.287518666634099</v>
      </c>
      <c r="P110" s="14">
        <f t="shared" si="39"/>
        <v>-14.615315709941992</v>
      </c>
      <c r="Q110" s="14">
        <f t="shared" si="40"/>
        <v>-0.56078679193707037</v>
      </c>
      <c r="R110" s="14">
        <f t="shared" si="41"/>
        <v>-4.1604617453393033E-4</v>
      </c>
      <c r="S110" s="23">
        <f t="shared" si="62"/>
        <v>-86.708072332056545</v>
      </c>
      <c r="T110" s="23">
        <f t="shared" si="63"/>
        <v>-18.029491535350559</v>
      </c>
      <c r="U110" s="14">
        <f t="shared" si="42"/>
        <v>20000</v>
      </c>
      <c r="V110" s="14">
        <f t="shared" si="43"/>
        <v>-89.996472068998713</v>
      </c>
      <c r="W110" s="14">
        <f t="shared" si="44"/>
        <v>-84.21205100007208</v>
      </c>
      <c r="X110" s="14">
        <f t="shared" si="45"/>
        <v>82.979485314424366</v>
      </c>
      <c r="Y110" s="14">
        <f t="shared" si="46"/>
        <v>18.256819295492335</v>
      </c>
      <c r="Z110" s="14">
        <f t="shared" si="47"/>
        <v>-2.1138559857419668</v>
      </c>
      <c r="AA110" s="14">
        <f t="shared" si="48"/>
        <v>-5.9127346108300578E-3</v>
      </c>
      <c r="AB110" s="23">
        <f t="shared" si="64"/>
        <v>-9.1308427403163144</v>
      </c>
      <c r="AC110" s="23">
        <f t="shared" si="65"/>
        <v>20.059455474089049</v>
      </c>
      <c r="AD110" s="14">
        <f t="shared" si="49"/>
        <v>1.6913610127091954</v>
      </c>
      <c r="AE110" s="14">
        <f t="shared" si="50"/>
        <v>3.7850773857391095E-3</v>
      </c>
      <c r="AF110" s="14">
        <f t="shared" si="51"/>
        <v>2.5377785527127248E-2</v>
      </c>
      <c r="AG110" s="14">
        <f t="shared" si="52"/>
        <v>8.5201355865186428E-7</v>
      </c>
      <c r="AH110" s="14">
        <f t="shared" si="53"/>
        <v>-1.0150052951926904</v>
      </c>
      <c r="AI110" s="14">
        <f t="shared" si="54"/>
        <v>-1.3630079196055747E-3</v>
      </c>
      <c r="AJ110" s="23">
        <f t="shared" si="66"/>
        <v>0.70173350304363225</v>
      </c>
      <c r="AK110" s="23">
        <f t="shared" si="67"/>
        <v>2.4229214796921868E-3</v>
      </c>
      <c r="AL110" s="14">
        <f t="shared" si="55"/>
        <v>0</v>
      </c>
      <c r="AM110" s="14">
        <f t="shared" si="56"/>
        <v>0</v>
      </c>
      <c r="AN110" s="14">
        <f t="shared" si="57"/>
        <v>0</v>
      </c>
      <c r="AO110" s="14">
        <f t="shared" si="58"/>
        <v>0</v>
      </c>
      <c r="AP110" s="23">
        <f t="shared" si="68"/>
        <v>0</v>
      </c>
      <c r="AQ110" s="23">
        <f t="shared" si="69"/>
        <v>0</v>
      </c>
    </row>
    <row r="111" spans="1:43" x14ac:dyDescent="0.25">
      <c r="H111" s="14">
        <v>2.08</v>
      </c>
      <c r="I111" s="36">
        <f t="shared" si="59"/>
        <v>1202.2644346174136</v>
      </c>
      <c r="J111" s="24">
        <f t="shared" si="60"/>
        <v>84.578479016783149</v>
      </c>
      <c r="K111" s="24">
        <f t="shared" si="61"/>
        <v>1.83895968922159</v>
      </c>
      <c r="L111" s="14">
        <f t="shared" si="35"/>
        <v>0.67018069634200106</v>
      </c>
      <c r="M111" s="14">
        <f t="shared" si="36"/>
        <v>-7.0179758457315344</v>
      </c>
      <c r="N111" s="14">
        <f t="shared" si="37"/>
        <v>6.5320836432178453E-2</v>
      </c>
      <c r="O111" s="14">
        <f t="shared" si="38"/>
        <v>-79.525907471022904</v>
      </c>
      <c r="P111" s="14">
        <f t="shared" si="39"/>
        <v>-14.808556830491536</v>
      </c>
      <c r="Q111" s="14">
        <f t="shared" si="40"/>
        <v>-0.57384833077520336</v>
      </c>
      <c r="R111" s="14">
        <f t="shared" si="41"/>
        <v>-4.3565284324466742E-4</v>
      </c>
      <c r="S111" s="23">
        <f t="shared" si="62"/>
        <v>-87.117731647529638</v>
      </c>
      <c r="T111" s="23">
        <f t="shared" si="63"/>
        <v>-18.219833358740456</v>
      </c>
      <c r="U111" s="14">
        <f t="shared" si="42"/>
        <v>20000</v>
      </c>
      <c r="V111" s="14">
        <f t="shared" si="43"/>
        <v>-89.99655237451239</v>
      </c>
      <c r="W111" s="14">
        <f t="shared" si="44"/>
        <v>-84.412050999331015</v>
      </c>
      <c r="X111" s="14">
        <f t="shared" si="45"/>
        <v>83.137750409040564</v>
      </c>
      <c r="Y111" s="14">
        <f t="shared" si="46"/>
        <v>18.453898289257424</v>
      </c>
      <c r="Z111" s="14">
        <f t="shared" si="47"/>
        <v>-2.1630477778623662</v>
      </c>
      <c r="AA111" s="14">
        <f t="shared" si="48"/>
        <v>-6.1911946758774622E-3</v>
      </c>
      <c r="AB111" s="23">
        <f t="shared" si="64"/>
        <v>-9.0218497433341938</v>
      </c>
      <c r="AC111" s="23">
        <f t="shared" si="65"/>
        <v>20.056256008530156</v>
      </c>
      <c r="AD111" s="14">
        <f t="shared" si="49"/>
        <v>1.7307341830838636</v>
      </c>
      <c r="AE111" s="14">
        <f t="shared" si="50"/>
        <v>3.9633812140185921E-3</v>
      </c>
      <c r="AF111" s="14">
        <f t="shared" si="51"/>
        <v>2.596891000947851E-2</v>
      </c>
      <c r="AG111" s="14">
        <f t="shared" si="52"/>
        <v>8.921677163801792E-7</v>
      </c>
      <c r="AH111" s="14">
        <f t="shared" si="53"/>
        <v>-1.03864268544635</v>
      </c>
      <c r="AI111" s="14">
        <f t="shared" si="54"/>
        <v>-1.4272339498450071E-3</v>
      </c>
      <c r="AJ111" s="23">
        <f t="shared" si="66"/>
        <v>0.71806040764699208</v>
      </c>
      <c r="AK111" s="23">
        <f t="shared" si="67"/>
        <v>2.5370394318899652E-3</v>
      </c>
      <c r="AL111" s="14">
        <f t="shared" si="55"/>
        <v>0</v>
      </c>
      <c r="AM111" s="14">
        <f t="shared" si="56"/>
        <v>0</v>
      </c>
      <c r="AN111" s="14">
        <f t="shared" si="57"/>
        <v>0</v>
      </c>
      <c r="AO111" s="14">
        <f t="shared" si="58"/>
        <v>0</v>
      </c>
      <c r="AP111" s="23">
        <f t="shared" si="68"/>
        <v>0</v>
      </c>
      <c r="AQ111" s="23">
        <f t="shared" si="69"/>
        <v>0</v>
      </c>
    </row>
    <row r="112" spans="1:43" x14ac:dyDescent="0.25">
      <c r="H112" s="14">
        <v>2.09</v>
      </c>
      <c r="I112" s="36">
        <f t="shared" si="59"/>
        <v>1230.2687708123822</v>
      </c>
      <c r="J112" s="24">
        <f t="shared" si="60"/>
        <v>84.291070506483621</v>
      </c>
      <c r="K112" s="24">
        <f t="shared" si="61"/>
        <v>1.6454945900533786</v>
      </c>
      <c r="L112" s="14">
        <f t="shared" si="35"/>
        <v>0.67018069634200106</v>
      </c>
      <c r="M112" s="14">
        <f t="shared" si="36"/>
        <v>-7.1797586917197682</v>
      </c>
      <c r="N112" s="14">
        <f t="shared" si="37"/>
        <v>6.8375202749951874E-2</v>
      </c>
      <c r="O112" s="14">
        <f t="shared" si="38"/>
        <v>-79.759224787341282</v>
      </c>
      <c r="P112" s="14">
        <f t="shared" si="39"/>
        <v>-15.002092316586406</v>
      </c>
      <c r="Q112" s="14">
        <f t="shared" si="40"/>
        <v>-0.58721405017932782</v>
      </c>
      <c r="R112" s="14">
        <f t="shared" si="41"/>
        <v>-4.5618345091280122E-4</v>
      </c>
      <c r="S112" s="23">
        <f t="shared" si="62"/>
        <v>-87.526197529240378</v>
      </c>
      <c r="T112" s="23">
        <f t="shared" si="63"/>
        <v>-18.41033500912522</v>
      </c>
      <c r="U112" s="14">
        <f t="shared" si="42"/>
        <v>20000</v>
      </c>
      <c r="V112" s="14">
        <f t="shared" si="43"/>
        <v>-89.996630852049407</v>
      </c>
      <c r="W112" s="14">
        <f t="shared" si="44"/>
        <v>-84.612050998623289</v>
      </c>
      <c r="X112" s="14">
        <f t="shared" si="45"/>
        <v>83.292514690818635</v>
      </c>
      <c r="Y112" s="14">
        <f t="shared" si="46"/>
        <v>18.651106914777024</v>
      </c>
      <c r="Z112" s="14">
        <f t="shared" si="47"/>
        <v>-2.2133820909350232</v>
      </c>
      <c r="AA112" s="14">
        <f t="shared" si="48"/>
        <v>-6.482759024504548E-3</v>
      </c>
      <c r="AB112" s="23">
        <f t="shared" si="64"/>
        <v>-8.9174982521657959</v>
      </c>
      <c r="AC112" s="23">
        <f t="shared" si="65"/>
        <v>20.053173070408857</v>
      </c>
      <c r="AD112" s="14">
        <f t="shared" si="49"/>
        <v>1.7710227794971964</v>
      </c>
      <c r="AE112" s="14">
        <f t="shared" si="50"/>
        <v>4.1500803971015517E-3</v>
      </c>
      <c r="AF112" s="14">
        <f t="shared" si="51"/>
        <v>2.657380354411009E-2</v>
      </c>
      <c r="AG112" s="14">
        <f t="shared" si="52"/>
        <v>9.3421428151182613E-7</v>
      </c>
      <c r="AH112" s="14">
        <f t="shared" si="53"/>
        <v>-1.0628302951515034</v>
      </c>
      <c r="AI112" s="14">
        <f t="shared" si="54"/>
        <v>-1.4944858416414679E-3</v>
      </c>
      <c r="AJ112" s="23">
        <f t="shared" si="66"/>
        <v>0.73476628788980314</v>
      </c>
      <c r="AK112" s="23">
        <f t="shared" si="67"/>
        <v>2.656528769741596E-3</v>
      </c>
      <c r="AL112" s="14">
        <f t="shared" si="55"/>
        <v>0</v>
      </c>
      <c r="AM112" s="14">
        <f t="shared" si="56"/>
        <v>0</v>
      </c>
      <c r="AN112" s="14">
        <f t="shared" si="57"/>
        <v>0</v>
      </c>
      <c r="AO112" s="14">
        <f t="shared" si="58"/>
        <v>0</v>
      </c>
      <c r="AP112" s="23">
        <f t="shared" si="68"/>
        <v>0</v>
      </c>
      <c r="AQ112" s="23">
        <f t="shared" si="69"/>
        <v>0</v>
      </c>
    </row>
    <row r="113" spans="1:43" x14ac:dyDescent="0.25">
      <c r="H113" s="14">
        <v>2.1</v>
      </c>
      <c r="I113" s="36">
        <f t="shared" si="59"/>
        <v>1258.9254117941678</v>
      </c>
      <c r="J113" s="24">
        <f t="shared" si="60"/>
        <v>84.000472957031775</v>
      </c>
      <c r="K113" s="24">
        <f t="shared" si="61"/>
        <v>1.452004075618992</v>
      </c>
      <c r="L113" s="14">
        <f t="shared" si="35"/>
        <v>0.67018069634200106</v>
      </c>
      <c r="M113" s="14">
        <f t="shared" si="36"/>
        <v>-7.3451908662323877</v>
      </c>
      <c r="N113" s="14">
        <f t="shared" si="37"/>
        <v>7.1571216227247283E-2</v>
      </c>
      <c r="O113" s="14">
        <f t="shared" si="38"/>
        <v>-79.987563356524589</v>
      </c>
      <c r="P113" s="14">
        <f t="shared" si="39"/>
        <v>-15.195909758134752</v>
      </c>
      <c r="Q113" s="14">
        <f t="shared" si="40"/>
        <v>-0.60089103100880414</v>
      </c>
      <c r="R113" s="14">
        <f t="shared" si="41"/>
        <v>-4.7768153228771324E-4</v>
      </c>
      <c r="S113" s="23">
        <f t="shared" si="62"/>
        <v>-87.933645253765775</v>
      </c>
      <c r="T113" s="23">
        <f t="shared" si="63"/>
        <v>-18.600977935277648</v>
      </c>
      <c r="U113" s="14">
        <f t="shared" si="42"/>
        <v>20000</v>
      </c>
      <c r="V113" s="14">
        <f t="shared" si="43"/>
        <v>-89.9967075432196</v>
      </c>
      <c r="W113" s="14">
        <f t="shared" si="44"/>
        <v>-84.812050997947424</v>
      </c>
      <c r="X113" s="14">
        <f t="shared" si="45"/>
        <v>83.443851179451059</v>
      </c>
      <c r="Y113" s="14">
        <f t="shared" si="46"/>
        <v>18.848439496982891</v>
      </c>
      <c r="Z113" s="14">
        <f t="shared" si="47"/>
        <v>-2.2648853019330248</v>
      </c>
      <c r="AA113" s="14">
        <f t="shared" si="48"/>
        <v>-6.7880433992821036E-3</v>
      </c>
      <c r="AB113" s="23">
        <f t="shared" si="64"/>
        <v>-8.8177416657015648</v>
      </c>
      <c r="AC113" s="23">
        <f t="shared" si="65"/>
        <v>20.05020036891581</v>
      </c>
      <c r="AD113" s="14">
        <f t="shared" si="49"/>
        <v>1.8122480040407998</v>
      </c>
      <c r="AE113" s="14">
        <f t="shared" si="50"/>
        <v>4.3455698396649726E-3</v>
      </c>
      <c r="AF113" s="14">
        <f t="shared" si="51"/>
        <v>2.7192786853041117E-2</v>
      </c>
      <c r="AG113" s="14">
        <f t="shared" si="52"/>
        <v>9.7824243887069545E-7</v>
      </c>
      <c r="AH113" s="14">
        <f t="shared" si="53"/>
        <v>-1.0875809143947262</v>
      </c>
      <c r="AI113" s="14">
        <f t="shared" si="54"/>
        <v>-1.5649061012743004E-3</v>
      </c>
      <c r="AJ113" s="23">
        <f t="shared" si="66"/>
        <v>0.75185987649911468</v>
      </c>
      <c r="AK113" s="23">
        <f t="shared" si="67"/>
        <v>2.7816419808295431E-3</v>
      </c>
      <c r="AL113" s="14">
        <f t="shared" si="55"/>
        <v>0</v>
      </c>
      <c r="AM113" s="14">
        <f t="shared" si="56"/>
        <v>0</v>
      </c>
      <c r="AN113" s="14">
        <f t="shared" si="57"/>
        <v>0</v>
      </c>
      <c r="AO113" s="14">
        <f t="shared" si="58"/>
        <v>0</v>
      </c>
      <c r="AP113" s="23">
        <f t="shared" si="68"/>
        <v>0</v>
      </c>
      <c r="AQ113" s="23">
        <f t="shared" si="69"/>
        <v>0</v>
      </c>
    </row>
    <row r="114" spans="1:43" x14ac:dyDescent="0.25">
      <c r="H114" s="14">
        <v>2.11</v>
      </c>
      <c r="I114" s="36">
        <f t="shared" si="59"/>
        <v>1288.2495516931342</v>
      </c>
      <c r="J114" s="24">
        <f t="shared" si="60"/>
        <v>83.706564110057357</v>
      </c>
      <c r="K114" s="24">
        <f t="shared" si="61"/>
        <v>1.2585006660301905</v>
      </c>
      <c r="L114" s="14">
        <f t="shared" si="35"/>
        <v>0.67018069634200106</v>
      </c>
      <c r="M114" s="14">
        <f t="shared" si="36"/>
        <v>-7.5143490444393022</v>
      </c>
      <c r="N114" s="14">
        <f t="shared" si="37"/>
        <v>7.4915334235263573E-2</v>
      </c>
      <c r="O114" s="14">
        <f t="shared" si="38"/>
        <v>-80.21101522001689</v>
      </c>
      <c r="P114" s="14">
        <f t="shared" si="39"/>
        <v>-15.38999723315901</v>
      </c>
      <c r="Q114" s="14">
        <f t="shared" si="40"/>
        <v>-0.61488651874162603</v>
      </c>
      <c r="R114" s="14">
        <f t="shared" si="41"/>
        <v>-5.001926729627734E-4</v>
      </c>
      <c r="S114" s="23">
        <f t="shared" si="62"/>
        <v>-88.340250783197817</v>
      </c>
      <c r="T114" s="23">
        <f t="shared" si="63"/>
        <v>-18.791743803434564</v>
      </c>
      <c r="U114" s="14">
        <f t="shared" si="42"/>
        <v>20000</v>
      </c>
      <c r="V114" s="14">
        <f t="shared" si="43"/>
        <v>-89.996782488685653</v>
      </c>
      <c r="W114" s="14">
        <f t="shared" si="44"/>
        <v>-85.012050997301969</v>
      </c>
      <c r="X114" s="14">
        <f t="shared" si="45"/>
        <v>83.591831664511105</v>
      </c>
      <c r="Y114" s="14">
        <f t="shared" si="46"/>
        <v>19.045890602482775</v>
      </c>
      <c r="Z114" s="14">
        <f t="shared" si="47"/>
        <v>-2.3175843854247029</v>
      </c>
      <c r="AA114" s="14">
        <f t="shared" si="48"/>
        <v>-7.1076923844088143E-3</v>
      </c>
      <c r="AB114" s="23">
        <f t="shared" si="64"/>
        <v>-8.7225352095992505</v>
      </c>
      <c r="AC114" s="23">
        <f t="shared" si="65"/>
        <v>20.047331826076022</v>
      </c>
      <c r="AD114" s="14">
        <f t="shared" si="49"/>
        <v>1.8544315440373347</v>
      </c>
      <c r="AE114" s="14">
        <f t="shared" si="50"/>
        <v>4.550262984827122E-3</v>
      </c>
      <c r="AF114" s="14">
        <f t="shared" si="51"/>
        <v>2.7826188128836912E-2</v>
      </c>
      <c r="AG114" s="14">
        <f t="shared" si="52"/>
        <v>1.0243455796734661E-6</v>
      </c>
      <c r="AH114" s="14">
        <f t="shared" si="53"/>
        <v>-1.1129076293117404</v>
      </c>
      <c r="AI114" s="14">
        <f t="shared" si="54"/>
        <v>-1.638643941674178E-3</v>
      </c>
      <c r="AJ114" s="23">
        <f t="shared" si="66"/>
        <v>0.76935010285443117</v>
      </c>
      <c r="AK114" s="23">
        <f t="shared" si="67"/>
        <v>2.9126433887326176E-3</v>
      </c>
      <c r="AL114" s="14">
        <f t="shared" si="55"/>
        <v>0</v>
      </c>
      <c r="AM114" s="14">
        <f t="shared" si="56"/>
        <v>0</v>
      </c>
      <c r="AN114" s="14">
        <f t="shared" si="57"/>
        <v>0</v>
      </c>
      <c r="AO114" s="14">
        <f t="shared" si="58"/>
        <v>0</v>
      </c>
      <c r="AP114" s="23">
        <f t="shared" si="68"/>
        <v>0</v>
      </c>
      <c r="AQ114" s="23">
        <f t="shared" si="69"/>
        <v>0</v>
      </c>
    </row>
    <row r="115" spans="1:43" x14ac:dyDescent="0.25">
      <c r="H115" s="14">
        <v>2.12</v>
      </c>
      <c r="I115" s="36">
        <f t="shared" si="59"/>
        <v>1318.2567385564084</v>
      </c>
      <c r="J115" s="24">
        <f t="shared" si="60"/>
        <v>83.409219454857208</v>
      </c>
      <c r="K115" s="24">
        <f t="shared" si="61"/>
        <v>1.0649969053114632</v>
      </c>
      <c r="L115" s="14">
        <f t="shared" si="35"/>
        <v>0.67018069634200106</v>
      </c>
      <c r="M115" s="14">
        <f t="shared" si="36"/>
        <v>-7.687311114283526</v>
      </c>
      <c r="N115" s="14">
        <f t="shared" si="37"/>
        <v>7.8414297955416101E-2</v>
      </c>
      <c r="O115" s="14">
        <f t="shared" si="38"/>
        <v>-80.429671652188404</v>
      </c>
      <c r="P115" s="14">
        <f t="shared" si="39"/>
        <v>-15.584343291608738</v>
      </c>
      <c r="Q115" s="14">
        <f t="shared" si="40"/>
        <v>-0.62920792728630814</v>
      </c>
      <c r="R115" s="14">
        <f t="shared" si="41"/>
        <v>-5.2376460595435605E-4</v>
      </c>
      <c r="S115" s="23">
        <f t="shared" si="62"/>
        <v>-88.746190693758237</v>
      </c>
      <c r="T115" s="23">
        <f t="shared" si="63"/>
        <v>-18.982614470097133</v>
      </c>
      <c r="U115" s="14">
        <f t="shared" si="42"/>
        <v>20000</v>
      </c>
      <c r="V115" s="14">
        <f t="shared" si="43"/>
        <v>-89.996855728184613</v>
      </c>
      <c r="W115" s="14">
        <f t="shared" si="44"/>
        <v>-85.212050996685576</v>
      </c>
      <c r="X115" s="14">
        <f t="shared" si="45"/>
        <v>83.736526706011674</v>
      </c>
      <c r="Y115" s="14">
        <f t="shared" si="46"/>
        <v>19.243455029857746</v>
      </c>
      <c r="Z115" s="14">
        <f t="shared" si="47"/>
        <v>-2.3715069262986979</v>
      </c>
      <c r="AA115" s="14">
        <f t="shared" si="48"/>
        <v>-7.442380747932003E-3</v>
      </c>
      <c r="AB115" s="23">
        <f t="shared" si="64"/>
        <v>-8.6318359484716378</v>
      </c>
      <c r="AC115" s="23">
        <f t="shared" si="65"/>
        <v>20.044561565703862</v>
      </c>
      <c r="AD115" s="14">
        <f t="shared" si="49"/>
        <v>1.897595582728175</v>
      </c>
      <c r="AE115" s="14">
        <f t="shared" si="50"/>
        <v>4.7645926808169183E-3</v>
      </c>
      <c r="AF115" s="14">
        <f t="shared" si="51"/>
        <v>2.8474343208618386E-2</v>
      </c>
      <c r="AG115" s="14">
        <f t="shared" si="52"/>
        <v>1.0726214943947495E-6</v>
      </c>
      <c r="AH115" s="14">
        <f t="shared" si="53"/>
        <v>-1.1388238288497121</v>
      </c>
      <c r="AI115" s="14">
        <f t="shared" si="54"/>
        <v>-1.715855597577658E-3</v>
      </c>
      <c r="AJ115" s="23">
        <f t="shared" si="66"/>
        <v>0.78724609708708115</v>
      </c>
      <c r="AK115" s="23">
        <f t="shared" si="67"/>
        <v>3.0498097047336548E-3</v>
      </c>
      <c r="AL115" s="14">
        <f t="shared" si="55"/>
        <v>0</v>
      </c>
      <c r="AM115" s="14">
        <f t="shared" si="56"/>
        <v>0</v>
      </c>
      <c r="AN115" s="14">
        <f t="shared" si="57"/>
        <v>0</v>
      </c>
      <c r="AO115" s="14">
        <f t="shared" si="58"/>
        <v>0</v>
      </c>
      <c r="AP115" s="23">
        <f t="shared" si="68"/>
        <v>0</v>
      </c>
      <c r="AQ115" s="23">
        <f t="shared" si="69"/>
        <v>0</v>
      </c>
    </row>
    <row r="116" spans="1:43" x14ac:dyDescent="0.25">
      <c r="H116" s="14">
        <v>2.13</v>
      </c>
      <c r="I116" s="36">
        <f t="shared" si="59"/>
        <v>1348.9628825916539</v>
      </c>
      <c r="J116" s="24">
        <f t="shared" si="60"/>
        <v>83.108312289576332</v>
      </c>
      <c r="K116" s="24">
        <f t="shared" si="61"/>
        <v>0.8715053784981508</v>
      </c>
      <c r="L116" s="14">
        <f t="shared" si="35"/>
        <v>0.67018069634200106</v>
      </c>
      <c r="M116" s="14">
        <f t="shared" si="36"/>
        <v>-7.8641561663899324</v>
      </c>
      <c r="N116" s="14">
        <f t="shared" si="37"/>
        <v>8.2075143853677868E-2</v>
      </c>
      <c r="O116" s="14">
        <f t="shared" si="38"/>
        <v>-80.643623098779543</v>
      </c>
      <c r="P116" s="14">
        <f t="shared" si="39"/>
        <v>-15.778936939444151</v>
      </c>
      <c r="Q116" s="14">
        <f t="shared" si="40"/>
        <v>-0.64386284288094675</v>
      </c>
      <c r="R116" s="14">
        <f t="shared" si="41"/>
        <v>-5.48447312795526E-4</v>
      </c>
      <c r="S116" s="23">
        <f t="shared" si="62"/>
        <v>-89.151642108050424</v>
      </c>
      <c r="T116" s="23">
        <f t="shared" si="63"/>
        <v>-19.173571954741124</v>
      </c>
      <c r="U116" s="14">
        <f t="shared" si="42"/>
        <v>20000</v>
      </c>
      <c r="V116" s="14">
        <f t="shared" si="43"/>
        <v>-89.996927300549075</v>
      </c>
      <c r="W116" s="14">
        <f t="shared" si="44"/>
        <v>-85.412050996096909</v>
      </c>
      <c r="X116" s="14">
        <f t="shared" si="45"/>
        <v>83.878005636635748</v>
      </c>
      <c r="Y116" s="14">
        <f t="shared" si="46"/>
        <v>19.441127800297174</v>
      </c>
      <c r="Z116" s="14">
        <f t="shared" si="47"/>
        <v>-2.4266811327008249</v>
      </c>
      <c r="AA116" s="14">
        <f t="shared" si="48"/>
        <v>-7.7928148455654201E-3</v>
      </c>
      <c r="AB116" s="23">
        <f t="shared" si="64"/>
        <v>-8.5456027966141512</v>
      </c>
      <c r="AC116" s="23">
        <f t="shared" si="65"/>
        <v>20.041883902634325</v>
      </c>
      <c r="AD116" s="14">
        <f t="shared" si="49"/>
        <v>1.9417628101663043</v>
      </c>
      <c r="AE116" s="14">
        <f t="shared" si="50"/>
        <v>4.9890120878289942E-3</v>
      </c>
      <c r="AF116" s="14">
        <f t="shared" si="51"/>
        <v>2.9137595752124146E-2</v>
      </c>
      <c r="AG116" s="14">
        <f t="shared" si="52"/>
        <v>1.1231725810614404E-6</v>
      </c>
      <c r="AH116" s="14">
        <f t="shared" si="53"/>
        <v>-1.1653432116775202</v>
      </c>
      <c r="AI116" s="14">
        <f t="shared" si="54"/>
        <v>-1.7967046554598959E-3</v>
      </c>
      <c r="AJ116" s="23">
        <f t="shared" si="66"/>
        <v>0.8055571942409081</v>
      </c>
      <c r="AK116" s="23">
        <f t="shared" si="67"/>
        <v>3.19343060495016E-3</v>
      </c>
      <c r="AL116" s="14">
        <f t="shared" si="55"/>
        <v>0</v>
      </c>
      <c r="AM116" s="14">
        <f t="shared" si="56"/>
        <v>0</v>
      </c>
      <c r="AN116" s="14">
        <f t="shared" si="57"/>
        <v>0</v>
      </c>
      <c r="AO116" s="14">
        <f t="shared" si="58"/>
        <v>0</v>
      </c>
      <c r="AP116" s="23">
        <f t="shared" si="68"/>
        <v>0</v>
      </c>
      <c r="AQ116" s="23">
        <f t="shared" si="69"/>
        <v>0</v>
      </c>
    </row>
    <row r="117" spans="1:43" x14ac:dyDescent="0.25">
      <c r="H117" s="14">
        <v>2.14</v>
      </c>
      <c r="I117" s="36">
        <f t="shared" si="59"/>
        <v>1380.3842646028861</v>
      </c>
      <c r="J117" s="24">
        <f t="shared" si="60"/>
        <v>82.80371378065756</v>
      </c>
      <c r="K117" s="24">
        <f t="shared" si="61"/>
        <v>0.67803872909830443</v>
      </c>
      <c r="L117" s="14">
        <f t="shared" si="35"/>
        <v>0.67018069634200106</v>
      </c>
      <c r="M117" s="14">
        <f t="shared" si="36"/>
        <v>-8.0449644813072023</v>
      </c>
      <c r="N117" s="14">
        <f t="shared" si="37"/>
        <v>8.5905215523466222E-2</v>
      </c>
      <c r="O117" s="14">
        <f t="shared" si="38"/>
        <v>-80.852959121041565</v>
      </c>
      <c r="P117" s="14">
        <f t="shared" si="39"/>
        <v>-15.973767623012476</v>
      </c>
      <c r="Q117" s="14">
        <f t="shared" si="40"/>
        <v>-0.65885902808138119</v>
      </c>
      <c r="R117" s="14">
        <f t="shared" si="41"/>
        <v>-5.7429312941748587E-4</v>
      </c>
      <c r="S117" s="23">
        <f t="shared" si="62"/>
        <v>-89.556782630430149</v>
      </c>
      <c r="T117" s="23">
        <f t="shared" si="63"/>
        <v>-19.364598412456282</v>
      </c>
      <c r="U117" s="14">
        <f t="shared" si="42"/>
        <v>20000</v>
      </c>
      <c r="V117" s="14">
        <f t="shared" si="43"/>
        <v>-89.99699724372762</v>
      </c>
      <c r="W117" s="14">
        <f t="shared" si="44"/>
        <v>-85.612050995534759</v>
      </c>
      <c r="X117" s="14">
        <f t="shared" si="45"/>
        <v>84.016336565503792</v>
      </c>
      <c r="Y117" s="14">
        <f t="shared" si="46"/>
        <v>19.638904148564581</v>
      </c>
      <c r="Z117" s="14">
        <f t="shared" si="47"/>
        <v>-2.4831358491817759</v>
      </c>
      <c r="AA117" s="14">
        <f t="shared" si="48"/>
        <v>-8.1597340888881053E-3</v>
      </c>
      <c r="AB117" s="23">
        <f t="shared" si="64"/>
        <v>-8.463796527405604</v>
      </c>
      <c r="AC117" s="23">
        <f t="shared" si="65"/>
        <v>20.039293332220559</v>
      </c>
      <c r="AD117" s="14">
        <f t="shared" si="49"/>
        <v>1.9869564343161947</v>
      </c>
      <c r="AE117" s="14">
        <f t="shared" si="50"/>
        <v>5.2239956268681047E-3</v>
      </c>
      <c r="AF117" s="14">
        <f t="shared" si="51"/>
        <v>2.9816297423920616E-2</v>
      </c>
      <c r="AG117" s="14">
        <f t="shared" si="52"/>
        <v>1.1761060670476121E-6</v>
      </c>
      <c r="AH117" s="14">
        <f t="shared" si="53"/>
        <v>-1.1924797932467939</v>
      </c>
      <c r="AI117" s="14">
        <f t="shared" si="54"/>
        <v>-1.8813623989084281E-3</v>
      </c>
      <c r="AJ117" s="23">
        <f t="shared" si="66"/>
        <v>0.8242929384933213</v>
      </c>
      <c r="AK117" s="23">
        <f t="shared" si="67"/>
        <v>3.3438093340267244E-3</v>
      </c>
      <c r="AL117" s="14">
        <f t="shared" si="55"/>
        <v>0</v>
      </c>
      <c r="AM117" s="14">
        <f t="shared" si="56"/>
        <v>0</v>
      </c>
      <c r="AN117" s="14">
        <f t="shared" si="57"/>
        <v>0</v>
      </c>
      <c r="AO117" s="14">
        <f t="shared" si="58"/>
        <v>0</v>
      </c>
      <c r="AP117" s="23">
        <f t="shared" si="68"/>
        <v>0</v>
      </c>
      <c r="AQ117" s="23">
        <f t="shared" si="69"/>
        <v>0</v>
      </c>
    </row>
    <row r="118" spans="1:43" x14ac:dyDescent="0.25">
      <c r="H118" s="14">
        <v>2.15</v>
      </c>
      <c r="I118" s="36">
        <f t="shared" si="59"/>
        <v>1412.5375446227542</v>
      </c>
      <c r="J118" s="24">
        <f t="shared" si="60"/>
        <v>82.495293020950143</v>
      </c>
      <c r="K118" s="24">
        <f t="shared" si="61"/>
        <v>0.48460967689310164</v>
      </c>
      <c r="L118" s="14">
        <f t="shared" si="35"/>
        <v>0.67018069634200106</v>
      </c>
      <c r="M118" s="14">
        <f t="shared" si="36"/>
        <v>-8.229817513882189</v>
      </c>
      <c r="N118" s="14">
        <f t="shared" si="37"/>
        <v>8.9912175899408336E-2</v>
      </c>
      <c r="O118" s="14">
        <f t="shared" si="38"/>
        <v>-81.057768345254203</v>
      </c>
      <c r="P118" s="14">
        <f t="shared" si="39"/>
        <v>-16.168825213735545</v>
      </c>
      <c r="Q118" s="14">
        <f t="shared" si="40"/>
        <v>-0.67420442584038465</v>
      </c>
      <c r="R118" s="14">
        <f t="shared" si="41"/>
        <v>-6.013568569934449E-4</v>
      </c>
      <c r="S118" s="23">
        <f t="shared" si="62"/>
        <v>-89.961790284976772</v>
      </c>
      <c r="T118" s="23">
        <f t="shared" si="63"/>
        <v>-19.555676106530985</v>
      </c>
      <c r="U118" s="14">
        <f t="shared" si="42"/>
        <v>20000</v>
      </c>
      <c r="V118" s="14">
        <f t="shared" si="43"/>
        <v>-89.997065594805051</v>
      </c>
      <c r="W118" s="14">
        <f t="shared" si="44"/>
        <v>-85.81205099499789</v>
      </c>
      <c r="X118" s="14">
        <f t="shared" si="45"/>
        <v>84.151586383350605</v>
      </c>
      <c r="Y118" s="14">
        <f t="shared" si="46"/>
        <v>19.836779514286576</v>
      </c>
      <c r="Z118" s="14">
        <f t="shared" si="47"/>
        <v>-2.5409005700541312</v>
      </c>
      <c r="AA118" s="14">
        <f t="shared" si="48"/>
        <v>-8.5439124807768167E-3</v>
      </c>
      <c r="AB118" s="23">
        <f t="shared" si="64"/>
        <v>-8.3863797815085768</v>
      </c>
      <c r="AC118" s="23">
        <f t="shared" si="65"/>
        <v>20.036784520087533</v>
      </c>
      <c r="AD118" s="14">
        <f t="shared" si="49"/>
        <v>2.0332001923621004</v>
      </c>
      <c r="AE118" s="14">
        <f t="shared" si="50"/>
        <v>5.470039972509692E-3</v>
      </c>
      <c r="AF118" s="14">
        <f t="shared" si="51"/>
        <v>3.0510808079855452E-2</v>
      </c>
      <c r="AG118" s="14">
        <f t="shared" si="52"/>
        <v>1.2315342289407206E-6</v>
      </c>
      <c r="AH118" s="14">
        <f t="shared" si="53"/>
        <v>-1.2202479130064618</v>
      </c>
      <c r="AI118" s="14">
        <f t="shared" si="54"/>
        <v>-1.9700081701849643E-3</v>
      </c>
      <c r="AJ118" s="23">
        <f t="shared" si="66"/>
        <v>0.84346308743549403</v>
      </c>
      <c r="AK118" s="23">
        <f t="shared" si="67"/>
        <v>3.5012633365536683E-3</v>
      </c>
      <c r="AL118" s="14">
        <f t="shared" si="55"/>
        <v>0</v>
      </c>
      <c r="AM118" s="14">
        <f t="shared" si="56"/>
        <v>0</v>
      </c>
      <c r="AN118" s="14">
        <f t="shared" si="57"/>
        <v>0</v>
      </c>
      <c r="AO118" s="14">
        <f t="shared" si="58"/>
        <v>0</v>
      </c>
      <c r="AP118" s="23">
        <f t="shared" si="68"/>
        <v>0</v>
      </c>
      <c r="AQ118" s="23">
        <f t="shared" si="69"/>
        <v>0</v>
      </c>
    </row>
    <row r="119" spans="1:43" x14ac:dyDescent="0.25">
      <c r="H119" s="14">
        <v>2.16</v>
      </c>
      <c r="I119" s="36">
        <f t="shared" si="59"/>
        <v>1445.4397707459284</v>
      </c>
      <c r="J119" s="24">
        <f t="shared" si="60"/>
        <v>82.182917086876202</v>
      </c>
      <c r="K119" s="24">
        <f t="shared" si="61"/>
        <v>0.29123103605132805</v>
      </c>
      <c r="L119" s="14">
        <f t="shared" si="35"/>
        <v>0.67018069634200106</v>
      </c>
      <c r="M119" s="14">
        <f t="shared" si="36"/>
        <v>-8.4187978745558567</v>
      </c>
      <c r="N119" s="14">
        <f t="shared" si="37"/>
        <v>9.4104019843198577E-2</v>
      </c>
      <c r="O119" s="14">
        <f t="shared" si="38"/>
        <v>-81.258138417311827</v>
      </c>
      <c r="P119" s="14">
        <f t="shared" si="39"/>
        <v>-16.364099993124665</v>
      </c>
      <c r="Q119" s="14">
        <f t="shared" si="40"/>
        <v>-0.68990716367990612</v>
      </c>
      <c r="R119" s="14">
        <f t="shared" si="41"/>
        <v>-6.2969587799470612E-4</v>
      </c>
      <c r="S119" s="23">
        <f t="shared" si="62"/>
        <v>-90.366843455547595</v>
      </c>
      <c r="T119" s="23">
        <f t="shared" si="63"/>
        <v>-19.746787380997315</v>
      </c>
      <c r="U119" s="14">
        <f t="shared" si="42"/>
        <v>20000</v>
      </c>
      <c r="V119" s="14">
        <f t="shared" si="43"/>
        <v>-89.997132390022017</v>
      </c>
      <c r="W119" s="14">
        <f t="shared" si="44"/>
        <v>-86.012050994485193</v>
      </c>
      <c r="X119" s="14">
        <f t="shared" si="45"/>
        <v>84.283820768992285</v>
      </c>
      <c r="Y119" s="14">
        <f t="shared" si="46"/>
        <v>20.034749533557736</v>
      </c>
      <c r="Z119" s="14">
        <f t="shared" si="47"/>
        <v>-2.6000054529568546</v>
      </c>
      <c r="AA119" s="14">
        <f t="shared" si="48"/>
        <v>-8.9461602210337832E-3</v>
      </c>
      <c r="AB119" s="23">
        <f t="shared" si="64"/>
        <v>-8.3133170739865854</v>
      </c>
      <c r="AC119" s="23">
        <f t="shared" si="65"/>
        <v>20.034352292131135</v>
      </c>
      <c r="AD119" s="14">
        <f t="shared" si="49"/>
        <v>2.0805183622261785</v>
      </c>
      <c r="AE119" s="14">
        <f t="shared" si="50"/>
        <v>5.7276650915488682E-3</v>
      </c>
      <c r="AF119" s="14">
        <f t="shared" si="51"/>
        <v>3.1221495957854645E-2</v>
      </c>
      <c r="AG119" s="14">
        <f t="shared" si="52"/>
        <v>1.2895746413375843E-6</v>
      </c>
      <c r="AH119" s="14">
        <f t="shared" si="53"/>
        <v>-1.2486622417736586</v>
      </c>
      <c r="AI119" s="14">
        <f t="shared" si="54"/>
        <v>-2.0628297486827169E-3</v>
      </c>
      <c r="AJ119" s="23">
        <f t="shared" si="66"/>
        <v>0.86307761641037462</v>
      </c>
      <c r="AK119" s="23">
        <f t="shared" si="67"/>
        <v>3.666124917507489E-3</v>
      </c>
      <c r="AL119" s="14">
        <f t="shared" si="55"/>
        <v>0</v>
      </c>
      <c r="AM119" s="14">
        <f t="shared" si="56"/>
        <v>0</v>
      </c>
      <c r="AN119" s="14">
        <f t="shared" si="57"/>
        <v>0</v>
      </c>
      <c r="AO119" s="14">
        <f t="shared" si="58"/>
        <v>0</v>
      </c>
      <c r="AP119" s="23">
        <f t="shared" si="68"/>
        <v>0</v>
      </c>
      <c r="AQ119" s="23">
        <f t="shared" si="69"/>
        <v>0</v>
      </c>
    </row>
    <row r="120" spans="1:43" x14ac:dyDescent="0.25">
      <c r="H120" s="14">
        <v>2.17</v>
      </c>
      <c r="I120" s="36">
        <f t="shared" si="59"/>
        <v>1479.1083881682084</v>
      </c>
      <c r="J120" s="24">
        <f t="shared" si="60"/>
        <v>81.866451095062359</v>
      </c>
      <c r="K120" s="24">
        <f t="shared" si="61"/>
        <v>9.791573353532837E-2</v>
      </c>
      <c r="L120" s="14">
        <f t="shared" si="35"/>
        <v>0.67018069634200106</v>
      </c>
      <c r="M120" s="14">
        <f t="shared" si="36"/>
        <v>-8.6119893073584119</v>
      </c>
      <c r="N120" s="14">
        <f t="shared" si="37"/>
        <v>9.8489087101532646E-2</v>
      </c>
      <c r="O120" s="14">
        <f t="shared" si="38"/>
        <v>-81.454155962079696</v>
      </c>
      <c r="P120" s="14">
        <f t="shared" si="39"/>
        <v>-16.559582638135307</v>
      </c>
      <c r="Q120" s="14">
        <f t="shared" si="40"/>
        <v>-0.70597555795835021</v>
      </c>
      <c r="R120" s="14">
        <f t="shared" si="41"/>
        <v>-6.5937027771252946E-4</v>
      </c>
      <c r="S120" s="23">
        <f t="shared" si="62"/>
        <v>-90.772120827396463</v>
      </c>
      <c r="T120" s="23">
        <f t="shared" si="63"/>
        <v>-19.937914633149344</v>
      </c>
      <c r="U120" s="14">
        <f t="shared" si="42"/>
        <v>20000</v>
      </c>
      <c r="V120" s="14">
        <f t="shared" si="43"/>
        <v>-89.997197664794214</v>
      </c>
      <c r="W120" s="14">
        <f t="shared" si="44"/>
        <v>-86.212050993995575</v>
      </c>
      <c r="X120" s="14">
        <f t="shared" si="45"/>
        <v>84.413104196970906</v>
      </c>
      <c r="Y120" s="14">
        <f t="shared" si="46"/>
        <v>20.232810030853035</v>
      </c>
      <c r="Z120" s="14">
        <f t="shared" si="47"/>
        <v>-2.6604813326247316</v>
      </c>
      <c r="AA120" s="14">
        <f t="shared" si="48"/>
        <v>-9.3673253853373377E-3</v>
      </c>
      <c r="AB120" s="23">
        <f t="shared" si="64"/>
        <v>-8.2445748004480404</v>
      </c>
      <c r="AC120" s="23">
        <f t="shared" si="65"/>
        <v>20.031991624751747</v>
      </c>
      <c r="AD120" s="14">
        <f t="shared" si="49"/>
        <v>2.1289357742974375</v>
      </c>
      <c r="AE120" s="14">
        <f t="shared" si="50"/>
        <v>5.9974153296435562E-3</v>
      </c>
      <c r="AF120" s="14">
        <f t="shared" si="51"/>
        <v>3.1948737873162852E-2</v>
      </c>
      <c r="AG120" s="14">
        <f t="shared" si="52"/>
        <v>1.3503504121397337E-6</v>
      </c>
      <c r="AH120" s="14">
        <f t="shared" si="53"/>
        <v>-1.2777377892637445</v>
      </c>
      <c r="AI120" s="14">
        <f t="shared" si="54"/>
        <v>-2.16002374713045E-3</v>
      </c>
      <c r="AJ120" s="23">
        <f t="shared" si="66"/>
        <v>0.88314672290685592</v>
      </c>
      <c r="AK120" s="23">
        <f t="shared" si="67"/>
        <v>3.8387419329252463E-3</v>
      </c>
      <c r="AL120" s="14">
        <f t="shared" si="55"/>
        <v>0</v>
      </c>
      <c r="AM120" s="14">
        <f t="shared" si="56"/>
        <v>0</v>
      </c>
      <c r="AN120" s="14">
        <f t="shared" si="57"/>
        <v>0</v>
      </c>
      <c r="AO120" s="14">
        <f t="shared" si="58"/>
        <v>0</v>
      </c>
      <c r="AP120" s="23">
        <f t="shared" si="68"/>
        <v>0</v>
      </c>
      <c r="AQ120" s="23">
        <f t="shared" si="69"/>
        <v>0</v>
      </c>
    </row>
    <row r="121" spans="1:43" x14ac:dyDescent="0.25">
      <c r="H121" s="14">
        <v>2.1800000000000002</v>
      </c>
      <c r="I121" s="36">
        <f t="shared" si="59"/>
        <v>1513.5612484362091</v>
      </c>
      <c r="J121" s="24">
        <f t="shared" si="60"/>
        <v>81.545758258848466</v>
      </c>
      <c r="K121" s="24">
        <f t="shared" si="61"/>
        <v>-9.5323172223638453E-2</v>
      </c>
      <c r="L121" s="14">
        <f t="shared" si="35"/>
        <v>0.67018069634200106</v>
      </c>
      <c r="M121" s="14">
        <f t="shared" si="36"/>
        <v>-8.8094766643708251</v>
      </c>
      <c r="N121" s="14">
        <f t="shared" si="37"/>
        <v>0.10307607563463472</v>
      </c>
      <c r="O121" s="14">
        <f t="shared" si="38"/>
        <v>-81.645906547234731</v>
      </c>
      <c r="P121" s="14">
        <f t="shared" si="39"/>
        <v>-16.755264206872393</v>
      </c>
      <c r="Q121" s="14">
        <f t="shared" si="40"/>
        <v>-0.72241811823499347</v>
      </c>
      <c r="R121" s="14">
        <f t="shared" si="41"/>
        <v>-6.9044297148574047E-4</v>
      </c>
      <c r="S121" s="23">
        <f t="shared" si="62"/>
        <v>-91.177801329840548</v>
      </c>
      <c r="T121" s="23">
        <f t="shared" si="63"/>
        <v>-20.1290402860471</v>
      </c>
      <c r="U121" s="14">
        <f t="shared" si="42"/>
        <v>20000</v>
      </c>
      <c r="V121" s="14">
        <f t="shared" si="43"/>
        <v>-89.997261453731227</v>
      </c>
      <c r="W121" s="14">
        <f t="shared" si="44"/>
        <v>-86.41205099352797</v>
      </c>
      <c r="X121" s="14">
        <f t="shared" si="45"/>
        <v>84.539499946271803</v>
      </c>
      <c r="Y121" s="14">
        <f t="shared" si="46"/>
        <v>20.430957011240295</v>
      </c>
      <c r="Z121" s="14">
        <f t="shared" si="47"/>
        <v>-2.7223597348598512</v>
      </c>
      <c r="AA121" s="14">
        <f t="shared" si="48"/>
        <v>-9.8082956807414249E-3</v>
      </c>
      <c r="AB121" s="23">
        <f t="shared" si="64"/>
        <v>-8.1801212423192737</v>
      </c>
      <c r="AC121" s="23">
        <f t="shared" si="65"/>
        <v>20.029697635311209</v>
      </c>
      <c r="AD121" s="14">
        <f t="shared" si="49"/>
        <v>2.1784778233724635</v>
      </c>
      <c r="AE121" s="14">
        <f t="shared" si="50"/>
        <v>6.2798605480920726E-3</v>
      </c>
      <c r="AF121" s="14">
        <f t="shared" si="51"/>
        <v>3.2692919418131947E-2</v>
      </c>
      <c r="AG121" s="14">
        <f t="shared" si="52"/>
        <v>1.4139904564218034E-6</v>
      </c>
      <c r="AH121" s="14">
        <f t="shared" si="53"/>
        <v>-1.3074899117823036</v>
      </c>
      <c r="AI121" s="14">
        <f t="shared" si="54"/>
        <v>-2.2617960262950607E-3</v>
      </c>
      <c r="AJ121" s="23">
        <f t="shared" si="66"/>
        <v>0.90368083100829177</v>
      </c>
      <c r="AK121" s="23">
        <f t="shared" si="67"/>
        <v>4.0194785122534341E-3</v>
      </c>
      <c r="AL121" s="14">
        <f t="shared" si="55"/>
        <v>0</v>
      </c>
      <c r="AM121" s="14">
        <f t="shared" si="56"/>
        <v>0</v>
      </c>
      <c r="AN121" s="14">
        <f t="shared" si="57"/>
        <v>0</v>
      </c>
      <c r="AO121" s="14">
        <f t="shared" si="58"/>
        <v>0</v>
      </c>
      <c r="AP121" s="23">
        <f t="shared" si="68"/>
        <v>0</v>
      </c>
      <c r="AQ121" s="23">
        <f t="shared" si="69"/>
        <v>0</v>
      </c>
    </row>
    <row r="122" spans="1:43" x14ac:dyDescent="0.25">
      <c r="A122" t="s">
        <v>480</v>
      </c>
      <c r="H122" s="14">
        <v>2.19</v>
      </c>
      <c r="I122" s="36">
        <f t="shared" si="59"/>
        <v>1548.816618912482</v>
      </c>
      <c r="J122" s="24">
        <f t="shared" si="60"/>
        <v>81.22069994509441</v>
      </c>
      <c r="K122" s="24">
        <f t="shared" si="61"/>
        <v>-0.28847247240248225</v>
      </c>
      <c r="L122" s="14">
        <f t="shared" si="35"/>
        <v>0.67018069634200106</v>
      </c>
      <c r="M122" s="14">
        <f t="shared" si="36"/>
        <v>-9.0113458764080576</v>
      </c>
      <c r="N122" s="14">
        <f t="shared" si="37"/>
        <v>0.10787405531234548</v>
      </c>
      <c r="O122" s="14">
        <f t="shared" si="38"/>
        <v>-81.833474651315328</v>
      </c>
      <c r="P122" s="14">
        <f t="shared" si="39"/>
        <v>-16.951136124654049</v>
      </c>
      <c r="Q122" s="14">
        <f t="shared" si="40"/>
        <v>-0.739243551733611</v>
      </c>
      <c r="R122" s="14">
        <f t="shared" si="41"/>
        <v>-7.229798379221478E-4</v>
      </c>
      <c r="S122" s="23">
        <f t="shared" si="62"/>
        <v>-91.584064079456994</v>
      </c>
      <c r="T122" s="23">
        <f t="shared" si="63"/>
        <v>-20.32014676101748</v>
      </c>
      <c r="U122" s="14">
        <f t="shared" si="42"/>
        <v>20000</v>
      </c>
      <c r="V122" s="14">
        <f t="shared" si="43"/>
        <v>-89.997323790654747</v>
      </c>
      <c r="W122" s="14">
        <f t="shared" si="44"/>
        <v>-86.612050993081425</v>
      </c>
      <c r="X122" s="14">
        <f t="shared" si="45"/>
        <v>84.663070110014374</v>
      </c>
      <c r="Y122" s="14">
        <f t="shared" si="46"/>
        <v>20.629186652884187</v>
      </c>
      <c r="Z122" s="14">
        <f t="shared" si="47"/>
        <v>-2.7856728907014534</v>
      </c>
      <c r="AA122" s="14">
        <f t="shared" si="48"/>
        <v>-1.0270000281066033E-2</v>
      </c>
      <c r="AB122" s="23">
        <f t="shared" si="64"/>
        <v>-8.1199265713418267</v>
      </c>
      <c r="AC122" s="23">
        <f t="shared" si="65"/>
        <v>20.027465572801322</v>
      </c>
      <c r="AD122" s="14">
        <f t="shared" si="49"/>
        <v>2.2291704808084556</v>
      </c>
      <c r="AE122" s="14">
        <f t="shared" si="50"/>
        <v>6.5755973130135984E-3</v>
      </c>
      <c r="AF122" s="14">
        <f t="shared" si="51"/>
        <v>3.3454435166662529E-2</v>
      </c>
      <c r="AG122" s="14">
        <f t="shared" si="52"/>
        <v>1.4806297625852492E-6</v>
      </c>
      <c r="AH122" s="14">
        <f t="shared" si="53"/>
        <v>-1.3379343200818927</v>
      </c>
      <c r="AI122" s="14">
        <f t="shared" si="54"/>
        <v>-2.3683621291011141E-3</v>
      </c>
      <c r="AJ122" s="23">
        <f t="shared" si="66"/>
        <v>0.92469059589322544</v>
      </c>
      <c r="AK122" s="23">
        <f t="shared" si="67"/>
        <v>4.2087158136750692E-3</v>
      </c>
      <c r="AL122" s="14">
        <f t="shared" si="55"/>
        <v>0</v>
      </c>
      <c r="AM122" s="14">
        <f t="shared" si="56"/>
        <v>0</v>
      </c>
      <c r="AN122" s="14">
        <f t="shared" si="57"/>
        <v>0</v>
      </c>
      <c r="AO122" s="14">
        <f t="shared" si="58"/>
        <v>0</v>
      </c>
      <c r="AP122" s="23">
        <f t="shared" si="68"/>
        <v>0</v>
      </c>
      <c r="AQ122" s="23">
        <f t="shared" si="69"/>
        <v>0</v>
      </c>
    </row>
    <row r="123" spans="1:43" x14ac:dyDescent="0.25">
      <c r="H123" s="14">
        <v>2.2000000000000002</v>
      </c>
      <c r="I123" s="36">
        <f t="shared" si="59"/>
        <v>1584.8931924611154</v>
      </c>
      <c r="J123" s="24">
        <f t="shared" si="60"/>
        <v>80.891135731711103</v>
      </c>
      <c r="K123" s="24">
        <f t="shared" si="61"/>
        <v>-0.48151878863656422</v>
      </c>
      <c r="L123" s="14">
        <f t="shared" si="35"/>
        <v>0.67018069634200106</v>
      </c>
      <c r="M123" s="14">
        <f t="shared" si="36"/>
        <v>-9.2176839196682891</v>
      </c>
      <c r="N123" s="14">
        <f t="shared" si="37"/>
        <v>0.11289248197300457</v>
      </c>
      <c r="O123" s="14">
        <f t="shared" si="38"/>
        <v>-82.016943635716984</v>
      </c>
      <c r="P123" s="14">
        <f t="shared" si="39"/>
        <v>-17.147190170440012</v>
      </c>
      <c r="Q123" s="14">
        <f t="shared" si="40"/>
        <v>-0.75646076790746342</v>
      </c>
      <c r="R123" s="14">
        <f t="shared" si="41"/>
        <v>-7.5704985836894697E-4</v>
      </c>
      <c r="S123" s="23">
        <f t="shared" si="62"/>
        <v>-91.991088323292743</v>
      </c>
      <c r="T123" s="23">
        <f t="shared" si="63"/>
        <v>-20.511216450163232</v>
      </c>
      <c r="U123" s="14">
        <f t="shared" si="42"/>
        <v>20000</v>
      </c>
      <c r="V123" s="14">
        <f t="shared" si="43"/>
        <v>-89.997384708616664</v>
      </c>
      <c r="W123" s="14">
        <f t="shared" si="44"/>
        <v>-86.812050992654989</v>
      </c>
      <c r="X123" s="14">
        <f t="shared" si="45"/>
        <v>84.783875606024495</v>
      </c>
      <c r="Y123" s="14">
        <f t="shared" si="46"/>
        <v>20.82749529983376</v>
      </c>
      <c r="Z123" s="14">
        <f t="shared" si="47"/>
        <v>-2.8504537507899301</v>
      </c>
      <c r="AA123" s="14">
        <f t="shared" si="48"/>
        <v>-1.0753411745703935E-2</v>
      </c>
      <c r="AB123" s="23">
        <f t="shared" si="64"/>
        <v>-8.0639628533820993</v>
      </c>
      <c r="AC123" s="23">
        <f t="shared" si="65"/>
        <v>20.025290808712693</v>
      </c>
      <c r="AD123" s="14">
        <f t="shared" si="49"/>
        <v>2.2810403068889129</v>
      </c>
      <c r="AE123" s="14">
        <f t="shared" si="50"/>
        <v>6.8852501393177161E-3</v>
      </c>
      <c r="AF123" s="14">
        <f t="shared" si="51"/>
        <v>3.4233688883407588E-2</v>
      </c>
      <c r="AG123" s="14">
        <f t="shared" si="52"/>
        <v>1.550409679727202E-6</v>
      </c>
      <c r="AH123" s="14">
        <f t="shared" si="53"/>
        <v>-1.369087087386383</v>
      </c>
      <c r="AI123" s="14">
        <f t="shared" si="54"/>
        <v>-2.4799477350228014E-3</v>
      </c>
      <c r="AJ123" s="23">
        <f t="shared" si="66"/>
        <v>0.94618690838593755</v>
      </c>
      <c r="AK123" s="23">
        <f t="shared" si="67"/>
        <v>4.4068528139746422E-3</v>
      </c>
      <c r="AL123" s="14">
        <f t="shared" si="55"/>
        <v>0</v>
      </c>
      <c r="AM123" s="14">
        <f t="shared" si="56"/>
        <v>0</v>
      </c>
      <c r="AN123" s="14">
        <f t="shared" si="57"/>
        <v>0</v>
      </c>
      <c r="AO123" s="14">
        <f t="shared" si="58"/>
        <v>0</v>
      </c>
      <c r="AP123" s="23">
        <f t="shared" si="68"/>
        <v>0</v>
      </c>
      <c r="AQ123" s="23">
        <f t="shared" si="69"/>
        <v>0</v>
      </c>
    </row>
    <row r="124" spans="1:43" x14ac:dyDescent="0.25">
      <c r="A124" s="262" t="s">
        <v>474</v>
      </c>
      <c r="B124">
        <v>1.2</v>
      </c>
      <c r="C124" t="s">
        <v>23</v>
      </c>
      <c r="H124" s="14">
        <v>2.21</v>
      </c>
      <c r="I124" s="36">
        <f t="shared" si="59"/>
        <v>1621.8100973589303</v>
      </c>
      <c r="J124" s="24">
        <f t="shared" si="60"/>
        <v>80.556923466349019</v>
      </c>
      <c r="K124" s="24">
        <f t="shared" si="61"/>
        <v>-0.67444855366529011</v>
      </c>
      <c r="L124" s="14">
        <f t="shared" si="35"/>
        <v>0.67018069634200106</v>
      </c>
      <c r="M124" s="14">
        <f t="shared" si="36"/>
        <v>-9.4285787780807109</v>
      </c>
      <c r="N124" s="14">
        <f t="shared" si="37"/>
        <v>0.11814121183836306</v>
      </c>
      <c r="O124" s="14">
        <f t="shared" si="38"/>
        <v>-82.196395720381673</v>
      </c>
      <c r="P124" s="14">
        <f t="shared" si="39"/>
        <v>-17.343418463628801</v>
      </c>
      <c r="Q124" s="14">
        <f t="shared" si="40"/>
        <v>-0.77407888310780837</v>
      </c>
      <c r="R124" s="14">
        <f t="shared" si="41"/>
        <v>-7.9272526294499692E-4</v>
      </c>
      <c r="S124" s="23">
        <f t="shared" si="62"/>
        <v>-92.399053381570184</v>
      </c>
      <c r="T124" s="23">
        <f t="shared" si="63"/>
        <v>-20.702231688891235</v>
      </c>
      <c r="U124" s="14">
        <f t="shared" si="42"/>
        <v>20000</v>
      </c>
      <c r="V124" s="14">
        <f t="shared" si="43"/>
        <v>-89.997444239916476</v>
      </c>
      <c r="W124" s="14">
        <f t="shared" si="44"/>
        <v>-87.012050992247737</v>
      </c>
      <c r="X124" s="14">
        <f t="shared" si="45"/>
        <v>84.901976188201544</v>
      </c>
      <c r="Y124" s="14">
        <f t="shared" si="46"/>
        <v>21.025879455085139</v>
      </c>
      <c r="Z124" s="14">
        <f t="shared" si="47"/>
        <v>-2.9167359999199736</v>
      </c>
      <c r="AA124" s="14">
        <f t="shared" si="48"/>
        <v>-1.1259548025440559E-2</v>
      </c>
      <c r="AB124" s="23">
        <f t="shared" si="64"/>
        <v>-8.0122040516349049</v>
      </c>
      <c r="AC124" s="23">
        <f t="shared" si="65"/>
        <v>20.023168828091588</v>
      </c>
      <c r="AD124" s="14">
        <f t="shared" si="49"/>
        <v>2.3341144634019408</v>
      </c>
      <c r="AE124" s="14">
        <f t="shared" si="50"/>
        <v>7.2094727918581335E-3</v>
      </c>
      <c r="AF124" s="14">
        <f t="shared" si="51"/>
        <v>3.5031093737848483E-2</v>
      </c>
      <c r="AG124" s="14">
        <f t="shared" si="52"/>
        <v>1.6234782242958011E-6</v>
      </c>
      <c r="AH124" s="14">
        <f t="shared" si="53"/>
        <v>-1.4009646575856762</v>
      </c>
      <c r="AI124" s="14">
        <f t="shared" si="54"/>
        <v>-2.5967891357258251E-3</v>
      </c>
      <c r="AJ124" s="23">
        <f t="shared" si="66"/>
        <v>0.96818089955411324</v>
      </c>
      <c r="AK124" s="23">
        <f t="shared" si="67"/>
        <v>4.6143071343566046E-3</v>
      </c>
      <c r="AL124" s="14">
        <f t="shared" si="55"/>
        <v>0</v>
      </c>
      <c r="AM124" s="14">
        <f t="shared" si="56"/>
        <v>0</v>
      </c>
      <c r="AN124" s="14">
        <f t="shared" si="57"/>
        <v>0</v>
      </c>
      <c r="AO124" s="14">
        <f t="shared" si="58"/>
        <v>0</v>
      </c>
      <c r="AP124" s="23">
        <f t="shared" si="68"/>
        <v>0</v>
      </c>
      <c r="AQ124" s="23">
        <f t="shared" si="69"/>
        <v>0</v>
      </c>
    </row>
    <row r="125" spans="1:43" x14ac:dyDescent="0.25">
      <c r="A125" s="262" t="s">
        <v>473</v>
      </c>
      <c r="B125">
        <v>2.6</v>
      </c>
      <c r="C125" t="s">
        <v>23</v>
      </c>
      <c r="H125" s="14">
        <v>2.2200000000000002</v>
      </c>
      <c r="I125" s="36">
        <f t="shared" si="59"/>
        <v>1659.5869074375623</v>
      </c>
      <c r="J125" s="24">
        <f t="shared" si="60"/>
        <v>80.21791932668242</v>
      </c>
      <c r="K125" s="24">
        <f t="shared" si="61"/>
        <v>-0.86724799179486989</v>
      </c>
      <c r="L125" s="14">
        <f t="shared" si="35"/>
        <v>0.67018069634200106</v>
      </c>
      <c r="M125" s="14">
        <f t="shared" si="36"/>
        <v>-9.6441194010732705</v>
      </c>
      <c r="N125" s="14">
        <f t="shared" si="37"/>
        <v>0.12363051627566821</v>
      </c>
      <c r="O125" s="14">
        <f t="shared" si="38"/>
        <v>-82.3719119629408</v>
      </c>
      <c r="P125" s="14">
        <f t="shared" si="39"/>
        <v>-17.539813451226223</v>
      </c>
      <c r="Q125" s="14">
        <f t="shared" si="40"/>
        <v>-0.79210722535816813</v>
      </c>
      <c r="R125" s="14">
        <f t="shared" si="41"/>
        <v>-8.3008168344387298E-4</v>
      </c>
      <c r="S125" s="23">
        <f t="shared" si="62"/>
        <v>-92.808138589372234</v>
      </c>
      <c r="T125" s="23">
        <f t="shared" si="63"/>
        <v>-20.893174728471852</v>
      </c>
      <c r="U125" s="14">
        <f t="shared" si="42"/>
        <v>20000</v>
      </c>
      <c r="V125" s="14">
        <f t="shared" si="43"/>
        <v>-89.997502416118479</v>
      </c>
      <c r="W125" s="14">
        <f t="shared" si="44"/>
        <v>-87.212050991858817</v>
      </c>
      <c r="X125" s="14">
        <f t="shared" si="45"/>
        <v>85.017430458599733</v>
      </c>
      <c r="Y125" s="14">
        <f t="shared" si="46"/>
        <v>21.224335773911406</v>
      </c>
      <c r="Z125" s="14">
        <f t="shared" si="47"/>
        <v>-2.9845540717771986</v>
      </c>
      <c r="AA125" s="14">
        <f t="shared" si="48"/>
        <v>-1.1789474559118567E-2</v>
      </c>
      <c r="AB125" s="23">
        <f t="shared" si="64"/>
        <v>-7.9646260292959443</v>
      </c>
      <c r="AC125" s="23">
        <f t="shared" si="65"/>
        <v>20.021095220773095</v>
      </c>
      <c r="AD125" s="14">
        <f t="shared" si="49"/>
        <v>2.3884207264308697</v>
      </c>
      <c r="AE125" s="14">
        <f t="shared" si="50"/>
        <v>7.5489496464163858E-3</v>
      </c>
      <c r="AF125" s="14">
        <f t="shared" si="51"/>
        <v>3.5847072523357754E-2</v>
      </c>
      <c r="AG125" s="14">
        <f t="shared" si="52"/>
        <v>1.6999903809594887E-6</v>
      </c>
      <c r="AH125" s="14">
        <f t="shared" si="53"/>
        <v>-1.4335838536036307</v>
      </c>
      <c r="AI125" s="14">
        <f t="shared" si="54"/>
        <v>-2.7191337329101417E-3</v>
      </c>
      <c r="AJ125" s="23">
        <f t="shared" si="66"/>
        <v>0.9906839453505969</v>
      </c>
      <c r="AK125" s="23">
        <f t="shared" si="67"/>
        <v>4.8315159038872036E-3</v>
      </c>
      <c r="AL125" s="14">
        <f t="shared" si="55"/>
        <v>0</v>
      </c>
      <c r="AM125" s="14">
        <f t="shared" si="56"/>
        <v>0</v>
      </c>
      <c r="AN125" s="14">
        <f t="shared" si="57"/>
        <v>0</v>
      </c>
      <c r="AO125" s="14">
        <f t="shared" si="58"/>
        <v>0</v>
      </c>
      <c r="AP125" s="23">
        <f t="shared" si="68"/>
        <v>0</v>
      </c>
      <c r="AQ125" s="23">
        <f t="shared" si="69"/>
        <v>0</v>
      </c>
    </row>
    <row r="126" spans="1:43" x14ac:dyDescent="0.25">
      <c r="A126" s="262" t="s">
        <v>475</v>
      </c>
      <c r="B126">
        <v>104</v>
      </c>
      <c r="C126" t="s">
        <v>169</v>
      </c>
      <c r="H126" s="14">
        <v>2.23</v>
      </c>
      <c r="I126" s="36">
        <f t="shared" si="59"/>
        <v>1698.2436524617444</v>
      </c>
      <c r="J126" s="24">
        <f t="shared" si="60"/>
        <v>79.873977882735716</v>
      </c>
      <c r="K126" s="24">
        <f t="shared" si="61"/>
        <v>-1.0599030992011746</v>
      </c>
      <c r="L126" s="14">
        <f t="shared" si="35"/>
        <v>0.67018069634200106</v>
      </c>
      <c r="M126" s="14">
        <f t="shared" si="36"/>
        <v>-9.8643956564697142</v>
      </c>
      <c r="N126" s="14">
        <f t="shared" si="37"/>
        <v>0.12937109689565007</v>
      </c>
      <c r="O126" s="14">
        <f t="shared" si="38"/>
        <v>-82.543572241081577</v>
      </c>
      <c r="P126" s="14">
        <f t="shared" si="39"/>
        <v>-17.736367895385957</v>
      </c>
      <c r="Q126" s="14">
        <f t="shared" si="40"/>
        <v>-0.8105553392365672</v>
      </c>
      <c r="R126" s="14">
        <f t="shared" si="41"/>
        <v>-8.691983134048643E-4</v>
      </c>
      <c r="S126" s="23">
        <f t="shared" si="62"/>
        <v>-93.21852323678786</v>
      </c>
      <c r="T126" s="23">
        <f t="shared" si="63"/>
        <v>-21.084027708641568</v>
      </c>
      <c r="U126" s="14">
        <f t="shared" si="42"/>
        <v>20000</v>
      </c>
      <c r="V126" s="14">
        <f t="shared" si="43"/>
        <v>-89.997559268068443</v>
      </c>
      <c r="W126" s="14">
        <f t="shared" si="44"/>
        <v>-87.412050991487405</v>
      </c>
      <c r="X126" s="14">
        <f t="shared" si="45"/>
        <v>85.13029588014777</v>
      </c>
      <c r="Y126" s="14">
        <f t="shared" si="46"/>
        <v>21.42286105745103</v>
      </c>
      <c r="Z126" s="14">
        <f t="shared" si="47"/>
        <v>-3.053943163851577</v>
      </c>
      <c r="AA126" s="14">
        <f t="shared" si="48"/>
        <v>-1.2344306465010498E-2</v>
      </c>
      <c r="AB126" s="23">
        <f t="shared" si="64"/>
        <v>-7.9212065517722499</v>
      </c>
      <c r="AC126" s="23">
        <f t="shared" si="65"/>
        <v>20.01906567277824</v>
      </c>
      <c r="AD126" s="14">
        <f t="shared" si="49"/>
        <v>2.4439874993563651</v>
      </c>
      <c r="AE126" s="14">
        <f t="shared" si="50"/>
        <v>7.9043971131084675E-3</v>
      </c>
      <c r="AF126" s="14">
        <f t="shared" si="51"/>
        <v>3.6682057881363347E-2</v>
      </c>
      <c r="AG126" s="14">
        <f t="shared" si="52"/>
        <v>1.7801084420493147E-6</v>
      </c>
      <c r="AH126" s="14">
        <f t="shared" si="53"/>
        <v>-1.4669618859419051</v>
      </c>
      <c r="AI126" s="14">
        <f t="shared" si="54"/>
        <v>-2.8472405593973431E-3</v>
      </c>
      <c r="AJ126" s="23">
        <f t="shared" si="66"/>
        <v>1.0137076712958231</v>
      </c>
      <c r="AK126" s="23">
        <f t="shared" si="67"/>
        <v>5.0589366621531726E-3</v>
      </c>
      <c r="AL126" s="14">
        <f t="shared" si="55"/>
        <v>0</v>
      </c>
      <c r="AM126" s="14">
        <f t="shared" si="56"/>
        <v>0</v>
      </c>
      <c r="AN126" s="14">
        <f t="shared" si="57"/>
        <v>0</v>
      </c>
      <c r="AO126" s="14">
        <f t="shared" si="58"/>
        <v>0</v>
      </c>
      <c r="AP126" s="23">
        <f t="shared" si="68"/>
        <v>0</v>
      </c>
      <c r="AQ126" s="23">
        <f t="shared" si="69"/>
        <v>0</v>
      </c>
    </row>
    <row r="127" spans="1:43" x14ac:dyDescent="0.25">
      <c r="A127" s="262" t="s">
        <v>477</v>
      </c>
      <c r="B127">
        <v>108</v>
      </c>
      <c r="C127" t="s">
        <v>169</v>
      </c>
      <c r="H127" s="14">
        <v>2.2400000000000002</v>
      </c>
      <c r="I127" s="36">
        <f t="shared" si="59"/>
        <v>1737.8008287493767</v>
      </c>
      <c r="J127" s="24">
        <f t="shared" si="60"/>
        <v>79.524952161701236</v>
      </c>
      <c r="K127" s="24">
        <f t="shared" si="61"/>
        <v>-1.2523996240971782</v>
      </c>
      <c r="L127" s="14">
        <f t="shared" si="35"/>
        <v>0.67018069634200106</v>
      </c>
      <c r="M127" s="14">
        <f t="shared" si="36"/>
        <v>-10.089498278214927</v>
      </c>
      <c r="N127" s="14">
        <f t="shared" si="37"/>
        <v>0.13537410097260091</v>
      </c>
      <c r="O127" s="14">
        <f t="shared" si="38"/>
        <v>-82.711455237919495</v>
      </c>
      <c r="P127" s="14">
        <f t="shared" si="39"/>
        <v>-17.933074861322154</v>
      </c>
      <c r="Q127" s="14">
        <f t="shared" si="40"/>
        <v>-0.82943299086806999</v>
      </c>
      <c r="R127" s="14">
        <f t="shared" si="41"/>
        <v>-9.1015807572413063E-4</v>
      </c>
      <c r="S127" s="23">
        <f t="shared" si="62"/>
        <v>-93.630386507002498</v>
      </c>
      <c r="T127" s="23">
        <f t="shared" si="63"/>
        <v>-21.274772630263133</v>
      </c>
      <c r="U127" s="14">
        <f t="shared" si="42"/>
        <v>20000</v>
      </c>
      <c r="V127" s="14">
        <f t="shared" si="43"/>
        <v>-89.997614825910048</v>
      </c>
      <c r="W127" s="14">
        <f t="shared" si="44"/>
        <v>-87.612050991132691</v>
      </c>
      <c r="X127" s="14">
        <f t="shared" si="45"/>
        <v>85.240628789936949</v>
      </c>
      <c r="Y127" s="14">
        <f t="shared" si="46"/>
        <v>21.6214522465472</v>
      </c>
      <c r="Z127" s="14">
        <f t="shared" si="47"/>
        <v>-3.1249392525203645</v>
      </c>
      <c r="AA127" s="14">
        <f t="shared" si="48"/>
        <v>-1.2925210831032659E-2</v>
      </c>
      <c r="AB127" s="23">
        <f t="shared" si="64"/>
        <v>-7.8819252884934645</v>
      </c>
      <c r="AC127" s="23">
        <f t="shared" si="65"/>
        <v>20.017075957863103</v>
      </c>
      <c r="AD127" s="14">
        <f t="shared" si="49"/>
        <v>2.5008438260690116</v>
      </c>
      <c r="AE127" s="14">
        <f t="shared" si="50"/>
        <v>8.2765651250480687E-3</v>
      </c>
      <c r="AF127" s="14">
        <f t="shared" si="51"/>
        <v>3.7536492530735079E-2</v>
      </c>
      <c r="AG127" s="14">
        <f t="shared" si="52"/>
        <v>1.8640023508584598E-6</v>
      </c>
      <c r="AH127" s="14">
        <f t="shared" si="53"/>
        <v>-1.5011163614025562</v>
      </c>
      <c r="AI127" s="14">
        <f t="shared" si="54"/>
        <v>-2.9813808245470457E-3</v>
      </c>
      <c r="AJ127" s="23">
        <f t="shared" si="66"/>
        <v>1.0372639571971904</v>
      </c>
      <c r="AK127" s="23">
        <f t="shared" si="67"/>
        <v>5.2970483028518811E-3</v>
      </c>
      <c r="AL127" s="14">
        <f t="shared" si="55"/>
        <v>0</v>
      </c>
      <c r="AM127" s="14">
        <f t="shared" si="56"/>
        <v>0</v>
      </c>
      <c r="AN127" s="14">
        <f t="shared" si="57"/>
        <v>0</v>
      </c>
      <c r="AO127" s="14">
        <f t="shared" si="58"/>
        <v>0</v>
      </c>
      <c r="AP127" s="23">
        <f t="shared" si="68"/>
        <v>0</v>
      </c>
      <c r="AQ127" s="23">
        <f t="shared" si="69"/>
        <v>0</v>
      </c>
    </row>
    <row r="128" spans="1:43" x14ac:dyDescent="0.25">
      <c r="A128" s="262" t="s">
        <v>476</v>
      </c>
      <c r="B128">
        <v>-17.2</v>
      </c>
      <c r="C128" t="s">
        <v>26</v>
      </c>
      <c r="H128" s="14">
        <v>2.25</v>
      </c>
      <c r="I128" s="36">
        <f t="shared" si="59"/>
        <v>1778.2794100389242</v>
      </c>
      <c r="J128" s="24">
        <f t="shared" si="60"/>
        <v>79.170693715706236</v>
      </c>
      <c r="K128" s="24">
        <f t="shared" si="61"/>
        <v>-1.4447230467908565</v>
      </c>
      <c r="L128" s="14">
        <f t="shared" si="35"/>
        <v>0.67018069634200106</v>
      </c>
      <c r="M128" s="14">
        <f t="shared" si="36"/>
        <v>-10.319518808615509</v>
      </c>
      <c r="N128" s="14">
        <f t="shared" si="37"/>
        <v>0.14165113716983246</v>
      </c>
      <c r="O128" s="14">
        <f t="shared" si="38"/>
        <v>-82.875638430168593</v>
      </c>
      <c r="P128" s="14">
        <f t="shared" si="39"/>
        <v>-18.129927705592049</v>
      </c>
      <c r="Q128" s="14">
        <f t="shared" si="40"/>
        <v>-0.84875017302989597</v>
      </c>
      <c r="R128" s="14">
        <f t="shared" si="41"/>
        <v>-9.5304779813176191E-4</v>
      </c>
      <c r="S128" s="23">
        <f t="shared" si="62"/>
        <v>-94.043907411814004</v>
      </c>
      <c r="T128" s="23">
        <f t="shared" si="63"/>
        <v>-21.465391328058203</v>
      </c>
      <c r="U128" s="14">
        <f t="shared" si="42"/>
        <v>20000</v>
      </c>
      <c r="V128" s="14">
        <f t="shared" si="43"/>
        <v>-89.997669119100777</v>
      </c>
      <c r="W128" s="14">
        <f t="shared" si="44"/>
        <v>-87.812050990793949</v>
      </c>
      <c r="X128" s="14">
        <f t="shared" si="45"/>
        <v>85.348484413011832</v>
      </c>
      <c r="Y128" s="14">
        <f t="shared" si="46"/>
        <v>21.820106415829557</v>
      </c>
      <c r="Z128" s="14">
        <f t="shared" si="47"/>
        <v>-3.1975791082919449</v>
      </c>
      <c r="AA128" s="14">
        <f t="shared" si="48"/>
        <v>-1.3533409107988304E-2</v>
      </c>
      <c r="AB128" s="23">
        <f t="shared" si="64"/>
        <v>-7.8467638143808909</v>
      </c>
      <c r="AC128" s="23">
        <f t="shared" si="65"/>
        <v>20.015121929207243</v>
      </c>
      <c r="AD128" s="14">
        <f t="shared" si="49"/>
        <v>2.5590194043906416</v>
      </c>
      <c r="AE128" s="14">
        <f t="shared" si="50"/>
        <v>8.6662386951430227E-3</v>
      </c>
      <c r="AF128" s="14">
        <f t="shared" si="51"/>
        <v>3.8410829502512719E-2</v>
      </c>
      <c r="AG128" s="14">
        <f t="shared" si="52"/>
        <v>1.9518500545849328E-6</v>
      </c>
      <c r="AH128" s="14">
        <f t="shared" si="53"/>
        <v>-1.536065291992027</v>
      </c>
      <c r="AI128" s="14">
        <f t="shared" si="54"/>
        <v>-3.1218384850943393E-3</v>
      </c>
      <c r="AJ128" s="23">
        <f t="shared" si="66"/>
        <v>1.0613649419011273</v>
      </c>
      <c r="AK128" s="23">
        <f t="shared" si="67"/>
        <v>5.5463520601032688E-3</v>
      </c>
      <c r="AL128" s="14">
        <f t="shared" si="55"/>
        <v>0</v>
      </c>
      <c r="AM128" s="14">
        <f t="shared" si="56"/>
        <v>0</v>
      </c>
      <c r="AN128" s="14">
        <f t="shared" si="57"/>
        <v>0</v>
      </c>
      <c r="AO128" s="14">
        <f t="shared" si="58"/>
        <v>0</v>
      </c>
      <c r="AP128" s="23">
        <f t="shared" si="68"/>
        <v>0</v>
      </c>
      <c r="AQ128" s="23">
        <f t="shared" si="69"/>
        <v>0</v>
      </c>
    </row>
    <row r="129" spans="1:43" x14ac:dyDescent="0.25">
      <c r="A129" s="262" t="s">
        <v>478</v>
      </c>
      <c r="B129">
        <v>-22</v>
      </c>
      <c r="C129" t="s">
        <v>26</v>
      </c>
      <c r="H129" s="14">
        <v>2.2599999999999998</v>
      </c>
      <c r="I129" s="36">
        <f t="shared" si="59"/>
        <v>1819.700858609983</v>
      </c>
      <c r="J129" s="24">
        <f t="shared" si="60"/>
        <v>78.811052692989406</v>
      </c>
      <c r="K129" s="24">
        <f t="shared" si="61"/>
        <v>-1.6368585596613581</v>
      </c>
      <c r="L129" s="14">
        <f t="shared" si="35"/>
        <v>0.67018069634200106</v>
      </c>
      <c r="M129" s="14">
        <f t="shared" si="36"/>
        <v>-10.554549534772866</v>
      </c>
      <c r="N129" s="14">
        <f t="shared" si="37"/>
        <v>0.14821429155076918</v>
      </c>
      <c r="O129" s="14">
        <f t="shared" si="38"/>
        <v>-83.036198078912946</v>
      </c>
      <c r="P129" s="14">
        <f t="shared" si="39"/>
        <v>-18.326920064746229</v>
      </c>
      <c r="Q129" s="14">
        <f t="shared" si="40"/>
        <v>-0.86851711037150969</v>
      </c>
      <c r="R129" s="14">
        <f t="shared" si="41"/>
        <v>-9.9795839690656508E-4</v>
      </c>
      <c r="S129" s="23">
        <f t="shared" si="62"/>
        <v>-94.45926472405732</v>
      </c>
      <c r="T129" s="23">
        <f t="shared" si="63"/>
        <v>-21.655865443430219</v>
      </c>
      <c r="U129" s="14">
        <f t="shared" si="42"/>
        <v>20000</v>
      </c>
      <c r="V129" s="14">
        <f t="shared" si="43"/>
        <v>-89.997722176427601</v>
      </c>
      <c r="W129" s="14">
        <f t="shared" si="44"/>
        <v>-88.012050990470456</v>
      </c>
      <c r="X129" s="14">
        <f t="shared" si="45"/>
        <v>85.453916876602335</v>
      </c>
      <c r="Y129" s="14">
        <f t="shared" si="46"/>
        <v>22.018820768030636</v>
      </c>
      <c r="Z129" s="14">
        <f t="shared" si="47"/>
        <v>-3.2719003112012874</v>
      </c>
      <c r="AA129" s="14">
        <f t="shared" si="48"/>
        <v>-1.4170179610274183E-2</v>
      </c>
      <c r="AB129" s="23">
        <f t="shared" si="64"/>
        <v>-7.8157056110265533</v>
      </c>
      <c r="AC129" s="23">
        <f t="shared" si="65"/>
        <v>20.01319951122953</v>
      </c>
      <c r="AD129" s="14">
        <f t="shared" si="49"/>
        <v>2.618544599702449</v>
      </c>
      <c r="AE129" s="14">
        <f t="shared" si="50"/>
        <v>9.0742395440489738E-3</v>
      </c>
      <c r="AF129" s="14">
        <f t="shared" si="51"/>
        <v>3.9305532380102128E-2</v>
      </c>
      <c r="AG129" s="14">
        <f t="shared" si="52"/>
        <v>2.0438378919899411E-6</v>
      </c>
      <c r="AH129" s="14">
        <f t="shared" si="53"/>
        <v>-1.5718271040092706</v>
      </c>
      <c r="AI129" s="14">
        <f t="shared" si="54"/>
        <v>-3.268910842610012E-3</v>
      </c>
      <c r="AJ129" s="23">
        <f t="shared" si="66"/>
        <v>1.0860230280732803</v>
      </c>
      <c r="AK129" s="23">
        <f t="shared" si="67"/>
        <v>5.8073725393309522E-3</v>
      </c>
      <c r="AL129" s="14">
        <f t="shared" si="55"/>
        <v>0</v>
      </c>
      <c r="AM129" s="14">
        <f t="shared" si="56"/>
        <v>0</v>
      </c>
      <c r="AN129" s="14">
        <f t="shared" si="57"/>
        <v>0</v>
      </c>
      <c r="AO129" s="14">
        <f t="shared" si="58"/>
        <v>0</v>
      </c>
      <c r="AP129" s="23">
        <f t="shared" si="68"/>
        <v>0</v>
      </c>
      <c r="AQ129" s="23">
        <f t="shared" si="69"/>
        <v>0</v>
      </c>
    </row>
    <row r="130" spans="1:43" x14ac:dyDescent="0.25">
      <c r="H130" s="14">
        <v>2.27</v>
      </c>
      <c r="I130" s="36">
        <f t="shared" si="59"/>
        <v>1862.0871366628685</v>
      </c>
      <c r="J130" s="24">
        <f t="shared" si="60"/>
        <v>78.445877912953989</v>
      </c>
      <c r="K130" s="24">
        <f t="shared" si="61"/>
        <v>-1.828791047084106</v>
      </c>
      <c r="L130" s="14">
        <f t="shared" si="35"/>
        <v>0.67018069634200106</v>
      </c>
      <c r="M130" s="14">
        <f t="shared" si="36"/>
        <v>-10.79468341887531</v>
      </c>
      <c r="N130" s="14">
        <f t="shared" si="37"/>
        <v>0.15507614385253529</v>
      </c>
      <c r="O130" s="14">
        <f t="shared" si="38"/>
        <v>-83.193209222792547</v>
      </c>
      <c r="P130" s="14">
        <f t="shared" si="39"/>
        <v>-18.524045844342758</v>
      </c>
      <c r="Q130" s="14">
        <f t="shared" si="40"/>
        <v>-0.88874426475206225</v>
      </c>
      <c r="R130" s="14">
        <f t="shared" si="41"/>
        <v>-1.0449850692291055E-3</v>
      </c>
      <c r="S130" s="23">
        <f t="shared" si="62"/>
        <v>-94.876636906419918</v>
      </c>
      <c r="T130" s="23">
        <f t="shared" si="63"/>
        <v>-21.846176397397308</v>
      </c>
      <c r="U130" s="14">
        <f t="shared" si="42"/>
        <v>20000</v>
      </c>
      <c r="V130" s="14">
        <f t="shared" si="43"/>
        <v>-89.997774026022228</v>
      </c>
      <c r="W130" s="14">
        <f t="shared" si="44"/>
        <v>-88.212050990161529</v>
      </c>
      <c r="X130" s="14">
        <f t="shared" si="45"/>
        <v>85.556979224740815</v>
      </c>
      <c r="Y130" s="14">
        <f t="shared" si="46"/>
        <v>22.217592628529076</v>
      </c>
      <c r="Z130" s="14">
        <f t="shared" si="47"/>
        <v>-3.3479412663463597</v>
      </c>
      <c r="AA130" s="14">
        <f t="shared" si="48"/>
        <v>-1.4836860128568916E-2</v>
      </c>
      <c r="AB130" s="23">
        <f t="shared" si="64"/>
        <v>-7.7887360676277728</v>
      </c>
      <c r="AC130" s="23">
        <f t="shared" si="65"/>
        <v>20.011304691518603</v>
      </c>
      <c r="AD130" s="14">
        <f t="shared" si="49"/>
        <v>2.6794504587772279</v>
      </c>
      <c r="AE130" s="14">
        <f t="shared" si="50"/>
        <v>9.5014278024195056E-3</v>
      </c>
      <c r="AF130" s="14">
        <f t="shared" si="51"/>
        <v>4.022107554506555E-2</v>
      </c>
      <c r="AG130" s="14">
        <f t="shared" si="52"/>
        <v>2.1401609810561465E-6</v>
      </c>
      <c r="AH130" s="14">
        <f t="shared" si="53"/>
        <v>-1.60842064732062</v>
      </c>
      <c r="AI130" s="14">
        <f t="shared" si="54"/>
        <v>-3.422909168802155E-3</v>
      </c>
      <c r="AJ130" s="23">
        <f t="shared" si="66"/>
        <v>1.1112508870016735</v>
      </c>
      <c r="AK130" s="23">
        <f t="shared" si="67"/>
        <v>6.0806587945984071E-3</v>
      </c>
      <c r="AL130" s="14">
        <f t="shared" si="55"/>
        <v>0</v>
      </c>
      <c r="AM130" s="14">
        <f t="shared" si="56"/>
        <v>0</v>
      </c>
      <c r="AN130" s="14">
        <f t="shared" si="57"/>
        <v>0</v>
      </c>
      <c r="AO130" s="14">
        <f t="shared" si="58"/>
        <v>0</v>
      </c>
      <c r="AP130" s="23">
        <f t="shared" si="68"/>
        <v>0</v>
      </c>
      <c r="AQ130" s="23">
        <f t="shared" si="69"/>
        <v>0</v>
      </c>
    </row>
    <row r="131" spans="1:43" x14ac:dyDescent="0.25">
      <c r="H131" s="14">
        <v>2.2799999999999998</v>
      </c>
      <c r="I131" s="36">
        <f t="shared" si="59"/>
        <v>1905.460717963248</v>
      </c>
      <c r="J131" s="24">
        <f t="shared" si="60"/>
        <v>78.075016945567711</v>
      </c>
      <c r="K131" s="24">
        <f t="shared" si="61"/>
        <v>-2.0205050653378387</v>
      </c>
      <c r="L131" s="14">
        <f t="shared" ref="L131:L194" si="70">A_PS</f>
        <v>0.67018069634200106</v>
      </c>
      <c r="M131" s="14">
        <f t="shared" ref="M131:M194" si="71">-180/PI()*ATAN($I131/z_RHP/1000)</f>
        <v>-11.040014022006387</v>
      </c>
      <c r="N131" s="14">
        <f t="shared" ref="N131:N194" si="72">20*LOG(SQRT(($I131/z_RHP/1000)^2+1))</f>
        <v>0.16224978399523857</v>
      </c>
      <c r="O131" s="14">
        <f t="shared" ref="O131:O194" si="73">-180/PI()*ATAN($I131/p_small)</f>
        <v>-83.346745673426668</v>
      </c>
      <c r="P131" s="14">
        <f t="shared" ref="P131:P194" si="74">-20*LOG(SQRT(($I131/p_small)^2+1))</f>
        <v>-18.721299208320616</v>
      </c>
      <c r="Q131" s="14">
        <f t="shared" ref="Q131:Q194" si="75">-180/PI()*ATAN($I131/p_large/1000)</f>
        <v>-0.90944234069760632</v>
      </c>
      <c r="R131" s="14">
        <f t="shared" ref="R131:R194" si="76">-20*LOG(SQRT(($I131/p_large/1000)^2+1))</f>
        <v>-1.0942274945617135E-3</v>
      </c>
      <c r="S131" s="23">
        <f t="shared" si="62"/>
        <v>-95.296202036130666</v>
      </c>
      <c r="T131" s="23">
        <f t="shared" si="63"/>
        <v>-22.036305363657796</v>
      </c>
      <c r="U131" s="14">
        <f t="shared" ref="U131:U194" si="77">A_EA</f>
        <v>20000</v>
      </c>
      <c r="V131" s="14">
        <f t="shared" ref="V131:V194" si="78">-180/PI()*ATAN($I131/p_EA)</f>
        <v>-89.997824695375996</v>
      </c>
      <c r="W131" s="14">
        <f t="shared" ref="W131:W194" si="79">-20*LOG(SQRT(($I131/p_EA)^2+1))</f>
        <v>-88.412050989866501</v>
      </c>
      <c r="X131" s="14">
        <f t="shared" ref="X131:X194" si="80">180/PI()*ATAN($I131/z_comp)</f>
        <v>85.65772343321089</v>
      </c>
      <c r="Y131" s="14">
        <f t="shared" ref="Y131:Y194" si="81">20*LOG(SQRT(($I131/z_comp)^2+1))</f>
        <v>22.41641944011166</v>
      </c>
      <c r="Z131" s="14">
        <f t="shared" ref="Z131:Z194" si="82">IF(p_comp="",0,-180/PI()*ATAN($I131/p_comp/1000))</f>
        <v>-3.4257412195537156</v>
      </c>
      <c r="AA131" s="14">
        <f t="shared" ref="AA131:AA194" si="83">IF(p_comp="",0,-20*LOG(SQRT(($I131/p_comp/1000)^2+1)))</f>
        <v>-1.5534850659246634E-2</v>
      </c>
      <c r="AB131" s="23">
        <f t="shared" si="64"/>
        <v>-7.7658424817188223</v>
      </c>
      <c r="AC131" s="23">
        <f t="shared" si="65"/>
        <v>20.009433512865538</v>
      </c>
      <c r="AD131" s="14">
        <f t="shared" ref="AD131:AD194" si="84">IF(z_esr_1="",0,180/PI()*ATAN($I131/z_esr_1/1000))</f>
        <v>2.741768723812525</v>
      </c>
      <c r="AE131" s="14">
        <f t="shared" ref="AE131:AE194" si="85">IF(z_esr_1="",0,20*LOG(SQRT(($I131/z_esr_1/1000)^2+1)))</f>
        <v>9.9487037907225323E-3</v>
      </c>
      <c r="AF131" s="14">
        <f t="shared" ref="AF131:AF194" si="86">180/PI()*ATAN($I131/z_esr_2/1000)</f>
        <v>4.1157944428636357E-2</v>
      </c>
      <c r="AG131" s="14">
        <f t="shared" ref="AG131:AG194" si="87">20*LOG(SQRT(($I131/z_esr_2/1000)^2+1))</f>
        <v>2.2410236355756009E-6</v>
      </c>
      <c r="AH131" s="14">
        <f t="shared" ref="AH131:AH194" si="88">IF(p_esr="",0,-180/PI()*ATAN($I131/p_esr/1000))</f>
        <v>-1.6458652048239582</v>
      </c>
      <c r="AI131" s="14">
        <f t="shared" ref="AI131:AI194" si="89">IF(p_esr="",0,-20*LOG(SQRT(($I131/p_esr/1000)^2+1)))</f>
        <v>-3.584159359938794E-3</v>
      </c>
      <c r="AJ131" s="23">
        <f t="shared" si="66"/>
        <v>1.1370614634172032</v>
      </c>
      <c r="AK131" s="23">
        <f t="shared" si="67"/>
        <v>6.3667854544193145E-3</v>
      </c>
      <c r="AL131" s="14">
        <f t="shared" ref="AL131:AL194" si="90">IF(z_ff="",0,180/PI()*ATAN($I131/z_ff/1000))</f>
        <v>0</v>
      </c>
      <c r="AM131" s="14">
        <f t="shared" ref="AM131:AM194" si="91">IF(z_ff="",0,20*LOG(SQRT(($I131/z_ff/1000)^2+1)))</f>
        <v>0</v>
      </c>
      <c r="AN131" s="14">
        <f t="shared" ref="AN131:AN194" si="92">IF(p_ff="",0,-180/PI()*ATAN($I131/p_ff/1000))</f>
        <v>0</v>
      </c>
      <c r="AO131" s="14">
        <f t="shared" ref="AO131:AO194" si="93">IF(p_ff="",0,-20*LOG(SQRT(($I131/p_ff/1000)^2+1)))</f>
        <v>0</v>
      </c>
      <c r="AP131" s="23">
        <f t="shared" si="68"/>
        <v>0</v>
      </c>
      <c r="AQ131" s="23">
        <f t="shared" si="69"/>
        <v>0</v>
      </c>
    </row>
    <row r="132" spans="1:43" x14ac:dyDescent="0.25">
      <c r="H132" s="14">
        <v>2.29</v>
      </c>
      <c r="I132" s="36">
        <f t="shared" ref="I132:I195" si="94">10*10^H132</f>
        <v>1949.8445997580459</v>
      </c>
      <c r="J132" s="24">
        <f t="shared" ref="J132:J195" si="95">180+S132+AB132+AJ132+AP132</f>
        <v>77.698316195583516</v>
      </c>
      <c r="K132" s="24">
        <f t="shared" ref="K132:K195" si="96">T132+AC132+AK132+AQ132</f>
        <v>-2.211984822529975</v>
      </c>
      <c r="L132" s="14">
        <f t="shared" si="70"/>
        <v>0.67018069634200106</v>
      </c>
      <c r="M132" s="14">
        <f t="shared" si="71"/>
        <v>-11.290635421118271</v>
      </c>
      <c r="N132" s="14">
        <f t="shared" si="72"/>
        <v>0.16974882879624204</v>
      </c>
      <c r="O132" s="14">
        <f t="shared" si="73"/>
        <v>-83.496880012907624</v>
      </c>
      <c r="P132" s="14">
        <f t="shared" si="74"/>
        <v>-18.918674568727511</v>
      </c>
      <c r="Q132" s="14">
        <f t="shared" si="75"/>
        <v>-0.93062229098058102</v>
      </c>
      <c r="R132" s="14">
        <f t="shared" si="76"/>
        <v>-1.1457900454863294E-3</v>
      </c>
      <c r="S132" s="23">
        <f t="shared" ref="S132:S195" si="97">M132+O132+Q132</f>
        <v>-95.718137725006471</v>
      </c>
      <c r="T132" s="23">
        <f t="shared" ref="T132:T195" si="98">20*LOG(L132)+N132+P132+R132</f>
        <v>-22.226233241814612</v>
      </c>
      <c r="U132" s="14">
        <f t="shared" si="77"/>
        <v>20000</v>
      </c>
      <c r="V132" s="14">
        <f t="shared" si="78"/>
        <v>-89.997874211354471</v>
      </c>
      <c r="W132" s="14">
        <f t="shared" si="79"/>
        <v>-88.612050989584759</v>
      </c>
      <c r="X132" s="14">
        <f t="shared" si="80"/>
        <v>85.756200424779422</v>
      </c>
      <c r="Y132" s="14">
        <f t="shared" si="81"/>
        <v>22.615298757947052</v>
      </c>
      <c r="Z132" s="14">
        <f t="shared" si="82"/>
        <v>-3.5053402731602912</v>
      </c>
      <c r="AA132" s="14">
        <f t="shared" si="83"/>
        <v>-1.6265616255400815E-2</v>
      </c>
      <c r="AB132" s="23">
        <f t="shared" ref="AB132:AB195" si="99">V132+X132+Z132</f>
        <v>-7.7470140597353403</v>
      </c>
      <c r="AC132" s="23">
        <f t="shared" ref="AC132:AC195" si="100">20*LOG(U132)+W132+Y132+AA132</f>
        <v>20.007582065386519</v>
      </c>
      <c r="AD132" s="14">
        <f t="shared" si="84"/>
        <v>2.8055318466609953</v>
      </c>
      <c r="AE132" s="14">
        <f t="shared" si="85"/>
        <v>1.0417009880033381E-2</v>
      </c>
      <c r="AF132" s="14">
        <f t="shared" si="86"/>
        <v>4.2116635769092491E-2</v>
      </c>
      <c r="AG132" s="14">
        <f t="shared" si="87"/>
        <v>2.3466397952381282E-6</v>
      </c>
      <c r="AH132" s="14">
        <f t="shared" si="88"/>
        <v>-1.6841805021047616</v>
      </c>
      <c r="AI132" s="14">
        <f t="shared" si="89"/>
        <v>-3.7530026217107546E-3</v>
      </c>
      <c r="AJ132" s="23">
        <f t="shared" ref="AJ132:AJ195" si="101">AD132+AF132+AH132</f>
        <v>1.1634679803253263</v>
      </c>
      <c r="AK132" s="23">
        <f t="shared" ref="AK132:AK195" si="102">AE132+AG132+AI132</f>
        <v>6.6663538981178647E-3</v>
      </c>
      <c r="AL132" s="14">
        <f t="shared" si="90"/>
        <v>0</v>
      </c>
      <c r="AM132" s="14">
        <f t="shared" si="91"/>
        <v>0</v>
      </c>
      <c r="AN132" s="14">
        <f t="shared" si="92"/>
        <v>0</v>
      </c>
      <c r="AO132" s="14">
        <f t="shared" si="93"/>
        <v>0</v>
      </c>
      <c r="AP132" s="23">
        <f t="shared" ref="AP132:AP195" si="103">AL132+AN132</f>
        <v>0</v>
      </c>
      <c r="AQ132" s="23">
        <f t="shared" ref="AQ132:AQ195" si="104">AM132+AO132</f>
        <v>0</v>
      </c>
    </row>
    <row r="133" spans="1:43" x14ac:dyDescent="0.25">
      <c r="H133" s="14">
        <v>2.2999999999999998</v>
      </c>
      <c r="I133" s="36">
        <f t="shared" si="94"/>
        <v>1995.2623149688802</v>
      </c>
      <c r="J133" s="24">
        <f t="shared" si="95"/>
        <v>77.315620992057788</v>
      </c>
      <c r="K133" s="24">
        <f t="shared" si="96"/>
        <v>-2.4032141585804347</v>
      </c>
      <c r="L133" s="14">
        <f t="shared" si="70"/>
        <v>0.67018069634200106</v>
      </c>
      <c r="M133" s="14">
        <f t="shared" si="71"/>
        <v>-11.546642118810912</v>
      </c>
      <c r="N133" s="14">
        <f t="shared" si="72"/>
        <v>0.17758743885442035</v>
      </c>
      <c r="O133" s="14">
        <f t="shared" si="73"/>
        <v>-83.643683593206958</v>
      </c>
      <c r="P133" s="14">
        <f t="shared" si="74"/>
        <v>-19.116166575796051</v>
      </c>
      <c r="Q133" s="14">
        <f t="shared" si="75"/>
        <v>-0.95229532232403635</v>
      </c>
      <c r="R133" s="14">
        <f t="shared" si="76"/>
        <v>-1.1997820084307582E-3</v>
      </c>
      <c r="S133" s="23">
        <f t="shared" si="97"/>
        <v>-96.1426210343419</v>
      </c>
      <c r="T133" s="23">
        <f t="shared" si="98"/>
        <v>-22.415940630787915</v>
      </c>
      <c r="U133" s="14">
        <f t="shared" si="77"/>
        <v>20000</v>
      </c>
      <c r="V133" s="14">
        <f t="shared" si="78"/>
        <v>-89.997922600211652</v>
      </c>
      <c r="W133" s="14">
        <f t="shared" si="79"/>
        <v>-88.812050989315679</v>
      </c>
      <c r="X133" s="14">
        <f t="shared" si="80"/>
        <v>85.852460084666077</v>
      </c>
      <c r="Y133" s="14">
        <f t="shared" si="81"/>
        <v>22.814228244763264</v>
      </c>
      <c r="Z133" s="14">
        <f t="shared" si="82"/>
        <v>-3.5867794018968677</v>
      </c>
      <c r="AA133" s="14">
        <f t="shared" si="83"/>
        <v>-1.7030690004561734E-2</v>
      </c>
      <c r="AB133" s="23">
        <f t="shared" si="99"/>
        <v>-7.7322419174424422</v>
      </c>
      <c r="AC133" s="23">
        <f t="shared" si="100"/>
        <v>20.005746478722649</v>
      </c>
      <c r="AD133" s="14">
        <f t="shared" si="84"/>
        <v>2.8707730032534058</v>
      </c>
      <c r="AE133" s="14">
        <f t="shared" si="85"/>
        <v>1.0907332437330145E-2</v>
      </c>
      <c r="AF133" s="14">
        <f t="shared" si="86"/>
        <v>4.3097657875123978E-2</v>
      </c>
      <c r="AG133" s="14">
        <f t="shared" si="87"/>
        <v>2.457233490435328E-6</v>
      </c>
      <c r="AH133" s="14">
        <f t="shared" si="88"/>
        <v>-1.7233867172864008</v>
      </c>
      <c r="AI133" s="14">
        <f t="shared" si="89"/>
        <v>-3.9297961859896457E-3</v>
      </c>
      <c r="AJ133" s="23">
        <f t="shared" si="101"/>
        <v>1.1904839438421291</v>
      </c>
      <c r="AK133" s="23">
        <f t="shared" si="102"/>
        <v>6.9799934848309353E-3</v>
      </c>
      <c r="AL133" s="14">
        <f t="shared" si="90"/>
        <v>0</v>
      </c>
      <c r="AM133" s="14">
        <f t="shared" si="91"/>
        <v>0</v>
      </c>
      <c r="AN133" s="14">
        <f t="shared" si="92"/>
        <v>0</v>
      </c>
      <c r="AO133" s="14">
        <f t="shared" si="93"/>
        <v>0</v>
      </c>
      <c r="AP133" s="23">
        <f t="shared" si="103"/>
        <v>0</v>
      </c>
      <c r="AQ133" s="23">
        <f t="shared" si="104"/>
        <v>0</v>
      </c>
    </row>
    <row r="134" spans="1:43" x14ac:dyDescent="0.25">
      <c r="H134" s="14">
        <v>2.31</v>
      </c>
      <c r="I134" s="36">
        <f t="shared" si="94"/>
        <v>2041.7379446695315</v>
      </c>
      <c r="J134" s="24">
        <f t="shared" si="95"/>
        <v>76.926775683644763</v>
      </c>
      <c r="K134" s="24">
        <f t="shared" si="96"/>
        <v>-2.5941765253076872</v>
      </c>
      <c r="L134" s="14">
        <f t="shared" si="70"/>
        <v>0.67018069634200106</v>
      </c>
      <c r="M134" s="14">
        <f t="shared" si="71"/>
        <v>-11.808128945551529</v>
      </c>
      <c r="N134" s="14">
        <f t="shared" si="72"/>
        <v>0.18578033556489834</v>
      </c>
      <c r="O134" s="14">
        <f t="shared" si="73"/>
        <v>-83.787226537344935</v>
      </c>
      <c r="P134" s="14">
        <f t="shared" si="74"/>
        <v>-19.31377010836195</v>
      </c>
      <c r="Q134" s="14">
        <f t="shared" si="75"/>
        <v>-0.974472901233151</v>
      </c>
      <c r="R134" s="14">
        <f t="shared" si="76"/>
        <v>-1.2563178147753011E-3</v>
      </c>
      <c r="S134" s="23">
        <f t="shared" si="97"/>
        <v>-96.569828384129622</v>
      </c>
      <c r="T134" s="23">
        <f t="shared" si="98"/>
        <v>-22.605407802449683</v>
      </c>
      <c r="U134" s="14">
        <f t="shared" si="77"/>
        <v>20000</v>
      </c>
      <c r="V134" s="14">
        <f t="shared" si="78"/>
        <v>-89.997969887603986</v>
      </c>
      <c r="W134" s="14">
        <f t="shared" si="79"/>
        <v>-89.012050989058736</v>
      </c>
      <c r="X134" s="14">
        <f t="shared" si="80"/>
        <v>85.946551276208311</v>
      </c>
      <c r="Y134" s="14">
        <f t="shared" si="81"/>
        <v>23.013205666221999</v>
      </c>
      <c r="Z134" s="14">
        <f t="shared" si="82"/>
        <v>-3.6701004688573291</v>
      </c>
      <c r="AA134" s="14">
        <f t="shared" si="83"/>
        <v>-1.7831676138307061E-2</v>
      </c>
      <c r="AB134" s="23">
        <f t="shared" si="99"/>
        <v>-7.7215190802530049</v>
      </c>
      <c r="AC134" s="23">
        <f t="shared" si="100"/>
        <v>20.003922914304582</v>
      </c>
      <c r="AD134" s="14">
        <f t="shared" si="84"/>
        <v>2.9375261082091284</v>
      </c>
      <c r="AE134" s="14">
        <f t="shared" si="85"/>
        <v>1.1420703858974418E-2</v>
      </c>
      <c r="AF134" s="14">
        <f t="shared" si="86"/>
        <v>4.4101530895334695E-2</v>
      </c>
      <c r="AG134" s="14">
        <f t="shared" si="87"/>
        <v>2.5730393032070959E-6</v>
      </c>
      <c r="AH134" s="14">
        <f t="shared" si="88"/>
        <v>-1.763504491077079</v>
      </c>
      <c r="AI134" s="14">
        <f t="shared" si="89"/>
        <v>-4.1149140608630463E-3</v>
      </c>
      <c r="AJ134" s="23">
        <f t="shared" si="101"/>
        <v>1.2181231480273842</v>
      </c>
      <c r="AK134" s="23">
        <f t="shared" si="102"/>
        <v>7.3083628374145792E-3</v>
      </c>
      <c r="AL134" s="14">
        <f t="shared" si="90"/>
        <v>0</v>
      </c>
      <c r="AM134" s="14">
        <f t="shared" si="91"/>
        <v>0</v>
      </c>
      <c r="AN134" s="14">
        <f t="shared" si="92"/>
        <v>0</v>
      </c>
      <c r="AO134" s="14">
        <f t="shared" si="93"/>
        <v>0</v>
      </c>
      <c r="AP134" s="23">
        <f t="shared" si="103"/>
        <v>0</v>
      </c>
      <c r="AQ134" s="23">
        <f t="shared" si="104"/>
        <v>0</v>
      </c>
    </row>
    <row r="135" spans="1:43" x14ac:dyDescent="0.25">
      <c r="H135" s="14">
        <v>2.3199999999999998</v>
      </c>
      <c r="I135" s="36">
        <f t="shared" si="94"/>
        <v>2089.2961308540398</v>
      </c>
      <c r="J135" s="24">
        <f t="shared" si="95"/>
        <v>76.531623740146244</v>
      </c>
      <c r="K135" s="24">
        <f t="shared" si="96"/>
        <v>-2.7848549666653901</v>
      </c>
      <c r="L135" s="14">
        <f t="shared" si="70"/>
        <v>0.67018069634200106</v>
      </c>
      <c r="M135" s="14">
        <f t="shared" si="71"/>
        <v>-12.075190953963851</v>
      </c>
      <c r="N135" s="14">
        <f t="shared" si="72"/>
        <v>0.1943428182197609</v>
      </c>
      <c r="O135" s="14">
        <f t="shared" si="73"/>
        <v>-83.927577742182891</v>
      </c>
      <c r="P135" s="14">
        <f t="shared" si="74"/>
        <v>-19.511480264617564</v>
      </c>
      <c r="Q135" s="14">
        <f t="shared" si="75"/>
        <v>-0.99716675995659587</v>
      </c>
      <c r="R135" s="14">
        <f t="shared" si="76"/>
        <v>-1.315517282777374E-3</v>
      </c>
      <c r="S135" s="23">
        <f t="shared" si="97"/>
        <v>-96.999935456103344</v>
      </c>
      <c r="T135" s="23">
        <f t="shared" si="98"/>
        <v>-22.794614675518435</v>
      </c>
      <c r="U135" s="14">
        <f t="shared" si="77"/>
        <v>20000</v>
      </c>
      <c r="V135" s="14">
        <f t="shared" si="78"/>
        <v>-89.998016098603856</v>
      </c>
      <c r="W135" s="14">
        <f t="shared" si="79"/>
        <v>-89.212050988813317</v>
      </c>
      <c r="X135" s="14">
        <f t="shared" si="80"/>
        <v>86.038521856683118</v>
      </c>
      <c r="Y135" s="14">
        <f t="shared" si="81"/>
        <v>23.212228886482443</v>
      </c>
      <c r="Z135" s="14">
        <f t="shared" si="82"/>
        <v>-3.7553462415361634</v>
      </c>
      <c r="AA135" s="14">
        <f t="shared" si="83"/>
        <v>-1.8670253279245277E-2</v>
      </c>
      <c r="AB135" s="23">
        <f t="shared" si="99"/>
        <v>-7.7148404834569</v>
      </c>
      <c r="AC135" s="23">
        <f t="shared" si="100"/>
        <v>20.002107557669504</v>
      </c>
      <c r="AD135" s="14">
        <f t="shared" si="84"/>
        <v>3.0058258296281228</v>
      </c>
      <c r="AE135" s="14">
        <f t="shared" si="85"/>
        <v>1.1958204696219273E-2</v>
      </c>
      <c r="AF135" s="14">
        <f t="shared" si="86"/>
        <v>4.5128787094020892E-2</v>
      </c>
      <c r="AG135" s="14">
        <f t="shared" si="87"/>
        <v>2.6943028725470097E-6</v>
      </c>
      <c r="AH135" s="14">
        <f t="shared" si="88"/>
        <v>-1.8045549370156522</v>
      </c>
      <c r="AI135" s="14">
        <f t="shared" si="89"/>
        <v>-4.3087478155507614E-3</v>
      </c>
      <c r="AJ135" s="23">
        <f t="shared" si="101"/>
        <v>1.2463996797064913</v>
      </c>
      <c r="AK135" s="23">
        <f t="shared" si="102"/>
        <v>7.6521511835410594E-3</v>
      </c>
      <c r="AL135" s="14">
        <f t="shared" si="90"/>
        <v>0</v>
      </c>
      <c r="AM135" s="14">
        <f t="shared" si="91"/>
        <v>0</v>
      </c>
      <c r="AN135" s="14">
        <f t="shared" si="92"/>
        <v>0</v>
      </c>
      <c r="AO135" s="14">
        <f t="shared" si="93"/>
        <v>0</v>
      </c>
      <c r="AP135" s="23">
        <f t="shared" si="103"/>
        <v>0</v>
      </c>
      <c r="AQ135" s="23">
        <f t="shared" si="104"/>
        <v>0</v>
      </c>
    </row>
    <row r="136" spans="1:43" x14ac:dyDescent="0.25">
      <c r="H136" s="14">
        <v>2.33</v>
      </c>
      <c r="I136" s="36">
        <f t="shared" si="94"/>
        <v>2137.962089502234</v>
      </c>
      <c r="J136" s="24">
        <f t="shared" si="95"/>
        <v>76.130007860794038</v>
      </c>
      <c r="K136" s="24">
        <f t="shared" si="96"/>
        <v>-2.9752320991832062</v>
      </c>
      <c r="L136" s="14">
        <f t="shared" si="70"/>
        <v>0.67018069634200106</v>
      </c>
      <c r="M136" s="14">
        <f t="shared" si="71"/>
        <v>-12.34792330481322</v>
      </c>
      <c r="N136" s="14">
        <f t="shared" si="72"/>
        <v>0.20329078114513341</v>
      </c>
      <c r="O136" s="14">
        <f t="shared" si="73"/>
        <v>-84.064804882706269</v>
      </c>
      <c r="P136" s="14">
        <f t="shared" si="74"/>
        <v>-19.709292353193575</v>
      </c>
      <c r="Q136" s="14">
        <f t="shared" si="75"/>
        <v>-1.0203889025803647</v>
      </c>
      <c r="R136" s="14">
        <f t="shared" si="76"/>
        <v>-1.3775058708593319E-3</v>
      </c>
      <c r="S136" s="23">
        <f t="shared" si="97"/>
        <v>-97.433117090099856</v>
      </c>
      <c r="T136" s="23">
        <f t="shared" si="98"/>
        <v>-22.983540789757157</v>
      </c>
      <c r="U136" s="14">
        <f t="shared" si="77"/>
        <v>20000</v>
      </c>
      <c r="V136" s="14">
        <f t="shared" si="78"/>
        <v>-89.998061257712934</v>
      </c>
      <c r="W136" s="14">
        <f t="shared" si="79"/>
        <v>-89.412050988578983</v>
      </c>
      <c r="X136" s="14">
        <f t="shared" si="80"/>
        <v>86.128418693249358</v>
      </c>
      <c r="Y136" s="14">
        <f t="shared" si="81"/>
        <v>23.411295863947892</v>
      </c>
      <c r="Z136" s="14">
        <f t="shared" si="82"/>
        <v>-3.8425604079150362</v>
      </c>
      <c r="AA136" s="14">
        <f t="shared" si="83"/>
        <v>-1.954817783092495E-2</v>
      </c>
      <c r="AB136" s="23">
        <f t="shared" si="99"/>
        <v>-7.712202972378611</v>
      </c>
      <c r="AC136" s="23">
        <f t="shared" si="100"/>
        <v>20.00029661081761</v>
      </c>
      <c r="AD136" s="14">
        <f t="shared" si="84"/>
        <v>3.0757076040576199</v>
      </c>
      <c r="AE136" s="14">
        <f t="shared" si="85"/>
        <v>1.2520965876669357E-2</v>
      </c>
      <c r="AF136" s="14">
        <f t="shared" si="86"/>
        <v>4.6179971133373417E-2</v>
      </c>
      <c r="AG136" s="14">
        <f t="shared" si="87"/>
        <v>2.8212814132080955E-6</v>
      </c>
      <c r="AH136" s="14">
        <f t="shared" si="88"/>
        <v>-1.8465596519184995</v>
      </c>
      <c r="AI136" s="14">
        <f t="shared" si="89"/>
        <v>-4.511707401742171E-3</v>
      </c>
      <c r="AJ136" s="23">
        <f t="shared" si="101"/>
        <v>1.2753279232724937</v>
      </c>
      <c r="AK136" s="23">
        <f t="shared" si="102"/>
        <v>8.0120797563403949E-3</v>
      </c>
      <c r="AL136" s="14">
        <f t="shared" si="90"/>
        <v>0</v>
      </c>
      <c r="AM136" s="14">
        <f t="shared" si="91"/>
        <v>0</v>
      </c>
      <c r="AN136" s="14">
        <f t="shared" si="92"/>
        <v>0</v>
      </c>
      <c r="AO136" s="14">
        <f t="shared" si="93"/>
        <v>0</v>
      </c>
      <c r="AP136" s="23">
        <f t="shared" si="103"/>
        <v>0</v>
      </c>
      <c r="AQ136" s="23">
        <f t="shared" si="104"/>
        <v>0</v>
      </c>
    </row>
    <row r="137" spans="1:43" x14ac:dyDescent="0.25">
      <c r="H137" s="14">
        <v>2.34</v>
      </c>
      <c r="I137" s="36">
        <f t="shared" si="94"/>
        <v>2187.7616239495524</v>
      </c>
      <c r="J137" s="24">
        <f t="shared" si="95"/>
        <v>75.721770089741639</v>
      </c>
      <c r="K137" s="24">
        <f t="shared" si="96"/>
        <v>-3.1652900926693963</v>
      </c>
      <c r="L137" s="14">
        <f t="shared" si="70"/>
        <v>0.67018069634200106</v>
      </c>
      <c r="M137" s="14">
        <f t="shared" si="71"/>
        <v>-12.626421144311738</v>
      </c>
      <c r="N137" s="14">
        <f t="shared" si="72"/>
        <v>0.21264073081934229</v>
      </c>
      <c r="O137" s="14">
        <f t="shared" si="73"/>
        <v>-84.198974417673725</v>
      </c>
      <c r="P137" s="14">
        <f t="shared" si="74"/>
        <v>-19.907201884561157</v>
      </c>
      <c r="Q137" s="14">
        <f t="shared" si="75"/>
        <v>-1.0441516112566627</v>
      </c>
      <c r="R137" s="14">
        <f t="shared" si="76"/>
        <v>-1.4424149427927219E-3</v>
      </c>
      <c r="S137" s="23">
        <f t="shared" si="97"/>
        <v>-97.869547173242125</v>
      </c>
      <c r="T137" s="23">
        <f t="shared" si="98"/>
        <v>-23.172165280522464</v>
      </c>
      <c r="U137" s="14">
        <f t="shared" si="77"/>
        <v>20000</v>
      </c>
      <c r="V137" s="14">
        <f t="shared" si="78"/>
        <v>-89.998105388875217</v>
      </c>
      <c r="W137" s="14">
        <f t="shared" si="79"/>
        <v>-89.612050988355179</v>
      </c>
      <c r="X137" s="14">
        <f t="shared" si="80"/>
        <v>86.216287678977736</v>
      </c>
      <c r="Y137" s="14">
        <f t="shared" si="81"/>
        <v>23.610404647187995</v>
      </c>
      <c r="Z137" s="14">
        <f t="shared" si="82"/>
        <v>-3.9317875925772681</v>
      </c>
      <c r="AA137" s="14">
        <f t="shared" si="83"/>
        <v>-2.046728751648632E-2</v>
      </c>
      <c r="AB137" s="23">
        <f t="shared" si="99"/>
        <v>-7.7136053024747495</v>
      </c>
      <c r="AC137" s="23">
        <f t="shared" si="100"/>
        <v>19.998486284595955</v>
      </c>
      <c r="AD137" s="14">
        <f t="shared" si="84"/>
        <v>3.1472076516256644</v>
      </c>
      <c r="AE137" s="14">
        <f t="shared" si="85"/>
        <v>1.311017102588306E-2</v>
      </c>
      <c r="AF137" s="14">
        <f t="shared" si="86"/>
        <v>4.7255640362251584E-2</v>
      </c>
      <c r="AG137" s="14">
        <f t="shared" si="87"/>
        <v>2.954244265366825E-6</v>
      </c>
      <c r="AH137" s="14">
        <f t="shared" si="88"/>
        <v>-1.8895407265294049</v>
      </c>
      <c r="AI137" s="14">
        <f t="shared" si="89"/>
        <v>-4.7242220130366977E-3</v>
      </c>
      <c r="AJ137" s="23">
        <f t="shared" si="101"/>
        <v>1.304922565458511</v>
      </c>
      <c r="AK137" s="23">
        <f t="shared" si="102"/>
        <v>8.3889032571117274E-3</v>
      </c>
      <c r="AL137" s="14">
        <f t="shared" si="90"/>
        <v>0</v>
      </c>
      <c r="AM137" s="14">
        <f t="shared" si="91"/>
        <v>0</v>
      </c>
      <c r="AN137" s="14">
        <f t="shared" si="92"/>
        <v>0</v>
      </c>
      <c r="AO137" s="14">
        <f t="shared" si="93"/>
        <v>0</v>
      </c>
      <c r="AP137" s="23">
        <f t="shared" si="103"/>
        <v>0</v>
      </c>
      <c r="AQ137" s="23">
        <f t="shared" si="104"/>
        <v>0</v>
      </c>
    </row>
    <row r="138" spans="1:43" x14ac:dyDescent="0.25">
      <c r="H138" s="14">
        <v>2.35</v>
      </c>
      <c r="I138" s="36">
        <f t="shared" si="94"/>
        <v>2238.7211385683413</v>
      </c>
      <c r="J138" s="24">
        <f t="shared" si="95"/>
        <v>75.306751939235312</v>
      </c>
      <c r="K138" s="24">
        <f t="shared" si="96"/>
        <v>-3.3550106512399966</v>
      </c>
      <c r="L138" s="14">
        <f t="shared" si="70"/>
        <v>0.67018069634200106</v>
      </c>
      <c r="M138" s="14">
        <f t="shared" si="71"/>
        <v>-12.910779472369246</v>
      </c>
      <c r="N138" s="14">
        <f t="shared" si="72"/>
        <v>0.22240980291101675</v>
      </c>
      <c r="O138" s="14">
        <f t="shared" si="73"/>
        <v>-84.330151596515705</v>
      </c>
      <c r="P138" s="14">
        <f t="shared" si="74"/>
        <v>-20.105204562747264</v>
      </c>
      <c r="Q138" s="14">
        <f t="shared" si="75"/>
        <v>-1.0684674525705564</v>
      </c>
      <c r="R138" s="14">
        <f t="shared" si="76"/>
        <v>-1.5103820452750812E-3</v>
      </c>
      <c r="S138" s="23">
        <f t="shared" si="97"/>
        <v>-98.309398521455506</v>
      </c>
      <c r="T138" s="23">
        <f t="shared" si="98"/>
        <v>-23.360466853719377</v>
      </c>
      <c r="U138" s="14">
        <f t="shared" si="77"/>
        <v>20000</v>
      </c>
      <c r="V138" s="14">
        <f t="shared" si="78"/>
        <v>-89.998148515489589</v>
      </c>
      <c r="W138" s="14">
        <f t="shared" si="79"/>
        <v>-89.812050988141451</v>
      </c>
      <c r="X138" s="14">
        <f t="shared" si="80"/>
        <v>86.302173748937562</v>
      </c>
      <c r="Y138" s="14">
        <f t="shared" si="81"/>
        <v>23.809553371030635</v>
      </c>
      <c r="Z138" s="14">
        <f t="shared" si="82"/>
        <v>-4.0230733728273504</v>
      </c>
      <c r="AA138" s="14">
        <f t="shared" si="83"/>
        <v>-2.1429505071996417E-2</v>
      </c>
      <c r="AB138" s="23">
        <f t="shared" si="99"/>
        <v>-7.7190481393793773</v>
      </c>
      <c r="AC138" s="23">
        <f t="shared" si="100"/>
        <v>19.996672791096813</v>
      </c>
      <c r="AD138" s="14">
        <f t="shared" si="84"/>
        <v>3.2203629913329279</v>
      </c>
      <c r="AE138" s="14">
        <f t="shared" si="85"/>
        <v>1.3727058893346971E-2</v>
      </c>
      <c r="AF138" s="14">
        <f t="shared" si="86"/>
        <v>4.8356365111684084E-2</v>
      </c>
      <c r="AG138" s="14">
        <f t="shared" si="87"/>
        <v>3.093473457787461E-6</v>
      </c>
      <c r="AH138" s="14">
        <f t="shared" si="88"/>
        <v>-1.9335207563744141</v>
      </c>
      <c r="AI138" s="14">
        <f t="shared" si="89"/>
        <v>-4.9467409842377389E-3</v>
      </c>
      <c r="AJ138" s="23">
        <f t="shared" si="101"/>
        <v>1.3351986000701979</v>
      </c>
      <c r="AK138" s="23">
        <f t="shared" si="102"/>
        <v>8.7834113825670211E-3</v>
      </c>
      <c r="AL138" s="14">
        <f t="shared" si="90"/>
        <v>0</v>
      </c>
      <c r="AM138" s="14">
        <f t="shared" si="91"/>
        <v>0</v>
      </c>
      <c r="AN138" s="14">
        <f t="shared" si="92"/>
        <v>0</v>
      </c>
      <c r="AO138" s="14">
        <f t="shared" si="93"/>
        <v>0</v>
      </c>
      <c r="AP138" s="23">
        <f t="shared" si="103"/>
        <v>0</v>
      </c>
      <c r="AQ138" s="23">
        <f t="shared" si="104"/>
        <v>0</v>
      </c>
    </row>
    <row r="139" spans="1:43" x14ac:dyDescent="0.25">
      <c r="H139" s="14">
        <v>2.36</v>
      </c>
      <c r="I139" s="36">
        <f t="shared" si="94"/>
        <v>2290.8676527677744</v>
      </c>
      <c r="J139" s="24">
        <f t="shared" si="95"/>
        <v>74.884794520929646</v>
      </c>
      <c r="K139" s="24">
        <f t="shared" si="96"/>
        <v>-3.5443749947440062</v>
      </c>
      <c r="L139" s="14">
        <f t="shared" si="70"/>
        <v>0.67018069634200106</v>
      </c>
      <c r="M139" s="14">
        <f t="shared" si="71"/>
        <v>-13.20109300141784</v>
      </c>
      <c r="N139" s="14">
        <f t="shared" si="72"/>
        <v>0.23261577916975573</v>
      </c>
      <c r="O139" s="14">
        <f t="shared" si="73"/>
        <v>-84.458400467372314</v>
      </c>
      <c r="P139" s="14">
        <f t="shared" si="74"/>
        <v>-20.303296277354658</v>
      </c>
      <c r="Q139" s="14">
        <f t="shared" si="75"/>
        <v>-1.0933492840470225</v>
      </c>
      <c r="R139" s="14">
        <f t="shared" si="76"/>
        <v>-1.5815511985684395E-3</v>
      </c>
      <c r="S139" s="23">
        <f t="shared" si="97"/>
        <v>-98.752842752837182</v>
      </c>
      <c r="T139" s="23">
        <f t="shared" si="98"/>
        <v>-23.548423761221326</v>
      </c>
      <c r="U139" s="14">
        <f t="shared" si="77"/>
        <v>20000</v>
      </c>
      <c r="V139" s="14">
        <f t="shared" si="78"/>
        <v>-89.998190660422381</v>
      </c>
      <c r="W139" s="14">
        <f t="shared" si="79"/>
        <v>-90.012050987937343</v>
      </c>
      <c r="X139" s="14">
        <f t="shared" si="80"/>
        <v>86.386120896312619</v>
      </c>
      <c r="Y139" s="14">
        <f t="shared" si="81"/>
        <v>24.008740252816398</v>
      </c>
      <c r="Z139" s="14">
        <f t="shared" si="82"/>
        <v>-4.1164642947902186</v>
      </c>
      <c r="AA139" s="14">
        <f t="shared" si="83"/>
        <v>-2.2436842100662688E-2</v>
      </c>
      <c r="AB139" s="23">
        <f t="shared" si="99"/>
        <v>-7.7285340588999807</v>
      </c>
      <c r="AC139" s="23">
        <f t="shared" si="100"/>
        <v>19.994852336058017</v>
      </c>
      <c r="AD139" s="14">
        <f t="shared" si="84"/>
        <v>3.2952114564928445</v>
      </c>
      <c r="AE139" s="14">
        <f t="shared" si="85"/>
        <v>1.4372925887274783E-2</v>
      </c>
      <c r="AF139" s="14">
        <f t="shared" si="86"/>
        <v>4.948272899725091E-2</v>
      </c>
      <c r="AG139" s="14">
        <f t="shared" si="87"/>
        <v>3.2392643153451667E-6</v>
      </c>
      <c r="AH139" s="14">
        <f t="shared" si="88"/>
        <v>-1.9785228528232837</v>
      </c>
      <c r="AI139" s="14">
        <f t="shared" si="89"/>
        <v>-5.1797347322874452E-3</v>
      </c>
      <c r="AJ139" s="23">
        <f t="shared" si="101"/>
        <v>1.3661713326668117</v>
      </c>
      <c r="AK139" s="23">
        <f t="shared" si="102"/>
        <v>9.1964304193026848E-3</v>
      </c>
      <c r="AL139" s="14">
        <f t="shared" si="90"/>
        <v>0</v>
      </c>
      <c r="AM139" s="14">
        <f t="shared" si="91"/>
        <v>0</v>
      </c>
      <c r="AN139" s="14">
        <f t="shared" si="92"/>
        <v>0</v>
      </c>
      <c r="AO139" s="14">
        <f t="shared" si="93"/>
        <v>0</v>
      </c>
      <c r="AP139" s="23">
        <f t="shared" si="103"/>
        <v>0</v>
      </c>
      <c r="AQ139" s="23">
        <f t="shared" si="104"/>
        <v>0</v>
      </c>
    </row>
    <row r="140" spans="1:43" x14ac:dyDescent="0.25">
      <c r="H140" s="14">
        <v>2.37</v>
      </c>
      <c r="I140" s="36">
        <f t="shared" si="94"/>
        <v>2344.2288153199233</v>
      </c>
      <c r="J140" s="24">
        <f t="shared" si="95"/>
        <v>74.455738685801748</v>
      </c>
      <c r="K140" s="24">
        <f t="shared" si="96"/>
        <v>-3.7333638406611507</v>
      </c>
      <c r="L140" s="14">
        <f t="shared" si="70"/>
        <v>0.67018069634200106</v>
      </c>
      <c r="M140" s="14">
        <f t="shared" si="71"/>
        <v>-13.497456005445036</v>
      </c>
      <c r="N140" s="14">
        <f t="shared" si="72"/>
        <v>0.24327710409535164</v>
      </c>
      <c r="O140" s="14">
        <f t="shared" si="73"/>
        <v>-84.58378388616805</v>
      </c>
      <c r="P140" s="14">
        <f t="shared" si="74"/>
        <v>-20.501473095879064</v>
      </c>
      <c r="Q140" s="14">
        <f t="shared" si="75"/>
        <v>-1.1188102608011468</v>
      </c>
      <c r="R140" s="14">
        <f t="shared" si="76"/>
        <v>-1.6560732007331442E-3</v>
      </c>
      <c r="S140" s="23">
        <f t="shared" si="97"/>
        <v>-99.200050152414221</v>
      </c>
      <c r="T140" s="23">
        <f t="shared" si="98"/>
        <v>-23.736013776822304</v>
      </c>
      <c r="U140" s="14">
        <f t="shared" si="77"/>
        <v>20000</v>
      </c>
      <c r="V140" s="14">
        <f t="shared" si="78"/>
        <v>-89.998231846019365</v>
      </c>
      <c r="W140" s="14">
        <f t="shared" si="79"/>
        <v>-90.21205098774243</v>
      </c>
      <c r="X140" s="14">
        <f t="shared" si="80"/>
        <v>86.468172188519844</v>
      </c>
      <c r="Y140" s="14">
        <f t="shared" si="81"/>
        <v>24.207963588809992</v>
      </c>
      <c r="Z140" s="14">
        <f t="shared" si="82"/>
        <v>-4.2120078894631181</v>
      </c>
      <c r="AA140" s="14">
        <f t="shared" si="83"/>
        <v>-2.3491403094214793E-2</v>
      </c>
      <c r="AB140" s="23">
        <f t="shared" si="99"/>
        <v>-7.7420675469626392</v>
      </c>
      <c r="AC140" s="23">
        <f t="shared" si="100"/>
        <v>19.993021111252972</v>
      </c>
      <c r="AD140" s="14">
        <f t="shared" si="84"/>
        <v>3.3717917103092918</v>
      </c>
      <c r="AE140" s="14">
        <f t="shared" si="85"/>
        <v>1.5049128722868005E-2</v>
      </c>
      <c r="AF140" s="14">
        <f t="shared" si="86"/>
        <v>5.0635329228508989E-2</v>
      </c>
      <c r="AG140" s="14">
        <f t="shared" si="87"/>
        <v>3.3919260800494068E-6</v>
      </c>
      <c r="AH140" s="14">
        <f t="shared" si="88"/>
        <v>-2.0245706543591808</v>
      </c>
      <c r="AI140" s="14">
        <f t="shared" si="89"/>
        <v>-5.4236957407664257E-3</v>
      </c>
      <c r="AJ140" s="23">
        <f t="shared" si="101"/>
        <v>1.3978563851786201</v>
      </c>
      <c r="AK140" s="23">
        <f t="shared" si="102"/>
        <v>9.6288249081816282E-3</v>
      </c>
      <c r="AL140" s="14">
        <f t="shared" si="90"/>
        <v>0</v>
      </c>
      <c r="AM140" s="14">
        <f t="shared" si="91"/>
        <v>0</v>
      </c>
      <c r="AN140" s="14">
        <f t="shared" si="92"/>
        <v>0</v>
      </c>
      <c r="AO140" s="14">
        <f t="shared" si="93"/>
        <v>0</v>
      </c>
      <c r="AP140" s="23">
        <f t="shared" si="103"/>
        <v>0</v>
      </c>
      <c r="AQ140" s="23">
        <f t="shared" si="104"/>
        <v>0</v>
      </c>
    </row>
    <row r="141" spans="1:43" x14ac:dyDescent="0.25">
      <c r="H141" s="14">
        <v>2.38</v>
      </c>
      <c r="I141" s="36">
        <f t="shared" si="94"/>
        <v>2398.8329190194913</v>
      </c>
      <c r="J141" s="24">
        <f t="shared" si="95"/>
        <v>74.019425173107663</v>
      </c>
      <c r="K141" s="24">
        <f t="shared" si="96"/>
        <v>-3.9219573865552571</v>
      </c>
      <c r="L141" s="14">
        <f t="shared" si="70"/>
        <v>0.67018069634200106</v>
      </c>
      <c r="M141" s="14">
        <f t="shared" si="71"/>
        <v>-13.799962158878635</v>
      </c>
      <c r="N141" s="14">
        <f t="shared" si="72"/>
        <v>0.25441290130469107</v>
      </c>
      <c r="O141" s="14">
        <f t="shared" si="73"/>
        <v>-84.706363526626419</v>
      </c>
      <c r="P141" s="14">
        <f t="shared" si="74"/>
        <v>-20.699731256314955</v>
      </c>
      <c r="Q141" s="14">
        <f t="shared" si="75"/>
        <v>-1.1448638423341735</v>
      </c>
      <c r="R141" s="14">
        <f t="shared" si="76"/>
        <v>-1.7341059461153518E-3</v>
      </c>
      <c r="S141" s="23">
        <f t="shared" si="97"/>
        <v>-99.651189527839236</v>
      </c>
      <c r="T141" s="23">
        <f t="shared" si="98"/>
        <v>-23.923214172794236</v>
      </c>
      <c r="U141" s="14">
        <f t="shared" si="77"/>
        <v>20000</v>
      </c>
      <c r="V141" s="14">
        <f t="shared" si="78"/>
        <v>-89.998272094117723</v>
      </c>
      <c r="W141" s="14">
        <f t="shared" si="79"/>
        <v>-90.41205098755627</v>
      </c>
      <c r="X141" s="14">
        <f t="shared" si="80"/>
        <v>86.548369783307521</v>
      </c>
      <c r="Y141" s="14">
        <f t="shared" si="81"/>
        <v>24.407221750762194</v>
      </c>
      <c r="Z141" s="14">
        <f t="shared" si="82"/>
        <v>-4.309752688690164</v>
      </c>
      <c r="AA141" s="14">
        <f t="shared" si="83"/>
        <v>-2.4595389628004737E-2</v>
      </c>
      <c r="AB141" s="23">
        <f t="shared" si="99"/>
        <v>-7.7596549995003663</v>
      </c>
      <c r="AC141" s="23">
        <f t="shared" si="100"/>
        <v>19.991175286857544</v>
      </c>
      <c r="AD141" s="14">
        <f t="shared" si="84"/>
        <v>3.4501432615795382</v>
      </c>
      <c r="AE141" s="14">
        <f t="shared" si="85"/>
        <v>1.5757087188770495E-2</v>
      </c>
      <c r="AF141" s="14">
        <f t="shared" si="86"/>
        <v>5.1814776925623779E-2</v>
      </c>
      <c r="AG141" s="14">
        <f t="shared" si="87"/>
        <v>3.5517825667827915E-6</v>
      </c>
      <c r="AH141" s="14">
        <f t="shared" si="88"/>
        <v>-2.0716883380578905</v>
      </c>
      <c r="AI141" s="14">
        <f t="shared" si="89"/>
        <v>-5.679139589903002E-3</v>
      </c>
      <c r="AJ141" s="23">
        <f t="shared" si="101"/>
        <v>1.4302697004472713</v>
      </c>
      <c r="AK141" s="23">
        <f t="shared" si="102"/>
        <v>1.0081499381434277E-2</v>
      </c>
      <c r="AL141" s="14">
        <f t="shared" si="90"/>
        <v>0</v>
      </c>
      <c r="AM141" s="14">
        <f t="shared" si="91"/>
        <v>0</v>
      </c>
      <c r="AN141" s="14">
        <f t="shared" si="92"/>
        <v>0</v>
      </c>
      <c r="AO141" s="14">
        <f t="shared" si="93"/>
        <v>0</v>
      </c>
      <c r="AP141" s="23">
        <f t="shared" si="103"/>
        <v>0</v>
      </c>
      <c r="AQ141" s="23">
        <f t="shared" si="104"/>
        <v>0</v>
      </c>
    </row>
    <row r="142" spans="1:43" x14ac:dyDescent="0.25">
      <c r="H142" s="14">
        <v>2.39</v>
      </c>
      <c r="I142" s="36">
        <f t="shared" si="94"/>
        <v>2454.7089156850329</v>
      </c>
      <c r="J142" s="24">
        <f t="shared" si="95"/>
        <v>73.575694768807864</v>
      </c>
      <c r="K142" s="24">
        <f t="shared" si="96"/>
        <v>-4.1101352931737738</v>
      </c>
      <c r="L142" s="14">
        <f t="shared" si="70"/>
        <v>0.67018069634200106</v>
      </c>
      <c r="M142" s="14">
        <f t="shared" si="71"/>
        <v>-14.108704364979902</v>
      </c>
      <c r="N142" s="14">
        <f t="shared" si="72"/>
        <v>0.26604298950821265</v>
      </c>
      <c r="O142" s="14">
        <f t="shared" si="73"/>
        <v>-84.826199891134806</v>
      </c>
      <c r="P142" s="14">
        <f t="shared" si="74"/>
        <v>-20.898067160041961</v>
      </c>
      <c r="Q142" s="14">
        <f t="shared" si="75"/>
        <v>-1.1715237994781795</v>
      </c>
      <c r="R142" s="14">
        <f t="shared" si="76"/>
        <v>-1.815814758772854E-3</v>
      </c>
      <c r="S142" s="23">
        <f t="shared" si="97"/>
        <v>-100.10642805559289</v>
      </c>
      <c r="T142" s="23">
        <f t="shared" si="98"/>
        <v>-24.110001697130375</v>
      </c>
      <c r="U142" s="14">
        <f t="shared" si="77"/>
        <v>20000</v>
      </c>
      <c r="V142" s="14">
        <f t="shared" si="78"/>
        <v>-89.998311426057498</v>
      </c>
      <c r="W142" s="14">
        <f t="shared" si="79"/>
        <v>-90.61205098737851</v>
      </c>
      <c r="X142" s="14">
        <f t="shared" si="80"/>
        <v>86.626754944810983</v>
      </c>
      <c r="Y142" s="14">
        <f t="shared" si="81"/>
        <v>24.606513182616652</v>
      </c>
      <c r="Z142" s="14">
        <f t="shared" si="82"/>
        <v>-4.4097482410274225</v>
      </c>
      <c r="AA142" s="14">
        <f t="shared" si="83"/>
        <v>-2.5751104736525456E-2</v>
      </c>
      <c r="AB142" s="23">
        <f t="shared" si="99"/>
        <v>-7.7813047222739371</v>
      </c>
      <c r="AC142" s="23">
        <f t="shared" si="100"/>
        <v>19.989311003781243</v>
      </c>
      <c r="AD142" s="14">
        <f t="shared" si="84"/>
        <v>3.5303064805090516</v>
      </c>
      <c r="AE142" s="14">
        <f t="shared" si="85"/>
        <v>1.6498287036690949E-2</v>
      </c>
      <c r="AF142" s="14">
        <f t="shared" si="86"/>
        <v>5.3021697443375537E-2</v>
      </c>
      <c r="AG142" s="14">
        <f t="shared" si="87"/>
        <v>3.7191728498980379E-6</v>
      </c>
      <c r="AH142" s="14">
        <f t="shared" si="88"/>
        <v>-2.1199006312777402</v>
      </c>
      <c r="AI142" s="14">
        <f t="shared" si="89"/>
        <v>-5.9466060341818016E-3</v>
      </c>
      <c r="AJ142" s="23">
        <f t="shared" si="101"/>
        <v>1.4634275466746871</v>
      </c>
      <c r="AK142" s="23">
        <f t="shared" si="102"/>
        <v>1.0555400175359044E-2</v>
      </c>
      <c r="AL142" s="14">
        <f t="shared" si="90"/>
        <v>0</v>
      </c>
      <c r="AM142" s="14">
        <f t="shared" si="91"/>
        <v>0</v>
      </c>
      <c r="AN142" s="14">
        <f t="shared" si="92"/>
        <v>0</v>
      </c>
      <c r="AO142" s="14">
        <f t="shared" si="93"/>
        <v>0</v>
      </c>
      <c r="AP142" s="23">
        <f t="shared" si="103"/>
        <v>0</v>
      </c>
      <c r="AQ142" s="23">
        <f t="shared" si="104"/>
        <v>0</v>
      </c>
    </row>
    <row r="143" spans="1:43" x14ac:dyDescent="0.25">
      <c r="H143" s="14">
        <v>2.4</v>
      </c>
      <c r="I143" s="36">
        <f t="shared" si="94"/>
        <v>2511.8864315095807</v>
      </c>
      <c r="J143" s="24">
        <f t="shared" si="95"/>
        <v>73.124388473870368</v>
      </c>
      <c r="K143" s="24">
        <f t="shared" si="96"/>
        <v>-4.297876668290443</v>
      </c>
      <c r="L143" s="14">
        <f t="shared" si="70"/>
        <v>0.67018069634200106</v>
      </c>
      <c r="M143" s="14">
        <f t="shared" si="71"/>
        <v>-14.423774573417772</v>
      </c>
      <c r="N143" s="14">
        <f t="shared" si="72"/>
        <v>0.27818789800032057</v>
      </c>
      <c r="O143" s="14">
        <f t="shared" si="73"/>
        <v>-84.943352322374508</v>
      </c>
      <c r="P143" s="14">
        <f t="shared" si="74"/>
        <v>-21.096477364983532</v>
      </c>
      <c r="Q143" s="14">
        <f t="shared" si="75"/>
        <v>-1.1988042214921295</v>
      </c>
      <c r="R143" s="14">
        <f t="shared" si="76"/>
        <v>-1.9013727415019652E-3</v>
      </c>
      <c r="S143" s="23">
        <f t="shared" si="97"/>
        <v>-100.56593111728441</v>
      </c>
      <c r="T143" s="23">
        <f t="shared" si="98"/>
        <v>-24.29635255156257</v>
      </c>
      <c r="U143" s="14">
        <f t="shared" si="77"/>
        <v>20000</v>
      </c>
      <c r="V143" s="14">
        <f t="shared" si="78"/>
        <v>-89.998349862693033</v>
      </c>
      <c r="W143" s="14">
        <f t="shared" si="79"/>
        <v>-90.812050987208721</v>
      </c>
      <c r="X143" s="14">
        <f t="shared" si="80"/>
        <v>86.703368059546378</v>
      </c>
      <c r="Y143" s="14">
        <f t="shared" si="81"/>
        <v>24.80583639735584</v>
      </c>
      <c r="Z143" s="14">
        <f t="shared" si="82"/>
        <v>-4.5120451274634181</v>
      </c>
      <c r="AA143" s="14">
        <f t="shared" si="83"/>
        <v>-2.696095747622524E-2</v>
      </c>
      <c r="AB143" s="23">
        <f t="shared" si="99"/>
        <v>-7.807026930610073</v>
      </c>
      <c r="AC143" s="23">
        <f t="shared" si="100"/>
        <v>19.98742436595052</v>
      </c>
      <c r="AD143" s="14">
        <f t="shared" si="84"/>
        <v>3.612322614623241</v>
      </c>
      <c r="AE143" s="14">
        <f t="shared" si="85"/>
        <v>1.7274282999302788E-2</v>
      </c>
      <c r="AF143" s="14">
        <f t="shared" si="86"/>
        <v>5.425673070271135E-2</v>
      </c>
      <c r="AG143" s="14">
        <f t="shared" si="87"/>
        <v>3.8944519883876129E-6</v>
      </c>
      <c r="AH143" s="14">
        <f t="shared" si="88"/>
        <v>-2.1692328235610967</v>
      </c>
      <c r="AI143" s="14">
        <f t="shared" si="89"/>
        <v>-6.2266601296838238E-3</v>
      </c>
      <c r="AJ143" s="23">
        <f t="shared" si="101"/>
        <v>1.4973465217648556</v>
      </c>
      <c r="AK143" s="23">
        <f t="shared" si="102"/>
        <v>1.1051517321607352E-2</v>
      </c>
      <c r="AL143" s="14">
        <f t="shared" si="90"/>
        <v>0</v>
      </c>
      <c r="AM143" s="14">
        <f t="shared" si="91"/>
        <v>0</v>
      </c>
      <c r="AN143" s="14">
        <f t="shared" si="92"/>
        <v>0</v>
      </c>
      <c r="AO143" s="14">
        <f t="shared" si="93"/>
        <v>0</v>
      </c>
      <c r="AP143" s="23">
        <f t="shared" si="103"/>
        <v>0</v>
      </c>
      <c r="AQ143" s="23">
        <f t="shared" si="104"/>
        <v>0</v>
      </c>
    </row>
    <row r="144" spans="1:43" x14ac:dyDescent="0.25">
      <c r="H144" s="14">
        <v>2.41</v>
      </c>
      <c r="I144" s="36">
        <f t="shared" si="94"/>
        <v>2570.3957827688664</v>
      </c>
      <c r="J144" s="24">
        <f t="shared" si="95"/>
        <v>72.665347682836554</v>
      </c>
      <c r="K144" s="24">
        <f t="shared" si="96"/>
        <v>-4.4851600513973517</v>
      </c>
      <c r="L144" s="14">
        <f t="shared" si="70"/>
        <v>0.67018069634200106</v>
      </c>
      <c r="M144" s="14">
        <f t="shared" si="71"/>
        <v>-14.745263586718231</v>
      </c>
      <c r="N144" s="14">
        <f t="shared" si="72"/>
        <v>0.29086888156030338</v>
      </c>
      <c r="O144" s="14">
        <f t="shared" si="73"/>
        <v>-85.057879015637511</v>
      </c>
      <c r="P144" s="14">
        <f t="shared" si="74"/>
        <v>-21.29495857902976</v>
      </c>
      <c r="Q144" s="14">
        <f t="shared" si="75"/>
        <v>-1.2267195233121231</v>
      </c>
      <c r="R144" s="14">
        <f t="shared" si="76"/>
        <v>-1.9909611412102938E-3</v>
      </c>
      <c r="S144" s="23">
        <f t="shared" si="97"/>
        <v>-101.02986212566786</v>
      </c>
      <c r="T144" s="23">
        <f t="shared" si="98"/>
        <v>-24.482242370448521</v>
      </c>
      <c r="U144" s="14">
        <f t="shared" si="77"/>
        <v>20000</v>
      </c>
      <c r="V144" s="14">
        <f t="shared" si="78"/>
        <v>-89.99838742440393</v>
      </c>
      <c r="W144" s="14">
        <f t="shared" si="79"/>
        <v>-91.012050987046607</v>
      </c>
      <c r="X144" s="14">
        <f t="shared" si="80"/>
        <v>86.778248652323953</v>
      </c>
      <c r="Y144" s="14">
        <f t="shared" si="81"/>
        <v>25.005189973980734</v>
      </c>
      <c r="Z144" s="14">
        <f t="shared" si="82"/>
        <v>-4.6166949769572616</v>
      </c>
      <c r="AA144" s="14">
        <f t="shared" si="83"/>
        <v>-2.8227467682668209E-2</v>
      </c>
      <c r="AB144" s="23">
        <f t="shared" si="99"/>
        <v>-7.8368337490372388</v>
      </c>
      <c r="AC144" s="23">
        <f t="shared" si="100"/>
        <v>19.985511432531084</v>
      </c>
      <c r="AD144" s="14">
        <f t="shared" si="84"/>
        <v>3.6962338047597827</v>
      </c>
      <c r="AE144" s="14">
        <f t="shared" si="85"/>
        <v>1.8086701941728147E-2</v>
      </c>
      <c r="AF144" s="14">
        <f t="shared" si="86"/>
        <v>5.5520531530019741E-2</v>
      </c>
      <c r="AG144" s="14">
        <f t="shared" si="87"/>
        <v>4.0779917703394952E-6</v>
      </c>
      <c r="AH144" s="14">
        <f t="shared" si="88"/>
        <v>-2.2197107787481438</v>
      </c>
      <c r="AI144" s="14">
        <f t="shared" si="89"/>
        <v>-6.5198934134126883E-3</v>
      </c>
      <c r="AJ144" s="23">
        <f t="shared" si="101"/>
        <v>1.5320435575416584</v>
      </c>
      <c r="AK144" s="23">
        <f t="shared" si="102"/>
        <v>1.15708865200858E-2</v>
      </c>
      <c r="AL144" s="14">
        <f t="shared" si="90"/>
        <v>0</v>
      </c>
      <c r="AM144" s="14">
        <f t="shared" si="91"/>
        <v>0</v>
      </c>
      <c r="AN144" s="14">
        <f t="shared" si="92"/>
        <v>0</v>
      </c>
      <c r="AO144" s="14">
        <f t="shared" si="93"/>
        <v>0</v>
      </c>
      <c r="AP144" s="23">
        <f t="shared" si="103"/>
        <v>0</v>
      </c>
      <c r="AQ144" s="23">
        <f t="shared" si="104"/>
        <v>0</v>
      </c>
    </row>
    <row r="145" spans="8:43" x14ac:dyDescent="0.25">
      <c r="H145" s="14">
        <v>2.42</v>
      </c>
      <c r="I145" s="36">
        <f t="shared" si="94"/>
        <v>2630.2679918953818</v>
      </c>
      <c r="J145" s="24">
        <f t="shared" si="95"/>
        <v>72.198414373007338</v>
      </c>
      <c r="K145" s="24">
        <f t="shared" si="96"/>
        <v>-4.6719633993588277</v>
      </c>
      <c r="L145" s="14">
        <f t="shared" si="70"/>
        <v>0.67018069634200106</v>
      </c>
      <c r="M145" s="14">
        <f t="shared" si="71"/>
        <v>-15.073260855307918</v>
      </c>
      <c r="N145" s="14">
        <f t="shared" si="72"/>
        <v>0.30410793465239683</v>
      </c>
      <c r="O145" s="14">
        <f t="shared" si="73"/>
        <v>-85.169837031756373</v>
      </c>
      <c r="P145" s="14">
        <f t="shared" si="74"/>
        <v>-21.493507653715991</v>
      </c>
      <c r="Q145" s="14">
        <f t="shared" si="75"/>
        <v>-1.2552844529585943</v>
      </c>
      <c r="R145" s="14">
        <f t="shared" si="76"/>
        <v>-2.084769731390922E-3</v>
      </c>
      <c r="S145" s="23">
        <f t="shared" si="97"/>
        <v>-101.49838234002289</v>
      </c>
      <c r="T145" s="23">
        <f t="shared" si="98"/>
        <v>-24.667646200632838</v>
      </c>
      <c r="U145" s="14">
        <f t="shared" si="77"/>
        <v>20000</v>
      </c>
      <c r="V145" s="14">
        <f t="shared" si="78"/>
        <v>-89.998424131105907</v>
      </c>
      <c r="W145" s="14">
        <f t="shared" si="79"/>
        <v>-91.212050986891754</v>
      </c>
      <c r="X145" s="14">
        <f t="shared" si="80"/>
        <v>86.851435402064908</v>
      </c>
      <c r="Y145" s="14">
        <f t="shared" si="81"/>
        <v>25.204572554618775</v>
      </c>
      <c r="Z145" s="14">
        <f t="shared" si="82"/>
        <v>-4.7237504817532407</v>
      </c>
      <c r="AA145" s="14">
        <f t="shared" si="83"/>
        <v>-2.9553270929271496E-2</v>
      </c>
      <c r="AB145" s="23">
        <f t="shared" si="99"/>
        <v>-7.8707392107942393</v>
      </c>
      <c r="AC145" s="23">
        <f t="shared" si="100"/>
        <v>19.983568210077376</v>
      </c>
      <c r="AD145" s="14">
        <f t="shared" si="84"/>
        <v>3.7820831011233711</v>
      </c>
      <c r="AE145" s="14">
        <f t="shared" si="85"/>
        <v>1.893724615206567E-2</v>
      </c>
      <c r="AF145" s="14">
        <f t="shared" si="86"/>
        <v>5.6813770004305653E-2</v>
      </c>
      <c r="AG145" s="14">
        <f t="shared" si="87"/>
        <v>4.2701815056088155E-6</v>
      </c>
      <c r="AH145" s="14">
        <f t="shared" si="88"/>
        <v>-2.2713609473032168</v>
      </c>
      <c r="AI145" s="14">
        <f t="shared" si="89"/>
        <v>-6.8269251369372334E-3</v>
      </c>
      <c r="AJ145" s="23">
        <f t="shared" si="101"/>
        <v>1.5675359238244599</v>
      </c>
      <c r="AK145" s="23">
        <f t="shared" si="102"/>
        <v>1.2114591196634047E-2</v>
      </c>
      <c r="AL145" s="14">
        <f t="shared" si="90"/>
        <v>0</v>
      </c>
      <c r="AM145" s="14">
        <f t="shared" si="91"/>
        <v>0</v>
      </c>
      <c r="AN145" s="14">
        <f t="shared" si="92"/>
        <v>0</v>
      </c>
      <c r="AO145" s="14">
        <f t="shared" si="93"/>
        <v>0</v>
      </c>
      <c r="AP145" s="23">
        <f t="shared" si="103"/>
        <v>0</v>
      </c>
      <c r="AQ145" s="23">
        <f t="shared" si="104"/>
        <v>0</v>
      </c>
    </row>
    <row r="146" spans="8:43" x14ac:dyDescent="0.25">
      <c r="H146" s="14">
        <v>2.4300000000000002</v>
      </c>
      <c r="I146" s="36">
        <f t="shared" si="94"/>
        <v>2691.5348039269179</v>
      </c>
      <c r="J146" s="24">
        <f t="shared" si="95"/>
        <v>71.723431304574916</v>
      </c>
      <c r="K146" s="24">
        <f t="shared" si="96"/>
        <v>-4.8582640731497584</v>
      </c>
      <c r="L146" s="14">
        <f t="shared" si="70"/>
        <v>0.67018069634200106</v>
      </c>
      <c r="M146" s="14">
        <f t="shared" si="71"/>
        <v>-15.407854260902894</v>
      </c>
      <c r="N146" s="14">
        <f t="shared" si="72"/>
        <v>0.31792780480530991</v>
      </c>
      <c r="O146" s="14">
        <f t="shared" si="73"/>
        <v>-85.279282310578225</v>
      </c>
      <c r="P146" s="14">
        <f t="shared" si="74"/>
        <v>-21.692121578149361</v>
      </c>
      <c r="Q146" s="14">
        <f t="shared" si="75"/>
        <v>-1.2845140991033279</v>
      </c>
      <c r="R146" s="14">
        <f t="shared" si="76"/>
        <v>-2.1829972124872425E-3</v>
      </c>
      <c r="S146" s="23">
        <f t="shared" si="97"/>
        <v>-101.97165067058445</v>
      </c>
      <c r="T146" s="23">
        <f t="shared" si="98"/>
        <v>-24.852538482394394</v>
      </c>
      <c r="U146" s="14">
        <f t="shared" si="77"/>
        <v>20000</v>
      </c>
      <c r="V146" s="14">
        <f t="shared" si="78"/>
        <v>-89.998460002261311</v>
      </c>
      <c r="W146" s="14">
        <f t="shared" si="79"/>
        <v>-91.412050986743907</v>
      </c>
      <c r="X146" s="14">
        <f t="shared" si="80"/>
        <v>86.922966157506579</v>
      </c>
      <c r="Y146" s="14">
        <f t="shared" si="81"/>
        <v>25.403982841755234</v>
      </c>
      <c r="Z146" s="14">
        <f t="shared" si="82"/>
        <v>-4.8332654124277861</v>
      </c>
      <c r="AA146" s="14">
        <f t="shared" si="83"/>
        <v>-3.0941123695014214E-2</v>
      </c>
      <c r="AB146" s="23">
        <f t="shared" si="99"/>
        <v>-7.9087592571825178</v>
      </c>
      <c r="AC146" s="23">
        <f t="shared" si="100"/>
        <v>19.981590644595936</v>
      </c>
      <c r="AD146" s="14">
        <f t="shared" si="84"/>
        <v>3.8699144793833002</v>
      </c>
      <c r="AE146" s="14">
        <f t="shared" si="85"/>
        <v>1.9827696776643589E-2</v>
      </c>
      <c r="AF146" s="14">
        <f t="shared" si="86"/>
        <v>5.8137131812452544E-2</v>
      </c>
      <c r="AG146" s="14">
        <f t="shared" si="87"/>
        <v>4.4714288570620571E-6</v>
      </c>
      <c r="AH146" s="14">
        <f t="shared" si="88"/>
        <v>-2.3242103788538566</v>
      </c>
      <c r="AI146" s="14">
        <f t="shared" si="89"/>
        <v>-7.1484035568015296E-3</v>
      </c>
      <c r="AJ146" s="23">
        <f t="shared" si="101"/>
        <v>1.603841232341896</v>
      </c>
      <c r="AK146" s="23">
        <f t="shared" si="102"/>
        <v>1.2683764648699122E-2</v>
      </c>
      <c r="AL146" s="14">
        <f t="shared" si="90"/>
        <v>0</v>
      </c>
      <c r="AM146" s="14">
        <f t="shared" si="91"/>
        <v>0</v>
      </c>
      <c r="AN146" s="14">
        <f t="shared" si="92"/>
        <v>0</v>
      </c>
      <c r="AO146" s="14">
        <f t="shared" si="93"/>
        <v>0</v>
      </c>
      <c r="AP146" s="23">
        <f t="shared" si="103"/>
        <v>0</v>
      </c>
      <c r="AQ146" s="23">
        <f t="shared" si="104"/>
        <v>0</v>
      </c>
    </row>
    <row r="147" spans="8:43" x14ac:dyDescent="0.25">
      <c r="H147" s="14">
        <v>2.44</v>
      </c>
      <c r="I147" s="36">
        <f t="shared" si="94"/>
        <v>2754.2287033381681</v>
      </c>
      <c r="J147" s="24">
        <f t="shared" si="95"/>
        <v>71.240242231987608</v>
      </c>
      <c r="K147" s="24">
        <f t="shared" si="96"/>
        <v>-5.0440388258071724</v>
      </c>
      <c r="L147" s="14">
        <f t="shared" si="70"/>
        <v>0.67018069634200106</v>
      </c>
      <c r="M147" s="14">
        <f t="shared" si="71"/>
        <v>-15.749129888028714</v>
      </c>
      <c r="N147" s="14">
        <f t="shared" si="72"/>
        <v>0.33235200504330126</v>
      </c>
      <c r="O147" s="14">
        <f t="shared" si="73"/>
        <v>-85.386269684919327</v>
      </c>
      <c r="P147" s="14">
        <f t="shared" si="74"/>
        <v>-21.89079747317486</v>
      </c>
      <c r="Q147" s="14">
        <f t="shared" si="75"/>
        <v>-1.3144238987990431</v>
      </c>
      <c r="R147" s="14">
        <f t="shared" si="76"/>
        <v>-2.2858516309983488E-3</v>
      </c>
      <c r="S147" s="23">
        <f t="shared" si="97"/>
        <v>-102.4498234717471</v>
      </c>
      <c r="T147" s="23">
        <f t="shared" si="98"/>
        <v>-25.03689303160041</v>
      </c>
      <c r="U147" s="14">
        <f t="shared" si="77"/>
        <v>20000</v>
      </c>
      <c r="V147" s="14">
        <f t="shared" si="78"/>
        <v>-89.998495056889553</v>
      </c>
      <c r="W147" s="14">
        <f t="shared" si="79"/>
        <v>-91.612050986602682</v>
      </c>
      <c r="X147" s="14">
        <f t="shared" si="80"/>
        <v>86.992877952782464</v>
      </c>
      <c r="Y147" s="14">
        <f t="shared" si="81"/>
        <v>25.603419595582672</v>
      </c>
      <c r="Z147" s="14">
        <f t="shared" si="82"/>
        <v>-4.9452946326207998</v>
      </c>
      <c r="AA147" s="14">
        <f t="shared" si="83"/>
        <v>-3.2393908748650044E-2</v>
      </c>
      <c r="AB147" s="23">
        <f t="shared" si="99"/>
        <v>-7.9509117367278881</v>
      </c>
      <c r="AC147" s="23">
        <f t="shared" si="100"/>
        <v>19.979574613510966</v>
      </c>
      <c r="AD147" s="14">
        <f t="shared" si="84"/>
        <v>3.9597728567920059</v>
      </c>
      <c r="AE147" s="14">
        <f t="shared" si="85"/>
        <v>2.0759917405811425E-2</v>
      </c>
      <c r="AF147" s="14">
        <f t="shared" si="86"/>
        <v>5.9491318612756604E-2</v>
      </c>
      <c r="AG147" s="14">
        <f t="shared" si="87"/>
        <v>4.6821606930358899E-6</v>
      </c>
      <c r="AH147" s="14">
        <f t="shared" si="88"/>
        <v>-2.378286734942169</v>
      </c>
      <c r="AI147" s="14">
        <f t="shared" si="89"/>
        <v>-7.4850072842327304E-3</v>
      </c>
      <c r="AJ147" s="23">
        <f t="shared" si="101"/>
        <v>1.6409774404625934</v>
      </c>
      <c r="AK147" s="23">
        <f t="shared" si="102"/>
        <v>1.327959228227173E-2</v>
      </c>
      <c r="AL147" s="14">
        <f t="shared" si="90"/>
        <v>0</v>
      </c>
      <c r="AM147" s="14">
        <f t="shared" si="91"/>
        <v>0</v>
      </c>
      <c r="AN147" s="14">
        <f t="shared" si="92"/>
        <v>0</v>
      </c>
      <c r="AO147" s="14">
        <f t="shared" si="93"/>
        <v>0</v>
      </c>
      <c r="AP147" s="23">
        <f t="shared" si="103"/>
        <v>0</v>
      </c>
      <c r="AQ147" s="23">
        <f t="shared" si="104"/>
        <v>0</v>
      </c>
    </row>
    <row r="148" spans="8:43" x14ac:dyDescent="0.25">
      <c r="H148" s="14">
        <v>2.4500000000000002</v>
      </c>
      <c r="I148" s="36">
        <f t="shared" si="94"/>
        <v>2818.3829312644552</v>
      </c>
      <c r="J148" s="24">
        <f t="shared" si="95"/>
        <v>70.748692126791781</v>
      </c>
      <c r="K148" s="24">
        <f t="shared" si="96"/>
        <v>-5.2292637917347351</v>
      </c>
      <c r="L148" s="14">
        <f t="shared" si="70"/>
        <v>0.67018069634200106</v>
      </c>
      <c r="M148" s="14">
        <f t="shared" si="71"/>
        <v>-16.097171783501626</v>
      </c>
      <c r="N148" s="14">
        <f t="shared" si="72"/>
        <v>0.34740482523236504</v>
      </c>
      <c r="O148" s="14">
        <f t="shared" si="73"/>
        <v>-85.490852894940431</v>
      </c>
      <c r="P148" s="14">
        <f t="shared" si="74"/>
        <v>-22.089532585773437</v>
      </c>
      <c r="Q148" s="14">
        <f t="shared" si="75"/>
        <v>-1.3450296453744193</v>
      </c>
      <c r="R148" s="14">
        <f t="shared" si="76"/>
        <v>-2.3935508181582828E-3</v>
      </c>
      <c r="S148" s="23">
        <f t="shared" si="97"/>
        <v>-102.93305432381648</v>
      </c>
      <c r="T148" s="23">
        <f t="shared" si="98"/>
        <v>-25.220683023197086</v>
      </c>
      <c r="U148" s="14">
        <f t="shared" si="77"/>
        <v>20000</v>
      </c>
      <c r="V148" s="14">
        <f t="shared" si="78"/>
        <v>-89.998529313577038</v>
      </c>
      <c r="W148" s="14">
        <f t="shared" si="79"/>
        <v>-91.812050986467838</v>
      </c>
      <c r="X148" s="14">
        <f t="shared" si="80"/>
        <v>87.061207022865247</v>
      </c>
      <c r="Y148" s="14">
        <f t="shared" si="81"/>
        <v>25.802881631464153</v>
      </c>
      <c r="Z148" s="14">
        <f t="shared" si="82"/>
        <v>-5.0598941134000643</v>
      </c>
      <c r="AA148" s="14">
        <f t="shared" si="83"/>
        <v>-3.3914640757117816E-2</v>
      </c>
      <c r="AB148" s="23">
        <f t="shared" si="99"/>
        <v>-7.997216404111855</v>
      </c>
      <c r="AC148" s="23">
        <f t="shared" si="100"/>
        <v>19.977515917518822</v>
      </c>
      <c r="AD148" s="14">
        <f t="shared" si="84"/>
        <v>4.0517041083011378</v>
      </c>
      <c r="AE148" s="14">
        <f t="shared" si="85"/>
        <v>2.1735857816343112E-2</v>
      </c>
      <c r="AF148" s="14">
        <f t="shared" si="86"/>
        <v>6.0877048406929014E-2</v>
      </c>
      <c r="AG148" s="14">
        <f t="shared" si="87"/>
        <v>4.9028240034409601E-6</v>
      </c>
      <c r="AH148" s="14">
        <f t="shared" si="88"/>
        <v>-2.4336183019879609</v>
      </c>
      <c r="AI148" s="14">
        <f t="shared" si="89"/>
        <v>-7.8374466968172546E-3</v>
      </c>
      <c r="AJ148" s="23">
        <f t="shared" si="101"/>
        <v>1.6789628547201056</v>
      </c>
      <c r="AK148" s="23">
        <f t="shared" si="102"/>
        <v>1.3903313943529297E-2</v>
      </c>
      <c r="AL148" s="14">
        <f t="shared" si="90"/>
        <v>0</v>
      </c>
      <c r="AM148" s="14">
        <f t="shared" si="91"/>
        <v>0</v>
      </c>
      <c r="AN148" s="14">
        <f t="shared" si="92"/>
        <v>0</v>
      </c>
      <c r="AO148" s="14">
        <f t="shared" si="93"/>
        <v>0</v>
      </c>
      <c r="AP148" s="23">
        <f t="shared" si="103"/>
        <v>0</v>
      </c>
      <c r="AQ148" s="23">
        <f t="shared" si="104"/>
        <v>0</v>
      </c>
    </row>
    <row r="149" spans="8:43" x14ac:dyDescent="0.25">
      <c r="H149" s="14">
        <v>2.46</v>
      </c>
      <c r="I149" s="36">
        <f t="shared" si="94"/>
        <v>2884.0315031266073</v>
      </c>
      <c r="J149" s="24">
        <f t="shared" si="95"/>
        <v>70.24862741214497</v>
      </c>
      <c r="K149" s="24">
        <f t="shared" si="96"/>
        <v>-5.4139144775057559</v>
      </c>
      <c r="L149" s="14">
        <f t="shared" si="70"/>
        <v>0.67018069634200106</v>
      </c>
      <c r="M149" s="14">
        <f t="shared" si="71"/>
        <v>-16.452061703748548</v>
      </c>
      <c r="N149" s="14">
        <f t="shared" si="72"/>
        <v>0.36311134219672386</v>
      </c>
      <c r="O149" s="14">
        <f t="shared" si="73"/>
        <v>-85.593084602887728</v>
      </c>
      <c r="P149" s="14">
        <f t="shared" si="74"/>
        <v>-22.288324283683867</v>
      </c>
      <c r="Q149" s="14">
        <f t="shared" si="75"/>
        <v>-1.3763474964973346</v>
      </c>
      <c r="R149" s="14">
        <f t="shared" si="76"/>
        <v>-2.5063228491426447E-3</v>
      </c>
      <c r="S149" s="23">
        <f t="shared" si="97"/>
        <v>-103.4214938031336</v>
      </c>
      <c r="T149" s="23">
        <f t="shared" si="98"/>
        <v>-25.403880976174143</v>
      </c>
      <c r="U149" s="14">
        <f t="shared" si="77"/>
        <v>20000</v>
      </c>
      <c r="V149" s="14">
        <f t="shared" si="78"/>
        <v>-89.998562790487114</v>
      </c>
      <c r="W149" s="14">
        <f t="shared" si="79"/>
        <v>-92.012050986339048</v>
      </c>
      <c r="X149" s="14">
        <f t="shared" si="80"/>
        <v>87.127988818861283</v>
      </c>
      <c r="Y149" s="14">
        <f t="shared" si="81"/>
        <v>26.002367817505213</v>
      </c>
      <c r="Z149" s="14">
        <f t="shared" si="82"/>
        <v>-5.1771209472030941</v>
      </c>
      <c r="AA149" s="14">
        <f t="shared" si="83"/>
        <v>-3.5506472125966762E-2</v>
      </c>
      <c r="AB149" s="23">
        <f t="shared" si="99"/>
        <v>-8.047694918828924</v>
      </c>
      <c r="AC149" s="23">
        <f t="shared" si="100"/>
        <v>19.975410272319824</v>
      </c>
      <c r="AD149" s="14">
        <f t="shared" si="84"/>
        <v>4.1457550826492078</v>
      </c>
      <c r="AE149" s="14">
        <f t="shared" si="85"/>
        <v>2.2757557876588366E-2</v>
      </c>
      <c r="AF149" s="14">
        <f t="shared" si="86"/>
        <v>6.2295055920760629E-2</v>
      </c>
      <c r="AG149" s="14">
        <f t="shared" si="87"/>
        <v>5.1338868428661484E-6</v>
      </c>
      <c r="AH149" s="14">
        <f t="shared" si="88"/>
        <v>-2.4902340044624793</v>
      </c>
      <c r="AI149" s="14">
        <f t="shared" si="89"/>
        <v>-8.2064654148678862E-3</v>
      </c>
      <c r="AJ149" s="23">
        <f t="shared" si="101"/>
        <v>1.7178161341074887</v>
      </c>
      <c r="AK149" s="23">
        <f t="shared" si="102"/>
        <v>1.4556226348563347E-2</v>
      </c>
      <c r="AL149" s="14">
        <f t="shared" si="90"/>
        <v>0</v>
      </c>
      <c r="AM149" s="14">
        <f t="shared" si="91"/>
        <v>0</v>
      </c>
      <c r="AN149" s="14">
        <f t="shared" si="92"/>
        <v>0</v>
      </c>
      <c r="AO149" s="14">
        <f t="shared" si="93"/>
        <v>0</v>
      </c>
      <c r="AP149" s="23">
        <f t="shared" si="103"/>
        <v>0</v>
      </c>
      <c r="AQ149" s="23">
        <f t="shared" si="104"/>
        <v>0</v>
      </c>
    </row>
    <row r="150" spans="8:43" x14ac:dyDescent="0.25">
      <c r="H150" s="14">
        <v>2.4700000000000002</v>
      </c>
      <c r="I150" s="36">
        <f t="shared" si="94"/>
        <v>2951.2092266663894</v>
      </c>
      <c r="J150" s="24">
        <f t="shared" si="95"/>
        <v>69.739896209138891</v>
      </c>
      <c r="K150" s="24">
        <f t="shared" si="96"/>
        <v>-5.5979657543212848</v>
      </c>
      <c r="L150" s="14">
        <f t="shared" si="70"/>
        <v>0.67018069634200106</v>
      </c>
      <c r="M150" s="14">
        <f t="shared" si="71"/>
        <v>-16.813878849899986</v>
      </c>
      <c r="N150" s="14">
        <f t="shared" si="72"/>
        <v>0.379497428452375</v>
      </c>
      <c r="O150" s="14">
        <f t="shared" si="73"/>
        <v>-85.693016408147884</v>
      </c>
      <c r="P150" s="14">
        <f t="shared" si="74"/>
        <v>-22.487170050241044</v>
      </c>
      <c r="Q150" s="14">
        <f t="shared" si="75"/>
        <v>-1.4083939824091434</v>
      </c>
      <c r="R150" s="14">
        <f t="shared" si="76"/>
        <v>-2.6244065237083923E-3</v>
      </c>
      <c r="S150" s="23">
        <f t="shared" si="97"/>
        <v>-103.91528924045701</v>
      </c>
      <c r="T150" s="23">
        <f t="shared" si="98"/>
        <v>-25.586458740150231</v>
      </c>
      <c r="U150" s="14">
        <f t="shared" si="77"/>
        <v>20000</v>
      </c>
      <c r="V150" s="14">
        <f t="shared" si="78"/>
        <v>-89.998595505369678</v>
      </c>
      <c r="W150" s="14">
        <f t="shared" si="79"/>
        <v>-92.21205098621607</v>
      </c>
      <c r="X150" s="14">
        <f t="shared" si="80"/>
        <v>87.193258023147308</v>
      </c>
      <c r="Y150" s="14">
        <f t="shared" si="81"/>
        <v>26.20187707223036</v>
      </c>
      <c r="Z150" s="14">
        <f t="shared" si="82"/>
        <v>-5.2970333612969061</v>
      </c>
      <c r="AA150" s="14">
        <f t="shared" si="83"/>
        <v>-3.7172699079737102E-2</v>
      </c>
      <c r="AB150" s="23">
        <f t="shared" si="99"/>
        <v>-8.1023708435192763</v>
      </c>
      <c r="AC150" s="23">
        <f t="shared" si="100"/>
        <v>19.973253300214179</v>
      </c>
      <c r="AD150" s="14">
        <f t="shared" si="84"/>
        <v>4.2419736183928514</v>
      </c>
      <c r="AE150" s="14">
        <f t="shared" si="85"/>
        <v>2.3827151620857322E-2</v>
      </c>
      <c r="AF150" s="14">
        <f t="shared" si="86"/>
        <v>6.3746092993652581E-2</v>
      </c>
      <c r="AG150" s="14">
        <f t="shared" si="87"/>
        <v>5.3758393257557462E-6</v>
      </c>
      <c r="AH150" s="14">
        <f t="shared" si="88"/>
        <v>-2.5481634182713151</v>
      </c>
      <c r="AI150" s="14">
        <f t="shared" si="89"/>
        <v>-8.5928418454151896E-3</v>
      </c>
      <c r="AJ150" s="23">
        <f t="shared" si="101"/>
        <v>1.7575562931151891</v>
      </c>
      <c r="AK150" s="23">
        <f t="shared" si="102"/>
        <v>1.5239685614767889E-2</v>
      </c>
      <c r="AL150" s="14">
        <f t="shared" si="90"/>
        <v>0</v>
      </c>
      <c r="AM150" s="14">
        <f t="shared" si="91"/>
        <v>0</v>
      </c>
      <c r="AN150" s="14">
        <f t="shared" si="92"/>
        <v>0</v>
      </c>
      <c r="AO150" s="14">
        <f t="shared" si="93"/>
        <v>0</v>
      </c>
      <c r="AP150" s="23">
        <f t="shared" si="103"/>
        <v>0</v>
      </c>
      <c r="AQ150" s="23">
        <f t="shared" si="104"/>
        <v>0</v>
      </c>
    </row>
    <row r="151" spans="8:43" x14ac:dyDescent="0.25">
      <c r="H151" s="14">
        <v>2.48</v>
      </c>
      <c r="I151" s="36">
        <f t="shared" si="94"/>
        <v>3019.9517204020167</v>
      </c>
      <c r="J151" s="24">
        <f t="shared" si="95"/>
        <v>69.222348595007105</v>
      </c>
      <c r="K151" s="24">
        <f t="shared" si="96"/>
        <v>-5.7813918522859487</v>
      </c>
      <c r="L151" s="14">
        <f t="shared" si="70"/>
        <v>0.67018069634200106</v>
      </c>
      <c r="M151" s="14">
        <f t="shared" si="71"/>
        <v>-17.182699590652678</v>
      </c>
      <c r="N151" s="14">
        <f t="shared" si="72"/>
        <v>0.39658975939630109</v>
      </c>
      <c r="O151" s="14">
        <f t="shared" si="73"/>
        <v>-85.790698862569457</v>
      </c>
      <c r="P151" s="14">
        <f t="shared" si="74"/>
        <v>-22.686067479422949</v>
      </c>
      <c r="Q151" s="14">
        <f t="shared" si="75"/>
        <v>-1.4411860143327653</v>
      </c>
      <c r="R151" s="14">
        <f t="shared" si="76"/>
        <v>-2.7480518692964508E-3</v>
      </c>
      <c r="S151" s="23">
        <f t="shared" si="97"/>
        <v>-104.4145844675549</v>
      </c>
      <c r="T151" s="23">
        <f t="shared" si="98"/>
        <v>-25.7683874837338</v>
      </c>
      <c r="U151" s="14">
        <f t="shared" si="77"/>
        <v>20000</v>
      </c>
      <c r="V151" s="14">
        <f t="shared" si="78"/>
        <v>-89.998627475570615</v>
      </c>
      <c r="W151" s="14">
        <f t="shared" si="79"/>
        <v>-92.412050986098606</v>
      </c>
      <c r="X151" s="14">
        <f t="shared" si="80"/>
        <v>87.257048564340295</v>
      </c>
      <c r="Y151" s="14">
        <f t="shared" si="81"/>
        <v>26.401408362359753</v>
      </c>
      <c r="Z151" s="14">
        <f t="shared" si="82"/>
        <v>-5.4196907306915545</v>
      </c>
      <c r="AA151" s="14">
        <f t="shared" si="83"/>
        <v>-3.8916767990347934E-2</v>
      </c>
      <c r="AB151" s="23">
        <f t="shared" si="99"/>
        <v>-8.1612696419218747</v>
      </c>
      <c r="AC151" s="23">
        <f t="shared" si="100"/>
        <v>19.971040521550425</v>
      </c>
      <c r="AD151" s="14">
        <f t="shared" si="84"/>
        <v>4.3404085598511157</v>
      </c>
      <c r="AE151" s="14">
        <f t="shared" si="85"/>
        <v>2.4946871499528414E-2</v>
      </c>
      <c r="AF151" s="14">
        <f t="shared" si="86"/>
        <v>6.5230928977217925E-2</v>
      </c>
      <c r="AG151" s="14">
        <f t="shared" si="87"/>
        <v>5.6291946640161906E-6</v>
      </c>
      <c r="AH151" s="14">
        <f t="shared" si="88"/>
        <v>-2.6074367843444515</v>
      </c>
      <c r="AI151" s="14">
        <f t="shared" si="89"/>
        <v>-8.9973907967656561E-3</v>
      </c>
      <c r="AJ151" s="23">
        <f t="shared" si="101"/>
        <v>1.7982027044838818</v>
      </c>
      <c r="AK151" s="23">
        <f t="shared" si="102"/>
        <v>1.5955109897426774E-2</v>
      </c>
      <c r="AL151" s="14">
        <f t="shared" si="90"/>
        <v>0</v>
      </c>
      <c r="AM151" s="14">
        <f t="shared" si="91"/>
        <v>0</v>
      </c>
      <c r="AN151" s="14">
        <f t="shared" si="92"/>
        <v>0</v>
      </c>
      <c r="AO151" s="14">
        <f t="shared" si="93"/>
        <v>0</v>
      </c>
      <c r="AP151" s="23">
        <f t="shared" si="103"/>
        <v>0</v>
      </c>
      <c r="AQ151" s="23">
        <f t="shared" si="104"/>
        <v>0</v>
      </c>
    </row>
    <row r="152" spans="8:43" x14ac:dyDescent="0.25">
      <c r="H152" s="14">
        <v>2.4900000000000002</v>
      </c>
      <c r="I152" s="36">
        <f t="shared" si="94"/>
        <v>3090.2954325135938</v>
      </c>
      <c r="J152" s="24">
        <f t="shared" si="95"/>
        <v>68.695836873220969</v>
      </c>
      <c r="K152" s="24">
        <f t="shared" si="96"/>
        <v>-5.9641663566739247</v>
      </c>
      <c r="L152" s="14">
        <f t="shared" si="70"/>
        <v>0.67018069634200106</v>
      </c>
      <c r="M152" s="14">
        <f t="shared" si="71"/>
        <v>-17.558597172969954</v>
      </c>
      <c r="N152" s="14">
        <f t="shared" si="72"/>
        <v>0.41441581878191525</v>
      </c>
      <c r="O152" s="14">
        <f t="shared" si="73"/>
        <v>-85.886181486006791</v>
      </c>
      <c r="P152" s="14">
        <f t="shared" si="74"/>
        <v>-22.88501427109912</v>
      </c>
      <c r="Q152" s="14">
        <f t="shared" si="75"/>
        <v>-1.4747408930573909</v>
      </c>
      <c r="R152" s="14">
        <f t="shared" si="76"/>
        <v>-2.8775206676096635E-3</v>
      </c>
      <c r="S152" s="23">
        <f t="shared" si="97"/>
        <v>-104.91951955203413</v>
      </c>
      <c r="T152" s="23">
        <f t="shared" si="98"/>
        <v>-25.949637684822669</v>
      </c>
      <c r="U152" s="14">
        <f t="shared" si="77"/>
        <v>20000</v>
      </c>
      <c r="V152" s="14">
        <f t="shared" si="78"/>
        <v>-89.998658718040915</v>
      </c>
      <c r="W152" s="14">
        <f t="shared" si="79"/>
        <v>-92.612050985986443</v>
      </c>
      <c r="X152" s="14">
        <f t="shared" si="80"/>
        <v>87.319393632092812</v>
      </c>
      <c r="Y152" s="14">
        <f t="shared" si="81"/>
        <v>26.600960700681977</v>
      </c>
      <c r="Z152" s="14">
        <f t="shared" si="82"/>
        <v>-5.5451535904387432</v>
      </c>
      <c r="AA152" s="14">
        <f t="shared" si="83"/>
        <v>-4.0742281961609478E-2</v>
      </c>
      <c r="AB152" s="23">
        <f t="shared" si="99"/>
        <v>-8.224418676386847</v>
      </c>
      <c r="AC152" s="23">
        <f t="shared" si="100"/>
        <v>19.96876734601355</v>
      </c>
      <c r="AD152" s="14">
        <f t="shared" si="84"/>
        <v>4.4411097729297833</v>
      </c>
      <c r="AE152" s="14">
        <f t="shared" si="85"/>
        <v>2.6119052811708742E-2</v>
      </c>
      <c r="AF152" s="14">
        <f t="shared" si="86"/>
        <v>6.67503511431672E-2</v>
      </c>
      <c r="AG152" s="14">
        <f t="shared" si="87"/>
        <v>5.8944902547668906E-6</v>
      </c>
      <c r="AH152" s="14">
        <f t="shared" si="88"/>
        <v>-2.6680850224309975</v>
      </c>
      <c r="AI152" s="14">
        <f t="shared" si="89"/>
        <v>-9.4209651667691678E-3</v>
      </c>
      <c r="AJ152" s="23">
        <f t="shared" si="101"/>
        <v>1.8397751016419526</v>
      </c>
      <c r="AK152" s="23">
        <f t="shared" si="102"/>
        <v>1.6703982135194341E-2</v>
      </c>
      <c r="AL152" s="14">
        <f t="shared" si="90"/>
        <v>0</v>
      </c>
      <c r="AM152" s="14">
        <f t="shared" si="91"/>
        <v>0</v>
      </c>
      <c r="AN152" s="14">
        <f t="shared" si="92"/>
        <v>0</v>
      </c>
      <c r="AO152" s="14">
        <f t="shared" si="93"/>
        <v>0</v>
      </c>
      <c r="AP152" s="23">
        <f t="shared" si="103"/>
        <v>0</v>
      </c>
      <c r="AQ152" s="23">
        <f t="shared" si="104"/>
        <v>0</v>
      </c>
    </row>
    <row r="153" spans="8:43" x14ac:dyDescent="0.25">
      <c r="H153" s="14">
        <v>2.5</v>
      </c>
      <c r="I153" s="36">
        <f t="shared" si="94"/>
        <v>3162.2776601683827</v>
      </c>
      <c r="J153" s="24">
        <f t="shared" si="95"/>
        <v>68.160215855401546</v>
      </c>
      <c r="K153" s="24">
        <f t="shared" si="96"/>
        <v>-6.1462622063637022</v>
      </c>
      <c r="L153" s="14">
        <f t="shared" si="70"/>
        <v>0.67018069634200106</v>
      </c>
      <c r="M153" s="14">
        <f t="shared" si="71"/>
        <v>-17.941641420765507</v>
      </c>
      <c r="N153" s="14">
        <f t="shared" si="72"/>
        <v>0.43300390230380748</v>
      </c>
      <c r="O153" s="14">
        <f t="shared" si="73"/>
        <v>-85.979512782044907</v>
      </c>
      <c r="P153" s="14">
        <f t="shared" si="74"/>
        <v>-23.084008226473056</v>
      </c>
      <c r="Q153" s="14">
        <f t="shared" si="75"/>
        <v>-1.5090763177024877</v>
      </c>
      <c r="R153" s="14">
        <f t="shared" si="76"/>
        <v>-3.0130870057673603E-3</v>
      </c>
      <c r="S153" s="23">
        <f t="shared" si="97"/>
        <v>-105.43023052051291</v>
      </c>
      <c r="T153" s="23">
        <f t="shared" si="98"/>
        <v>-26.130179123012873</v>
      </c>
      <c r="U153" s="14">
        <f t="shared" si="77"/>
        <v>20000</v>
      </c>
      <c r="V153" s="14">
        <f t="shared" si="78"/>
        <v>-89.998689249345773</v>
      </c>
      <c r="W153" s="14">
        <f t="shared" si="79"/>
        <v>-92.812050985879324</v>
      </c>
      <c r="X153" s="14">
        <f t="shared" si="80"/>
        <v>87.380325691706915</v>
      </c>
      <c r="Y153" s="14">
        <f t="shared" si="81"/>
        <v>26.800533144018811</v>
      </c>
      <c r="Z153" s="14">
        <f t="shared" si="82"/>
        <v>-5.6734836472415759</v>
      </c>
      <c r="AA153" s="14">
        <f t="shared" si="83"/>
        <v>-4.265300767803723E-2</v>
      </c>
      <c r="AB153" s="23">
        <f t="shared" si="99"/>
        <v>-8.2918472048804333</v>
      </c>
      <c r="AC153" s="23">
        <f t="shared" si="100"/>
        <v>19.966429063741074</v>
      </c>
      <c r="AD153" s="14">
        <f t="shared" si="84"/>
        <v>4.544128160789656</v>
      </c>
      <c r="AE153" s="14">
        <f t="shared" si="85"/>
        <v>2.7346138327328413E-2</v>
      </c>
      <c r="AF153" s="14">
        <f t="shared" si="86"/>
        <v>6.8305165100691359E-2</v>
      </c>
      <c r="AG153" s="14">
        <f t="shared" si="87"/>
        <v>6.1722888240210448E-6</v>
      </c>
      <c r="AH153" s="14">
        <f t="shared" si="88"/>
        <v>-2.7301397450954563</v>
      </c>
      <c r="AI153" s="14">
        <f t="shared" si="89"/>
        <v>-9.8644577080559126E-3</v>
      </c>
      <c r="AJ153" s="23">
        <f t="shared" si="101"/>
        <v>1.8822935807948906</v>
      </c>
      <c r="AK153" s="23">
        <f t="shared" si="102"/>
        <v>1.7487852908096523E-2</v>
      </c>
      <c r="AL153" s="14">
        <f t="shared" si="90"/>
        <v>0</v>
      </c>
      <c r="AM153" s="14">
        <f t="shared" si="91"/>
        <v>0</v>
      </c>
      <c r="AN153" s="14">
        <f t="shared" si="92"/>
        <v>0</v>
      </c>
      <c r="AO153" s="14">
        <f t="shared" si="93"/>
        <v>0</v>
      </c>
      <c r="AP153" s="23">
        <f t="shared" si="103"/>
        <v>0</v>
      </c>
      <c r="AQ153" s="23">
        <f t="shared" si="104"/>
        <v>0</v>
      </c>
    </row>
    <row r="154" spans="8:43" x14ac:dyDescent="0.25">
      <c r="H154" s="14">
        <v>2.5099999999999998</v>
      </c>
      <c r="I154" s="36">
        <f t="shared" si="94"/>
        <v>3235.9365692962824</v>
      </c>
      <c r="J154" s="24">
        <f t="shared" si="95"/>
        <v>67.615343154885835</v>
      </c>
      <c r="K154" s="24">
        <f t="shared" si="96"/>
        <v>-6.327651694628643</v>
      </c>
      <c r="L154" s="14">
        <f t="shared" si="70"/>
        <v>0.67018069634200106</v>
      </c>
      <c r="M154" s="14">
        <f t="shared" si="71"/>
        <v>-18.33189842180462</v>
      </c>
      <c r="N154" s="14">
        <f t="shared" si="72"/>
        <v>0.45238311910774021</v>
      </c>
      <c r="O154" s="14">
        <f t="shared" si="73"/>
        <v>-86.07074025386828</v>
      </c>
      <c r="P154" s="14">
        <f t="shared" si="74"/>
        <v>-23.283047243711941</v>
      </c>
      <c r="Q154" s="14">
        <f t="shared" si="75"/>
        <v>-1.5442103946638925</v>
      </c>
      <c r="R154" s="14">
        <f t="shared" si="76"/>
        <v>-3.155037853153199E-3</v>
      </c>
      <c r="S154" s="23">
        <f t="shared" si="97"/>
        <v>-105.9468490703368</v>
      </c>
      <c r="T154" s="23">
        <f t="shared" si="98"/>
        <v>-26.30998087429521</v>
      </c>
      <c r="U154" s="14">
        <f t="shared" si="77"/>
        <v>20000</v>
      </c>
      <c r="V154" s="14">
        <f t="shared" si="78"/>
        <v>-89.998719085673287</v>
      </c>
      <c r="W154" s="14">
        <f t="shared" si="79"/>
        <v>-93.012050985777023</v>
      </c>
      <c r="X154" s="14">
        <f t="shared" si="80"/>
        <v>87.439876498560778</v>
      </c>
      <c r="Y154" s="14">
        <f t="shared" si="81"/>
        <v>27.000124791278349</v>
      </c>
      <c r="Z154" s="14">
        <f t="shared" si="82"/>
        <v>-5.804743790296647</v>
      </c>
      <c r="AA154" s="14">
        <f t="shared" si="83"/>
        <v>-4.4652882526234117E-2</v>
      </c>
      <c r="AB154" s="23">
        <f t="shared" si="99"/>
        <v>-8.3635863774091561</v>
      </c>
      <c r="AC154" s="23">
        <f t="shared" si="100"/>
        <v>19.964020836254718</v>
      </c>
      <c r="AD154" s="14">
        <f t="shared" si="84"/>
        <v>4.6495156793201629</v>
      </c>
      <c r="AE154" s="14">
        <f t="shared" si="85"/>
        <v>2.8630683105817355E-2</v>
      </c>
      <c r="AF154" s="14">
        <f t="shared" si="86"/>
        <v>6.9896195223566063E-2</v>
      </c>
      <c r="AG154" s="14">
        <f t="shared" si="87"/>
        <v>6.4631796185817013E-6</v>
      </c>
      <c r="AH154" s="14">
        <f t="shared" si="88"/>
        <v>-2.7936332719119408</v>
      </c>
      <c r="AI154" s="14">
        <f t="shared" si="89"/>
        <v>-1.0328802873587858E-2</v>
      </c>
      <c r="AJ154" s="23">
        <f t="shared" si="101"/>
        <v>1.9257786026317882</v>
      </c>
      <c r="AK154" s="23">
        <f t="shared" si="102"/>
        <v>1.8308343411848081E-2</v>
      </c>
      <c r="AL154" s="14">
        <f t="shared" si="90"/>
        <v>0</v>
      </c>
      <c r="AM154" s="14">
        <f t="shared" si="91"/>
        <v>0</v>
      </c>
      <c r="AN154" s="14">
        <f t="shared" si="92"/>
        <v>0</v>
      </c>
      <c r="AO154" s="14">
        <f t="shared" si="93"/>
        <v>0</v>
      </c>
      <c r="AP154" s="23">
        <f t="shared" si="103"/>
        <v>0</v>
      </c>
      <c r="AQ154" s="23">
        <f t="shared" si="104"/>
        <v>0</v>
      </c>
    </row>
    <row r="155" spans="8:43" x14ac:dyDescent="0.25">
      <c r="H155" s="14">
        <v>2.52</v>
      </c>
      <c r="I155" s="36">
        <f t="shared" si="94"/>
        <v>3311.3112148259138</v>
      </c>
      <c r="J155" s="24">
        <f t="shared" si="95"/>
        <v>67.061079491693846</v>
      </c>
      <c r="K155" s="24">
        <f t="shared" si="96"/>
        <v>-6.5083064724758852</v>
      </c>
      <c r="L155" s="14">
        <f t="shared" si="70"/>
        <v>0.67018069634200106</v>
      </c>
      <c r="M155" s="14">
        <f t="shared" si="71"/>
        <v>-18.729430203150944</v>
      </c>
      <c r="N155" s="14">
        <f t="shared" si="72"/>
        <v>0.47258339103546854</v>
      </c>
      <c r="O155" s="14">
        <f t="shared" si="73"/>
        <v>-86.159910420237864</v>
      </c>
      <c r="P155" s="14">
        <f t="shared" si="74"/>
        <v>-23.482129313756506</v>
      </c>
      <c r="Q155" s="14">
        <f t="shared" si="75"/>
        <v>-1.5801616467446087</v>
      </c>
      <c r="R155" s="14">
        <f t="shared" si="76"/>
        <v>-3.3036736651728708E-3</v>
      </c>
      <c r="S155" s="23">
        <f t="shared" si="97"/>
        <v>-106.46950227013342</v>
      </c>
      <c r="T155" s="23">
        <f t="shared" si="98"/>
        <v>-26.489011308224065</v>
      </c>
      <c r="U155" s="14">
        <f t="shared" si="77"/>
        <v>20000</v>
      </c>
      <c r="V155" s="14">
        <f t="shared" si="78"/>
        <v>-89.998748242843064</v>
      </c>
      <c r="W155" s="14">
        <f t="shared" si="79"/>
        <v>-93.212050985679326</v>
      </c>
      <c r="X155" s="14">
        <f t="shared" si="80"/>
        <v>87.498077112342642</v>
      </c>
      <c r="Y155" s="14">
        <f t="shared" si="81"/>
        <v>27.199734781592689</v>
      </c>
      <c r="Z155" s="14">
        <f t="shared" si="82"/>
        <v>-5.9389981012837429</v>
      </c>
      <c r="AA155" s="14">
        <f t="shared" si="83"/>
        <v>-4.6746021997025447E-2</v>
      </c>
      <c r="AB155" s="23">
        <f t="shared" si="99"/>
        <v>-8.4396692317841655</v>
      </c>
      <c r="AC155" s="23">
        <f t="shared" si="100"/>
        <v>19.96153768719596</v>
      </c>
      <c r="AD155" s="14">
        <f t="shared" si="84"/>
        <v>4.757325352376168</v>
      </c>
      <c r="AE155" s="14">
        <f t="shared" si="85"/>
        <v>2.9975359518621857E-2</v>
      </c>
      <c r="AF155" s="14">
        <f t="shared" si="86"/>
        <v>7.1524285087202086E-2</v>
      </c>
      <c r="AG155" s="14">
        <f t="shared" si="87"/>
        <v>6.7677796519389443E-6</v>
      </c>
      <c r="AH155" s="14">
        <f t="shared" si="88"/>
        <v>-2.8585986438519444</v>
      </c>
      <c r="AI155" s="14">
        <f t="shared" si="89"/>
        <v>-1.0814978746054913E-2</v>
      </c>
      <c r="AJ155" s="23">
        <f t="shared" si="101"/>
        <v>1.9702509936114256</v>
      </c>
      <c r="AK155" s="23">
        <f t="shared" si="102"/>
        <v>1.9167148552218884E-2</v>
      </c>
      <c r="AL155" s="14">
        <f t="shared" si="90"/>
        <v>0</v>
      </c>
      <c r="AM155" s="14">
        <f t="shared" si="91"/>
        <v>0</v>
      </c>
      <c r="AN155" s="14">
        <f t="shared" si="92"/>
        <v>0</v>
      </c>
      <c r="AO155" s="14">
        <f t="shared" si="93"/>
        <v>0</v>
      </c>
      <c r="AP155" s="23">
        <f t="shared" si="103"/>
        <v>0</v>
      </c>
      <c r="AQ155" s="23">
        <f t="shared" si="104"/>
        <v>0</v>
      </c>
    </row>
    <row r="156" spans="8:43" x14ac:dyDescent="0.25">
      <c r="H156" s="14">
        <v>2.5299999999999998</v>
      </c>
      <c r="I156" s="36">
        <f t="shared" si="94"/>
        <v>3388.4415613920246</v>
      </c>
      <c r="J156" s="24">
        <f t="shared" si="95"/>
        <v>66.497289008539283</v>
      </c>
      <c r="K156" s="24">
        <f t="shared" si="96"/>
        <v>-6.6881975547322314</v>
      </c>
      <c r="L156" s="14">
        <f t="shared" si="70"/>
        <v>0.67018069634200106</v>
      </c>
      <c r="M156" s="14">
        <f t="shared" si="71"/>
        <v>-19.134294395591379</v>
      </c>
      <c r="N156" s="14">
        <f t="shared" si="72"/>
        <v>0.49363544940830295</v>
      </c>
      <c r="O156" s="14">
        <f t="shared" si="73"/>
        <v>-86.247068831544794</v>
      </c>
      <c r="P156" s="14">
        <f t="shared" si="74"/>
        <v>-23.681252516304305</v>
      </c>
      <c r="Q156" s="14">
        <f t="shared" si="75"/>
        <v>-1.6169490224729326</v>
      </c>
      <c r="R156" s="14">
        <f t="shared" si="76"/>
        <v>-3.4593090151185074E-3</v>
      </c>
      <c r="S156" s="23">
        <f t="shared" si="97"/>
        <v>-106.99831224960911</v>
      </c>
      <c r="T156" s="23">
        <f t="shared" si="98"/>
        <v>-26.667238087748974</v>
      </c>
      <c r="U156" s="14">
        <f t="shared" si="77"/>
        <v>20000</v>
      </c>
      <c r="V156" s="14">
        <f t="shared" si="78"/>
        <v>-89.998776736314653</v>
      </c>
      <c r="W156" s="14">
        <f t="shared" si="79"/>
        <v>-93.412050985586035</v>
      </c>
      <c r="X156" s="14">
        <f t="shared" si="80"/>
        <v>87.554957911087811</v>
      </c>
      <c r="Y156" s="14">
        <f t="shared" si="81"/>
        <v>27.399362292536527</v>
      </c>
      <c r="Z156" s="14">
        <f t="shared" si="82"/>
        <v>-6.0763118634126778</v>
      </c>
      <c r="AA156" s="14">
        <f t="shared" si="83"/>
        <v>-4.8936727376607841E-2</v>
      </c>
      <c r="AB156" s="23">
        <f t="shared" si="99"/>
        <v>-8.5201306886395187</v>
      </c>
      <c r="AC156" s="23">
        <f t="shared" si="100"/>
        <v>19.95897449285351</v>
      </c>
      <c r="AD156" s="14">
        <f t="shared" si="84"/>
        <v>4.8676112867326014</v>
      </c>
      <c r="AE156" s="14">
        <f t="shared" si="85"/>
        <v>3.138296248299121E-2</v>
      </c>
      <c r="AF156" s="14">
        <f t="shared" si="86"/>
        <v>7.3190297915872393E-2</v>
      </c>
      <c r="AG156" s="14">
        <f t="shared" si="87"/>
        <v>7.0867350215259602E-6</v>
      </c>
      <c r="AH156" s="14">
        <f t="shared" si="88"/>
        <v>-2.9250696378605636</v>
      </c>
      <c r="AI156" s="14">
        <f t="shared" si="89"/>
        <v>-1.1324009054780629E-2</v>
      </c>
      <c r="AJ156" s="23">
        <f t="shared" si="101"/>
        <v>2.0157319467879105</v>
      </c>
      <c r="AK156" s="23">
        <f t="shared" si="102"/>
        <v>2.0066040163232109E-2</v>
      </c>
      <c r="AL156" s="14">
        <f t="shared" si="90"/>
        <v>0</v>
      </c>
      <c r="AM156" s="14">
        <f t="shared" si="91"/>
        <v>0</v>
      </c>
      <c r="AN156" s="14">
        <f t="shared" si="92"/>
        <v>0</v>
      </c>
      <c r="AO156" s="14">
        <f t="shared" si="93"/>
        <v>0</v>
      </c>
      <c r="AP156" s="23">
        <f t="shared" si="103"/>
        <v>0</v>
      </c>
      <c r="AQ156" s="23">
        <f t="shared" si="104"/>
        <v>0</v>
      </c>
    </row>
    <row r="157" spans="8:43" x14ac:dyDescent="0.25">
      <c r="H157" s="14">
        <v>2.54</v>
      </c>
      <c r="I157" s="36">
        <f t="shared" si="94"/>
        <v>3467.3685045253183</v>
      </c>
      <c r="J157" s="24">
        <f t="shared" si="95"/>
        <v>65.923839597415082</v>
      </c>
      <c r="K157" s="24">
        <f t="shared" si="96"/>
        <v>-6.8672953290803882</v>
      </c>
      <c r="L157" s="14">
        <f t="shared" si="70"/>
        <v>0.67018069634200106</v>
      </c>
      <c r="M157" s="14">
        <f t="shared" si="71"/>
        <v>-19.546543887584999</v>
      </c>
      <c r="N157" s="14">
        <f t="shared" si="72"/>
        <v>0.51557082914874863</v>
      </c>
      <c r="O157" s="14">
        <f t="shared" si="73"/>
        <v>-86.332260085910491</v>
      </c>
      <c r="P157" s="14">
        <f t="shared" si="74"/>
        <v>-23.880415015960264</v>
      </c>
      <c r="Q157" s="14">
        <f t="shared" si="75"/>
        <v>-1.6545919056105278</v>
      </c>
      <c r="R157" s="14">
        <f t="shared" si="76"/>
        <v>-3.6222732554727737E-3</v>
      </c>
      <c r="S157" s="23">
        <f t="shared" si="97"/>
        <v>-107.53339587910602</v>
      </c>
      <c r="T157" s="23">
        <f t="shared" si="98"/>
        <v>-26.844628171904844</v>
      </c>
      <c r="U157" s="14">
        <f t="shared" si="77"/>
        <v>20000</v>
      </c>
      <c r="V157" s="14">
        <f t="shared" si="78"/>
        <v>-89.998804581195628</v>
      </c>
      <c r="W157" s="14">
        <f t="shared" si="79"/>
        <v>-93.61205098549695</v>
      </c>
      <c r="X157" s="14">
        <f t="shared" si="80"/>
        <v>87.610548605014557</v>
      </c>
      <c r="Y157" s="14">
        <f t="shared" si="81"/>
        <v>27.599006538423602</v>
      </c>
      <c r="Z157" s="14">
        <f t="shared" si="82"/>
        <v>-6.2167515694308957</v>
      </c>
      <c r="AA157" s="14">
        <f t="shared" si="83"/>
        <v>-5.1229493734826569E-2</v>
      </c>
      <c r="AB157" s="23">
        <f t="shared" si="99"/>
        <v>-8.6050075456119668</v>
      </c>
      <c r="AC157" s="23">
        <f t="shared" si="100"/>
        <v>19.956325972471451</v>
      </c>
      <c r="AD157" s="14">
        <f t="shared" si="84"/>
        <v>4.9804286867081906</v>
      </c>
      <c r="AE157" s="14">
        <f t="shared" si="85"/>
        <v>3.2856414914642806E-2</v>
      </c>
      <c r="AF157" s="14">
        <f t="shared" si="86"/>
        <v>7.4895117040355993E-2</v>
      </c>
      <c r="AG157" s="14">
        <f t="shared" si="87"/>
        <v>7.4207222684040557E-6</v>
      </c>
      <c r="AH157" s="14">
        <f t="shared" si="88"/>
        <v>-2.9930807816154701</v>
      </c>
      <c r="AI157" s="14">
        <f t="shared" si="89"/>
        <v>-1.1856965283905729E-2</v>
      </c>
      <c r="AJ157" s="23">
        <f t="shared" si="101"/>
        <v>2.0622430221330763</v>
      </c>
      <c r="AK157" s="23">
        <f t="shared" si="102"/>
        <v>2.1006870353005483E-2</v>
      </c>
      <c r="AL157" s="14">
        <f t="shared" si="90"/>
        <v>0</v>
      </c>
      <c r="AM157" s="14">
        <f t="shared" si="91"/>
        <v>0</v>
      </c>
      <c r="AN157" s="14">
        <f t="shared" si="92"/>
        <v>0</v>
      </c>
      <c r="AO157" s="14">
        <f t="shared" si="93"/>
        <v>0</v>
      </c>
      <c r="AP157" s="23">
        <f t="shared" si="103"/>
        <v>0</v>
      </c>
      <c r="AQ157" s="23">
        <f t="shared" si="104"/>
        <v>0</v>
      </c>
    </row>
    <row r="158" spans="8:43" x14ac:dyDescent="0.25">
      <c r="H158" s="14">
        <v>2.5499999999999998</v>
      </c>
      <c r="I158" s="36">
        <f t="shared" si="94"/>
        <v>3548.1338923357566</v>
      </c>
      <c r="J158" s="24">
        <f t="shared" si="95"/>
        <v>65.340603236167183</v>
      </c>
      <c r="K158" s="24">
        <f t="shared" si="96"/>
        <v>-7.0455695682520307</v>
      </c>
      <c r="L158" s="14">
        <f t="shared" si="70"/>
        <v>0.67018069634200106</v>
      </c>
      <c r="M158" s="14">
        <f t="shared" si="71"/>
        <v>-19.966226469401406</v>
      </c>
      <c r="N158" s="14">
        <f t="shared" si="72"/>
        <v>0.53842186003602488</v>
      </c>
      <c r="O158" s="14">
        <f t="shared" si="73"/>
        <v>-86.4155278453064</v>
      </c>
      <c r="P158" s="14">
        <f t="shared" si="74"/>
        <v>-24.07961505854761</v>
      </c>
      <c r="Q158" s="14">
        <f t="shared" si="75"/>
        <v>-1.6931101248528586</v>
      </c>
      <c r="R158" s="14">
        <f t="shared" si="76"/>
        <v>-3.7929112099769598E-3</v>
      </c>
      <c r="S158" s="23">
        <f t="shared" si="97"/>
        <v>-108.07486443956067</v>
      </c>
      <c r="T158" s="23">
        <f t="shared" si="98"/>
        <v>-27.021147821559417</v>
      </c>
      <c r="U158" s="14">
        <f t="shared" si="77"/>
        <v>20000</v>
      </c>
      <c r="V158" s="14">
        <f t="shared" si="78"/>
        <v>-89.998831792249717</v>
      </c>
      <c r="W158" s="14">
        <f t="shared" si="79"/>
        <v>-93.812050985411858</v>
      </c>
      <c r="X158" s="14">
        <f t="shared" si="80"/>
        <v>87.664878250156178</v>
      </c>
      <c r="Y158" s="14">
        <f t="shared" si="81"/>
        <v>27.798666768677272</v>
      </c>
      <c r="Z158" s="14">
        <f t="shared" si="82"/>
        <v>-6.3603849284883553</v>
      </c>
      <c r="AA158" s="14">
        <f t="shared" si="83"/>
        <v>-5.3629018218682531E-2</v>
      </c>
      <c r="AB158" s="23">
        <f t="shared" si="99"/>
        <v>-8.6943384705818936</v>
      </c>
      <c r="AC158" s="23">
        <f t="shared" si="100"/>
        <v>19.953586678326356</v>
      </c>
      <c r="AD158" s="14">
        <f t="shared" si="84"/>
        <v>5.0958338684053102</v>
      </c>
      <c r="AE158" s="14">
        <f t="shared" si="85"/>
        <v>3.4398773407028425E-2</v>
      </c>
      <c r="AF158" s="14">
        <f t="shared" si="86"/>
        <v>7.6639646366236699E-2</v>
      </c>
      <c r="AG158" s="14">
        <f t="shared" si="87"/>
        <v>7.7704498218068594E-6</v>
      </c>
      <c r="AH158" s="14">
        <f t="shared" si="88"/>
        <v>-3.0626673684617898</v>
      </c>
      <c r="AI158" s="14">
        <f t="shared" si="89"/>
        <v>-1.2414968875820647E-2</v>
      </c>
      <c r="AJ158" s="23">
        <f t="shared" si="101"/>
        <v>2.1098061463097575</v>
      </c>
      <c r="AK158" s="23">
        <f t="shared" si="102"/>
        <v>2.1991574981029587E-2</v>
      </c>
      <c r="AL158" s="14">
        <f t="shared" si="90"/>
        <v>0</v>
      </c>
      <c r="AM158" s="14">
        <f t="shared" si="91"/>
        <v>0</v>
      </c>
      <c r="AN158" s="14">
        <f t="shared" si="92"/>
        <v>0</v>
      </c>
      <c r="AO158" s="14">
        <f t="shared" si="93"/>
        <v>0</v>
      </c>
      <c r="AP158" s="23">
        <f t="shared" si="103"/>
        <v>0</v>
      </c>
      <c r="AQ158" s="23">
        <f t="shared" si="104"/>
        <v>0</v>
      </c>
    </row>
    <row r="159" spans="8:43" x14ac:dyDescent="0.25">
      <c r="H159" s="14">
        <v>2.56</v>
      </c>
      <c r="I159" s="36">
        <f t="shared" si="94"/>
        <v>3630.7805477010152</v>
      </c>
      <c r="J159" s="24">
        <f t="shared" si="95"/>
        <v>64.74745633434074</v>
      </c>
      <c r="K159" s="24">
        <f t="shared" si="96"/>
        <v>-7.222989445586915</v>
      </c>
      <c r="L159" s="14">
        <f t="shared" si="70"/>
        <v>0.67018069634200106</v>
      </c>
      <c r="M159" s="14">
        <f t="shared" si="71"/>
        <v>-20.393384468245319</v>
      </c>
      <c r="N159" s="14">
        <f t="shared" si="72"/>
        <v>0.56222165488920139</v>
      </c>
      <c r="O159" s="14">
        <f t="shared" si="73"/>
        <v>-86.496914851668038</v>
      </c>
      <c r="P159" s="14">
        <f t="shared" si="74"/>
        <v>-24.278850967573561</v>
      </c>
      <c r="Q159" s="14">
        <f t="shared" si="75"/>
        <v>-1.7325239637244951</v>
      </c>
      <c r="R159" s="14">
        <f t="shared" si="76"/>
        <v>-3.9715838978959771E-3</v>
      </c>
      <c r="S159" s="23">
        <f t="shared" si="97"/>
        <v>-108.62282328363784</v>
      </c>
      <c r="T159" s="23">
        <f t="shared" si="98"/>
        <v>-27.196762608420112</v>
      </c>
      <c r="U159" s="14">
        <f t="shared" si="77"/>
        <v>20000</v>
      </c>
      <c r="V159" s="14">
        <f t="shared" si="78"/>
        <v>-89.998858383904619</v>
      </c>
      <c r="W159" s="14">
        <f t="shared" si="79"/>
        <v>-94.012050985330603</v>
      </c>
      <c r="X159" s="14">
        <f t="shared" si="80"/>
        <v>87.717975261786208</v>
      </c>
      <c r="Y159" s="14">
        <f t="shared" si="81"/>
        <v>27.998342266272502</v>
      </c>
      <c r="Z159" s="14">
        <f t="shared" si="82"/>
        <v>-6.5072808717501314</v>
      </c>
      <c r="AA159" s="14">
        <f t="shared" si="83"/>
        <v>-5.614020865894162E-2</v>
      </c>
      <c r="AB159" s="23">
        <f t="shared" si="99"/>
        <v>-8.7881639938685421</v>
      </c>
      <c r="AC159" s="23">
        <f t="shared" si="100"/>
        <v>19.950750985562582</v>
      </c>
      <c r="AD159" s="14">
        <f t="shared" si="84"/>
        <v>5.2138842735095015</v>
      </c>
      <c r="AE159" s="14">
        <f t="shared" si="85"/>
        <v>3.6013234145046889E-2</v>
      </c>
      <c r="AF159" s="14">
        <f t="shared" si="86"/>
        <v>7.8424810853108942E-2</v>
      </c>
      <c r="AG159" s="14">
        <f t="shared" si="87"/>
        <v>8.1366594957564636E-6</v>
      </c>
      <c r="AH159" s="14">
        <f t="shared" si="88"/>
        <v>-3.1338654725154784</v>
      </c>
      <c r="AI159" s="14">
        <f t="shared" si="89"/>
        <v>-1.2999193533927892E-2</v>
      </c>
      <c r="AJ159" s="23">
        <f t="shared" si="101"/>
        <v>2.1584436118471322</v>
      </c>
      <c r="AK159" s="23">
        <f t="shared" si="102"/>
        <v>2.3022177270614751E-2</v>
      </c>
      <c r="AL159" s="14">
        <f t="shared" si="90"/>
        <v>0</v>
      </c>
      <c r="AM159" s="14">
        <f t="shared" si="91"/>
        <v>0</v>
      </c>
      <c r="AN159" s="14">
        <f t="shared" si="92"/>
        <v>0</v>
      </c>
      <c r="AO159" s="14">
        <f t="shared" si="93"/>
        <v>0</v>
      </c>
      <c r="AP159" s="23">
        <f t="shared" si="103"/>
        <v>0</v>
      </c>
      <c r="AQ159" s="23">
        <f t="shared" si="104"/>
        <v>0</v>
      </c>
    </row>
    <row r="160" spans="8:43" x14ac:dyDescent="0.25">
      <c r="H160" s="14">
        <v>2.57</v>
      </c>
      <c r="I160" s="36">
        <f t="shared" si="94"/>
        <v>3715.3522909717267</v>
      </c>
      <c r="J160" s="24">
        <f t="shared" si="95"/>
        <v>64.144280087449687</v>
      </c>
      <c r="K160" s="24">
        <f t="shared" si="96"/>
        <v>-7.3995235541670441</v>
      </c>
      <c r="L160" s="14">
        <f t="shared" si="70"/>
        <v>0.67018069634200106</v>
      </c>
      <c r="M160" s="14">
        <f t="shared" si="71"/>
        <v>-20.828054375300315</v>
      </c>
      <c r="N160" s="14">
        <f t="shared" si="72"/>
        <v>0.58700409447101931</v>
      </c>
      <c r="O160" s="14">
        <f t="shared" si="73"/>
        <v>-86.576462942980413</v>
      </c>
      <c r="P160" s="14">
        <f t="shared" si="74"/>
        <v>-24.478121140843459</v>
      </c>
      <c r="Q160" s="14">
        <f t="shared" si="75"/>
        <v>-1.7728541706715473</v>
      </c>
      <c r="R160" s="14">
        <f t="shared" si="76"/>
        <v>-4.1586692919405614E-3</v>
      </c>
      <c r="S160" s="23">
        <f t="shared" si="97"/>
        <v>-109.17737148895228</v>
      </c>
      <c r="T160" s="23">
        <f t="shared" si="98"/>
        <v>-27.371437427502237</v>
      </c>
      <c r="U160" s="14">
        <f t="shared" si="77"/>
        <v>20000</v>
      </c>
      <c r="V160" s="14">
        <f t="shared" si="78"/>
        <v>-89.998884370259546</v>
      </c>
      <c r="W160" s="14">
        <f t="shared" si="79"/>
        <v>-94.212050985253001</v>
      </c>
      <c r="X160" s="14">
        <f t="shared" si="80"/>
        <v>87.769867427634935</v>
      </c>
      <c r="Y160" s="14">
        <f t="shared" si="81"/>
        <v>28.198032346245871</v>
      </c>
      <c r="Z160" s="14">
        <f t="shared" si="82"/>
        <v>-6.6575095566393303</v>
      </c>
      <c r="AA160" s="14">
        <f t="shared" si="83"/>
        <v>-5.8768192497587045E-2</v>
      </c>
      <c r="AB160" s="23">
        <f t="shared" si="99"/>
        <v>-8.8865264992639403</v>
      </c>
      <c r="AC160" s="23">
        <f t="shared" si="100"/>
        <v>19.947813081774907</v>
      </c>
      <c r="AD160" s="14">
        <f t="shared" si="84"/>
        <v>5.334638482587498</v>
      </c>
      <c r="AE160" s="14">
        <f t="shared" si="85"/>
        <v>3.7703139061199778E-2</v>
      </c>
      <c r="AF160" s="14">
        <f t="shared" si="86"/>
        <v>8.0251557004941423E-2</v>
      </c>
      <c r="AG160" s="14">
        <f t="shared" si="87"/>
        <v>8.5201280666811118E-6</v>
      </c>
      <c r="AH160" s="14">
        <f t="shared" si="88"/>
        <v>-3.2067119639265407</v>
      </c>
      <c r="AI160" s="14">
        <f t="shared" si="89"/>
        <v>-1.3610867628981158E-2</v>
      </c>
      <c r="AJ160" s="23">
        <f t="shared" si="101"/>
        <v>2.2081780756658986</v>
      </c>
      <c r="AK160" s="23">
        <f t="shared" si="102"/>
        <v>2.4100791560285301E-2</v>
      </c>
      <c r="AL160" s="14">
        <f t="shared" si="90"/>
        <v>0</v>
      </c>
      <c r="AM160" s="14">
        <f t="shared" si="91"/>
        <v>0</v>
      </c>
      <c r="AN160" s="14">
        <f t="shared" si="92"/>
        <v>0</v>
      </c>
      <c r="AO160" s="14">
        <f t="shared" si="93"/>
        <v>0</v>
      </c>
      <c r="AP160" s="23">
        <f t="shared" si="103"/>
        <v>0</v>
      </c>
      <c r="AQ160" s="23">
        <f t="shared" si="104"/>
        <v>0</v>
      </c>
    </row>
    <row r="161" spans="8:43" x14ac:dyDescent="0.25">
      <c r="H161" s="14">
        <v>2.58</v>
      </c>
      <c r="I161" s="36">
        <f t="shared" si="94"/>
        <v>3801.8939632056163</v>
      </c>
      <c r="J161" s="24">
        <f t="shared" si="95"/>
        <v>63.530960838676705</v>
      </c>
      <c r="K161" s="24">
        <f t="shared" si="96"/>
        <v>-7.5751399297344264</v>
      </c>
      <c r="L161" s="14">
        <f t="shared" si="70"/>
        <v>0.67018069634200106</v>
      </c>
      <c r="M161" s="14">
        <f t="shared" si="71"/>
        <v>-21.270266465770344</v>
      </c>
      <c r="N161" s="14">
        <f t="shared" si="72"/>
        <v>0.61280380890668584</v>
      </c>
      <c r="O161" s="14">
        <f t="shared" si="73"/>
        <v>-86.654213069313826</v>
      </c>
      <c r="P161" s="14">
        <f t="shared" si="74"/>
        <v>-24.677424047217741</v>
      </c>
      <c r="Q161" s="14">
        <f t="shared" si="75"/>
        <v>-1.8141219693535062</v>
      </c>
      <c r="R161" s="14">
        <f t="shared" si="76"/>
        <v>-4.3545631114053004E-3</v>
      </c>
      <c r="S161" s="23">
        <f t="shared" si="97"/>
        <v>-109.73860150443768</v>
      </c>
      <c r="T161" s="23">
        <f t="shared" si="98"/>
        <v>-27.545136513260317</v>
      </c>
      <c r="U161" s="14">
        <f t="shared" si="77"/>
        <v>20000</v>
      </c>
      <c r="V161" s="14">
        <f t="shared" si="78"/>
        <v>-89.998909765092804</v>
      </c>
      <c r="W161" s="14">
        <f t="shared" si="79"/>
        <v>-94.412050985178894</v>
      </c>
      <c r="X161" s="14">
        <f t="shared" si="80"/>
        <v>87.820581920895435</v>
      </c>
      <c r="Y161" s="14">
        <f t="shared" si="81"/>
        <v>28.397736354271039</v>
      </c>
      <c r="Z161" s="14">
        <f t="shared" si="82"/>
        <v>-6.8111423695858555</v>
      </c>
      <c r="AA161" s="14">
        <f t="shared" si="83"/>
        <v>-6.1518326043607074E-2</v>
      </c>
      <c r="AB161" s="23">
        <f t="shared" si="99"/>
        <v>-8.9894702137832248</v>
      </c>
      <c r="AC161" s="23">
        <f t="shared" si="100"/>
        <v>19.944766956328163</v>
      </c>
      <c r="AD161" s="14">
        <f t="shared" si="84"/>
        <v>5.4581562278183213</v>
      </c>
      <c r="AE161" s="14">
        <f t="shared" si="85"/>
        <v>3.9471982242249515E-2</v>
      </c>
      <c r="AF161" s="14">
        <f t="shared" si="86"/>
        <v>8.2120853371859995E-2</v>
      </c>
      <c r="AG161" s="14">
        <f t="shared" si="87"/>
        <v>8.921668920462344E-6</v>
      </c>
      <c r="AH161" s="14">
        <f t="shared" si="88"/>
        <v>-3.2812445242925694</v>
      </c>
      <c r="AI161" s="14">
        <f t="shared" si="89"/>
        <v>-1.4251276713441664E-2</v>
      </c>
      <c r="AJ161" s="23">
        <f t="shared" si="101"/>
        <v>2.259032556897612</v>
      </c>
      <c r="AK161" s="23">
        <f t="shared" si="102"/>
        <v>2.5229627197728314E-2</v>
      </c>
      <c r="AL161" s="14">
        <f t="shared" si="90"/>
        <v>0</v>
      </c>
      <c r="AM161" s="14">
        <f t="shared" si="91"/>
        <v>0</v>
      </c>
      <c r="AN161" s="14">
        <f t="shared" si="92"/>
        <v>0</v>
      </c>
      <c r="AO161" s="14">
        <f t="shared" si="93"/>
        <v>0</v>
      </c>
      <c r="AP161" s="23">
        <f t="shared" si="103"/>
        <v>0</v>
      </c>
      <c r="AQ161" s="23">
        <f t="shared" si="104"/>
        <v>0</v>
      </c>
    </row>
    <row r="162" spans="8:43" x14ac:dyDescent="0.25">
      <c r="H162" s="14">
        <v>2.59</v>
      </c>
      <c r="I162" s="36">
        <f t="shared" si="94"/>
        <v>3890.4514499428064</v>
      </c>
      <c r="J162" s="24">
        <f t="shared" si="95"/>
        <v>62.907390446862763</v>
      </c>
      <c r="K162" s="24">
        <f t="shared" si="96"/>
        <v>-7.7498060775972064</v>
      </c>
      <c r="L162" s="14">
        <f t="shared" si="70"/>
        <v>0.67018069634200106</v>
      </c>
      <c r="M162" s="14">
        <f t="shared" si="71"/>
        <v>-21.72004441314915</v>
      </c>
      <c r="N162" s="14">
        <f t="shared" si="72"/>
        <v>0.63965615541506615</v>
      </c>
      <c r="O162" s="14">
        <f t="shared" si="73"/>
        <v>-86.730205308791099</v>
      </c>
      <c r="P162" s="14">
        <f t="shared" si="74"/>
        <v>-24.876758223506034</v>
      </c>
      <c r="Q162" s="14">
        <f t="shared" si="75"/>
        <v>-1.8563490691365723</v>
      </c>
      <c r="R162" s="14">
        <f t="shared" si="76"/>
        <v>-4.5596796521077771E-3</v>
      </c>
      <c r="S162" s="23">
        <f t="shared" si="97"/>
        <v>-110.30659879107682</v>
      </c>
      <c r="T162" s="23">
        <f t="shared" si="98"/>
        <v>-27.717823459580931</v>
      </c>
      <c r="U162" s="14">
        <f t="shared" si="77"/>
        <v>20000</v>
      </c>
      <c r="V162" s="14">
        <f t="shared" si="78"/>
        <v>-89.998934581869108</v>
      </c>
      <c r="W162" s="14">
        <f t="shared" si="79"/>
        <v>-94.612050985108112</v>
      </c>
      <c r="X162" s="14">
        <f t="shared" si="80"/>
        <v>87.870145313018227</v>
      </c>
      <c r="Y162" s="14">
        <f t="shared" si="81"/>
        <v>28.597453665296545</v>
      </c>
      <c r="Z162" s="14">
        <f t="shared" si="82"/>
        <v>-6.9682519271484278</v>
      </c>
      <c r="AA162" s="14">
        <f t="shared" si="83"/>
        <v>-6.4396204064229773E-2</v>
      </c>
      <c r="AB162" s="23">
        <f t="shared" si="99"/>
        <v>-9.0970411959993083</v>
      </c>
      <c r="AC162" s="23">
        <f t="shared" si="100"/>
        <v>19.941606389403827</v>
      </c>
      <c r="AD162" s="14">
        <f t="shared" si="84"/>
        <v>5.584498405087114</v>
      </c>
      <c r="AE162" s="14">
        <f t="shared" si="85"/>
        <v>4.1323416594520809E-2</v>
      </c>
      <c r="AF162" s="14">
        <f t="shared" si="86"/>
        <v>8.4033691063614427E-2</v>
      </c>
      <c r="AG162" s="14">
        <f t="shared" si="87"/>
        <v>9.3421337708400604E-6</v>
      </c>
      <c r="AH162" s="14">
        <f t="shared" si="88"/>
        <v>-3.3575016622118334</v>
      </c>
      <c r="AI162" s="14">
        <f t="shared" si="89"/>
        <v>-1.4921766148393641E-2</v>
      </c>
      <c r="AJ162" s="23">
        <f t="shared" si="101"/>
        <v>2.3110304339388947</v>
      </c>
      <c r="AK162" s="23">
        <f t="shared" si="102"/>
        <v>2.6410992579898006E-2</v>
      </c>
      <c r="AL162" s="14">
        <f t="shared" si="90"/>
        <v>0</v>
      </c>
      <c r="AM162" s="14">
        <f t="shared" si="91"/>
        <v>0</v>
      </c>
      <c r="AN162" s="14">
        <f t="shared" si="92"/>
        <v>0</v>
      </c>
      <c r="AO162" s="14">
        <f t="shared" si="93"/>
        <v>0</v>
      </c>
      <c r="AP162" s="23">
        <f t="shared" si="103"/>
        <v>0</v>
      </c>
      <c r="AQ162" s="23">
        <f t="shared" si="104"/>
        <v>0</v>
      </c>
    </row>
    <row r="163" spans="8:43" x14ac:dyDescent="0.25">
      <c r="H163" s="14">
        <v>2.6</v>
      </c>
      <c r="I163" s="36">
        <f t="shared" si="94"/>
        <v>3981.071705534976</v>
      </c>
      <c r="J163" s="24">
        <f t="shared" si="95"/>
        <v>62.273466659490353</v>
      </c>
      <c r="K163" s="24">
        <f t="shared" si="96"/>
        <v>-7.9234890037238532</v>
      </c>
      <c r="L163" s="14">
        <f t="shared" si="70"/>
        <v>0.67018069634200106</v>
      </c>
      <c r="M163" s="14">
        <f t="shared" si="71"/>
        <v>-22.177404899105873</v>
      </c>
      <c r="N163" s="14">
        <f t="shared" si="72"/>
        <v>0.66759719215496527</v>
      </c>
      <c r="O163" s="14">
        <f t="shared" si="73"/>
        <v>-86.804478883468278</v>
      </c>
      <c r="P163" s="14">
        <f t="shared" si="74"/>
        <v>-25.076122271493158</v>
      </c>
      <c r="Q163" s="14">
        <f t="shared" si="75"/>
        <v>-1.899557675790511</v>
      </c>
      <c r="R163" s="14">
        <f t="shared" si="76"/>
        <v>-4.7744526548367423E-3</v>
      </c>
      <c r="S163" s="23">
        <f t="shared" si="97"/>
        <v>-110.88144145836466</v>
      </c>
      <c r="T163" s="23">
        <f t="shared" si="98"/>
        <v>-27.889461243830883</v>
      </c>
      <c r="U163" s="14">
        <f t="shared" si="77"/>
        <v>20000</v>
      </c>
      <c r="V163" s="14">
        <f t="shared" si="78"/>
        <v>-89.998958833746599</v>
      </c>
      <c r="W163" s="14">
        <f t="shared" si="79"/>
        <v>-94.812050985040543</v>
      </c>
      <c r="X163" s="14">
        <f t="shared" si="80"/>
        <v>87.918583586293522</v>
      </c>
      <c r="Y163" s="14">
        <f t="shared" si="81"/>
        <v>28.797183682243631</v>
      </c>
      <c r="Z163" s="14">
        <f t="shared" si="82"/>
        <v>-7.1289120753692883</v>
      </c>
      <c r="AA163" s="14">
        <f t="shared" si="83"/>
        <v>-6.7407669718436286E-2</v>
      </c>
      <c r="AB163" s="23">
        <f t="shared" si="99"/>
        <v>-9.209287322822366</v>
      </c>
      <c r="AC163" s="23">
        <f t="shared" si="100"/>
        <v>19.938324940764279</v>
      </c>
      <c r="AD163" s="14">
        <f t="shared" si="84"/>
        <v>5.7137270853664601</v>
      </c>
      <c r="AE163" s="14">
        <f t="shared" si="85"/>
        <v>4.3261260776064236E-2</v>
      </c>
      <c r="AF163" s="14">
        <f t="shared" si="86"/>
        <v>8.5991084275002738E-2</v>
      </c>
      <c r="AG163" s="14">
        <f t="shared" si="87"/>
        <v>9.7824144742477414E-6</v>
      </c>
      <c r="AH163" s="14">
        <f t="shared" si="88"/>
        <v>-3.4355227289640871</v>
      </c>
      <c r="AI163" s="14">
        <f t="shared" si="89"/>
        <v>-1.5623743847786982E-2</v>
      </c>
      <c r="AJ163" s="23">
        <f t="shared" si="101"/>
        <v>2.364195440677376</v>
      </c>
      <c r="AK163" s="23">
        <f t="shared" si="102"/>
        <v>2.7647299342751501E-2</v>
      </c>
      <c r="AL163" s="14">
        <f t="shared" si="90"/>
        <v>0</v>
      </c>
      <c r="AM163" s="14">
        <f t="shared" si="91"/>
        <v>0</v>
      </c>
      <c r="AN163" s="14">
        <f t="shared" si="92"/>
        <v>0</v>
      </c>
      <c r="AO163" s="14">
        <f t="shared" si="93"/>
        <v>0</v>
      </c>
      <c r="AP163" s="23">
        <f t="shared" si="103"/>
        <v>0</v>
      </c>
      <c r="AQ163" s="23">
        <f t="shared" si="104"/>
        <v>0</v>
      </c>
    </row>
    <row r="164" spans="8:43" x14ac:dyDescent="0.25">
      <c r="H164" s="14">
        <v>2.61</v>
      </c>
      <c r="I164" s="36">
        <f t="shared" si="94"/>
        <v>4073.8027780411271</v>
      </c>
      <c r="J164" s="24">
        <f t="shared" si="95"/>
        <v>61.629093489206177</v>
      </c>
      <c r="K164" s="24">
        <f t="shared" si="96"/>
        <v>-8.0961552502168352</v>
      </c>
      <c r="L164" s="14">
        <f t="shared" si="70"/>
        <v>0.67018069634200106</v>
      </c>
      <c r="M164" s="14">
        <f t="shared" si="71"/>
        <v>-22.642357220536582</v>
      </c>
      <c r="N164" s="14">
        <f t="shared" si="72"/>
        <v>0.69666364799690228</v>
      </c>
      <c r="O164" s="14">
        <f t="shared" si="73"/>
        <v>-86.877072175113383</v>
      </c>
      <c r="P164" s="14">
        <f t="shared" si="74"/>
        <v>-25.275514855091469</v>
      </c>
      <c r="Q164" s="14">
        <f t="shared" si="75"/>
        <v>-1.9437705023907939</v>
      </c>
      <c r="R164" s="14">
        <f t="shared" si="76"/>
        <v>-4.9993362140488464E-3</v>
      </c>
      <c r="S164" s="23">
        <f t="shared" si="97"/>
        <v>-111.46319989804076</v>
      </c>
      <c r="T164" s="23">
        <f t="shared" si="98"/>
        <v>-28.060012255146471</v>
      </c>
      <c r="U164" s="14">
        <f t="shared" si="77"/>
        <v>20000</v>
      </c>
      <c r="V164" s="14">
        <f t="shared" si="78"/>
        <v>-89.99898253358397</v>
      </c>
      <c r="W164" s="14">
        <f t="shared" si="79"/>
        <v>-95.012050984975986</v>
      </c>
      <c r="X164" s="14">
        <f t="shared" si="80"/>
        <v>87.965922146220876</v>
      </c>
      <c r="Y164" s="14">
        <f t="shared" si="81"/>
        <v>28.996925834761139</v>
      </c>
      <c r="Z164" s="14">
        <f t="shared" si="82"/>
        <v>-7.293197887212048</v>
      </c>
      <c r="AA164" s="14">
        <f t="shared" si="83"/>
        <v>-7.0558824839064158E-2</v>
      </c>
      <c r="AB164" s="23">
        <f t="shared" si="99"/>
        <v>-9.3262582745751423</v>
      </c>
      <c r="AC164" s="23">
        <f t="shared" si="100"/>
        <v>19.934915938225714</v>
      </c>
      <c r="AD164" s="14">
        <f t="shared" si="84"/>
        <v>5.8459055253042722</v>
      </c>
      <c r="AE164" s="14">
        <f t="shared" si="85"/>
        <v>4.5289506403904931E-2</v>
      </c>
      <c r="AF164" s="14">
        <f t="shared" si="86"/>
        <v>8.7994070823528045E-2</v>
      </c>
      <c r="AG164" s="14">
        <f t="shared" si="87"/>
        <v>1.0243444921791097E-5</v>
      </c>
      <c r="AH164" s="14">
        <f t="shared" si="88"/>
        <v>-3.5153479343057294</v>
      </c>
      <c r="AI164" s="14">
        <f t="shared" si="89"/>
        <v>-1.6358683144904702E-2</v>
      </c>
      <c r="AJ164" s="23">
        <f t="shared" si="101"/>
        <v>2.4185516618220704</v>
      </c>
      <c r="AK164" s="23">
        <f t="shared" si="102"/>
        <v>2.8941066703922023E-2</v>
      </c>
      <c r="AL164" s="14">
        <f t="shared" si="90"/>
        <v>0</v>
      </c>
      <c r="AM164" s="14">
        <f t="shared" si="91"/>
        <v>0</v>
      </c>
      <c r="AN164" s="14">
        <f t="shared" si="92"/>
        <v>0</v>
      </c>
      <c r="AO164" s="14">
        <f t="shared" si="93"/>
        <v>0</v>
      </c>
      <c r="AP164" s="23">
        <f t="shared" si="103"/>
        <v>0</v>
      </c>
      <c r="AQ164" s="23">
        <f t="shared" si="104"/>
        <v>0</v>
      </c>
    </row>
    <row r="165" spans="8:43" x14ac:dyDescent="0.25">
      <c r="H165" s="14">
        <v>2.62</v>
      </c>
      <c r="I165" s="36">
        <f t="shared" si="94"/>
        <v>4168.6938347033574</v>
      </c>
      <c r="J165" s="24">
        <f t="shared" si="95"/>
        <v>60.974181592265779</v>
      </c>
      <c r="K165" s="24">
        <f t="shared" si="96"/>
        <v>-8.267770935347361</v>
      </c>
      <c r="L165" s="14">
        <f t="shared" si="70"/>
        <v>0.67018069634200106</v>
      </c>
      <c r="M165" s="14">
        <f t="shared" si="71"/>
        <v>-23.114902895499043</v>
      </c>
      <c r="N165" s="14">
        <f t="shared" si="72"/>
        <v>0.72689288804114227</v>
      </c>
      <c r="O165" s="14">
        <f t="shared" si="73"/>
        <v>-86.948022740868581</v>
      </c>
      <c r="P165" s="14">
        <f t="shared" si="74"/>
        <v>-25.474934697614881</v>
      </c>
      <c r="Q165" s="14">
        <f t="shared" si="75"/>
        <v>-1.9890107804278157</v>
      </c>
      <c r="R165" s="14">
        <f t="shared" si="76"/>
        <v>-5.2348057286443119E-3</v>
      </c>
      <c r="S165" s="23">
        <f t="shared" si="97"/>
        <v>-112.05193641679544</v>
      </c>
      <c r="T165" s="23">
        <f t="shared" si="98"/>
        <v>-28.229438327140237</v>
      </c>
      <c r="U165" s="14">
        <f t="shared" si="77"/>
        <v>20000</v>
      </c>
      <c r="V165" s="14">
        <f t="shared" si="78"/>
        <v>-89.999005693947183</v>
      </c>
      <c r="W165" s="14">
        <f t="shared" si="79"/>
        <v>-95.212050984914356</v>
      </c>
      <c r="X165" s="14">
        <f t="shared" si="80"/>
        <v>88.012185833666337</v>
      </c>
      <c r="Y165" s="14">
        <f t="shared" si="81"/>
        <v>29.196679578035429</v>
      </c>
      <c r="Z165" s="14">
        <f t="shared" si="82"/>
        <v>-7.4611856579248244</v>
      </c>
      <c r="AA165" s="14">
        <f t="shared" si="83"/>
        <v>-7.3856040569291237E-2</v>
      </c>
      <c r="AB165" s="23">
        <f t="shared" si="99"/>
        <v>-9.4480055182056706</v>
      </c>
      <c r="AC165" s="23">
        <f t="shared" si="100"/>
        <v>19.931372465831405</v>
      </c>
      <c r="AD165" s="14">
        <f t="shared" si="84"/>
        <v>5.9810981769321874</v>
      </c>
      <c r="AE165" s="14">
        <f t="shared" si="85"/>
        <v>4.7412325544618175E-2</v>
      </c>
      <c r="AF165" s="14">
        <f t="shared" si="86"/>
        <v>9.004371269957713E-2</v>
      </c>
      <c r="AG165" s="14">
        <f t="shared" si="87"/>
        <v>1.0726203012227121E-5</v>
      </c>
      <c r="AH165" s="14">
        <f t="shared" si="88"/>
        <v>-3.5970183623648717</v>
      </c>
      <c r="AI165" s="14">
        <f t="shared" si="89"/>
        <v>-1.7128125786160159E-2</v>
      </c>
      <c r="AJ165" s="23">
        <f t="shared" si="101"/>
        <v>2.4741235272668929</v>
      </c>
      <c r="AK165" s="23">
        <f t="shared" si="102"/>
        <v>3.0294925961470244E-2</v>
      </c>
      <c r="AL165" s="14">
        <f t="shared" si="90"/>
        <v>0</v>
      </c>
      <c r="AM165" s="14">
        <f t="shared" si="91"/>
        <v>0</v>
      </c>
      <c r="AN165" s="14">
        <f t="shared" si="92"/>
        <v>0</v>
      </c>
      <c r="AO165" s="14">
        <f t="shared" si="93"/>
        <v>0</v>
      </c>
      <c r="AP165" s="23">
        <f t="shared" si="103"/>
        <v>0</v>
      </c>
      <c r="AQ165" s="23">
        <f t="shared" si="104"/>
        <v>0</v>
      </c>
    </row>
    <row r="166" spans="8:43" x14ac:dyDescent="0.25">
      <c r="H166" s="14">
        <v>2.63</v>
      </c>
      <c r="I166" s="36">
        <f t="shared" si="94"/>
        <v>4265.7951880159289</v>
      </c>
      <c r="J166" s="24">
        <f t="shared" si="95"/>
        <v>60.308648647119966</v>
      </c>
      <c r="K166" s="24">
        <f t="shared" si="96"/>
        <v>-8.438301798318502</v>
      </c>
      <c r="L166" s="14">
        <f t="shared" si="70"/>
        <v>0.67018069634200106</v>
      </c>
      <c r="M166" s="14">
        <f t="shared" si="71"/>
        <v>-23.595035269913904</v>
      </c>
      <c r="N166" s="14">
        <f t="shared" si="72"/>
        <v>0.75832287471573334</v>
      </c>
      <c r="O166" s="14">
        <f t="shared" si="73"/>
        <v>-87.017367328782768</v>
      </c>
      <c r="P166" s="14">
        <f t="shared" si="74"/>
        <v>-25.674380579169291</v>
      </c>
      <c r="Q166" s="14">
        <f t="shared" si="75"/>
        <v>-2.0353022711245843</v>
      </c>
      <c r="R166" s="14">
        <f t="shared" si="76"/>
        <v>-5.481358896744214E-3</v>
      </c>
      <c r="S166" s="23">
        <f t="shared" si="97"/>
        <v>-112.64770486982125</v>
      </c>
      <c r="T166" s="23">
        <f t="shared" si="98"/>
        <v>-28.397700775188159</v>
      </c>
      <c r="U166" s="14">
        <f t="shared" si="77"/>
        <v>20000</v>
      </c>
      <c r="V166" s="14">
        <f t="shared" si="78"/>
        <v>-89.99902832711615</v>
      </c>
      <c r="W166" s="14">
        <f t="shared" si="79"/>
        <v>-95.412050984855483</v>
      </c>
      <c r="X166" s="14">
        <f t="shared" si="80"/>
        <v>88.057398936806948</v>
      </c>
      <c r="Y166" s="14">
        <f t="shared" si="81"/>
        <v>29.396444391652508</v>
      </c>
      <c r="Z166" s="14">
        <f t="shared" si="82"/>
        <v>-7.6329528981608012</v>
      </c>
      <c r="AA166" s="14">
        <f t="shared" si="83"/>
        <v>-7.730596835866492E-2</v>
      </c>
      <c r="AB166" s="23">
        <f t="shared" si="99"/>
        <v>-9.5745822884700047</v>
      </c>
      <c r="AC166" s="23">
        <f t="shared" si="100"/>
        <v>19.927687351717985</v>
      </c>
      <c r="AD166" s="14">
        <f t="shared" si="84"/>
        <v>6.1193706964018197</v>
      </c>
      <c r="AE166" s="14">
        <f t="shared" si="85"/>
        <v>4.9634078496406726E-2</v>
      </c>
      <c r="AF166" s="14">
        <f t="shared" si="86"/>
        <v>9.2141096629407018E-2</v>
      </c>
      <c r="AG166" s="14">
        <f t="shared" si="87"/>
        <v>1.1231712732944474E-5</v>
      </c>
      <c r="AH166" s="14">
        <f t="shared" si="88"/>
        <v>-3.6805759876200037</v>
      </c>
      <c r="AI166" s="14">
        <f t="shared" si="89"/>
        <v>-1.7933685057467664E-2</v>
      </c>
      <c r="AJ166" s="23">
        <f t="shared" si="101"/>
        <v>2.5309358054112234</v>
      </c>
      <c r="AK166" s="23">
        <f t="shared" si="102"/>
        <v>3.1711625151672002E-2</v>
      </c>
      <c r="AL166" s="14">
        <f t="shared" si="90"/>
        <v>0</v>
      </c>
      <c r="AM166" s="14">
        <f t="shared" si="91"/>
        <v>0</v>
      </c>
      <c r="AN166" s="14">
        <f t="shared" si="92"/>
        <v>0</v>
      </c>
      <c r="AO166" s="14">
        <f t="shared" si="93"/>
        <v>0</v>
      </c>
      <c r="AP166" s="23">
        <f t="shared" si="103"/>
        <v>0</v>
      </c>
      <c r="AQ166" s="23">
        <f t="shared" si="104"/>
        <v>0</v>
      </c>
    </row>
    <row r="167" spans="8:43" x14ac:dyDescent="0.25">
      <c r="H167" s="14">
        <v>2.64</v>
      </c>
      <c r="I167" s="36">
        <f t="shared" si="94"/>
        <v>4365.1583224016622</v>
      </c>
      <c r="J167" s="24">
        <f t="shared" si="95"/>
        <v>59.632419731197487</v>
      </c>
      <c r="K167" s="24">
        <f t="shared" si="96"/>
        <v>-8.6077132489084693</v>
      </c>
      <c r="L167" s="14">
        <f t="shared" si="70"/>
        <v>0.67018069634200106</v>
      </c>
      <c r="M167" s="14">
        <f t="shared" si="71"/>
        <v>-24.082739127085453</v>
      </c>
      <c r="N167" s="14">
        <f t="shared" si="72"/>
        <v>0.79099212430449028</v>
      </c>
      <c r="O167" s="14">
        <f t="shared" si="73"/>
        <v>-87.085141893202973</v>
      </c>
      <c r="P167" s="14">
        <f t="shared" si="74"/>
        <v>-25.873851334155006</v>
      </c>
      <c r="Q167" s="14">
        <f t="shared" si="75"/>
        <v>-2.0826692769642845</v>
      </c>
      <c r="R167" s="14">
        <f t="shared" si="76"/>
        <v>-5.7395167564567341E-3</v>
      </c>
      <c r="S167" s="23">
        <f t="shared" si="97"/>
        <v>-113.25055029725272</v>
      </c>
      <c r="T167" s="23">
        <f t="shared" si="98"/>
        <v>-28.564760438444829</v>
      </c>
      <c r="U167" s="14">
        <f t="shared" si="77"/>
        <v>20000</v>
      </c>
      <c r="V167" s="14">
        <f t="shared" si="78"/>
        <v>-89.999050445091314</v>
      </c>
      <c r="W167" s="14">
        <f t="shared" si="79"/>
        <v>-95.612050984799254</v>
      </c>
      <c r="X167" s="14">
        <f t="shared" si="80"/>
        <v>88.101585202863859</v>
      </c>
      <c r="Y167" s="14">
        <f t="shared" si="81"/>
        <v>29.596219778510594</v>
      </c>
      <c r="Z167" s="14">
        <f t="shared" si="82"/>
        <v>-7.8085783246794849</v>
      </c>
      <c r="AA167" s="14">
        <f t="shared" si="83"/>
        <v>-8.0915551323144361E-2</v>
      </c>
      <c r="AB167" s="23">
        <f t="shared" si="99"/>
        <v>-9.7060435669069385</v>
      </c>
      <c r="AC167" s="23">
        <f t="shared" si="100"/>
        <v>19.923853155667821</v>
      </c>
      <c r="AD167" s="14">
        <f t="shared" si="84"/>
        <v>6.2607899516506187</v>
      </c>
      <c r="AE167" s="14">
        <f t="shared" si="85"/>
        <v>5.1959321870862094E-2</v>
      </c>
      <c r="AF167" s="14">
        <f t="shared" si="86"/>
        <v>9.4287334651242435E-2</v>
      </c>
      <c r="AG167" s="14">
        <f t="shared" si="87"/>
        <v>1.1761046327729638E-5</v>
      </c>
      <c r="AH167" s="14">
        <f t="shared" si="88"/>
        <v>-3.7660636909447147</v>
      </c>
      <c r="AI167" s="14">
        <f t="shared" si="89"/>
        <v>-1.8777049048651635E-2</v>
      </c>
      <c r="AJ167" s="23">
        <f t="shared" si="101"/>
        <v>2.5890135953571463</v>
      </c>
      <c r="AK167" s="23">
        <f t="shared" si="102"/>
        <v>3.3194033868538191E-2</v>
      </c>
      <c r="AL167" s="14">
        <f t="shared" si="90"/>
        <v>0</v>
      </c>
      <c r="AM167" s="14">
        <f t="shared" si="91"/>
        <v>0</v>
      </c>
      <c r="AN167" s="14">
        <f t="shared" si="92"/>
        <v>0</v>
      </c>
      <c r="AO167" s="14">
        <f t="shared" si="93"/>
        <v>0</v>
      </c>
      <c r="AP167" s="23">
        <f t="shared" si="103"/>
        <v>0</v>
      </c>
      <c r="AQ167" s="23">
        <f t="shared" si="104"/>
        <v>0</v>
      </c>
    </row>
    <row r="168" spans="8:43" x14ac:dyDescent="0.25">
      <c r="H168" s="14">
        <v>2.65</v>
      </c>
      <c r="I168" s="36">
        <f t="shared" si="94"/>
        <v>4466.8359215096334</v>
      </c>
      <c r="J168" s="24">
        <f t="shared" si="95"/>
        <v>58.945427693779159</v>
      </c>
      <c r="K168" s="24">
        <f t="shared" si="96"/>
        <v>-8.7759704221257664</v>
      </c>
      <c r="L168" s="14">
        <f t="shared" si="70"/>
        <v>0.67018069634200106</v>
      </c>
      <c r="M168" s="14">
        <f t="shared" si="71"/>
        <v>-24.577990302259163</v>
      </c>
      <c r="N168" s="14">
        <f t="shared" si="72"/>
        <v>0.82493965877395747</v>
      </c>
      <c r="O168" s="14">
        <f t="shared" si="73"/>
        <v>-87.151381610013729</v>
      </c>
      <c r="P168" s="14">
        <f t="shared" si="74"/>
        <v>-26.073345848876425</v>
      </c>
      <c r="Q168" s="14">
        <f t="shared" si="75"/>
        <v>-2.131136653428733</v>
      </c>
      <c r="R168" s="14">
        <f t="shared" si="76"/>
        <v>-6.0098247747108263E-3</v>
      </c>
      <c r="S168" s="23">
        <f t="shared" si="97"/>
        <v>-113.86050856570162</v>
      </c>
      <c r="T168" s="23">
        <f t="shared" si="98"/>
        <v>-28.730577726715033</v>
      </c>
      <c r="U168" s="14">
        <f t="shared" si="77"/>
        <v>20000</v>
      </c>
      <c r="V168" s="14">
        <f t="shared" si="78"/>
        <v>-89.999072059599882</v>
      </c>
      <c r="W168" s="14">
        <f t="shared" si="79"/>
        <v>-95.812050984745568</v>
      </c>
      <c r="X168" s="14">
        <f t="shared" si="80"/>
        <v>88.144767849624245</v>
      </c>
      <c r="Y168" s="14">
        <f t="shared" si="81"/>
        <v>29.796005263780508</v>
      </c>
      <c r="Z168" s="14">
        <f t="shared" si="82"/>
        <v>-7.9881418484413658</v>
      </c>
      <c r="AA168" s="14">
        <f t="shared" si="83"/>
        <v>-8.4692035972732047E-2</v>
      </c>
      <c r="AB168" s="23">
        <f t="shared" si="99"/>
        <v>-9.8424460584170035</v>
      </c>
      <c r="AC168" s="23">
        <f t="shared" si="100"/>
        <v>19.919862156341832</v>
      </c>
      <c r="AD168" s="14">
        <f t="shared" si="84"/>
        <v>6.4054240288918676</v>
      </c>
      <c r="AE168" s="14">
        <f t="shared" si="85"/>
        <v>5.4392816982357262E-2</v>
      </c>
      <c r="AF168" s="14">
        <f t="shared" si="86"/>
        <v>9.6483564704785196E-2</v>
      </c>
      <c r="AG168" s="14">
        <f t="shared" si="87"/>
        <v>1.2315326580248291E-5</v>
      </c>
      <c r="AH168" s="14">
        <f t="shared" si="88"/>
        <v>-3.8535252756988716</v>
      </c>
      <c r="AI168" s="14">
        <f t="shared" si="89"/>
        <v>-1.9659984061503391E-2</v>
      </c>
      <c r="AJ168" s="23">
        <f t="shared" si="101"/>
        <v>2.6483823178977812</v>
      </c>
      <c r="AK168" s="23">
        <f t="shared" si="102"/>
        <v>3.4745148247434118E-2</v>
      </c>
      <c r="AL168" s="14">
        <f t="shared" si="90"/>
        <v>0</v>
      </c>
      <c r="AM168" s="14">
        <f t="shared" si="91"/>
        <v>0</v>
      </c>
      <c r="AN168" s="14">
        <f t="shared" si="92"/>
        <v>0</v>
      </c>
      <c r="AO168" s="14">
        <f t="shared" si="93"/>
        <v>0</v>
      </c>
      <c r="AP168" s="23">
        <f t="shared" si="103"/>
        <v>0</v>
      </c>
      <c r="AQ168" s="23">
        <f t="shared" si="104"/>
        <v>0</v>
      </c>
    </row>
    <row r="169" spans="8:43" x14ac:dyDescent="0.25">
      <c r="H169" s="14">
        <v>2.66</v>
      </c>
      <c r="I169" s="36">
        <f t="shared" si="94"/>
        <v>4570.8818961487559</v>
      </c>
      <c r="J169" s="24">
        <f t="shared" si="95"/>
        <v>58.2476135226986</v>
      </c>
      <c r="K169" s="24">
        <f t="shared" si="96"/>
        <v>-8.9430382379850002</v>
      </c>
      <c r="L169" s="14">
        <f t="shared" si="70"/>
        <v>0.67018069634200106</v>
      </c>
      <c r="M169" s="14">
        <f t="shared" si="71"/>
        <v>-25.080755304596295</v>
      </c>
      <c r="N169" s="14">
        <f t="shared" si="72"/>
        <v>0.86020495279095288</v>
      </c>
      <c r="O169" s="14">
        <f t="shared" si="73"/>
        <v>-87.216120891715434</v>
      </c>
      <c r="P169" s="14">
        <f t="shared" si="74"/>
        <v>-26.272863059254654</v>
      </c>
      <c r="Q169" s="14">
        <f t="shared" si="75"/>
        <v>-2.1807298209486214</v>
      </c>
      <c r="R169" s="14">
        <f t="shared" si="76"/>
        <v>-6.2928539863511511E-3</v>
      </c>
      <c r="S169" s="23">
        <f t="shared" si="97"/>
        <v>-114.47760601726036</v>
      </c>
      <c r="T169" s="23">
        <f t="shared" si="98"/>
        <v>-28.895112672287908</v>
      </c>
      <c r="U169" s="14">
        <f t="shared" si="77"/>
        <v>20000</v>
      </c>
      <c r="V169" s="14">
        <f t="shared" si="78"/>
        <v>-89.999093182102172</v>
      </c>
      <c r="W169" s="14">
        <f t="shared" si="79"/>
        <v>-96.012050984694326</v>
      </c>
      <c r="X169" s="14">
        <f t="shared" si="80"/>
        <v>88.186969576753683</v>
      </c>
      <c r="Y169" s="14">
        <f t="shared" si="81"/>
        <v>29.995800393912113</v>
      </c>
      <c r="Z169" s="14">
        <f t="shared" si="82"/>
        <v>-8.1717245598988413</v>
      </c>
      <c r="AA169" s="14">
        <f t="shared" si="83"/>
        <v>-8.8642984309383444E-2</v>
      </c>
      <c r="AB169" s="23">
        <f t="shared" si="99"/>
        <v>-9.9838481652473305</v>
      </c>
      <c r="AC169" s="23">
        <f t="shared" si="100"/>
        <v>19.915706338188027</v>
      </c>
      <c r="AD169" s="14">
        <f t="shared" si="84"/>
        <v>6.5533422378168869</v>
      </c>
      <c r="AE169" s="14">
        <f t="shared" si="85"/>
        <v>5.6939538553004793E-2</v>
      </c>
      <c r="AF169" s="14">
        <f t="shared" si="86"/>
        <v>9.8730951234450096E-2</v>
      </c>
      <c r="AG169" s="14">
        <f t="shared" si="87"/>
        <v>1.2895729178525796E-5</v>
      </c>
      <c r="AH169" s="14">
        <f t="shared" si="88"/>
        <v>-3.9430054838450461</v>
      </c>
      <c r="AI169" s="14">
        <f t="shared" si="89"/>
        <v>-2.0584338167303099E-2</v>
      </c>
      <c r="AJ169" s="23">
        <f t="shared" si="101"/>
        <v>2.7090677052062908</v>
      </c>
      <c r="AK169" s="23">
        <f t="shared" si="102"/>
        <v>3.6368096114880219E-2</v>
      </c>
      <c r="AL169" s="14">
        <f t="shared" si="90"/>
        <v>0</v>
      </c>
      <c r="AM169" s="14">
        <f t="shared" si="91"/>
        <v>0</v>
      </c>
      <c r="AN169" s="14">
        <f t="shared" si="92"/>
        <v>0</v>
      </c>
      <c r="AO169" s="14">
        <f t="shared" si="93"/>
        <v>0</v>
      </c>
      <c r="AP169" s="23">
        <f t="shared" si="103"/>
        <v>0</v>
      </c>
      <c r="AQ169" s="23">
        <f t="shared" si="104"/>
        <v>0</v>
      </c>
    </row>
    <row r="170" spans="8:43" x14ac:dyDescent="0.25">
      <c r="H170" s="14">
        <v>2.67</v>
      </c>
      <c r="I170" s="36">
        <f t="shared" si="94"/>
        <v>4677.3514128719835</v>
      </c>
      <c r="J170" s="24">
        <f t="shared" si="95"/>
        <v>57.538926702457431</v>
      </c>
      <c r="K170" s="24">
        <f t="shared" si="96"/>
        <v>-9.1088814664860269</v>
      </c>
      <c r="L170" s="14">
        <f t="shared" si="70"/>
        <v>0.67018069634200106</v>
      </c>
      <c r="M170" s="14">
        <f t="shared" si="71"/>
        <v>-25.590990949099737</v>
      </c>
      <c r="N170" s="14">
        <f t="shared" si="72"/>
        <v>0.89682787584804347</v>
      </c>
      <c r="O170" s="14">
        <f t="shared" si="73"/>
        <v>-87.279393402332929</v>
      </c>
      <c r="P170" s="14">
        <f t="shared" si="74"/>
        <v>-26.472401948638801</v>
      </c>
      <c r="Q170" s="14">
        <f t="shared" si="75"/>
        <v>-2.2314747770660923</v>
      </c>
      <c r="R170" s="14">
        <f t="shared" si="76"/>
        <v>-6.5892021857295573E-3</v>
      </c>
      <c r="S170" s="23">
        <f t="shared" si="97"/>
        <v>-115.10185912849876</v>
      </c>
      <c r="T170" s="23">
        <f t="shared" si="98"/>
        <v>-29.058324986814341</v>
      </c>
      <c r="U170" s="14">
        <f t="shared" si="77"/>
        <v>20000</v>
      </c>
      <c r="V170" s="14">
        <f t="shared" si="78"/>
        <v>-89.999113823797614</v>
      </c>
      <c r="W170" s="14">
        <f t="shared" si="79"/>
        <v>-96.212050984645344</v>
      </c>
      <c r="X170" s="14">
        <f t="shared" si="80"/>
        <v>88.228212576899708</v>
      </c>
      <c r="Y170" s="14">
        <f t="shared" si="81"/>
        <v>30.195604735684594</v>
      </c>
      <c r="Z170" s="14">
        <f t="shared" si="82"/>
        <v>-8.3594087112755595</v>
      </c>
      <c r="AA170" s="14">
        <f t="shared" si="83"/>
        <v>-9.2776286296759991E-2</v>
      </c>
      <c r="AB170" s="23">
        <f t="shared" si="99"/>
        <v>-10.130309958173466</v>
      </c>
      <c r="AC170" s="23">
        <f t="shared" si="100"/>
        <v>19.911377378022113</v>
      </c>
      <c r="AD170" s="14">
        <f t="shared" si="84"/>
        <v>6.7046151153899025</v>
      </c>
      <c r="AE170" s="14">
        <f t="shared" si="85"/>
        <v>5.9604683740763303E-2</v>
      </c>
      <c r="AF170" s="14">
        <f t="shared" si="86"/>
        <v>0.10103068580664511</v>
      </c>
      <c r="AG170" s="14">
        <f t="shared" si="87"/>
        <v>1.350348522600054E-5</v>
      </c>
      <c r="AH170" s="14">
        <f t="shared" si="88"/>
        <v>-4.0345500120668891</v>
      </c>
      <c r="AI170" s="14">
        <f t="shared" si="89"/>
        <v>-2.1552044919788876E-2</v>
      </c>
      <c r="AJ170" s="23">
        <f t="shared" si="101"/>
        <v>2.7710957891296584</v>
      </c>
      <c r="AK170" s="23">
        <f t="shared" si="102"/>
        <v>3.806614230620043E-2</v>
      </c>
      <c r="AL170" s="14">
        <f t="shared" si="90"/>
        <v>0</v>
      </c>
      <c r="AM170" s="14">
        <f t="shared" si="91"/>
        <v>0</v>
      </c>
      <c r="AN170" s="14">
        <f t="shared" si="92"/>
        <v>0</v>
      </c>
      <c r="AO170" s="14">
        <f t="shared" si="93"/>
        <v>0</v>
      </c>
      <c r="AP170" s="23">
        <f t="shared" si="103"/>
        <v>0</v>
      </c>
      <c r="AQ170" s="23">
        <f t="shared" si="104"/>
        <v>0</v>
      </c>
    </row>
    <row r="171" spans="8:43" x14ac:dyDescent="0.25">
      <c r="H171" s="14">
        <v>2.68</v>
      </c>
      <c r="I171" s="36">
        <f t="shared" si="94"/>
        <v>4786.3009232263885</v>
      </c>
      <c r="J171" s="24">
        <f t="shared" si="95"/>
        <v>56.819325561200195</v>
      </c>
      <c r="K171" s="24">
        <f t="shared" si="96"/>
        <v>-9.2734647978493854</v>
      </c>
      <c r="L171" s="14">
        <f t="shared" si="70"/>
        <v>0.67018069634200106</v>
      </c>
      <c r="M171" s="14">
        <f t="shared" si="71"/>
        <v>-26.108644001171331</v>
      </c>
      <c r="N171" s="14">
        <f t="shared" si="72"/>
        <v>0.93484862944364866</v>
      </c>
      <c r="O171" s="14">
        <f t="shared" si="73"/>
        <v>-87.341232072147008</v>
      </c>
      <c r="P171" s="14">
        <f t="shared" si="74"/>
        <v>-26.671961545712026</v>
      </c>
      <c r="Q171" s="14">
        <f t="shared" si="75"/>
        <v>-2.2833981088099979</v>
      </c>
      <c r="R171" s="14">
        <f t="shared" si="76"/>
        <v>-6.8994951731692275E-3</v>
      </c>
      <c r="S171" s="23">
        <f t="shared" si="97"/>
        <v>-115.73327418212834</v>
      </c>
      <c r="T171" s="23">
        <f t="shared" si="98"/>
        <v>-29.220174123279403</v>
      </c>
      <c r="U171" s="14">
        <f t="shared" si="77"/>
        <v>20000</v>
      </c>
      <c r="V171" s="14">
        <f t="shared" si="78"/>
        <v>-89.999133995630686</v>
      </c>
      <c r="W171" s="14">
        <f t="shared" si="79"/>
        <v>-96.412050984598579</v>
      </c>
      <c r="X171" s="14">
        <f t="shared" si="80"/>
        <v>88.268518546588794</v>
      </c>
      <c r="Y171" s="14">
        <f t="shared" si="81"/>
        <v>30.39541787529895</v>
      </c>
      <c r="Z171" s="14">
        <f t="shared" si="82"/>
        <v>-8.5512776956156245</v>
      </c>
      <c r="AA171" s="14">
        <f t="shared" si="83"/>
        <v>-9.7100172702191123E-2</v>
      </c>
      <c r="AB171" s="23">
        <f t="shared" si="99"/>
        <v>-10.281893144657516</v>
      </c>
      <c r="AC171" s="23">
        <f t="shared" si="100"/>
        <v>19.906866631277804</v>
      </c>
      <c r="AD171" s="14">
        <f t="shared" si="84"/>
        <v>6.8593144281087417</v>
      </c>
      <c r="AE171" s="14">
        <f t="shared" si="85"/>
        <v>6.2393681498139633E-2</v>
      </c>
      <c r="AF171" s="14">
        <f t="shared" si="86"/>
        <v>0.10338398774142428</v>
      </c>
      <c r="AG171" s="14">
        <f t="shared" si="87"/>
        <v>1.4139883841290098E-5</v>
      </c>
      <c r="AH171" s="14">
        <f t="shared" si="88"/>
        <v>-4.1282055278641154</v>
      </c>
      <c r="AI171" s="14">
        <f t="shared" si="89"/>
        <v>-2.2565127229767157E-2</v>
      </c>
      <c r="AJ171" s="23">
        <f t="shared" si="101"/>
        <v>2.8344928879860509</v>
      </c>
      <c r="AK171" s="23">
        <f t="shared" si="102"/>
        <v>3.9842694152213767E-2</v>
      </c>
      <c r="AL171" s="14">
        <f t="shared" si="90"/>
        <v>0</v>
      </c>
      <c r="AM171" s="14">
        <f t="shared" si="91"/>
        <v>0</v>
      </c>
      <c r="AN171" s="14">
        <f t="shared" si="92"/>
        <v>0</v>
      </c>
      <c r="AO171" s="14">
        <f t="shared" si="93"/>
        <v>0</v>
      </c>
      <c r="AP171" s="23">
        <f t="shared" si="103"/>
        <v>0</v>
      </c>
      <c r="AQ171" s="23">
        <f t="shared" si="104"/>
        <v>0</v>
      </c>
    </row>
    <row r="172" spans="8:43" x14ac:dyDescent="0.25">
      <c r="H172" s="14">
        <v>2.69</v>
      </c>
      <c r="I172" s="36">
        <f t="shared" si="94"/>
        <v>4897.7881936844624</v>
      </c>
      <c r="J172" s="24">
        <f t="shared" si="95"/>
        <v>56.088777603868124</v>
      </c>
      <c r="K172" s="24">
        <f t="shared" si="96"/>
        <v>-9.4367529180266505</v>
      </c>
      <c r="L172" s="14">
        <f t="shared" si="70"/>
        <v>0.67018069634200106</v>
      </c>
      <c r="M172" s="14">
        <f t="shared" si="71"/>
        <v>-26.633650836612439</v>
      </c>
      <c r="N172" s="14">
        <f t="shared" si="72"/>
        <v>0.97430767929604711</v>
      </c>
      <c r="O172" s="14">
        <f t="shared" si="73"/>
        <v>-87.401669112242359</v>
      </c>
      <c r="P172" s="14">
        <f t="shared" si="74"/>
        <v>-26.871540922488037</v>
      </c>
      <c r="Q172" s="14">
        <f t="shared" si="75"/>
        <v>-2.3365270052837346</v>
      </c>
      <c r="R172" s="14">
        <f t="shared" si="76"/>
        <v>-7.2243880587808717E-3</v>
      </c>
      <c r="S172" s="23">
        <f t="shared" si="97"/>
        <v>-116.37184695413853</v>
      </c>
      <c r="T172" s="23">
        <f t="shared" si="98"/>
        <v>-29.380619343088625</v>
      </c>
      <c r="U172" s="14">
        <f t="shared" si="77"/>
        <v>20000</v>
      </c>
      <c r="V172" s="14">
        <f t="shared" si="78"/>
        <v>-89.999153708296802</v>
      </c>
      <c r="W172" s="14">
        <f t="shared" si="79"/>
        <v>-96.612050984553917</v>
      </c>
      <c r="X172" s="14">
        <f t="shared" si="80"/>
        <v>88.307908696917693</v>
      </c>
      <c r="Y172" s="14">
        <f t="shared" si="81"/>
        <v>30.595239417510459</v>
      </c>
      <c r="Z172" s="14">
        <f t="shared" si="82"/>
        <v>-8.7474160223727875</v>
      </c>
      <c r="AA172" s="14">
        <f t="shared" si="83"/>
        <v>-0.10162322830987544</v>
      </c>
      <c r="AB172" s="23">
        <f t="shared" si="99"/>
        <v>-10.438661033751897</v>
      </c>
      <c r="AC172" s="23">
        <f t="shared" si="100"/>
        <v>19.902165117926291</v>
      </c>
      <c r="AD172" s="14">
        <f t="shared" si="84"/>
        <v>7.017513172596078</v>
      </c>
      <c r="AE172" s="14">
        <f t="shared" si="85"/>
        <v>6.5312202268478198E-2</v>
      </c>
      <c r="AF172" s="14">
        <f t="shared" si="86"/>
        <v>0.10579210475884467</v>
      </c>
      <c r="AG172" s="14">
        <f t="shared" si="87"/>
        <v>1.4806274900671983E-5</v>
      </c>
      <c r="AH172" s="14">
        <f t="shared" si="88"/>
        <v>-4.224019685596363</v>
      </c>
      <c r="AI172" s="14">
        <f t="shared" si="89"/>
        <v>-2.3625701407694391E-2</v>
      </c>
      <c r="AJ172" s="23">
        <f t="shared" si="101"/>
        <v>2.8992855917585594</v>
      </c>
      <c r="AK172" s="23">
        <f t="shared" si="102"/>
        <v>4.1701307135684484E-2</v>
      </c>
      <c r="AL172" s="14">
        <f t="shared" si="90"/>
        <v>0</v>
      </c>
      <c r="AM172" s="14">
        <f t="shared" si="91"/>
        <v>0</v>
      </c>
      <c r="AN172" s="14">
        <f t="shared" si="92"/>
        <v>0</v>
      </c>
      <c r="AO172" s="14">
        <f t="shared" si="93"/>
        <v>0</v>
      </c>
      <c r="AP172" s="23">
        <f t="shared" si="103"/>
        <v>0</v>
      </c>
      <c r="AQ172" s="23">
        <f t="shared" si="104"/>
        <v>0</v>
      </c>
    </row>
    <row r="173" spans="8:43" x14ac:dyDescent="0.25">
      <c r="H173" s="14">
        <v>2.7</v>
      </c>
      <c r="I173" s="36">
        <f t="shared" si="94"/>
        <v>5011.8723362727269</v>
      </c>
      <c r="J173" s="24">
        <f t="shared" si="95"/>
        <v>55.347259828737101</v>
      </c>
      <c r="K173" s="24">
        <f t="shared" si="96"/>
        <v>-9.5987105894690981</v>
      </c>
      <c r="L173" s="14">
        <f t="shared" si="70"/>
        <v>0.67018069634200106</v>
      </c>
      <c r="M173" s="14">
        <f t="shared" si="71"/>
        <v>-27.1659371199984</v>
      </c>
      <c r="N173" s="14">
        <f t="shared" si="72"/>
        <v>1.0152456826067473</v>
      </c>
      <c r="O173" s="14">
        <f t="shared" si="73"/>
        <v>-87.460736028866279</v>
      </c>
      <c r="P173" s="14">
        <f t="shared" si="74"/>
        <v>-27.071139192394856</v>
      </c>
      <c r="Q173" s="14">
        <f t="shared" si="75"/>
        <v>-2.3908892704653879</v>
      </c>
      <c r="R173" s="14">
        <f t="shared" si="76"/>
        <v>-7.5645666261645091E-3</v>
      </c>
      <c r="S173" s="23">
        <f t="shared" si="97"/>
        <v>-117.01756241933008</v>
      </c>
      <c r="T173" s="23">
        <f t="shared" si="98"/>
        <v>-29.539619788252129</v>
      </c>
      <c r="U173" s="14">
        <f t="shared" si="77"/>
        <v>20000</v>
      </c>
      <c r="V173" s="14">
        <f t="shared" si="78"/>
        <v>-89.999172972247848</v>
      </c>
      <c r="W173" s="14">
        <f t="shared" si="79"/>
        <v>-96.812050984511288</v>
      </c>
      <c r="X173" s="14">
        <f t="shared" si="80"/>
        <v>88.346403764041582</v>
      </c>
      <c r="Y173" s="14">
        <f t="shared" si="81"/>
        <v>30.795068984799833</v>
      </c>
      <c r="Z173" s="14">
        <f t="shared" si="82"/>
        <v>-8.9479092892991385</v>
      </c>
      <c r="AA173" s="14">
        <f t="shared" si="83"/>
        <v>-0.10635440550275056</v>
      </c>
      <c r="AB173" s="23">
        <f t="shared" si="99"/>
        <v>-10.600678497505404</v>
      </c>
      <c r="AC173" s="23">
        <f t="shared" si="100"/>
        <v>19.897263508065421</v>
      </c>
      <c r="AD173" s="14">
        <f t="shared" si="84"/>
        <v>7.1792855743782535</v>
      </c>
      <c r="AE173" s="14">
        <f t="shared" si="85"/>
        <v>6.8366168026536542E-2</v>
      </c>
      <c r="AF173" s="14">
        <f t="shared" si="86"/>
        <v>0.10825631364037375</v>
      </c>
      <c r="AG173" s="14">
        <f t="shared" si="87"/>
        <v>1.5504071894348642E-5</v>
      </c>
      <c r="AH173" s="14">
        <f t="shared" si="88"/>
        <v>-4.3220411424460456</v>
      </c>
      <c r="AI173" s="14">
        <f t="shared" si="89"/>
        <v>-2.4735981380821316E-2</v>
      </c>
      <c r="AJ173" s="23">
        <f t="shared" si="101"/>
        <v>2.9655007455725819</v>
      </c>
      <c r="AK173" s="23">
        <f t="shared" si="102"/>
        <v>4.3645690717609577E-2</v>
      </c>
      <c r="AL173" s="14">
        <f t="shared" si="90"/>
        <v>0</v>
      </c>
      <c r="AM173" s="14">
        <f t="shared" si="91"/>
        <v>0</v>
      </c>
      <c r="AN173" s="14">
        <f t="shared" si="92"/>
        <v>0</v>
      </c>
      <c r="AO173" s="14">
        <f t="shared" si="93"/>
        <v>0</v>
      </c>
      <c r="AP173" s="23">
        <f t="shared" si="103"/>
        <v>0</v>
      </c>
      <c r="AQ173" s="23">
        <f t="shared" si="104"/>
        <v>0</v>
      </c>
    </row>
    <row r="174" spans="8:43" x14ac:dyDescent="0.25">
      <c r="H174" s="14">
        <v>2.71</v>
      </c>
      <c r="I174" s="36">
        <f t="shared" si="94"/>
        <v>5128.6138399136516</v>
      </c>
      <c r="J174" s="24">
        <f t="shared" si="95"/>
        <v>54.594759024454262</v>
      </c>
      <c r="K174" s="24">
        <f t="shared" si="96"/>
        <v>-9.7593027370962631</v>
      </c>
      <c r="L174" s="14">
        <f t="shared" si="70"/>
        <v>0.67018069634200106</v>
      </c>
      <c r="M174" s="14">
        <f t="shared" si="71"/>
        <v>-27.705417504453383</v>
      </c>
      <c r="N174" s="14">
        <f t="shared" si="72"/>
        <v>1.0577034104278742</v>
      </c>
      <c r="O174" s="14">
        <f t="shared" si="73"/>
        <v>-87.518463637592859</v>
      </c>
      <c r="P174" s="14">
        <f t="shared" si="74"/>
        <v>-27.270755508441546</v>
      </c>
      <c r="Q174" s="14">
        <f t="shared" si="75"/>
        <v>-2.4465133362193239</v>
      </c>
      <c r="R174" s="14">
        <f t="shared" si="76"/>
        <v>-7.9207487587009302E-3</v>
      </c>
      <c r="S174" s="23">
        <f t="shared" si="97"/>
        <v>-117.67039447826556</v>
      </c>
      <c r="T174" s="23">
        <f t="shared" si="98"/>
        <v>-29.697134558610227</v>
      </c>
      <c r="U174" s="14">
        <f t="shared" si="77"/>
        <v>20000</v>
      </c>
      <c r="V174" s="14">
        <f t="shared" si="78"/>
        <v>-89.999191797697833</v>
      </c>
      <c r="W174" s="14">
        <f t="shared" si="79"/>
        <v>-97.012050984470562</v>
      </c>
      <c r="X174" s="14">
        <f t="shared" si="80"/>
        <v>88.384024019460568</v>
      </c>
      <c r="Y174" s="14">
        <f t="shared" si="81"/>
        <v>30.994906216580898</v>
      </c>
      <c r="Z174" s="14">
        <f t="shared" si="82"/>
        <v>-9.1528441503805134</v>
      </c>
      <c r="AA174" s="14">
        <f t="shared" si="83"/>
        <v>-0.11130303820886034</v>
      </c>
      <c r="AB174" s="23">
        <f t="shared" si="99"/>
        <v>-10.768011928617778</v>
      </c>
      <c r="AC174" s="23">
        <f t="shared" si="100"/>
        <v>19.892152107181101</v>
      </c>
      <c r="AD174" s="14">
        <f t="shared" si="84"/>
        <v>7.3447070846993041</v>
      </c>
      <c r="AE174" s="14">
        <f t="shared" si="85"/>
        <v>7.1561762669502205E-2</v>
      </c>
      <c r="AF174" s="14">
        <f t="shared" si="86"/>
        <v>0.11077792090569182</v>
      </c>
      <c r="AG174" s="14">
        <f t="shared" si="87"/>
        <v>1.6234754925425836E-5</v>
      </c>
      <c r="AH174" s="14">
        <f t="shared" si="88"/>
        <v>-4.4223195742673891</v>
      </c>
      <c r="AI174" s="14">
        <f t="shared" si="89"/>
        <v>-2.5898283091564653E-2</v>
      </c>
      <c r="AJ174" s="23">
        <f t="shared" si="101"/>
        <v>3.0331654313376069</v>
      </c>
      <c r="AK174" s="23">
        <f t="shared" si="102"/>
        <v>4.5679714332862983E-2</v>
      </c>
      <c r="AL174" s="14">
        <f t="shared" si="90"/>
        <v>0</v>
      </c>
      <c r="AM174" s="14">
        <f t="shared" si="91"/>
        <v>0</v>
      </c>
      <c r="AN174" s="14">
        <f t="shared" si="92"/>
        <v>0</v>
      </c>
      <c r="AO174" s="14">
        <f t="shared" si="93"/>
        <v>0</v>
      </c>
      <c r="AP174" s="23">
        <f t="shared" si="103"/>
        <v>0</v>
      </c>
      <c r="AQ174" s="23">
        <f t="shared" si="104"/>
        <v>0</v>
      </c>
    </row>
    <row r="175" spans="8:43" x14ac:dyDescent="0.25">
      <c r="H175" s="14">
        <v>2.72</v>
      </c>
      <c r="I175" s="36">
        <f t="shared" si="94"/>
        <v>5248.0746024977288</v>
      </c>
      <c r="J175" s="24">
        <f t="shared" si="95"/>
        <v>53.831272044613776</v>
      </c>
      <c r="K175" s="24">
        <f t="shared" si="96"/>
        <v>-9.9184945393638326</v>
      </c>
      <c r="L175" s="14">
        <f t="shared" si="70"/>
        <v>0.67018069634200106</v>
      </c>
      <c r="M175" s="14">
        <f t="shared" si="71"/>
        <v>-28.251995355930696</v>
      </c>
      <c r="N175" s="14">
        <f t="shared" si="72"/>
        <v>1.1017216652308317</v>
      </c>
      <c r="O175" s="14">
        <f t="shared" si="73"/>
        <v>-87.574882077289004</v>
      </c>
      <c r="P175" s="14">
        <f t="shared" si="74"/>
        <v>-27.470389061465013</v>
      </c>
      <c r="Q175" s="14">
        <f t="shared" si="75"/>
        <v>-2.5034282755181767</v>
      </c>
      <c r="R175" s="14">
        <f t="shared" si="76"/>
        <v>-8.293685931211936E-3</v>
      </c>
      <c r="S175" s="23">
        <f t="shared" si="97"/>
        <v>-118.33030570873787</v>
      </c>
      <c r="T175" s="23">
        <f t="shared" si="98"/>
        <v>-29.853122794003248</v>
      </c>
      <c r="U175" s="14">
        <f t="shared" si="77"/>
        <v>20000</v>
      </c>
      <c r="V175" s="14">
        <f t="shared" si="78"/>
        <v>-89.999210194628262</v>
      </c>
      <c r="W175" s="14">
        <f t="shared" si="79"/>
        <v>-97.21205098443167</v>
      </c>
      <c r="X175" s="14">
        <f t="shared" si="80"/>
        <v>88.420789280107016</v>
      </c>
      <c r="Y175" s="14">
        <f t="shared" si="81"/>
        <v>31.194750768443676</v>
      </c>
      <c r="Z175" s="14">
        <f t="shared" si="82"/>
        <v>-9.3623082795553785</v>
      </c>
      <c r="AA175" s="14">
        <f t="shared" si="83"/>
        <v>-0.11647885620606119</v>
      </c>
      <c r="AB175" s="23">
        <f t="shared" si="99"/>
        <v>-10.940729194076624</v>
      </c>
      <c r="AC175" s="23">
        <f t="shared" si="100"/>
        <v>19.886820841085569</v>
      </c>
      <c r="AD175" s="14">
        <f t="shared" si="84"/>
        <v>7.5138543752094895</v>
      </c>
      <c r="AE175" s="14">
        <f t="shared" si="85"/>
        <v>7.4905442764048771E-2</v>
      </c>
      <c r="AF175" s="14">
        <f t="shared" si="86"/>
        <v>0.11335826350525303</v>
      </c>
      <c r="AG175" s="14">
        <f t="shared" si="87"/>
        <v>1.6999873855461117E-5</v>
      </c>
      <c r="AH175" s="14">
        <f t="shared" si="88"/>
        <v>-4.5249056912864756</v>
      </c>
      <c r="AI175" s="14">
        <f t="shared" si="89"/>
        <v>-2.711502908405846E-2</v>
      </c>
      <c r="AJ175" s="23">
        <f t="shared" si="101"/>
        <v>3.102306947428267</v>
      </c>
      <c r="AK175" s="23">
        <f t="shared" si="102"/>
        <v>4.7807413553845775E-2</v>
      </c>
      <c r="AL175" s="14">
        <f t="shared" si="90"/>
        <v>0</v>
      </c>
      <c r="AM175" s="14">
        <f t="shared" si="91"/>
        <v>0</v>
      </c>
      <c r="AN175" s="14">
        <f t="shared" si="92"/>
        <v>0</v>
      </c>
      <c r="AO175" s="14">
        <f t="shared" si="93"/>
        <v>0</v>
      </c>
      <c r="AP175" s="23">
        <f t="shared" si="103"/>
        <v>0</v>
      </c>
      <c r="AQ175" s="23">
        <f t="shared" si="104"/>
        <v>0</v>
      </c>
    </row>
    <row r="176" spans="8:43" x14ac:dyDescent="0.25">
      <c r="H176" s="14">
        <v>2.73</v>
      </c>
      <c r="I176" s="36">
        <f t="shared" si="94"/>
        <v>5370.3179637025296</v>
      </c>
      <c r="J176" s="24">
        <f t="shared" si="95"/>
        <v>53.056806056870222</v>
      </c>
      <c r="K176" s="24">
        <f t="shared" si="96"/>
        <v>-10.076251524283037</v>
      </c>
      <c r="L176" s="14">
        <f t="shared" si="70"/>
        <v>0.67018069634200106</v>
      </c>
      <c r="M176" s="14">
        <f t="shared" si="71"/>
        <v>-28.805562505151684</v>
      </c>
      <c r="N176" s="14">
        <f t="shared" si="72"/>
        <v>1.1473411938186371</v>
      </c>
      <c r="O176" s="14">
        <f t="shared" si="73"/>
        <v>-87.630020823878027</v>
      </c>
      <c r="P176" s="14">
        <f t="shared" si="74"/>
        <v>-27.670039078453115</v>
      </c>
      <c r="Q176" s="14">
        <f t="shared" si="75"/>
        <v>-2.5616638158735339</v>
      </c>
      <c r="R176" s="14">
        <f t="shared" si="76"/>
        <v>-8.6841647698787296E-3</v>
      </c>
      <c r="S176" s="23">
        <f t="shared" si="97"/>
        <v>-118.99724714490324</v>
      </c>
      <c r="T176" s="23">
        <f t="shared" si="98"/>
        <v>-30.007543761242211</v>
      </c>
      <c r="U176" s="14">
        <f t="shared" si="77"/>
        <v>20000</v>
      </c>
      <c r="V176" s="14">
        <f t="shared" si="78"/>
        <v>-89.999228172793423</v>
      </c>
      <c r="W176" s="14">
        <f t="shared" si="79"/>
        <v>-97.412050984394526</v>
      </c>
      <c r="X176" s="14">
        <f t="shared" si="80"/>
        <v>88.456718918235666</v>
      </c>
      <c r="Y176" s="14">
        <f t="shared" si="81"/>
        <v>31.39460231143094</v>
      </c>
      <c r="Z176" s="14">
        <f t="shared" si="82"/>
        <v>-9.5763903299415478</v>
      </c>
      <c r="AA176" s="14">
        <f t="shared" si="83"/>
        <v>-0.12189199977692353</v>
      </c>
      <c r="AB176" s="23">
        <f t="shared" si="99"/>
        <v>-11.118899584499305</v>
      </c>
      <c r="AC176" s="23">
        <f t="shared" si="100"/>
        <v>19.881259240539116</v>
      </c>
      <c r="AD176" s="14">
        <f t="shared" si="84"/>
        <v>7.686805330357668</v>
      </c>
      <c r="AE176" s="14">
        <f t="shared" si="85"/>
        <v>7.8403948654418937E-2</v>
      </c>
      <c r="AF176" s="14">
        <f t="shared" si="86"/>
        <v>0.11599870952896696</v>
      </c>
      <c r="AG176" s="14">
        <f t="shared" si="87"/>
        <v>1.7801051585009655E-5</v>
      </c>
      <c r="AH176" s="14">
        <f t="shared" si="88"/>
        <v>-4.6298512536138707</v>
      </c>
      <c r="AI176" s="14">
        <f t="shared" si="89"/>
        <v>-2.8388753285946935E-2</v>
      </c>
      <c r="AJ176" s="23">
        <f t="shared" si="101"/>
        <v>3.1729527862727638</v>
      </c>
      <c r="AK176" s="23">
        <f t="shared" si="102"/>
        <v>5.0032996420057013E-2</v>
      </c>
      <c r="AL176" s="14">
        <f t="shared" si="90"/>
        <v>0</v>
      </c>
      <c r="AM176" s="14">
        <f t="shared" si="91"/>
        <v>0</v>
      </c>
      <c r="AN176" s="14">
        <f t="shared" si="92"/>
        <v>0</v>
      </c>
      <c r="AO176" s="14">
        <f t="shared" si="93"/>
        <v>0</v>
      </c>
      <c r="AP176" s="23">
        <f t="shared" si="103"/>
        <v>0</v>
      </c>
      <c r="AQ176" s="23">
        <f t="shared" si="104"/>
        <v>0</v>
      </c>
    </row>
    <row r="177" spans="8:43" x14ac:dyDescent="0.25">
      <c r="H177" s="14">
        <v>2.74</v>
      </c>
      <c r="I177" s="36">
        <f t="shared" si="94"/>
        <v>5495.4087385762532</v>
      </c>
      <c r="J177" s="24">
        <f t="shared" si="95"/>
        <v>52.271378763568016</v>
      </c>
      <c r="K177" s="24">
        <f t="shared" si="96"/>
        <v>-10.232539670195415</v>
      </c>
      <c r="L177" s="14">
        <f t="shared" si="70"/>
        <v>0.67018069634200106</v>
      </c>
      <c r="M177" s="14">
        <f t="shared" si="71"/>
        <v>-29.365999030379747</v>
      </c>
      <c r="N177" s="14">
        <f t="shared" si="72"/>
        <v>1.1946025957722237</v>
      </c>
      <c r="O177" s="14">
        <f t="shared" si="73"/>
        <v>-87.68390870389851</v>
      </c>
      <c r="P177" s="14">
        <f t="shared" si="74"/>
        <v>-27.869704820941067</v>
      </c>
      <c r="Q177" s="14">
        <f t="shared" si="75"/>
        <v>-2.6212503529732638</v>
      </c>
      <c r="R177" s="14">
        <f t="shared" si="76"/>
        <v>-9.09300868347644E-3</v>
      </c>
      <c r="S177" s="23">
        <f t="shared" si="97"/>
        <v>-119.67115808725153</v>
      </c>
      <c r="T177" s="23">
        <f t="shared" si="98"/>
        <v>-30.160356945690172</v>
      </c>
      <c r="U177" s="14">
        <f t="shared" si="77"/>
        <v>20000</v>
      </c>
      <c r="V177" s="14">
        <f t="shared" si="78"/>
        <v>-89.999245741725588</v>
      </c>
      <c r="W177" s="14">
        <f t="shared" si="79"/>
        <v>-97.612050984359072</v>
      </c>
      <c r="X177" s="14">
        <f t="shared" si="80"/>
        <v>88.491831871119032</v>
      </c>
      <c r="Y177" s="14">
        <f t="shared" si="81"/>
        <v>31.594460531346975</v>
      </c>
      <c r="Z177" s="14">
        <f t="shared" si="82"/>
        <v>-9.7951798882842827</v>
      </c>
      <c r="AA177" s="14">
        <f t="shared" si="83"/>
        <v>-0.12755303470331719</v>
      </c>
      <c r="AB177" s="23">
        <f t="shared" si="99"/>
        <v>-11.302593758890838</v>
      </c>
      <c r="AC177" s="23">
        <f t="shared" si="100"/>
        <v>19.875456425564209</v>
      </c>
      <c r="AD177" s="14">
        <f t="shared" si="84"/>
        <v>7.8636390373075251</v>
      </c>
      <c r="AE177" s="14">
        <f t="shared" si="85"/>
        <v>8.2064315935698656E-2</v>
      </c>
      <c r="AF177" s="14">
        <f t="shared" si="86"/>
        <v>0.11870065893137839</v>
      </c>
      <c r="AG177" s="14">
        <f t="shared" si="87"/>
        <v>1.863998750002513E-5</v>
      </c>
      <c r="AH177" s="14">
        <f t="shared" si="88"/>
        <v>-4.7372090865285212</v>
      </c>
      <c r="AI177" s="14">
        <f t="shared" si="89"/>
        <v>-2.972210599265172E-2</v>
      </c>
      <c r="AJ177" s="23">
        <f t="shared" si="101"/>
        <v>3.2451306097103823</v>
      </c>
      <c r="AK177" s="23">
        <f t="shared" si="102"/>
        <v>5.236084993054696E-2</v>
      </c>
      <c r="AL177" s="14">
        <f t="shared" si="90"/>
        <v>0</v>
      </c>
      <c r="AM177" s="14">
        <f t="shared" si="91"/>
        <v>0</v>
      </c>
      <c r="AN177" s="14">
        <f t="shared" si="92"/>
        <v>0</v>
      </c>
      <c r="AO177" s="14">
        <f t="shared" si="93"/>
        <v>0</v>
      </c>
      <c r="AP177" s="23">
        <f t="shared" si="103"/>
        <v>0</v>
      </c>
      <c r="AQ177" s="23">
        <f t="shared" si="104"/>
        <v>0</v>
      </c>
    </row>
    <row r="178" spans="8:43" x14ac:dyDescent="0.25">
      <c r="H178" s="14">
        <v>2.75</v>
      </c>
      <c r="I178" s="36">
        <f t="shared" si="94"/>
        <v>5623.4132519034929</v>
      </c>
      <c r="J178" s="24">
        <f t="shared" si="95"/>
        <v>51.47501859088311</v>
      </c>
      <c r="K178" s="24">
        <f t="shared" si="96"/>
        <v>-10.387325511054886</v>
      </c>
      <c r="L178" s="14">
        <f t="shared" si="70"/>
        <v>0.67018069634200106</v>
      </c>
      <c r="M178" s="14">
        <f t="shared" si="71"/>
        <v>-29.933173074194627</v>
      </c>
      <c r="N178" s="14">
        <f t="shared" si="72"/>
        <v>1.243546227670898</v>
      </c>
      <c r="O178" s="14">
        <f t="shared" si="73"/>
        <v>-87.736573907855359</v>
      </c>
      <c r="P178" s="14">
        <f t="shared" si="74"/>
        <v>-28.069385583477832</v>
      </c>
      <c r="Q178" s="14">
        <f t="shared" si="75"/>
        <v>-2.6822189645228347</v>
      </c>
      <c r="R178" s="14">
        <f t="shared" si="76"/>
        <v>-9.5210795690206899E-3</v>
      </c>
      <c r="S178" s="23">
        <f t="shared" si="97"/>
        <v>-120.35196594657282</v>
      </c>
      <c r="T178" s="23">
        <f t="shared" si="98"/>
        <v>-30.311522147213807</v>
      </c>
      <c r="U178" s="14">
        <f t="shared" si="77"/>
        <v>20000</v>
      </c>
      <c r="V178" s="14">
        <f t="shared" si="78"/>
        <v>-89.999262910740015</v>
      </c>
      <c r="W178" s="14">
        <f t="shared" si="79"/>
        <v>-97.812050984325197</v>
      </c>
      <c r="X178" s="14">
        <f t="shared" si="80"/>
        <v>88.526146650550501</v>
      </c>
      <c r="Y178" s="14">
        <f t="shared" si="81"/>
        <v>31.794325128097014</v>
      </c>
      <c r="Z178" s="14">
        <f t="shared" si="82"/>
        <v>-10.018767424327557</v>
      </c>
      <c r="AA178" s="14">
        <f t="shared" si="83"/>
        <v>-0.13347296758767924</v>
      </c>
      <c r="AB178" s="23">
        <f t="shared" si="99"/>
        <v>-11.49188368451707</v>
      </c>
      <c r="AC178" s="23">
        <f t="shared" si="100"/>
        <v>19.869401089463764</v>
      </c>
      <c r="AD178" s="14">
        <f t="shared" si="84"/>
        <v>8.0444357731874199</v>
      </c>
      <c r="AE178" s="14">
        <f t="shared" si="85"/>
        <v>8.5893887295626414E-2</v>
      </c>
      <c r="AF178" s="14">
        <f t="shared" si="86"/>
        <v>0.12146554427372677</v>
      </c>
      <c r="AG178" s="14">
        <f t="shared" si="87"/>
        <v>1.9518461072542825E-5</v>
      </c>
      <c r="AH178" s="14">
        <f t="shared" si="88"/>
        <v>-4.847033095488146</v>
      </c>
      <c r="AI178" s="14">
        <f t="shared" si="89"/>
        <v>-3.1117859061541742E-2</v>
      </c>
      <c r="AJ178" s="23">
        <f t="shared" si="101"/>
        <v>3.318868221973001</v>
      </c>
      <c r="AK178" s="23">
        <f t="shared" si="102"/>
        <v>5.479554669515721E-2</v>
      </c>
      <c r="AL178" s="14">
        <f t="shared" si="90"/>
        <v>0</v>
      </c>
      <c r="AM178" s="14">
        <f t="shared" si="91"/>
        <v>0</v>
      </c>
      <c r="AN178" s="14">
        <f t="shared" si="92"/>
        <v>0</v>
      </c>
      <c r="AO178" s="14">
        <f t="shared" si="93"/>
        <v>0</v>
      </c>
      <c r="AP178" s="23">
        <f t="shared" si="103"/>
        <v>0</v>
      </c>
      <c r="AQ178" s="23">
        <f t="shared" si="104"/>
        <v>0</v>
      </c>
    </row>
    <row r="179" spans="8:43" x14ac:dyDescent="0.25">
      <c r="H179" s="14">
        <v>2.76</v>
      </c>
      <c r="I179" s="36">
        <f t="shared" si="94"/>
        <v>5754.3993733715706</v>
      </c>
      <c r="J179" s="24">
        <f t="shared" si="95"/>
        <v>50.66776484351989</v>
      </c>
      <c r="K179" s="24">
        <f t="shared" si="96"/>
        <v>-10.54057624591699</v>
      </c>
      <c r="L179" s="14">
        <f t="shared" si="70"/>
        <v>0.67018069634200106</v>
      </c>
      <c r="M179" s="14">
        <f t="shared" si="71"/>
        <v>-30.506940697387677</v>
      </c>
      <c r="N179" s="14">
        <f t="shared" si="72"/>
        <v>1.2942121033787803</v>
      </c>
      <c r="O179" s="14">
        <f t="shared" si="73"/>
        <v>-87.788044003361648</v>
      </c>
      <c r="P179" s="14">
        <f t="shared" si="74"/>
        <v>-28.269080692159946</v>
      </c>
      <c r="Q179" s="14">
        <f t="shared" si="75"/>
        <v>-2.7446014242874579</v>
      </c>
      <c r="R179" s="14">
        <f t="shared" si="76"/>
        <v>-9.9692795951684225E-3</v>
      </c>
      <c r="S179" s="23">
        <f t="shared" si="97"/>
        <v>-121.03958612503678</v>
      </c>
      <c r="T179" s="23">
        <f t="shared" si="98"/>
        <v>-30.460999580214189</v>
      </c>
      <c r="U179" s="14">
        <f t="shared" si="77"/>
        <v>20000</v>
      </c>
      <c r="V179" s="14">
        <f t="shared" si="78"/>
        <v>-89.999279688939993</v>
      </c>
      <c r="W179" s="14">
        <f t="shared" si="79"/>
        <v>-98.012050984292841</v>
      </c>
      <c r="X179" s="14">
        <f t="shared" si="80"/>
        <v>88.559681352157469</v>
      </c>
      <c r="Y179" s="14">
        <f t="shared" si="81"/>
        <v>31.99419581505623</v>
      </c>
      <c r="Z179" s="14">
        <f t="shared" si="82"/>
        <v>-10.24724423479959</v>
      </c>
      <c r="AA179" s="14">
        <f t="shared" si="83"/>
        <v>-0.13966326148519675</v>
      </c>
      <c r="AB179" s="23">
        <f t="shared" si="99"/>
        <v>-11.686842571582114</v>
      </c>
      <c r="AC179" s="23">
        <f t="shared" si="100"/>
        <v>19.863081482557817</v>
      </c>
      <c r="AD179" s="14">
        <f t="shared" si="84"/>
        <v>8.2292769894734885</v>
      </c>
      <c r="AE179" s="14">
        <f t="shared" si="85"/>
        <v>8.990032472729538E-2</v>
      </c>
      <c r="AF179" s="14">
        <f t="shared" si="86"/>
        <v>0.1242948314832808</v>
      </c>
      <c r="AG179" s="14">
        <f t="shared" si="87"/>
        <v>2.043833563878782E-5</v>
      </c>
      <c r="AH179" s="14">
        <f t="shared" si="88"/>
        <v>-4.9593782808179938</v>
      </c>
      <c r="AI179" s="14">
        <f t="shared" si="89"/>
        <v>-3.2578911323551202E-2</v>
      </c>
      <c r="AJ179" s="23">
        <f t="shared" si="101"/>
        <v>3.3941935401387759</v>
      </c>
      <c r="AK179" s="23">
        <f t="shared" si="102"/>
        <v>5.7341851739382971E-2</v>
      </c>
      <c r="AL179" s="14">
        <f t="shared" si="90"/>
        <v>0</v>
      </c>
      <c r="AM179" s="14">
        <f t="shared" si="91"/>
        <v>0</v>
      </c>
      <c r="AN179" s="14">
        <f t="shared" si="92"/>
        <v>0</v>
      </c>
      <c r="AO179" s="14">
        <f t="shared" si="93"/>
        <v>0</v>
      </c>
      <c r="AP179" s="23">
        <f t="shared" si="103"/>
        <v>0</v>
      </c>
      <c r="AQ179" s="23">
        <f t="shared" si="104"/>
        <v>0</v>
      </c>
    </row>
    <row r="180" spans="8:43" x14ac:dyDescent="0.25">
      <c r="H180" s="14">
        <v>2.77</v>
      </c>
      <c r="I180" s="36">
        <f t="shared" si="94"/>
        <v>5888.4365535558954</v>
      </c>
      <c r="J180" s="24">
        <f t="shared" si="95"/>
        <v>49.849667822096819</v>
      </c>
      <c r="K180" s="24">
        <f t="shared" si="96"/>
        <v>-10.692259852279843</v>
      </c>
      <c r="L180" s="14">
        <f t="shared" si="70"/>
        <v>0.67018069634200106</v>
      </c>
      <c r="M180" s="14">
        <f t="shared" si="71"/>
        <v>-31.087145773014981</v>
      </c>
      <c r="N180" s="14">
        <f t="shared" si="72"/>
        <v>1.3466397907415504</v>
      </c>
      <c r="O180" s="14">
        <f t="shared" si="73"/>
        <v>-87.838345948069588</v>
      </c>
      <c r="P180" s="14">
        <f t="shared" si="74"/>
        <v>-28.468789503229296</v>
      </c>
      <c r="Q180" s="14">
        <f t="shared" si="75"/>
        <v>-2.8084302163311547</v>
      </c>
      <c r="R180" s="14">
        <f t="shared" si="76"/>
        <v>-1.0438553066711006E-2</v>
      </c>
      <c r="S180" s="23">
        <f t="shared" si="97"/>
        <v>-121.73392193741573</v>
      </c>
      <c r="T180" s="23">
        <f t="shared" si="98"/>
        <v>-30.608749977392311</v>
      </c>
      <c r="U180" s="14">
        <f t="shared" si="77"/>
        <v>20000</v>
      </c>
      <c r="V180" s="14">
        <f t="shared" si="78"/>
        <v>-89.999296085221474</v>
      </c>
      <c r="W180" s="14">
        <f t="shared" si="79"/>
        <v>-98.212050984261936</v>
      </c>
      <c r="X180" s="14">
        <f t="shared" si="80"/>
        <v>88.592453664527298</v>
      </c>
      <c r="Y180" s="14">
        <f t="shared" si="81"/>
        <v>32.194072318466596</v>
      </c>
      <c r="Z180" s="14">
        <f t="shared" si="82"/>
        <v>-10.480702381692467</v>
      </c>
      <c r="AA180" s="14">
        <f t="shared" si="83"/>
        <v>-0.14613585182813954</v>
      </c>
      <c r="AB180" s="23">
        <f t="shared" si="99"/>
        <v>-11.887544802386643</v>
      </c>
      <c r="AC180" s="23">
        <f t="shared" si="100"/>
        <v>19.856485395656147</v>
      </c>
      <c r="AD180" s="14">
        <f t="shared" si="84"/>
        <v>8.4182452932946621</v>
      </c>
      <c r="AE180" s="14">
        <f t="shared" si="85"/>
        <v>9.4091622113930545E-2</v>
      </c>
      <c r="AF180" s="14">
        <f t="shared" si="86"/>
        <v>0.1271900206303454</v>
      </c>
      <c r="AG180" s="14">
        <f t="shared" si="87"/>
        <v>2.1401562348921248E-5</v>
      </c>
      <c r="AH180" s="14">
        <f t="shared" si="88"/>
        <v>-5.0743007520258177</v>
      </c>
      <c r="AI180" s="14">
        <f t="shared" si="89"/>
        <v>-3.410829421995934E-2</v>
      </c>
      <c r="AJ180" s="23">
        <f t="shared" si="101"/>
        <v>3.4711345618991905</v>
      </c>
      <c r="AK180" s="23">
        <f t="shared" si="102"/>
        <v>6.0004729456320127E-2</v>
      </c>
      <c r="AL180" s="14">
        <f t="shared" si="90"/>
        <v>0</v>
      </c>
      <c r="AM180" s="14">
        <f t="shared" si="91"/>
        <v>0</v>
      </c>
      <c r="AN180" s="14">
        <f t="shared" si="92"/>
        <v>0</v>
      </c>
      <c r="AO180" s="14">
        <f t="shared" si="93"/>
        <v>0</v>
      </c>
      <c r="AP180" s="23">
        <f t="shared" si="103"/>
        <v>0</v>
      </c>
      <c r="AQ180" s="23">
        <f t="shared" si="104"/>
        <v>0</v>
      </c>
    </row>
    <row r="181" spans="8:43" x14ac:dyDescent="0.25">
      <c r="H181" s="14">
        <v>2.78</v>
      </c>
      <c r="I181" s="36">
        <f t="shared" si="94"/>
        <v>6025.5958607435778</v>
      </c>
      <c r="J181" s="24">
        <f t="shared" si="95"/>
        <v>49.020788900477086</v>
      </c>
      <c r="K181" s="24">
        <f t="shared" si="96"/>
        <v>-10.842345202867644</v>
      </c>
      <c r="L181" s="14">
        <f t="shared" si="70"/>
        <v>0.67018069634200106</v>
      </c>
      <c r="M181" s="14">
        <f t="shared" si="71"/>
        <v>-31.67361992352361</v>
      </c>
      <c r="N181" s="14">
        <f t="shared" si="72"/>
        <v>1.4008683050910566</v>
      </c>
      <c r="O181" s="14">
        <f t="shared" si="73"/>
        <v>-87.887506102389608</v>
      </c>
      <c r="P181" s="14">
        <f t="shared" si="74"/>
        <v>-28.668511401732651</v>
      </c>
      <c r="Q181" s="14">
        <f t="shared" si="75"/>
        <v>-2.8737385494483045</v>
      </c>
      <c r="R181" s="14">
        <f t="shared" si="76"/>
        <v>-1.0929888373755491E-2</v>
      </c>
      <c r="S181" s="23">
        <f t="shared" si="97"/>
        <v>-122.43486457536152</v>
      </c>
      <c r="T181" s="23">
        <f t="shared" si="98"/>
        <v>-30.754734696853205</v>
      </c>
      <c r="U181" s="14">
        <f t="shared" si="77"/>
        <v>20000</v>
      </c>
      <c r="V181" s="14">
        <f t="shared" si="78"/>
        <v>-89.999312108278062</v>
      </c>
      <c r="W181" s="14">
        <f t="shared" si="79"/>
        <v>-98.412050984232437</v>
      </c>
      <c r="X181" s="14">
        <f t="shared" si="80"/>
        <v>88.624480878148646</v>
      </c>
      <c r="Y181" s="14">
        <f t="shared" si="81"/>
        <v>32.393954376860755</v>
      </c>
      <c r="Z181" s="14">
        <f t="shared" si="82"/>
        <v>-10.719234624505852</v>
      </c>
      <c r="AA181" s="14">
        <f t="shared" si="83"/>
        <v>-0.1529031626202616</v>
      </c>
      <c r="AB181" s="23">
        <f t="shared" si="99"/>
        <v>-12.094065854635268</v>
      </c>
      <c r="AC181" s="23">
        <f t="shared" si="100"/>
        <v>19.849600143287681</v>
      </c>
      <c r="AD181" s="14">
        <f t="shared" si="84"/>
        <v>8.6114244254377557</v>
      </c>
      <c r="AE181" s="14">
        <f t="shared" si="85"/>
        <v>9.847611818574753E-2</v>
      </c>
      <c r="AF181" s="14">
        <f t="shared" si="86"/>
        <v>0.13015264672335511</v>
      </c>
      <c r="AG181" s="14">
        <f t="shared" si="87"/>
        <v>2.2410184305781317E-5</v>
      </c>
      <c r="AH181" s="14">
        <f t="shared" si="88"/>
        <v>-5.1918577416872393</v>
      </c>
      <c r="AI181" s="14">
        <f t="shared" si="89"/>
        <v>-3.5709177672173006E-2</v>
      </c>
      <c r="AJ181" s="23">
        <f t="shared" si="101"/>
        <v>3.549719330473871</v>
      </c>
      <c r="AK181" s="23">
        <f t="shared" si="102"/>
        <v>6.2789350697880303E-2</v>
      </c>
      <c r="AL181" s="14">
        <f t="shared" si="90"/>
        <v>0</v>
      </c>
      <c r="AM181" s="14">
        <f t="shared" si="91"/>
        <v>0</v>
      </c>
      <c r="AN181" s="14">
        <f t="shared" si="92"/>
        <v>0</v>
      </c>
      <c r="AO181" s="14">
        <f t="shared" si="93"/>
        <v>0</v>
      </c>
      <c r="AP181" s="23">
        <f t="shared" si="103"/>
        <v>0</v>
      </c>
      <c r="AQ181" s="23">
        <f t="shared" si="104"/>
        <v>0</v>
      </c>
    </row>
    <row r="182" spans="8:43" x14ac:dyDescent="0.25">
      <c r="H182" s="14">
        <v>2.79</v>
      </c>
      <c r="I182" s="36">
        <f t="shared" si="94"/>
        <v>6165.9500186148271</v>
      </c>
      <c r="J182" s="24">
        <f t="shared" si="95"/>
        <v>48.181200560469748</v>
      </c>
      <c r="K182" s="24">
        <f t="shared" si="96"/>
        <v>-10.990802185392104</v>
      </c>
      <c r="L182" s="14">
        <f t="shared" si="70"/>
        <v>0.67018069634200106</v>
      </c>
      <c r="M182" s="14">
        <f t="shared" si="71"/>
        <v>-32.266182503701764</v>
      </c>
      <c r="N182" s="14">
        <f t="shared" si="72"/>
        <v>1.456936000008022</v>
      </c>
      <c r="O182" s="14">
        <f t="shared" si="73"/>
        <v>-87.935550241997063</v>
      </c>
      <c r="P182" s="14">
        <f t="shared" si="74"/>
        <v>-28.868245800240096</v>
      </c>
      <c r="Q182" s="14">
        <f t="shared" si="75"/>
        <v>-2.9405603717824511</v>
      </c>
      <c r="R182" s="14">
        <f t="shared" si="76"/>
        <v>-1.1444320029264266E-2</v>
      </c>
      <c r="S182" s="23">
        <f t="shared" si="97"/>
        <v>-123.14229311748127</v>
      </c>
      <c r="T182" s="23">
        <f t="shared" si="98"/>
        <v>-30.898915832099192</v>
      </c>
      <c r="U182" s="14">
        <f t="shared" si="77"/>
        <v>20000</v>
      </c>
      <c r="V182" s="14">
        <f t="shared" si="78"/>
        <v>-89.999327766605333</v>
      </c>
      <c r="W182" s="14">
        <f t="shared" si="79"/>
        <v>-98.612050984204274</v>
      </c>
      <c r="X182" s="14">
        <f t="shared" si="80"/>
        <v>88.655779894170692</v>
      </c>
      <c r="Y182" s="14">
        <f t="shared" si="81"/>
        <v>32.593841740511571</v>
      </c>
      <c r="Z182" s="14">
        <f t="shared" si="82"/>
        <v>-10.962934346115025</v>
      </c>
      <c r="AA182" s="14">
        <f t="shared" si="83"/>
        <v>-0.15997812287569774</v>
      </c>
      <c r="AB182" s="23">
        <f t="shared" si="99"/>
        <v>-12.306482218549666</v>
      </c>
      <c r="AC182" s="23">
        <f t="shared" si="100"/>
        <v>19.842412546711227</v>
      </c>
      <c r="AD182" s="14">
        <f t="shared" si="84"/>
        <v>8.8088992348195561</v>
      </c>
      <c r="AE182" s="14">
        <f t="shared" si="85"/>
        <v>0.10306250984740509</v>
      </c>
      <c r="AF182" s="14">
        <f t="shared" si="86"/>
        <v>0.13318428052247477</v>
      </c>
      <c r="AG182" s="14">
        <f t="shared" si="87"/>
        <v>2.3466340900332399E-5</v>
      </c>
      <c r="AH182" s="14">
        <f t="shared" si="88"/>
        <v>-5.3121076188413383</v>
      </c>
      <c r="AI182" s="14">
        <f t="shared" si="89"/>
        <v>-3.7384876192443961E-2</v>
      </c>
      <c r="AJ182" s="23">
        <f t="shared" si="101"/>
        <v>3.6299758965006923</v>
      </c>
      <c r="AK182" s="23">
        <f t="shared" si="102"/>
        <v>6.5701099995861462E-2</v>
      </c>
      <c r="AL182" s="14">
        <f t="shared" si="90"/>
        <v>0</v>
      </c>
      <c r="AM182" s="14">
        <f t="shared" si="91"/>
        <v>0</v>
      </c>
      <c r="AN182" s="14">
        <f t="shared" si="92"/>
        <v>0</v>
      </c>
      <c r="AO182" s="14">
        <f t="shared" si="93"/>
        <v>0</v>
      </c>
      <c r="AP182" s="23">
        <f t="shared" si="103"/>
        <v>0</v>
      </c>
      <c r="AQ182" s="23">
        <f t="shared" si="104"/>
        <v>0</v>
      </c>
    </row>
    <row r="183" spans="8:43" x14ac:dyDescent="0.25">
      <c r="H183" s="14">
        <v>2.8</v>
      </c>
      <c r="I183" s="36">
        <f t="shared" si="94"/>
        <v>6309.5734448019321</v>
      </c>
      <c r="J183" s="24">
        <f t="shared" si="95"/>
        <v>47.330986381537606</v>
      </c>
      <c r="K183" s="24">
        <f t="shared" si="96"/>
        <v>-11.137601824774302</v>
      </c>
      <c r="L183" s="14">
        <f t="shared" si="70"/>
        <v>0.67018069634200106</v>
      </c>
      <c r="M183" s="14">
        <f t="shared" si="71"/>
        <v>-32.864640631995307</v>
      </c>
      <c r="N183" s="14">
        <f t="shared" si="72"/>
        <v>1.5148804558447595</v>
      </c>
      <c r="O183" s="14">
        <f t="shared" si="73"/>
        <v>-87.982503570126269</v>
      </c>
      <c r="P183" s="14">
        <f t="shared" si="74"/>
        <v>-29.067992137619729</v>
      </c>
      <c r="Q183" s="14">
        <f t="shared" si="75"/>
        <v>-3.0089303856262521</v>
      </c>
      <c r="R183" s="14">
        <f t="shared" si="76"/>
        <v>-1.1982930798768669E-2</v>
      </c>
      <c r="S183" s="23">
        <f t="shared" si="97"/>
        <v>-123.85607458774783</v>
      </c>
      <c r="T183" s="23">
        <f t="shared" si="98"/>
        <v>-31.041256324411595</v>
      </c>
      <c r="U183" s="14">
        <f t="shared" si="77"/>
        <v>20000</v>
      </c>
      <c r="V183" s="14">
        <f t="shared" si="78"/>
        <v>-89.999343068505539</v>
      </c>
      <c r="W183" s="14">
        <f t="shared" si="79"/>
        <v>-98.812050984177361</v>
      </c>
      <c r="X183" s="14">
        <f t="shared" si="80"/>
        <v>88.686367232983244</v>
      </c>
      <c r="Y183" s="14">
        <f t="shared" si="81"/>
        <v>32.793734170906077</v>
      </c>
      <c r="Z183" s="14">
        <f t="shared" si="82"/>
        <v>-11.211895471914042</v>
      </c>
      <c r="AA183" s="14">
        <f t="shared" si="83"/>
        <v>-0.16737418327283174</v>
      </c>
      <c r="AB183" s="23">
        <f t="shared" si="99"/>
        <v>-12.524871307436337</v>
      </c>
      <c r="AC183" s="23">
        <f t="shared" si="100"/>
        <v>19.834908916735511</v>
      </c>
      <c r="AD183" s="14">
        <f t="shared" si="84"/>
        <v>9.0107556491812719</v>
      </c>
      <c r="AE183" s="14">
        <f t="shared" si="85"/>
        <v>0.10785986587305159</v>
      </c>
      <c r="AF183" s="14">
        <f t="shared" si="86"/>
        <v>0.13628652937213281</v>
      </c>
      <c r="AG183" s="14">
        <f t="shared" si="87"/>
        <v>2.4572272345749493E-5</v>
      </c>
      <c r="AH183" s="14">
        <f t="shared" si="88"/>
        <v>-5.4351099018316331</v>
      </c>
      <c r="AI183" s="14">
        <f t="shared" si="89"/>
        <v>-3.9138855243614969E-2</v>
      </c>
      <c r="AJ183" s="23">
        <f t="shared" si="101"/>
        <v>3.7119322767217708</v>
      </c>
      <c r="AK183" s="23">
        <f t="shared" si="102"/>
        <v>6.8745582901782371E-2</v>
      </c>
      <c r="AL183" s="14">
        <f t="shared" si="90"/>
        <v>0</v>
      </c>
      <c r="AM183" s="14">
        <f t="shared" si="91"/>
        <v>0</v>
      </c>
      <c r="AN183" s="14">
        <f t="shared" si="92"/>
        <v>0</v>
      </c>
      <c r="AO183" s="14">
        <f t="shared" si="93"/>
        <v>0</v>
      </c>
      <c r="AP183" s="23">
        <f t="shared" si="103"/>
        <v>0</v>
      </c>
      <c r="AQ183" s="23">
        <f t="shared" si="104"/>
        <v>0</v>
      </c>
    </row>
    <row r="184" spans="8:43" x14ac:dyDescent="0.25">
      <c r="H184" s="14">
        <v>2.81</v>
      </c>
      <c r="I184" s="36">
        <f t="shared" si="94"/>
        <v>6456.5422903465596</v>
      </c>
      <c r="J184" s="24">
        <f t="shared" si="95"/>
        <v>46.470240983397076</v>
      </c>
      <c r="K184" s="24">
        <f t="shared" si="96"/>
        <v>-11.282716407256734</v>
      </c>
      <c r="L184" s="14">
        <f t="shared" si="70"/>
        <v>0.67018069634200106</v>
      </c>
      <c r="M184" s="14">
        <f t="shared" si="71"/>
        <v>-33.468789272485111</v>
      </c>
      <c r="N184" s="14">
        <f t="shared" si="72"/>
        <v>1.5747383665597456</v>
      </c>
      <c r="O184" s="14">
        <f t="shared" si="73"/>
        <v>-88.028390729651818</v>
      </c>
      <c r="P184" s="14">
        <f t="shared" si="74"/>
        <v>-29.267749877866468</v>
      </c>
      <c r="Q184" s="14">
        <f t="shared" si="75"/>
        <v>-3.0788840623958489</v>
      </c>
      <c r="R184" s="14">
        <f t="shared" si="76"/>
        <v>-1.254685392626282E-2</v>
      </c>
      <c r="S184" s="23">
        <f t="shared" si="97"/>
        <v>-124.57606406453277</v>
      </c>
      <c r="T184" s="23">
        <f t="shared" si="98"/>
        <v>-31.181720077070839</v>
      </c>
      <c r="U184" s="14">
        <f t="shared" si="77"/>
        <v>20000</v>
      </c>
      <c r="V184" s="14">
        <f t="shared" si="78"/>
        <v>-89.999358022091997</v>
      </c>
      <c r="W184" s="14">
        <f t="shared" si="79"/>
        <v>-99.012050984151671</v>
      </c>
      <c r="X184" s="14">
        <f t="shared" si="80"/>
        <v>88.716259042620166</v>
      </c>
      <c r="Y184" s="14">
        <f t="shared" si="81"/>
        <v>32.993631440243114</v>
      </c>
      <c r="Z184" s="14">
        <f t="shared" si="82"/>
        <v>-11.466212381877799</v>
      </c>
      <c r="AA184" s="14">
        <f t="shared" si="83"/>
        <v>-0.17510533298957121</v>
      </c>
      <c r="AB184" s="23">
        <f t="shared" si="99"/>
        <v>-12.74931136134963</v>
      </c>
      <c r="AC184" s="23">
        <f t="shared" si="100"/>
        <v>19.827075036381498</v>
      </c>
      <c r="AD184" s="14">
        <f t="shared" si="84"/>
        <v>9.2170806417498969</v>
      </c>
      <c r="AE184" s="14">
        <f t="shared" si="85"/>
        <v>0.11287764096414743</v>
      </c>
      <c r="AF184" s="14">
        <f t="shared" si="86"/>
        <v>0.13946103805293408</v>
      </c>
      <c r="AG184" s="14">
        <f t="shared" si="87"/>
        <v>2.5730324433280282E-5</v>
      </c>
      <c r="AH184" s="14">
        <f t="shared" si="88"/>
        <v>-5.5609252705233532</v>
      </c>
      <c r="AI184" s="14">
        <f t="shared" si="89"/>
        <v>-4.0974737855973872E-2</v>
      </c>
      <c r="AJ184" s="23">
        <f t="shared" si="101"/>
        <v>3.7956164092794777</v>
      </c>
      <c r="AK184" s="23">
        <f t="shared" si="102"/>
        <v>7.1928633432606831E-2</v>
      </c>
      <c r="AL184" s="14">
        <f t="shared" si="90"/>
        <v>0</v>
      </c>
      <c r="AM184" s="14">
        <f t="shared" si="91"/>
        <v>0</v>
      </c>
      <c r="AN184" s="14">
        <f t="shared" si="92"/>
        <v>0</v>
      </c>
      <c r="AO184" s="14">
        <f t="shared" si="93"/>
        <v>0</v>
      </c>
      <c r="AP184" s="23">
        <f t="shared" si="103"/>
        <v>0</v>
      </c>
      <c r="AQ184" s="23">
        <f t="shared" si="104"/>
        <v>0</v>
      </c>
    </row>
    <row r="185" spans="8:43" x14ac:dyDescent="0.25">
      <c r="H185" s="14">
        <v>2.82</v>
      </c>
      <c r="I185" s="36">
        <f t="shared" si="94"/>
        <v>6606.9344800759645</v>
      </c>
      <c r="J185" s="24">
        <f t="shared" si="95"/>
        <v>45.599069919694571</v>
      </c>
      <c r="K185" s="24">
        <f t="shared" si="96"/>
        <v>-11.426119605786699</v>
      </c>
      <c r="L185" s="14">
        <f t="shared" si="70"/>
        <v>0.67018069634200106</v>
      </c>
      <c r="M185" s="14">
        <f t="shared" si="71"/>
        <v>-34.078411369522875</v>
      </c>
      <c r="N185" s="14">
        <f t="shared" si="72"/>
        <v>1.636545425462764</v>
      </c>
      <c r="O185" s="14">
        <f t="shared" si="73"/>
        <v>-88.073235814957954</v>
      </c>
      <c r="P185" s="14">
        <f t="shared" si="74"/>
        <v>-29.467518508982344</v>
      </c>
      <c r="Q185" s="14">
        <f t="shared" si="75"/>
        <v>-3.1504576577717116</v>
      </c>
      <c r="R185" s="14">
        <f t="shared" si="76"/>
        <v>-1.3137275460375471E-2</v>
      </c>
      <c r="S185" s="23">
        <f t="shared" si="97"/>
        <v>-125.30210484225253</v>
      </c>
      <c r="T185" s="23">
        <f t="shared" si="98"/>
        <v>-31.320272070817811</v>
      </c>
      <c r="U185" s="14">
        <f t="shared" si="77"/>
        <v>20000</v>
      </c>
      <c r="V185" s="14">
        <f t="shared" si="78"/>
        <v>-89.99937263529327</v>
      </c>
      <c r="W185" s="14">
        <f t="shared" si="79"/>
        <v>-99.212050984127117</v>
      </c>
      <c r="X185" s="14">
        <f t="shared" si="80"/>
        <v>88.745471106989228</v>
      </c>
      <c r="Y185" s="14">
        <f t="shared" si="81"/>
        <v>33.193533330953109</v>
      </c>
      <c r="Z185" s="14">
        <f t="shared" si="82"/>
        <v>-11.725979815178743</v>
      </c>
      <c r="AA185" s="14">
        <f t="shared" si="83"/>
        <v>-0.18318611668191148</v>
      </c>
      <c r="AB185" s="23">
        <f t="shared" si="99"/>
        <v>-12.979881343482784</v>
      </c>
      <c r="AC185" s="23">
        <f t="shared" si="100"/>
        <v>19.818896143423704</v>
      </c>
      <c r="AD185" s="14">
        <f t="shared" si="84"/>
        <v>9.4279621935987841</v>
      </c>
      <c r="AE185" s="14">
        <f t="shared" si="85"/>
        <v>0.11812569016337948</v>
      </c>
      <c r="AF185" s="14">
        <f t="shared" si="86"/>
        <v>0.14270948965339522</v>
      </c>
      <c r="AG185" s="14">
        <f t="shared" si="87"/>
        <v>2.6942953504097172E-5</v>
      </c>
      <c r="AH185" s="14">
        <f t="shared" si="88"/>
        <v>-5.6896155778222859</v>
      </c>
      <c r="AI185" s="14">
        <f t="shared" si="89"/>
        <v>-4.2896311509475094E-2</v>
      </c>
      <c r="AJ185" s="23">
        <f t="shared" si="101"/>
        <v>3.8810561054298933</v>
      </c>
      <c r="AK185" s="23">
        <f t="shared" si="102"/>
        <v>7.5256321607408486E-2</v>
      </c>
      <c r="AL185" s="14">
        <f t="shared" si="90"/>
        <v>0</v>
      </c>
      <c r="AM185" s="14">
        <f t="shared" si="91"/>
        <v>0</v>
      </c>
      <c r="AN185" s="14">
        <f t="shared" si="92"/>
        <v>0</v>
      </c>
      <c r="AO185" s="14">
        <f t="shared" si="93"/>
        <v>0</v>
      </c>
      <c r="AP185" s="23">
        <f t="shared" si="103"/>
        <v>0</v>
      </c>
      <c r="AQ185" s="23">
        <f t="shared" si="104"/>
        <v>0</v>
      </c>
    </row>
    <row r="186" spans="8:43" x14ac:dyDescent="0.25">
      <c r="H186" s="14">
        <v>2.83</v>
      </c>
      <c r="I186" s="36">
        <f t="shared" si="94"/>
        <v>6760.8297539198211</v>
      </c>
      <c r="J186" s="24">
        <f t="shared" si="95"/>
        <v>44.717589521275336</v>
      </c>
      <c r="K186" s="24">
        <f t="shared" si="96"/>
        <v>-11.567786606006052</v>
      </c>
      <c r="L186" s="14">
        <f t="shared" si="70"/>
        <v>0.67018069634200106</v>
      </c>
      <c r="M186" s="14">
        <f t="shared" si="71"/>
        <v>-34.69327803669001</v>
      </c>
      <c r="N186" s="14">
        <f t="shared" si="72"/>
        <v>1.7003362105128419</v>
      </c>
      <c r="O186" s="14">
        <f t="shared" si="73"/>
        <v>-88.117062383596377</v>
      </c>
      <c r="P186" s="14">
        <f t="shared" si="74"/>
        <v>-29.667297541906343</v>
      </c>
      <c r="Q186" s="14">
        <f t="shared" si="75"/>
        <v>-3.2236882269973157</v>
      </c>
      <c r="R186" s="14">
        <f t="shared" si="76"/>
        <v>-1.3755436685148581E-2</v>
      </c>
      <c r="S186" s="23">
        <f t="shared" si="97"/>
        <v>-126.03402864728371</v>
      </c>
      <c r="T186" s="23">
        <f t="shared" si="98"/>
        <v>-31.456878479916504</v>
      </c>
      <c r="U186" s="14">
        <f t="shared" si="77"/>
        <v>20000</v>
      </c>
      <c r="V186" s="14">
        <f t="shared" si="78"/>
        <v>-89.999386915857471</v>
      </c>
      <c r="W186" s="14">
        <f t="shared" si="79"/>
        <v>-99.412050984103672</v>
      </c>
      <c r="X186" s="14">
        <f t="shared" si="80"/>
        <v>88.774018853930897</v>
      </c>
      <c r="Y186" s="14">
        <f t="shared" si="81"/>
        <v>33.393439635239531</v>
      </c>
      <c r="Z186" s="14">
        <f t="shared" si="82"/>
        <v>-11.991292766989604</v>
      </c>
      <c r="AA186" s="14">
        <f t="shared" si="83"/>
        <v>-0.19163165156292555</v>
      </c>
      <c r="AB186" s="23">
        <f t="shared" si="99"/>
        <v>-13.216660828916178</v>
      </c>
      <c r="AC186" s="23">
        <f t="shared" si="100"/>
        <v>19.810356912852559</v>
      </c>
      <c r="AD186" s="14">
        <f t="shared" si="84"/>
        <v>9.6434892514290329</v>
      </c>
      <c r="AE186" s="14">
        <f t="shared" si="85"/>
        <v>0.12361428361573702</v>
      </c>
      <c r="AF186" s="14">
        <f t="shared" si="86"/>
        <v>0.14603360646196911</v>
      </c>
      <c r="AG186" s="14">
        <f t="shared" si="87"/>
        <v>2.8212731658352638E-5</v>
      </c>
      <c r="AH186" s="14">
        <f t="shared" si="88"/>
        <v>-5.8212438604157883</v>
      </c>
      <c r="AI186" s="14">
        <f t="shared" si="89"/>
        <v>-4.4907535289501928E-2</v>
      </c>
      <c r="AJ186" s="23">
        <f t="shared" si="101"/>
        <v>3.9682789974752142</v>
      </c>
      <c r="AK186" s="23">
        <f t="shared" si="102"/>
        <v>7.873496105789346E-2</v>
      </c>
      <c r="AL186" s="14">
        <f t="shared" si="90"/>
        <v>0</v>
      </c>
      <c r="AM186" s="14">
        <f t="shared" si="91"/>
        <v>0</v>
      </c>
      <c r="AN186" s="14">
        <f t="shared" si="92"/>
        <v>0</v>
      </c>
      <c r="AO186" s="14">
        <f t="shared" si="93"/>
        <v>0</v>
      </c>
      <c r="AP186" s="23">
        <f t="shared" si="103"/>
        <v>0</v>
      </c>
      <c r="AQ186" s="23">
        <f t="shared" si="104"/>
        <v>0</v>
      </c>
    </row>
    <row r="187" spans="8:43" x14ac:dyDescent="0.25">
      <c r="H187" s="14">
        <v>2.84</v>
      </c>
      <c r="I187" s="36">
        <f t="shared" si="94"/>
        <v>6918.3097091893669</v>
      </c>
      <c r="J187" s="24">
        <f t="shared" si="95"/>
        <v>43.825926687939599</v>
      </c>
      <c r="K187" s="24">
        <f t="shared" si="96"/>
        <v>-11.707694232141053</v>
      </c>
      <c r="L187" s="14">
        <f t="shared" si="70"/>
        <v>0.67018069634200106</v>
      </c>
      <c r="M187" s="14">
        <f t="shared" si="71"/>
        <v>-35.313148801365728</v>
      </c>
      <c r="N187" s="14">
        <f t="shared" si="72"/>
        <v>1.7661440698498398</v>
      </c>
      <c r="O187" s="14">
        <f t="shared" si="73"/>
        <v>-88.159893467733397</v>
      </c>
      <c r="P187" s="14">
        <f t="shared" si="74"/>
        <v>-29.867086509491404</v>
      </c>
      <c r="Q187" s="14">
        <f t="shared" si="75"/>
        <v>-3.298613640325732</v>
      </c>
      <c r="R187" s="14">
        <f t="shared" si="76"/>
        <v>-1.4402636659834329E-2</v>
      </c>
      <c r="S187" s="23">
        <f t="shared" si="97"/>
        <v>-126.77165590942485</v>
      </c>
      <c r="T187" s="23">
        <f t="shared" si="98"/>
        <v>-31.591506788139252</v>
      </c>
      <c r="U187" s="14">
        <f t="shared" si="77"/>
        <v>20000</v>
      </c>
      <c r="V187" s="14">
        <f t="shared" si="78"/>
        <v>-89.999400871356343</v>
      </c>
      <c r="W187" s="14">
        <f t="shared" si="79"/>
        <v>-99.612050984081307</v>
      </c>
      <c r="X187" s="14">
        <f t="shared" si="80"/>
        <v>88.801917363108956</v>
      </c>
      <c r="Y187" s="14">
        <f t="shared" si="81"/>
        <v>33.593350154640689</v>
      </c>
      <c r="Z187" s="14">
        <f t="shared" si="82"/>
        <v>-12.26224637709865</v>
      </c>
      <c r="AA187" s="14">
        <f t="shared" si="83"/>
        <v>-0.20045764453414672</v>
      </c>
      <c r="AB187" s="23">
        <f t="shared" si="99"/>
        <v>-13.459729885346038</v>
      </c>
      <c r="AC187" s="23">
        <f t="shared" si="100"/>
        <v>19.80144143930486</v>
      </c>
      <c r="AD187" s="14">
        <f t="shared" si="84"/>
        <v>9.8637516804811369</v>
      </c>
      <c r="AE187" s="14">
        <f t="shared" si="85"/>
        <v>0.12935412166556631</v>
      </c>
      <c r="AF187" s="14">
        <f t="shared" si="86"/>
        <v>0.14943515087982581</v>
      </c>
      <c r="AG187" s="14">
        <f t="shared" si="87"/>
        <v>2.9542352214936344E-5</v>
      </c>
      <c r="AH187" s="14">
        <f t="shared" si="88"/>
        <v>-5.9558743486504788</v>
      </c>
      <c r="AI187" s="14">
        <f t="shared" si="89"/>
        <v>-4.7012547324442398E-2</v>
      </c>
      <c r="AJ187" s="23">
        <f t="shared" si="101"/>
        <v>4.0573124827104845</v>
      </c>
      <c r="AK187" s="23">
        <f t="shared" si="102"/>
        <v>8.2371116693338853E-2</v>
      </c>
      <c r="AL187" s="14">
        <f t="shared" si="90"/>
        <v>0</v>
      </c>
      <c r="AM187" s="14">
        <f t="shared" si="91"/>
        <v>0</v>
      </c>
      <c r="AN187" s="14">
        <f t="shared" si="92"/>
        <v>0</v>
      </c>
      <c r="AO187" s="14">
        <f t="shared" si="93"/>
        <v>0</v>
      </c>
      <c r="AP187" s="23">
        <f t="shared" si="103"/>
        <v>0</v>
      </c>
      <c r="AQ187" s="23">
        <f t="shared" si="104"/>
        <v>0</v>
      </c>
    </row>
    <row r="188" spans="8:43" x14ac:dyDescent="0.25">
      <c r="H188" s="14">
        <v>2.85</v>
      </c>
      <c r="I188" s="36">
        <f t="shared" si="94"/>
        <v>7079.4578438413873</v>
      </c>
      <c r="J188" s="24">
        <f t="shared" si="95"/>
        <v>42.924218627990413</v>
      </c>
      <c r="K188" s="24">
        <f t="shared" si="96"/>
        <v>-11.845821072050203</v>
      </c>
      <c r="L188" s="14">
        <f t="shared" si="70"/>
        <v>0.67018069634200106</v>
      </c>
      <c r="M188" s="14">
        <f t="shared" si="71"/>
        <v>-35.937771905777517</v>
      </c>
      <c r="N188" s="14">
        <f t="shared" si="72"/>
        <v>1.8340010082739013</v>
      </c>
      <c r="O188" s="14">
        <f t="shared" si="73"/>
        <v>-88.201751585387996</v>
      </c>
      <c r="P188" s="14">
        <f t="shared" si="74"/>
        <v>-30.0668849655267</v>
      </c>
      <c r="Q188" s="14">
        <f t="shared" si="75"/>
        <v>-3.3752725986031744</v>
      </c>
      <c r="R188" s="14">
        <f t="shared" si="76"/>
        <v>-1.5080234872351644E-2</v>
      </c>
      <c r="S188" s="23">
        <f t="shared" si="97"/>
        <v>-127.51479608976868</v>
      </c>
      <c r="T188" s="23">
        <f t="shared" si="98"/>
        <v>-31.724125903963003</v>
      </c>
      <c r="U188" s="14">
        <f t="shared" si="77"/>
        <v>20000</v>
      </c>
      <c r="V188" s="14">
        <f t="shared" si="78"/>
        <v>-89.999414509189265</v>
      </c>
      <c r="W188" s="14">
        <f t="shared" si="79"/>
        <v>-99.812050984059937</v>
      </c>
      <c r="X188" s="14">
        <f t="shared" si="80"/>
        <v>88.829181373735807</v>
      </c>
      <c r="Y188" s="14">
        <f t="shared" si="81"/>
        <v>33.79326469961115</v>
      </c>
      <c r="Z188" s="14">
        <f t="shared" si="82"/>
        <v>-12.538935809962428</v>
      </c>
      <c r="AA188" s="14">
        <f t="shared" si="83"/>
        <v>-0.20968040931591242</v>
      </c>
      <c r="AB188" s="23">
        <f t="shared" si="99"/>
        <v>-13.709168945415886</v>
      </c>
      <c r="AC188" s="23">
        <f t="shared" si="100"/>
        <v>19.792133219514927</v>
      </c>
      <c r="AD188" s="14">
        <f t="shared" si="84"/>
        <v>10.088840212275613</v>
      </c>
      <c r="AE188" s="14">
        <f t="shared" si="85"/>
        <v>0.13535635027572163</v>
      </c>
      <c r="AF188" s="14">
        <f t="shared" si="86"/>
        <v>0.15291592635487342</v>
      </c>
      <c r="AG188" s="14">
        <f t="shared" si="87"/>
        <v>3.0934635423860561E-5</v>
      </c>
      <c r="AH188" s="14">
        <f t="shared" si="88"/>
        <v>-6.0935724754555132</v>
      </c>
      <c r="AI188" s="14">
        <f t="shared" si="89"/>
        <v>-4.9215672513273294E-2</v>
      </c>
      <c r="AJ188" s="23">
        <f t="shared" si="101"/>
        <v>4.148183663174974</v>
      </c>
      <c r="AK188" s="23">
        <f t="shared" si="102"/>
        <v>8.6171612397872188E-2</v>
      </c>
      <c r="AL188" s="14">
        <f t="shared" si="90"/>
        <v>0</v>
      </c>
      <c r="AM188" s="14">
        <f t="shared" si="91"/>
        <v>0</v>
      </c>
      <c r="AN188" s="14">
        <f t="shared" si="92"/>
        <v>0</v>
      </c>
      <c r="AO188" s="14">
        <f t="shared" si="93"/>
        <v>0</v>
      </c>
      <c r="AP188" s="23">
        <f t="shared" si="103"/>
        <v>0</v>
      </c>
      <c r="AQ188" s="23">
        <f t="shared" si="104"/>
        <v>0</v>
      </c>
    </row>
    <row r="189" spans="8:43" x14ac:dyDescent="0.25">
      <c r="H189" s="14">
        <v>2.86</v>
      </c>
      <c r="I189" s="36">
        <f t="shared" si="94"/>
        <v>7244.3596007499027</v>
      </c>
      <c r="J189" s="24">
        <f t="shared" si="95"/>
        <v>42.012612545323435</v>
      </c>
      <c r="K189" s="24">
        <f t="shared" si="96"/>
        <v>-11.982147600658349</v>
      </c>
      <c r="L189" s="14">
        <f t="shared" si="70"/>
        <v>0.67018069634200106</v>
      </c>
      <c r="M189" s="14">
        <f t="shared" si="71"/>
        <v>-36.566884664958664</v>
      </c>
      <c r="N189" s="14">
        <f t="shared" si="72"/>
        <v>1.9039375754139367</v>
      </c>
      <c r="O189" s="14">
        <f t="shared" si="73"/>
        <v>-88.24265875146159</v>
      </c>
      <c r="P189" s="14">
        <f t="shared" si="74"/>
        <v>-30.266692483803116</v>
      </c>
      <c r="Q189" s="14">
        <f t="shared" si="75"/>
        <v>-3.4537046489772698</v>
      </c>
      <c r="R189" s="14">
        <f t="shared" si="76"/>
        <v>-1.5789654011174398E-2</v>
      </c>
      <c r="S189" s="23">
        <f t="shared" si="97"/>
        <v>-128.26324806539753</v>
      </c>
      <c r="T189" s="23">
        <f t="shared" si="98"/>
        <v>-31.854706274238211</v>
      </c>
      <c r="U189" s="14">
        <f t="shared" si="77"/>
        <v>20000</v>
      </c>
      <c r="V189" s="14">
        <f t="shared" si="78"/>
        <v>-89.999427836587245</v>
      </c>
      <c r="W189" s="14">
        <f t="shared" si="79"/>
        <v>-100.01205098403952</v>
      </c>
      <c r="X189" s="14">
        <f t="shared" si="80"/>
        <v>88.855825292135307</v>
      </c>
      <c r="Y189" s="14">
        <f t="shared" si="81"/>
        <v>33.993183089121793</v>
      </c>
      <c r="Z189" s="14">
        <f t="shared" si="82"/>
        <v>-12.821456125820591</v>
      </c>
      <c r="AA189" s="14">
        <f t="shared" si="83"/>
        <v>-0.21931688351736869</v>
      </c>
      <c r="AB189" s="23">
        <f t="shared" si="99"/>
        <v>-13.965058670272528</v>
      </c>
      <c r="AC189" s="23">
        <f t="shared" si="100"/>
        <v>19.782415134844531</v>
      </c>
      <c r="AD189" s="14">
        <f t="shared" si="84"/>
        <v>10.31884638686997</v>
      </c>
      <c r="AE189" s="14">
        <f t="shared" si="85"/>
        <v>0.14163257675217675</v>
      </c>
      <c r="AF189" s="14">
        <f t="shared" si="86"/>
        <v>0.15647777833751134</v>
      </c>
      <c r="AG189" s="14">
        <f t="shared" si="87"/>
        <v>3.2392534438985957E-5</v>
      </c>
      <c r="AH189" s="14">
        <f t="shared" si="88"/>
        <v>-6.2344048842139861</v>
      </c>
      <c r="AI189" s="14">
        <f t="shared" si="89"/>
        <v>-5.1521430551285004E-2</v>
      </c>
      <c r="AJ189" s="23">
        <f t="shared" si="101"/>
        <v>4.2409192809934941</v>
      </c>
      <c r="AK189" s="23">
        <f t="shared" si="102"/>
        <v>9.0143538735330736E-2</v>
      </c>
      <c r="AL189" s="14">
        <f t="shared" si="90"/>
        <v>0</v>
      </c>
      <c r="AM189" s="14">
        <f t="shared" si="91"/>
        <v>0</v>
      </c>
      <c r="AN189" s="14">
        <f t="shared" si="92"/>
        <v>0</v>
      </c>
      <c r="AO189" s="14">
        <f t="shared" si="93"/>
        <v>0</v>
      </c>
      <c r="AP189" s="23">
        <f t="shared" si="103"/>
        <v>0</v>
      </c>
      <c r="AQ189" s="23">
        <f t="shared" si="104"/>
        <v>0</v>
      </c>
    </row>
    <row r="190" spans="8:43" x14ac:dyDescent="0.25">
      <c r="H190" s="14">
        <v>2.87</v>
      </c>
      <c r="I190" s="36">
        <f t="shared" si="94"/>
        <v>7413.1024130091828</v>
      </c>
      <c r="J190" s="24">
        <f t="shared" si="95"/>
        <v>41.091265274278996</v>
      </c>
      <c r="K190" s="24">
        <f t="shared" si="96"/>
        <v>-12.116656300981964</v>
      </c>
      <c r="L190" s="14">
        <f t="shared" si="70"/>
        <v>0.67018069634200106</v>
      </c>
      <c r="M190" s="14">
        <f t="shared" si="71"/>
        <v>-37.200213881560849</v>
      </c>
      <c r="N190" s="14">
        <f t="shared" si="72"/>
        <v>1.9759827563460721</v>
      </c>
      <c r="O190" s="14">
        <f t="shared" si="73"/>
        <v>-88.282636488561707</v>
      </c>
      <c r="P190" s="14">
        <f t="shared" si="74"/>
        <v>-30.466508657220214</v>
      </c>
      <c r="Q190" s="14">
        <f t="shared" si="75"/>
        <v>-3.5339502007165833</v>
      </c>
      <c r="R190" s="14">
        <f t="shared" si="76"/>
        <v>-1.6532382860597852E-2</v>
      </c>
      <c r="S190" s="23">
        <f t="shared" si="97"/>
        <v>-129.01680057083914</v>
      </c>
      <c r="T190" s="23">
        <f t="shared" si="98"/>
        <v>-31.983219995572593</v>
      </c>
      <c r="U190" s="14">
        <f t="shared" si="77"/>
        <v>20000</v>
      </c>
      <c r="V190" s="14">
        <f t="shared" si="78"/>
        <v>-89.999440860616573</v>
      </c>
      <c r="W190" s="14">
        <f t="shared" si="79"/>
        <v>-100.21205098402004</v>
      </c>
      <c r="X190" s="14">
        <f t="shared" si="80"/>
        <v>88.881863199145826</v>
      </c>
      <c r="Y190" s="14">
        <f t="shared" si="81"/>
        <v>34.193105150277901</v>
      </c>
      <c r="Z190" s="14">
        <f t="shared" si="82"/>
        <v>-13.109902142500198</v>
      </c>
      <c r="AA190" s="14">
        <f t="shared" si="83"/>
        <v>-0.2293846455807444</v>
      </c>
      <c r="AB190" s="23">
        <f t="shared" si="99"/>
        <v>-14.227479803970946</v>
      </c>
      <c r="AC190" s="23">
        <f t="shared" si="100"/>
        <v>19.772269433956744</v>
      </c>
      <c r="AD190" s="14">
        <f t="shared" si="84"/>
        <v>10.553862489309092</v>
      </c>
      <c r="AE190" s="14">
        <f t="shared" si="85"/>
        <v>0.14819488575432746</v>
      </c>
      <c r="AF190" s="14">
        <f t="shared" si="86"/>
        <v>0.16012259525862316</v>
      </c>
      <c r="AG190" s="14">
        <f t="shared" si="87"/>
        <v>3.3919141591586774E-5</v>
      </c>
      <c r="AH190" s="14">
        <f t="shared" si="88"/>
        <v>-6.3784394354786329</v>
      </c>
      <c r="AI190" s="14">
        <f t="shared" si="89"/>
        <v>-5.393454426203384E-2</v>
      </c>
      <c r="AJ190" s="23">
        <f t="shared" si="101"/>
        <v>4.3355456490890809</v>
      </c>
      <c r="AK190" s="23">
        <f t="shared" si="102"/>
        <v>9.4294260633885213E-2</v>
      </c>
      <c r="AL190" s="14">
        <f t="shared" si="90"/>
        <v>0</v>
      </c>
      <c r="AM190" s="14">
        <f t="shared" si="91"/>
        <v>0</v>
      </c>
      <c r="AN190" s="14">
        <f t="shared" si="92"/>
        <v>0</v>
      </c>
      <c r="AO190" s="14">
        <f t="shared" si="93"/>
        <v>0</v>
      </c>
      <c r="AP190" s="23">
        <f t="shared" si="103"/>
        <v>0</v>
      </c>
      <c r="AQ190" s="23">
        <f t="shared" si="104"/>
        <v>0</v>
      </c>
    </row>
    <row r="191" spans="8:43" x14ac:dyDescent="0.25">
      <c r="H191" s="14">
        <v>2.88</v>
      </c>
      <c r="I191" s="36">
        <f t="shared" si="94"/>
        <v>7585.7757502918375</v>
      </c>
      <c r="J191" s="24">
        <f t="shared" si="95"/>
        <v>40.160342862973827</v>
      </c>
      <c r="K191" s="24">
        <f t="shared" si="96"/>
        <v>-12.24933178193635</v>
      </c>
      <c r="L191" s="14">
        <f t="shared" si="70"/>
        <v>0.67018069634200106</v>
      </c>
      <c r="M191" s="14">
        <f t="shared" si="71"/>
        <v>-37.837476316966296</v>
      </c>
      <c r="N191" s="14">
        <f t="shared" si="72"/>
        <v>2.0501638654348646</v>
      </c>
      <c r="O191" s="14">
        <f t="shared" si="73"/>
        <v>-88.321705837620812</v>
      </c>
      <c r="P191" s="14">
        <f t="shared" si="74"/>
        <v>-30.66633309693259</v>
      </c>
      <c r="Q191" s="14">
        <f t="shared" si="75"/>
        <v>-3.6160505411263055</v>
      </c>
      <c r="R191" s="14">
        <f t="shared" si="76"/>
        <v>-1.7309979324528678E-2</v>
      </c>
      <c r="S191" s="23">
        <f t="shared" si="97"/>
        <v>-129.77523269571341</v>
      </c>
      <c r="T191" s="23">
        <f t="shared" si="98"/>
        <v>-32.109640922660112</v>
      </c>
      <c r="U191" s="14">
        <f t="shared" si="77"/>
        <v>20000</v>
      </c>
      <c r="V191" s="14">
        <f t="shared" si="78"/>
        <v>-89.999453588182817</v>
      </c>
      <c r="W191" s="14">
        <f t="shared" si="79"/>
        <v>-100.41205098400141</v>
      </c>
      <c r="X191" s="14">
        <f t="shared" si="80"/>
        <v>88.907308857366345</v>
      </c>
      <c r="Y191" s="14">
        <f t="shared" si="81"/>
        <v>34.39303071795409</v>
      </c>
      <c r="Z191" s="14">
        <f t="shared" si="82"/>
        <v>-13.404368287541267</v>
      </c>
      <c r="AA191" s="14">
        <f t="shared" si="83"/>
        <v>-0.23990193152799094</v>
      </c>
      <c r="AB191" s="23">
        <f t="shared" si="99"/>
        <v>-14.496513018357739</v>
      </c>
      <c r="AC191" s="23">
        <f t="shared" si="100"/>
        <v>19.761677715704312</v>
      </c>
      <c r="AD191" s="14">
        <f t="shared" si="84"/>
        <v>10.793981479935466</v>
      </c>
      <c r="AE191" s="14">
        <f t="shared" si="85"/>
        <v>0.15505585556784374</v>
      </c>
      <c r="AF191" s="14">
        <f t="shared" si="86"/>
        <v>0.16385230953031968</v>
      </c>
      <c r="AG191" s="14">
        <f t="shared" si="87"/>
        <v>3.5517694949323306E-5</v>
      </c>
      <c r="AH191" s="14">
        <f t="shared" si="88"/>
        <v>-6.5257452124208051</v>
      </c>
      <c r="AI191" s="14">
        <f t="shared" si="89"/>
        <v>-5.645994824334296E-2</v>
      </c>
      <c r="AJ191" s="23">
        <f t="shared" si="101"/>
        <v>4.4320885770449809</v>
      </c>
      <c r="AK191" s="23">
        <f t="shared" si="102"/>
        <v>9.8631425019450103E-2</v>
      </c>
      <c r="AL191" s="14">
        <f t="shared" si="90"/>
        <v>0</v>
      </c>
      <c r="AM191" s="14">
        <f t="shared" si="91"/>
        <v>0</v>
      </c>
      <c r="AN191" s="14">
        <f t="shared" si="92"/>
        <v>0</v>
      </c>
      <c r="AO191" s="14">
        <f t="shared" si="93"/>
        <v>0</v>
      </c>
      <c r="AP191" s="23">
        <f t="shared" si="103"/>
        <v>0</v>
      </c>
      <c r="AQ191" s="23">
        <f t="shared" si="104"/>
        <v>0</v>
      </c>
    </row>
    <row r="192" spans="8:43" x14ac:dyDescent="0.25">
      <c r="H192" s="14">
        <v>2.89</v>
      </c>
      <c r="I192" s="36">
        <f t="shared" si="94"/>
        <v>7762.4711662869231</v>
      </c>
      <c r="J192" s="24">
        <f t="shared" si="95"/>
        <v>39.220020106337877</v>
      </c>
      <c r="K192" s="24">
        <f t="shared" si="96"/>
        <v>-12.380160892108426</v>
      </c>
      <c r="L192" s="14">
        <f t="shared" si="70"/>
        <v>0.67018069634200106</v>
      </c>
      <c r="M192" s="14">
        <f t="shared" si="71"/>
        <v>-38.478379217627683</v>
      </c>
      <c r="N192" s="14">
        <f t="shared" si="72"/>
        <v>2.1265064441736845</v>
      </c>
      <c r="O192" s="14">
        <f t="shared" si="73"/>
        <v>-88.359887368312428</v>
      </c>
      <c r="P192" s="14">
        <f t="shared" si="74"/>
        <v>-30.866165431534299</v>
      </c>
      <c r="Q192" s="14">
        <f t="shared" si="75"/>
        <v>-3.7000478515438067</v>
      </c>
      <c r="R192" s="14">
        <f t="shared" si="76"/>
        <v>-1.8124073584090683E-2</v>
      </c>
      <c r="S192" s="23">
        <f t="shared" si="97"/>
        <v>-130.53831443748393</v>
      </c>
      <c r="T192" s="23">
        <f t="shared" si="98"/>
        <v>-32.233944772782557</v>
      </c>
      <c r="U192" s="14">
        <f t="shared" si="77"/>
        <v>20000</v>
      </c>
      <c r="V192" s="14">
        <f t="shared" si="78"/>
        <v>-89.999466026034284</v>
      </c>
      <c r="W192" s="14">
        <f t="shared" si="79"/>
        <v>-100.61205098398364</v>
      </c>
      <c r="X192" s="14">
        <f t="shared" si="80"/>
        <v>88.932175718248644</v>
      </c>
      <c r="Y192" s="14">
        <f t="shared" si="81"/>
        <v>34.592959634445855</v>
      </c>
      <c r="Z192" s="14">
        <f t="shared" si="82"/>
        <v>-13.70494844028452</v>
      </c>
      <c r="AA192" s="14">
        <f t="shared" si="83"/>
        <v>-0.25088765143107883</v>
      </c>
      <c r="AB192" s="23">
        <f t="shared" si="99"/>
        <v>-14.77223874807016</v>
      </c>
      <c r="AC192" s="23">
        <f t="shared" si="100"/>
        <v>19.750620912310765</v>
      </c>
      <c r="AD192" s="14">
        <f t="shared" si="84"/>
        <v>11.039296918216969</v>
      </c>
      <c r="AE192" s="14">
        <f t="shared" si="85"/>
        <v>0.16222857461332735</v>
      </c>
      <c r="AF192" s="14">
        <f t="shared" si="86"/>
        <v>0.16766889856996814</v>
      </c>
      <c r="AG192" s="14">
        <f t="shared" si="87"/>
        <v>3.7191585174118909E-5</v>
      </c>
      <c r="AH192" s="14">
        <f t="shared" si="88"/>
        <v>-6.6763925248949674</v>
      </c>
      <c r="AI192" s="14">
        <f t="shared" si="89"/>
        <v>-5.9102797835136257E-2</v>
      </c>
      <c r="AJ192" s="23">
        <f t="shared" si="101"/>
        <v>4.5305732918919697</v>
      </c>
      <c r="AK192" s="23">
        <f t="shared" si="102"/>
        <v>0.10316296836336522</v>
      </c>
      <c r="AL192" s="14">
        <f t="shared" si="90"/>
        <v>0</v>
      </c>
      <c r="AM192" s="14">
        <f t="shared" si="91"/>
        <v>0</v>
      </c>
      <c r="AN192" s="14">
        <f t="shared" si="92"/>
        <v>0</v>
      </c>
      <c r="AO192" s="14">
        <f t="shared" si="93"/>
        <v>0</v>
      </c>
      <c r="AP192" s="23">
        <f t="shared" si="103"/>
        <v>0</v>
      </c>
      <c r="AQ192" s="23">
        <f t="shared" si="104"/>
        <v>0</v>
      </c>
    </row>
    <row r="193" spans="8:43" x14ac:dyDescent="0.25">
      <c r="H193" s="14">
        <v>2.9</v>
      </c>
      <c r="I193" s="36">
        <f t="shared" si="94"/>
        <v>7943.2823472428208</v>
      </c>
      <c r="J193" s="24">
        <f t="shared" si="95"/>
        <v>38.270480030602897</v>
      </c>
      <c r="K193" s="24">
        <f t="shared" si="96"/>
        <v>-12.509132828681365</v>
      </c>
      <c r="L193" s="14">
        <f t="shared" si="70"/>
        <v>0.67018069634200106</v>
      </c>
      <c r="M193" s="14">
        <f t="shared" si="71"/>
        <v>-39.122620895030011</v>
      </c>
      <c r="N193" s="14">
        <f t="shared" si="72"/>
        <v>2.2050341637947928</v>
      </c>
      <c r="O193" s="14">
        <f t="shared" si="73"/>
        <v>-88.397201189266596</v>
      </c>
      <c r="P193" s="14">
        <f t="shared" si="74"/>
        <v>-31.066005306279258</v>
      </c>
      <c r="Q193" s="14">
        <f t="shared" si="75"/>
        <v>-3.7859852233957367</v>
      </c>
      <c r="R193" s="14">
        <f t="shared" si="76"/>
        <v>-1.8976371394537474E-2</v>
      </c>
      <c r="S193" s="23">
        <f t="shared" si="97"/>
        <v>-131.30580730769233</v>
      </c>
      <c r="T193" s="23">
        <f t="shared" si="98"/>
        <v>-32.356109225716857</v>
      </c>
      <c r="U193" s="14">
        <f t="shared" si="77"/>
        <v>20000</v>
      </c>
      <c r="V193" s="14">
        <f t="shared" si="78"/>
        <v>-89.999478180765664</v>
      </c>
      <c r="W193" s="14">
        <f t="shared" si="79"/>
        <v>-100.81205098396666</v>
      </c>
      <c r="X193" s="14">
        <f t="shared" si="80"/>
        <v>88.956476929037962</v>
      </c>
      <c r="Y193" s="14">
        <f t="shared" si="81"/>
        <v>34.792891749136373</v>
      </c>
      <c r="Z193" s="14">
        <f t="shared" si="82"/>
        <v>-14.011735763572617</v>
      </c>
      <c r="AA193" s="14">
        <f t="shared" si="83"/>
        <v>-0.26236140552014886</v>
      </c>
      <c r="AB193" s="23">
        <f t="shared" si="99"/>
        <v>-15.054737015300319</v>
      </c>
      <c r="AC193" s="23">
        <f t="shared" si="100"/>
        <v>19.739079272929192</v>
      </c>
      <c r="AD193" s="14">
        <f t="shared" si="84"/>
        <v>11.289902879740326</v>
      </c>
      <c r="AE193" s="14">
        <f t="shared" si="85"/>
        <v>0.16972665816002186</v>
      </c>
      <c r="AF193" s="14">
        <f t="shared" si="86"/>
        <v>0.17157438584803902</v>
      </c>
      <c r="AG193" s="14">
        <f t="shared" si="87"/>
        <v>3.8944362725225722E-5</v>
      </c>
      <c r="AH193" s="14">
        <f t="shared" si="88"/>
        <v>-6.8304529119928175</v>
      </c>
      <c r="AI193" s="14">
        <f t="shared" si="89"/>
        <v>-6.1868478416448013E-2</v>
      </c>
      <c r="AJ193" s="23">
        <f t="shared" si="101"/>
        <v>4.6310243535955484</v>
      </c>
      <c r="AK193" s="23">
        <f t="shared" si="102"/>
        <v>0.10789712410629906</v>
      </c>
      <c r="AL193" s="14">
        <f t="shared" si="90"/>
        <v>0</v>
      </c>
      <c r="AM193" s="14">
        <f t="shared" si="91"/>
        <v>0</v>
      </c>
      <c r="AN193" s="14">
        <f t="shared" si="92"/>
        <v>0</v>
      </c>
      <c r="AO193" s="14">
        <f t="shared" si="93"/>
        <v>0</v>
      </c>
      <c r="AP193" s="23">
        <f t="shared" si="103"/>
        <v>0</v>
      </c>
      <c r="AQ193" s="23">
        <f t="shared" si="104"/>
        <v>0</v>
      </c>
    </row>
    <row r="194" spans="8:43" x14ac:dyDescent="0.25">
      <c r="H194" s="14">
        <v>2.91</v>
      </c>
      <c r="I194" s="36">
        <f t="shared" si="94"/>
        <v>8128.3051616409975</v>
      </c>
      <c r="J194" s="24">
        <f t="shared" si="95"/>
        <v>37.311913331506666</v>
      </c>
      <c r="K194" s="24">
        <f t="shared" si="96"/>
        <v>-12.636239240708642</v>
      </c>
      <c r="L194" s="14">
        <f t="shared" si="70"/>
        <v>0.67018069634200106</v>
      </c>
      <c r="M194" s="14">
        <f t="shared" si="71"/>
        <v>-39.769891357138562</v>
      </c>
      <c r="N194" s="14">
        <f t="shared" si="72"/>
        <v>2.2857687334050176</v>
      </c>
      <c r="O194" s="14">
        <f t="shared" si="73"/>
        <v>-88.433666958086775</v>
      </c>
      <c r="P194" s="14">
        <f t="shared" si="74"/>
        <v>-31.265852382336405</v>
      </c>
      <c r="Q194" s="14">
        <f t="shared" si="75"/>
        <v>-3.8739066742970221</v>
      </c>
      <c r="R194" s="14">
        <f t="shared" si="76"/>
        <v>-1.9868657527124876E-2</v>
      </c>
      <c r="S194" s="23">
        <f t="shared" si="97"/>
        <v>-132.07746498952235</v>
      </c>
      <c r="T194" s="23">
        <f t="shared" si="98"/>
        <v>-32.476114018296371</v>
      </c>
      <c r="U194" s="14">
        <f t="shared" si="77"/>
        <v>20000</v>
      </c>
      <c r="V194" s="14">
        <f t="shared" si="78"/>
        <v>-89.999490058821607</v>
      </c>
      <c r="W194" s="14">
        <f t="shared" si="79"/>
        <v>-101.01205098395045</v>
      </c>
      <c r="X194" s="14">
        <f t="shared" si="80"/>
        <v>88.980225339565195</v>
      </c>
      <c r="Y194" s="14">
        <f t="shared" si="81"/>
        <v>34.992826918178544</v>
      </c>
      <c r="Z194" s="14">
        <f t="shared" si="82"/>
        <v>-14.324822524732779</v>
      </c>
      <c r="AA194" s="14">
        <f t="shared" si="83"/>
        <v>-0.27434349983622458</v>
      </c>
      <c r="AB194" s="23">
        <f t="shared" si="99"/>
        <v>-15.344087243989192</v>
      </c>
      <c r="AC194" s="23">
        <f t="shared" si="100"/>
        <v>19.7270323476715</v>
      </c>
      <c r="AD194" s="14">
        <f t="shared" si="84"/>
        <v>11.545893866011726</v>
      </c>
      <c r="AE194" s="14">
        <f t="shared" si="85"/>
        <v>0.17756426520966168</v>
      </c>
      <c r="AF194" s="14">
        <f t="shared" si="86"/>
        <v>0.17557084196033124</v>
      </c>
      <c r="AG194" s="14">
        <f t="shared" si="87"/>
        <v>4.0779745378545429E-5</v>
      </c>
      <c r="AH194" s="14">
        <f t="shared" si="88"/>
        <v>-6.9879991429538437</v>
      </c>
      <c r="AI194" s="14">
        <f t="shared" si="89"/>
        <v>-6.4762615038810506E-2</v>
      </c>
      <c r="AJ194" s="23">
        <f t="shared" si="101"/>
        <v>4.7334655650182134</v>
      </c>
      <c r="AK194" s="23">
        <f t="shared" si="102"/>
        <v>0.11284242991622973</v>
      </c>
      <c r="AL194" s="14">
        <f t="shared" si="90"/>
        <v>0</v>
      </c>
      <c r="AM194" s="14">
        <f t="shared" si="91"/>
        <v>0</v>
      </c>
      <c r="AN194" s="14">
        <f t="shared" si="92"/>
        <v>0</v>
      </c>
      <c r="AO194" s="14">
        <f t="shared" si="93"/>
        <v>0</v>
      </c>
      <c r="AP194" s="23">
        <f t="shared" si="103"/>
        <v>0</v>
      </c>
      <c r="AQ194" s="23">
        <f t="shared" si="104"/>
        <v>0</v>
      </c>
    </row>
    <row r="195" spans="8:43" x14ac:dyDescent="0.25">
      <c r="H195" s="14">
        <v>2.92</v>
      </c>
      <c r="I195" s="36">
        <f t="shared" si="94"/>
        <v>8317.6377110267131</v>
      </c>
      <c r="J195" s="24">
        <f t="shared" si="95"/>
        <v>36.344517768994272</v>
      </c>
      <c r="K195" s="24">
        <f t="shared" si="96"/>
        <v>-12.761474325957046</v>
      </c>
      <c r="L195" s="14">
        <f t="shared" ref="L195:L258" si="105">A_PS</f>
        <v>0.67018069634200106</v>
      </c>
      <c r="M195" s="14">
        <f t="shared" ref="M195:M258" si="106">-180/PI()*ATAN($I195/z_RHP/1000)</f>
        <v>-40.419872988665254</v>
      </c>
      <c r="N195" s="14">
        <f t="shared" ref="N195:N258" si="107">20*LOG(SQRT(($I195/z_RHP/1000)^2+1))</f>
        <v>2.3687298143781303</v>
      </c>
      <c r="O195" s="14">
        <f t="shared" ref="O195:O258" si="108">-180/PI()*ATAN($I195/p_small)</f>
        <v>-88.469303891170341</v>
      </c>
      <c r="P195" s="14">
        <f t="shared" ref="P195:P258" si="109">-20*LOG(SQRT(($I195/p_small)^2+1))</f>
        <v>-31.46570633607789</v>
      </c>
      <c r="Q195" s="14">
        <f t="shared" ref="Q195:Q258" si="110">-180/PI()*ATAN($I195/p_large/1000)</f>
        <v>-3.9638571641698466</v>
      </c>
      <c r="R195" s="14">
        <f t="shared" ref="R195:R258" si="111">-20*LOG(SQRT(($I195/p_large/1000)^2+1))</f>
        <v>-2.0802799361831679E-2</v>
      </c>
      <c r="S195" s="23">
        <f t="shared" si="97"/>
        <v>-132.85303404400543</v>
      </c>
      <c r="T195" s="23">
        <f t="shared" si="98"/>
        <v>-32.593941032899444</v>
      </c>
      <c r="U195" s="14">
        <f t="shared" ref="U195:U258" si="112">A_EA</f>
        <v>20000</v>
      </c>
      <c r="V195" s="14">
        <f t="shared" ref="V195:V258" si="113">-180/PI()*ATAN($I195/p_EA)</f>
        <v>-89.999501666499981</v>
      </c>
      <c r="W195" s="14">
        <f t="shared" ref="W195:W258" si="114">-20*LOG(SQRT(($I195/p_EA)^2+1))</f>
        <v>-101.21205098393496</v>
      </c>
      <c r="X195" s="14">
        <f t="shared" ref="X195:X258" si="115">180/PI()*ATAN($I195/z_comp)</f>
        <v>89.00343350889338</v>
      </c>
      <c r="Y195" s="14">
        <f t="shared" ref="Y195:Y258" si="116">20*LOG(SQRT(($I195/z_comp)^2+1))</f>
        <v>35.192765004191024</v>
      </c>
      <c r="Z195" s="14">
        <f t="shared" ref="Z195:Z258" si="117">IF(p_comp="",0,-180/PI()*ATAN($I195/p_comp/1000))</f>
        <v>-14.644299905527193</v>
      </c>
      <c r="AA195" s="14">
        <f t="shared" ref="AA195:AA258" si="118">IF(p_comp="",0,-20*LOG(SQRT(($I195/p_comp/1000)^2+1)))</f>
        <v>-0.28685496132758437</v>
      </c>
      <c r="AB195" s="23">
        <f t="shared" si="99"/>
        <v>-15.640368063133794</v>
      </c>
      <c r="AC195" s="23">
        <f t="shared" si="100"/>
        <v>19.714458972208107</v>
      </c>
      <c r="AD195" s="14">
        <f t="shared" ref="AD195:AD258" si="119">IF(z_esr_1="",0,180/PI()*ATAN($I195/z_esr_1/1000))</f>
        <v>11.807364706698671</v>
      </c>
      <c r="AE195" s="14">
        <f t="shared" ref="AE195:AE258" si="120">IF(z_esr_1="",0,20*LOG(SQRT(($I195/z_esr_1/1000)^2+1)))</f>
        <v>0.18575611551085766</v>
      </c>
      <c r="AF195" s="14">
        <f t="shared" ref="AF195:AF258" si="121">180/PI()*ATAN($I195/z_esr_2/1000)</f>
        <v>0.17966038572513551</v>
      </c>
      <c r="AG195" s="14">
        <f t="shared" ref="AG195:AG258" si="122">20*LOG(SQRT(($I195/z_esr_2/1000)^2+1))</f>
        <v>4.2701626120060282E-5</v>
      </c>
      <c r="AH195" s="14">
        <f t="shared" ref="AH195:AH258" si="123">IF(p_esr="",0,-180/PI()*ATAN($I195/p_esr/1000))</f>
        <v>-7.1491052162903186</v>
      </c>
      <c r="AI195" s="14">
        <f t="shared" ref="AI195:AI258" si="124">IF(p_esr="",0,-20*LOG(SQRT(($I195/p_esr/1000)^2+1)))</f>
        <v>-6.779108240268604E-2</v>
      </c>
      <c r="AJ195" s="23">
        <f t="shared" si="101"/>
        <v>4.8379198761334878</v>
      </c>
      <c r="AK195" s="23">
        <f t="shared" si="102"/>
        <v>0.11800773473429167</v>
      </c>
      <c r="AL195" s="14">
        <f t="shared" ref="AL195:AL258" si="125">IF(z_ff="",0,180/PI()*ATAN($I195/z_ff/1000))</f>
        <v>0</v>
      </c>
      <c r="AM195" s="14">
        <f t="shared" ref="AM195:AM258" si="126">IF(z_ff="",0,20*LOG(SQRT(($I195/z_ff/1000)^2+1)))</f>
        <v>0</v>
      </c>
      <c r="AN195" s="14">
        <f t="shared" ref="AN195:AN258" si="127">IF(p_ff="",0,-180/PI()*ATAN($I195/p_ff/1000))</f>
        <v>0</v>
      </c>
      <c r="AO195" s="14">
        <f t="shared" ref="AO195:AO258" si="128">IF(p_ff="",0,-20*LOG(SQRT(($I195/p_ff/1000)^2+1)))</f>
        <v>0</v>
      </c>
      <c r="AP195" s="23">
        <f t="shared" si="103"/>
        <v>0</v>
      </c>
      <c r="AQ195" s="23">
        <f t="shared" si="104"/>
        <v>0</v>
      </c>
    </row>
    <row r="196" spans="8:43" x14ac:dyDescent="0.25">
      <c r="H196" s="14">
        <v>2.93</v>
      </c>
      <c r="I196" s="36">
        <f t="shared" ref="I196:I259" si="129">10*10^H196</f>
        <v>8511.3803820237772</v>
      </c>
      <c r="J196" s="24">
        <f t="shared" ref="J196:J259" si="130">180+S196+AB196+AJ196+AP196</f>
        <v>35.36849752168979</v>
      </c>
      <c r="K196" s="24">
        <f t="shared" ref="K196:K259" si="131">T196+AC196+AK196+AQ196</f>
        <v>-12.884834920568204</v>
      </c>
      <c r="L196" s="14">
        <f t="shared" si="105"/>
        <v>0.67018069634200106</v>
      </c>
      <c r="M196" s="14">
        <f t="shared" si="106"/>
        <v>-41.072241276971319</v>
      </c>
      <c r="N196" s="14">
        <f t="shared" si="107"/>
        <v>2.4539349417011156</v>
      </c>
      <c r="O196" s="14">
        <f t="shared" si="108"/>
        <v>-88.504130773335348</v>
      </c>
      <c r="P196" s="14">
        <f t="shared" si="109"/>
        <v>-31.66556685839895</v>
      </c>
      <c r="Q196" s="14">
        <f t="shared" si="110"/>
        <v>-4.0558826113589896</v>
      </c>
      <c r="R196" s="14">
        <f t="shared" si="111"/>
        <v>-2.1780750636906657E-2</v>
      </c>
      <c r="S196" s="23">
        <f t="shared" ref="S196:S259" si="132">M196+O196+Q196</f>
        <v>-133.63225466166566</v>
      </c>
      <c r="T196" s="23">
        <f t="shared" ref="T196:T259" si="133">20*LOG(L196)+N196+P196+R196</f>
        <v>-32.709574379172594</v>
      </c>
      <c r="U196" s="14">
        <f t="shared" si="112"/>
        <v>20000</v>
      </c>
      <c r="V196" s="14">
        <f t="shared" si="113"/>
        <v>-89.999513009955322</v>
      </c>
      <c r="W196" s="14">
        <f t="shared" si="114"/>
        <v>-101.4120509839202</v>
      </c>
      <c r="X196" s="14">
        <f t="shared" si="115"/>
        <v>89.026113711820997</v>
      </c>
      <c r="Y196" s="14">
        <f t="shared" si="116"/>
        <v>35.392705875968005</v>
      </c>
      <c r="Z196" s="14">
        <f t="shared" si="117"/>
        <v>-14.970257800782392</v>
      </c>
      <c r="AA196" s="14">
        <f t="shared" si="118"/>
        <v>-0.29991755228085049</v>
      </c>
      <c r="AB196" s="23">
        <f t="shared" ref="AB196:AB259" si="134">V196+X196+Z196</f>
        <v>-15.943657098916717</v>
      </c>
      <c r="AC196" s="23">
        <f t="shared" ref="AC196:AC259" si="135">20*LOG(U196)+W196+Y196+AA196</f>
        <v>19.701337253046585</v>
      </c>
      <c r="AD196" s="14">
        <f t="shared" si="119"/>
        <v>12.074410453942736</v>
      </c>
      <c r="AE196" s="14">
        <f t="shared" si="120"/>
        <v>0.19431750665965977</v>
      </c>
      <c r="AF196" s="14">
        <f t="shared" si="121"/>
        <v>0.18384518530591748</v>
      </c>
      <c r="AG196" s="14">
        <f t="shared" si="122"/>
        <v>4.4714081397940619E-5</v>
      </c>
      <c r="AH196" s="14">
        <f t="shared" si="123"/>
        <v>-7.3138463569764953</v>
      </c>
      <c r="AI196" s="14">
        <f t="shared" si="124"/>
        <v>-7.0960015183254427E-2</v>
      </c>
      <c r="AJ196" s="23">
        <f t="shared" ref="AJ196:AJ259" si="136">AD196+AF196+AH196</f>
        <v>4.9444092822721588</v>
      </c>
      <c r="AK196" s="23">
        <f t="shared" ref="AK196:AK259" si="137">AE196+AG196+AI196</f>
        <v>0.12340220555780329</v>
      </c>
      <c r="AL196" s="14">
        <f t="shared" si="125"/>
        <v>0</v>
      </c>
      <c r="AM196" s="14">
        <f t="shared" si="126"/>
        <v>0</v>
      </c>
      <c r="AN196" s="14">
        <f t="shared" si="127"/>
        <v>0</v>
      </c>
      <c r="AO196" s="14">
        <f t="shared" si="128"/>
        <v>0</v>
      </c>
      <c r="AP196" s="23">
        <f t="shared" ref="AP196:AP259" si="138">AL196+AN196</f>
        <v>0</v>
      </c>
      <c r="AQ196" s="23">
        <f t="shared" ref="AQ196:AQ259" si="139">AM196+AO196</f>
        <v>0</v>
      </c>
    </row>
    <row r="197" spans="8:43" x14ac:dyDescent="0.25">
      <c r="H197" s="14">
        <v>2.94</v>
      </c>
      <c r="I197" s="36">
        <f t="shared" si="129"/>
        <v>8709.6358995608098</v>
      </c>
      <c r="J197" s="24">
        <f t="shared" si="130"/>
        <v>34.384062504889926</v>
      </c>
      <c r="K197" s="24">
        <f t="shared" si="131"/>
        <v>-13.006320580828621</v>
      </c>
      <c r="L197" s="14">
        <f t="shared" si="105"/>
        <v>0.67018069634200106</v>
      </c>
      <c r="M197" s="14">
        <f t="shared" si="106"/>
        <v>-41.726665579928593</v>
      </c>
      <c r="N197" s="14">
        <f t="shared" si="107"/>
        <v>2.5413994529278714</v>
      </c>
      <c r="O197" s="14">
        <f t="shared" si="108"/>
        <v>-88.538165967255722</v>
      </c>
      <c r="P197" s="14">
        <f t="shared" si="109"/>
        <v>-31.865433654067921</v>
      </c>
      <c r="Q197" s="14">
        <f t="shared" si="110"/>
        <v>-4.1500299087175563</v>
      </c>
      <c r="R197" s="14">
        <f t="shared" si="111"/>
        <v>-2.2804555361512935E-2</v>
      </c>
      <c r="S197" s="23">
        <f t="shared" si="132"/>
        <v>-134.41486145590187</v>
      </c>
      <c r="T197" s="23">
        <f t="shared" si="133"/>
        <v>-32.823000468339416</v>
      </c>
      <c r="U197" s="14">
        <f t="shared" si="112"/>
        <v>20000</v>
      </c>
      <c r="V197" s="14">
        <f t="shared" si="113"/>
        <v>-89.999524095202105</v>
      </c>
      <c r="W197" s="14">
        <f t="shared" si="114"/>
        <v>-101.61205098390604</v>
      </c>
      <c r="X197" s="14">
        <f t="shared" si="115"/>
        <v>89.048277945244934</v>
      </c>
      <c r="Y197" s="14">
        <f t="shared" si="116"/>
        <v>35.592649408201893</v>
      </c>
      <c r="Z197" s="14">
        <f t="shared" si="117"/>
        <v>-15.302784605437628</v>
      </c>
      <c r="AA197" s="14">
        <f t="shared" si="118"/>
        <v>-0.31355378396977285</v>
      </c>
      <c r="AB197" s="23">
        <f t="shared" si="134"/>
        <v>-16.254030755394801</v>
      </c>
      <c r="AC197" s="23">
        <f t="shared" si="135"/>
        <v>19.687644553605701</v>
      </c>
      <c r="AD197" s="14">
        <f t="shared" si="119"/>
        <v>12.347126268369058</v>
      </c>
      <c r="AE197" s="14">
        <f t="shared" si="120"/>
        <v>0.20326433123658863</v>
      </c>
      <c r="AF197" s="14">
        <f t="shared" si="121"/>
        <v>0.18812745936010924</v>
      </c>
      <c r="AG197" s="14">
        <f t="shared" si="122"/>
        <v>4.6821379771896715E-5</v>
      </c>
      <c r="AH197" s="14">
        <f t="shared" si="123"/>
        <v>-7.4822990115425707</v>
      </c>
      <c r="AI197" s="14">
        <f t="shared" si="124"/>
        <v>-7.4275818711267205E-2</v>
      </c>
      <c r="AJ197" s="23">
        <f t="shared" si="136"/>
        <v>5.052954716186596</v>
      </c>
      <c r="AK197" s="23">
        <f t="shared" si="137"/>
        <v>0.12903533390509331</v>
      </c>
      <c r="AL197" s="14">
        <f t="shared" si="125"/>
        <v>0</v>
      </c>
      <c r="AM197" s="14">
        <f t="shared" si="126"/>
        <v>0</v>
      </c>
      <c r="AN197" s="14">
        <f t="shared" si="127"/>
        <v>0</v>
      </c>
      <c r="AO197" s="14">
        <f t="shared" si="128"/>
        <v>0</v>
      </c>
      <c r="AP197" s="23">
        <f t="shared" si="138"/>
        <v>0</v>
      </c>
      <c r="AQ197" s="23">
        <f t="shared" si="139"/>
        <v>0</v>
      </c>
    </row>
    <row r="198" spans="8:43" x14ac:dyDescent="0.25">
      <c r="H198" s="14">
        <v>2.95</v>
      </c>
      <c r="I198" s="36">
        <f t="shared" si="129"/>
        <v>8912.509381337466</v>
      </c>
      <c r="J198" s="24">
        <f t="shared" si="130"/>
        <v>33.391427656267282</v>
      </c>
      <c r="K198" s="24">
        <f t="shared" si="131"/>
        <v>-13.125933656388611</v>
      </c>
      <c r="L198" s="14">
        <f t="shared" si="105"/>
        <v>0.67018069634200106</v>
      </c>
      <c r="M198" s="14">
        <f t="shared" si="106"/>
        <v>-42.382809931597926</v>
      </c>
      <c r="N198" s="14">
        <f t="shared" si="107"/>
        <v>2.631136425341368</v>
      </c>
      <c r="O198" s="14">
        <f t="shared" si="108"/>
        <v>-88.571427422707586</v>
      </c>
      <c r="P198" s="14">
        <f t="shared" si="109"/>
        <v>-32.065306441105378</v>
      </c>
      <c r="Q198" s="14">
        <f t="shared" si="110"/>
        <v>-4.2463469396350408</v>
      </c>
      <c r="R198" s="14">
        <f t="shared" si="111"/>
        <v>-2.3876351897839744E-2</v>
      </c>
      <c r="S198" s="23">
        <f t="shared" si="132"/>
        <v>-135.20058429394055</v>
      </c>
      <c r="T198" s="23">
        <f t="shared" si="133"/>
        <v>-32.934208079499705</v>
      </c>
      <c r="U198" s="14">
        <f t="shared" si="112"/>
        <v>20000</v>
      </c>
      <c r="V198" s="14">
        <f t="shared" si="113"/>
        <v>-89.999534928117868</v>
      </c>
      <c r="W198" s="14">
        <f t="shared" si="114"/>
        <v>-101.81205098389258</v>
      </c>
      <c r="X198" s="14">
        <f t="shared" si="115"/>
        <v>89.069937934385933</v>
      </c>
      <c r="Y198" s="14">
        <f t="shared" si="116"/>
        <v>35.792595481218527</v>
      </c>
      <c r="Z198" s="14">
        <f t="shared" si="117"/>
        <v>-15.641966989787354</v>
      </c>
      <c r="AA198" s="14">
        <f t="shared" si="118"/>
        <v>-0.32778692939636078</v>
      </c>
      <c r="AB198" s="23">
        <f t="shared" si="134"/>
        <v>-16.57156398351929</v>
      </c>
      <c r="AC198" s="23">
        <f t="shared" si="135"/>
        <v>19.673357481209216</v>
      </c>
      <c r="AD198" s="14">
        <f t="shared" si="119"/>
        <v>12.625607296417433</v>
      </c>
      <c r="AE198" s="14">
        <f t="shared" si="120"/>
        <v>0.2126130939249414</v>
      </c>
      <c r="AF198" s="14">
        <f t="shared" si="121"/>
        <v>0.19250947821462028</v>
      </c>
      <c r="AG198" s="14">
        <f t="shared" si="122"/>
        <v>4.9027990963626604E-5</v>
      </c>
      <c r="AH198" s="14">
        <f t="shared" si="123"/>
        <v>-7.6545408409049314</v>
      </c>
      <c r="AI198" s="14">
        <f t="shared" si="124"/>
        <v>-7.7745180014026527E-2</v>
      </c>
      <c r="AJ198" s="23">
        <f t="shared" si="136"/>
        <v>5.163575933727123</v>
      </c>
      <c r="AK198" s="23">
        <f t="shared" si="137"/>
        <v>0.1349169419018785</v>
      </c>
      <c r="AL198" s="14">
        <f t="shared" si="125"/>
        <v>0</v>
      </c>
      <c r="AM198" s="14">
        <f t="shared" si="126"/>
        <v>0</v>
      </c>
      <c r="AN198" s="14">
        <f t="shared" si="127"/>
        <v>0</v>
      </c>
      <c r="AO198" s="14">
        <f t="shared" si="128"/>
        <v>0</v>
      </c>
      <c r="AP198" s="23">
        <f t="shared" si="138"/>
        <v>0</v>
      </c>
      <c r="AQ198" s="23">
        <f t="shared" si="139"/>
        <v>0</v>
      </c>
    </row>
    <row r="199" spans="8:43" x14ac:dyDescent="0.25">
      <c r="H199" s="14">
        <v>2.96</v>
      </c>
      <c r="I199" s="36">
        <f t="shared" si="129"/>
        <v>9120.1083935590977</v>
      </c>
      <c r="J199" s="24">
        <f t="shared" si="130"/>
        <v>32.390812193874353</v>
      </c>
      <c r="K199" s="24">
        <f t="shared" si="131"/>
        <v>-13.243679354326781</v>
      </c>
      <c r="L199" s="14">
        <f t="shared" si="105"/>
        <v>0.67018069634200106</v>
      </c>
      <c r="M199" s="14">
        <f t="shared" si="106"/>
        <v>-43.040333881153856</v>
      </c>
      <c r="N199" s="14">
        <f t="shared" si="107"/>
        <v>2.7231566218639087</v>
      </c>
      <c r="O199" s="14">
        <f t="shared" si="108"/>
        <v>-88.603932685629076</v>
      </c>
      <c r="P199" s="14">
        <f t="shared" si="109"/>
        <v>-32.26518495019068</v>
      </c>
      <c r="Q199" s="14">
        <f t="shared" si="110"/>
        <v>-4.3448825939769211</v>
      </c>
      <c r="R199" s="14">
        <f t="shared" si="111"/>
        <v>-2.4998377219279905E-2</v>
      </c>
      <c r="S199" s="23">
        <f t="shared" si="132"/>
        <v>-135.98914916075987</v>
      </c>
      <c r="T199" s="23">
        <f t="shared" si="133"/>
        <v>-33.043188417383909</v>
      </c>
      <c r="U199" s="14">
        <f t="shared" si="112"/>
        <v>20000</v>
      </c>
      <c r="V199" s="14">
        <f t="shared" si="113"/>
        <v>-89.999545514446353</v>
      </c>
      <c r="W199" s="14">
        <f t="shared" si="114"/>
        <v>-102.0120509838797</v>
      </c>
      <c r="X199" s="14">
        <f t="shared" si="115"/>
        <v>89.091105138878802</v>
      </c>
      <c r="Y199" s="14">
        <f t="shared" si="116"/>
        <v>35.992543980724101</v>
      </c>
      <c r="Z199" s="14">
        <f t="shared" si="117"/>
        <v>-15.987889662732487</v>
      </c>
      <c r="AA199" s="14">
        <f t="shared" si="118"/>
        <v>-0.34264103499058218</v>
      </c>
      <c r="AB199" s="23">
        <f t="shared" si="134"/>
        <v>-16.896330038300036</v>
      </c>
      <c r="AC199" s="23">
        <f t="shared" si="135"/>
        <v>19.658451875133441</v>
      </c>
      <c r="AD199" s="14">
        <f t="shared" si="119"/>
        <v>12.909948538619654</v>
      </c>
      <c r="AE199" s="14">
        <f t="shared" si="120"/>
        <v>0.22238092854922498</v>
      </c>
      <c r="AF199" s="14">
        <f t="shared" si="121"/>
        <v>0.19699356506867793</v>
      </c>
      <c r="AG199" s="14">
        <f t="shared" si="122"/>
        <v>5.1338595335354977E-5</v>
      </c>
      <c r="AH199" s="14">
        <f t="shared" si="123"/>
        <v>-7.8306507107540728</v>
      </c>
      <c r="AI199" s="14">
        <f t="shared" si="124"/>
        <v>-8.1375079220872573E-2</v>
      </c>
      <c r="AJ199" s="23">
        <f t="shared" si="136"/>
        <v>5.2762913929342581</v>
      </c>
      <c r="AK199" s="23">
        <f t="shared" si="137"/>
        <v>0.14105718792368777</v>
      </c>
      <c r="AL199" s="14">
        <f t="shared" si="125"/>
        <v>0</v>
      </c>
      <c r="AM199" s="14">
        <f t="shared" si="126"/>
        <v>0</v>
      </c>
      <c r="AN199" s="14">
        <f t="shared" si="127"/>
        <v>0</v>
      </c>
      <c r="AO199" s="14">
        <f t="shared" si="128"/>
        <v>0</v>
      </c>
      <c r="AP199" s="23">
        <f t="shared" si="138"/>
        <v>0</v>
      </c>
      <c r="AQ199" s="23">
        <f t="shared" si="139"/>
        <v>0</v>
      </c>
    </row>
    <row r="200" spans="8:43" x14ac:dyDescent="0.25">
      <c r="H200" s="14">
        <v>2.97</v>
      </c>
      <c r="I200" s="36">
        <f t="shared" si="129"/>
        <v>9332.5430079699199</v>
      </c>
      <c r="J200" s="24">
        <f t="shared" si="130"/>
        <v>31.38243885138505</v>
      </c>
      <c r="K200" s="24">
        <f t="shared" si="131"/>
        <v>-13.359565793525089</v>
      </c>
      <c r="L200" s="14">
        <f t="shared" si="105"/>
        <v>0.67018069634200106</v>
      </c>
      <c r="M200" s="14">
        <f t="shared" si="106"/>
        <v>-43.698893360106247</v>
      </c>
      <c r="N200" s="14">
        <f t="shared" si="107"/>
        <v>2.8174684461864108</v>
      </c>
      <c r="O200" s="14">
        <f t="shared" si="108"/>
        <v>-88.635698906996737</v>
      </c>
      <c r="P200" s="14">
        <f t="shared" si="109"/>
        <v>-32.465068924095178</v>
      </c>
      <c r="Q200" s="14">
        <f t="shared" si="110"/>
        <v>-4.4456867839027874</v>
      </c>
      <c r="R200" s="14">
        <f t="shared" si="111"/>
        <v>-2.6172971351430659E-2</v>
      </c>
      <c r="S200" s="23">
        <f t="shared" si="132"/>
        <v>-136.78027905100578</v>
      </c>
      <c r="T200" s="23">
        <f t="shared" si="133"/>
        <v>-33.14993516109805</v>
      </c>
      <c r="U200" s="14">
        <f t="shared" si="112"/>
        <v>20000</v>
      </c>
      <c r="V200" s="14">
        <f t="shared" si="113"/>
        <v>-89.999555859800594</v>
      </c>
      <c r="W200" s="14">
        <f t="shared" si="114"/>
        <v>-102.2120509838674</v>
      </c>
      <c r="X200" s="14">
        <f t="shared" si="115"/>
        <v>89.111790758730379</v>
      </c>
      <c r="Y200" s="14">
        <f t="shared" si="116"/>
        <v>36.192494797563668</v>
      </c>
      <c r="Z200" s="14">
        <f t="shared" si="117"/>
        <v>-16.34063512290345</v>
      </c>
      <c r="AA200" s="14">
        <f t="shared" si="118"/>
        <v>-0.35814093112643675</v>
      </c>
      <c r="AB200" s="23">
        <f t="shared" si="134"/>
        <v>-17.228400223973665</v>
      </c>
      <c r="AC200" s="23">
        <f t="shared" si="135"/>
        <v>19.642902795849459</v>
      </c>
      <c r="AD200" s="14">
        <f t="shared" si="119"/>
        <v>13.200244708452185</v>
      </c>
      <c r="AE200" s="14">
        <f t="shared" si="120"/>
        <v>0.23258561496635158</v>
      </c>
      <c r="AF200" s="14">
        <f t="shared" si="121"/>
        <v>0.20158209722464218</v>
      </c>
      <c r="AG200" s="14">
        <f t="shared" si="122"/>
        <v>5.3758093817671435E-5</v>
      </c>
      <c r="AH200" s="14">
        <f t="shared" si="123"/>
        <v>-8.0107086793123354</v>
      </c>
      <c r="AI200" s="14">
        <f t="shared" si="124"/>
        <v>-8.5172801336666784E-2</v>
      </c>
      <c r="AJ200" s="23">
        <f t="shared" si="136"/>
        <v>5.3911181263644927</v>
      </c>
      <c r="AK200" s="23">
        <f t="shared" si="137"/>
        <v>0.14746657172350247</v>
      </c>
      <c r="AL200" s="14">
        <f t="shared" si="125"/>
        <v>0</v>
      </c>
      <c r="AM200" s="14">
        <f t="shared" si="126"/>
        <v>0</v>
      </c>
      <c r="AN200" s="14">
        <f t="shared" si="127"/>
        <v>0</v>
      </c>
      <c r="AO200" s="14">
        <f t="shared" si="128"/>
        <v>0</v>
      </c>
      <c r="AP200" s="23">
        <f t="shared" si="138"/>
        <v>0</v>
      </c>
      <c r="AQ200" s="23">
        <f t="shared" si="139"/>
        <v>0</v>
      </c>
    </row>
    <row r="201" spans="8:43" x14ac:dyDescent="0.25">
      <c r="H201" s="14">
        <v>2.98</v>
      </c>
      <c r="I201" s="36">
        <f t="shared" si="129"/>
        <v>9549.9258602143673</v>
      </c>
      <c r="J201" s="24">
        <f t="shared" si="130"/>
        <v>30.366533095811302</v>
      </c>
      <c r="K201" s="24">
        <f t="shared" si="131"/>
        <v>-13.473604048891501</v>
      </c>
      <c r="L201" s="14">
        <f t="shared" si="105"/>
        <v>0.67018069634200106</v>
      </c>
      <c r="M201" s="14">
        <f t="shared" si="106"/>
        <v>-44.358141572536439</v>
      </c>
      <c r="N201" s="14">
        <f t="shared" si="107"/>
        <v>2.9140779075112655</v>
      </c>
      <c r="O201" s="14">
        <f t="shared" si="108"/>
        <v>-88.666742851520581</v>
      </c>
      <c r="P201" s="14">
        <f t="shared" si="109"/>
        <v>-32.664958117140486</v>
      </c>
      <c r="Q201" s="14">
        <f t="shared" si="110"/>
        <v>-4.5488104595267203</v>
      </c>
      <c r="R201" s="14">
        <f t="shared" si="111"/>
        <v>-2.7402582002889288E-2</v>
      </c>
      <c r="S201" s="23">
        <f t="shared" si="132"/>
        <v>-137.57369488358373</v>
      </c>
      <c r="T201" s="23">
        <f t="shared" si="133"/>
        <v>-33.254444503469969</v>
      </c>
      <c r="U201" s="14">
        <f t="shared" si="112"/>
        <v>20000</v>
      </c>
      <c r="V201" s="14">
        <f t="shared" si="113"/>
        <v>-89.999565969665824</v>
      </c>
      <c r="W201" s="14">
        <f t="shared" si="114"/>
        <v>-102.41205098385565</v>
      </c>
      <c r="X201" s="14">
        <f t="shared" si="115"/>
        <v>89.132005740147761</v>
      </c>
      <c r="Y201" s="14">
        <f t="shared" si="116"/>
        <v>36.392447827490123</v>
      </c>
      <c r="Z201" s="14">
        <f t="shared" si="117"/>
        <v>-16.700283397569766</v>
      </c>
      <c r="AA201" s="14">
        <f t="shared" si="118"/>
        <v>-0.37431224130377083</v>
      </c>
      <c r="AB201" s="23">
        <f t="shared" si="134"/>
        <v>-17.567843627087829</v>
      </c>
      <c r="AC201" s="23">
        <f t="shared" si="135"/>
        <v>19.626684515610329</v>
      </c>
      <c r="AD201" s="14">
        <f t="shared" si="119"/>
        <v>13.496590081397844</v>
      </c>
      <c r="AE201" s="14">
        <f t="shared" si="120"/>
        <v>0.24324559573560525</v>
      </c>
      <c r="AF201" s="14">
        <f t="shared" si="121"/>
        <v>0.20627750734743025</v>
      </c>
      <c r="AG201" s="14">
        <f t="shared" si="122"/>
        <v>5.6291618305947248E-5</v>
      </c>
      <c r="AH201" s="14">
        <f t="shared" si="123"/>
        <v>-8.1947959822624163</v>
      </c>
      <c r="AI201" s="14">
        <f t="shared" si="124"/>
        <v>-8.9145948385771154E-2</v>
      </c>
      <c r="AJ201" s="23">
        <f t="shared" si="136"/>
        <v>5.5080716064828579</v>
      </c>
      <c r="AK201" s="23">
        <f t="shared" si="137"/>
        <v>0.15415593896814006</v>
      </c>
      <c r="AL201" s="14">
        <f t="shared" si="125"/>
        <v>0</v>
      </c>
      <c r="AM201" s="14">
        <f t="shared" si="126"/>
        <v>0</v>
      </c>
      <c r="AN201" s="14">
        <f t="shared" si="127"/>
        <v>0</v>
      </c>
      <c r="AO201" s="14">
        <f t="shared" si="128"/>
        <v>0</v>
      </c>
      <c r="AP201" s="23">
        <f t="shared" si="138"/>
        <v>0</v>
      </c>
      <c r="AQ201" s="23">
        <f t="shared" si="139"/>
        <v>0</v>
      </c>
    </row>
    <row r="202" spans="8:43" x14ac:dyDescent="0.25">
      <c r="H202" s="14">
        <v>2.99</v>
      </c>
      <c r="I202" s="36">
        <f t="shared" si="129"/>
        <v>9772.3722095581143</v>
      </c>
      <c r="J202" s="24">
        <f t="shared" si="130"/>
        <v>29.34332233315823</v>
      </c>
      <c r="K202" s="24">
        <f t="shared" si="131"/>
        <v>-13.585808185046764</v>
      </c>
      <c r="L202" s="14">
        <f t="shared" si="105"/>
        <v>0.67018069634200106</v>
      </c>
      <c r="M202" s="14">
        <f t="shared" si="106"/>
        <v>-45.017729902798465</v>
      </c>
      <c r="N202" s="14">
        <f t="shared" si="107"/>
        <v>3.0129885952218398</v>
      </c>
      <c r="O202" s="14">
        <f t="shared" si="108"/>
        <v>-88.697080906161105</v>
      </c>
      <c r="P202" s="14">
        <f t="shared" si="109"/>
        <v>-32.86485229468105</v>
      </c>
      <c r="Q202" s="14">
        <f t="shared" si="110"/>
        <v>-4.6543056243812098</v>
      </c>
      <c r="R202" s="14">
        <f t="shared" si="111"/>
        <v>-2.8689769392901982E-2</v>
      </c>
      <c r="S202" s="23">
        <f t="shared" si="132"/>
        <v>-138.36911643334076</v>
      </c>
      <c r="T202" s="23">
        <f t="shared" si="133"/>
        <v>-33.356715180689967</v>
      </c>
      <c r="U202" s="14">
        <f t="shared" si="112"/>
        <v>20000</v>
      </c>
      <c r="V202" s="14">
        <f t="shared" si="113"/>
        <v>-89.999575849402419</v>
      </c>
      <c r="W202" s="14">
        <f t="shared" si="114"/>
        <v>-102.61205098384444</v>
      </c>
      <c r="X202" s="14">
        <f t="shared" si="115"/>
        <v>89.151760781239133</v>
      </c>
      <c r="Y202" s="14">
        <f t="shared" si="116"/>
        <v>36.592402970943915</v>
      </c>
      <c r="Z202" s="14">
        <f t="shared" si="117"/>
        <v>-17.066911769313712</v>
      </c>
      <c r="AA202" s="14">
        <f t="shared" si="118"/>
        <v>-0.39118138983696382</v>
      </c>
      <c r="AB202" s="23">
        <f t="shared" si="134"/>
        <v>-17.914726837476998</v>
      </c>
      <c r="AC202" s="23">
        <f t="shared" si="135"/>
        <v>19.609770510542138</v>
      </c>
      <c r="AD202" s="14">
        <f t="shared" si="119"/>
        <v>13.799078333860734</v>
      </c>
      <c r="AE202" s="14">
        <f t="shared" si="120"/>
        <v>0.25437999248655113</v>
      </c>
      <c r="AF202" s="14">
        <f t="shared" si="121"/>
        <v>0.21108228475322591</v>
      </c>
      <c r="AG202" s="14">
        <f t="shared" si="122"/>
        <v>5.8944542540751722E-5</v>
      </c>
      <c r="AH202" s="14">
        <f t="shared" si="123"/>
        <v>-8.3829950146379684</v>
      </c>
      <c r="AI202" s="14">
        <f t="shared" si="124"/>
        <v>-9.3302451928026442E-2</v>
      </c>
      <c r="AJ202" s="23">
        <f t="shared" si="136"/>
        <v>5.6271656039759925</v>
      </c>
      <c r="AK202" s="23">
        <f t="shared" si="137"/>
        <v>0.16113648510106543</v>
      </c>
      <c r="AL202" s="14">
        <f t="shared" si="125"/>
        <v>0</v>
      </c>
      <c r="AM202" s="14">
        <f t="shared" si="126"/>
        <v>0</v>
      </c>
      <c r="AN202" s="14">
        <f t="shared" si="127"/>
        <v>0</v>
      </c>
      <c r="AO202" s="14">
        <f t="shared" si="128"/>
        <v>0</v>
      </c>
      <c r="AP202" s="23">
        <f t="shared" si="138"/>
        <v>0</v>
      </c>
      <c r="AQ202" s="23">
        <f t="shared" si="139"/>
        <v>0</v>
      </c>
    </row>
    <row r="203" spans="8:43" x14ac:dyDescent="0.25">
      <c r="H203" s="14">
        <v>3</v>
      </c>
      <c r="I203" s="36">
        <f t="shared" si="129"/>
        <v>10000</v>
      </c>
      <c r="J203" s="24">
        <f t="shared" si="130"/>
        <v>28.313035107653675</v>
      </c>
      <c r="K203" s="24">
        <f t="shared" si="131"/>
        <v>-13.69619527917804</v>
      </c>
      <c r="L203" s="14">
        <f t="shared" si="105"/>
        <v>0.67018069634200106</v>
      </c>
      <c r="M203" s="14">
        <f t="shared" si="106"/>
        <v>-45.677308834925221</v>
      </c>
      <c r="N203" s="14">
        <f t="shared" si="107"/>
        <v>3.1142016637046743</v>
      </c>
      <c r="O203" s="14">
        <f t="shared" si="108"/>
        <v>-88.726729088470606</v>
      </c>
      <c r="P203" s="14">
        <f t="shared" si="109"/>
        <v>-33.064751232609744</v>
      </c>
      <c r="Q203" s="14">
        <f t="shared" si="110"/>
        <v>-4.7622253506422494</v>
      </c>
      <c r="R203" s="14">
        <f t="shared" si="111"/>
        <v>-3.0037211283223404E-2</v>
      </c>
      <c r="S203" s="23">
        <f t="shared" si="132"/>
        <v>-139.16626327403807</v>
      </c>
      <c r="T203" s="23">
        <f t="shared" si="133"/>
        <v>-33.456748492026144</v>
      </c>
      <c r="U203" s="14">
        <f t="shared" si="112"/>
        <v>20000</v>
      </c>
      <c r="V203" s="14">
        <f t="shared" si="113"/>
        <v>-89.999585504248756</v>
      </c>
      <c r="W203" s="14">
        <f t="shared" si="114"/>
        <v>-102.81205098383373</v>
      </c>
      <c r="X203" s="14">
        <f t="shared" si="115"/>
        <v>89.171066337590077</v>
      </c>
      <c r="Y203" s="14">
        <f t="shared" si="116"/>
        <v>36.79236013284234</v>
      </c>
      <c r="Z203" s="14">
        <f t="shared" si="117"/>
        <v>-17.44059449051187</v>
      </c>
      <c r="AA203" s="14">
        <f t="shared" si="118"/>
        <v>-0.40877560788352252</v>
      </c>
      <c r="AB203" s="23">
        <f t="shared" si="134"/>
        <v>-18.26911365717055</v>
      </c>
      <c r="AC203" s="23">
        <f t="shared" si="135"/>
        <v>19.592133454404713</v>
      </c>
      <c r="AD203" s="14">
        <f t="shared" si="119"/>
        <v>14.107802371590129</v>
      </c>
      <c r="AE203" s="14">
        <f t="shared" si="120"/>
        <v>0.26600862189675623</v>
      </c>
      <c r="AF203" s="14">
        <f t="shared" si="121"/>
        <v>0.2159989767281415</v>
      </c>
      <c r="AG203" s="14">
        <f t="shared" si="122"/>
        <v>6.1722493505046307E-5</v>
      </c>
      <c r="AH203" s="14">
        <f t="shared" si="123"/>
        <v>-8.5753893094559697</v>
      </c>
      <c r="AI203" s="14">
        <f t="shared" si="124"/>
        <v>-9.765058594687083E-2</v>
      </c>
      <c r="AJ203" s="23">
        <f t="shared" si="136"/>
        <v>5.7484120388623001</v>
      </c>
      <c r="AK203" s="23">
        <f t="shared" si="137"/>
        <v>0.16841975844339047</v>
      </c>
      <c r="AL203" s="14">
        <f t="shared" si="125"/>
        <v>0</v>
      </c>
      <c r="AM203" s="14">
        <f t="shared" si="126"/>
        <v>0</v>
      </c>
      <c r="AN203" s="14">
        <f t="shared" si="127"/>
        <v>0</v>
      </c>
      <c r="AO203" s="14">
        <f t="shared" si="128"/>
        <v>0</v>
      </c>
      <c r="AP203" s="23">
        <f t="shared" si="138"/>
        <v>0</v>
      </c>
      <c r="AQ203" s="23">
        <f t="shared" si="139"/>
        <v>0</v>
      </c>
    </row>
    <row r="204" spans="8:43" x14ac:dyDescent="0.25">
      <c r="H204" s="14">
        <v>3.01</v>
      </c>
      <c r="I204" s="36">
        <f t="shared" si="129"/>
        <v>10232.929922807547</v>
      </c>
      <c r="J204" s="24">
        <f t="shared" si="130"/>
        <v>27.275900300277009</v>
      </c>
      <c r="K204" s="24">
        <f t="shared" si="131"/>
        <v>-13.804785432849004</v>
      </c>
      <c r="L204" s="14">
        <f t="shared" si="105"/>
        <v>0.67018069634200106</v>
      </c>
      <c r="M204" s="14">
        <f t="shared" si="106"/>
        <v>-46.336528877842348</v>
      </c>
      <c r="N204" s="14">
        <f t="shared" si="107"/>
        <v>3.217715827460597</v>
      </c>
      <c r="O204" s="14">
        <f t="shared" si="108"/>
        <v>-88.755703054761867</v>
      </c>
      <c r="P204" s="14">
        <f t="shared" si="109"/>
        <v>-33.264654716885502</v>
      </c>
      <c r="Q204" s="14">
        <f t="shared" si="110"/>
        <v>-4.8726237940702548</v>
      </c>
      <c r="R204" s="14">
        <f t="shared" si="111"/>
        <v>-3.1447708221564605E-2</v>
      </c>
      <c r="S204" s="23">
        <f t="shared" si="132"/>
        <v>-139.96485572667447</v>
      </c>
      <c r="T204" s="23">
        <f t="shared" si="133"/>
        <v>-33.554548309484325</v>
      </c>
      <c r="U204" s="14">
        <f t="shared" si="112"/>
        <v>20000</v>
      </c>
      <c r="V204" s="14">
        <f t="shared" si="113"/>
        <v>-89.999594939323956</v>
      </c>
      <c r="W204" s="14">
        <f t="shared" si="114"/>
        <v>-103.01205098382349</v>
      </c>
      <c r="X204" s="14">
        <f t="shared" si="115"/>
        <v>89.189932627717596</v>
      </c>
      <c r="Y204" s="14">
        <f t="shared" si="116"/>
        <v>36.992319222378491</v>
      </c>
      <c r="Z204" s="14">
        <f t="shared" si="117"/>
        <v>-17.821402485746216</v>
      </c>
      <c r="AA204" s="14">
        <f t="shared" si="118"/>
        <v>-0.42712293763794495</v>
      </c>
      <c r="AB204" s="23">
        <f t="shared" si="134"/>
        <v>-18.631064797352575</v>
      </c>
      <c r="AC204" s="23">
        <f t="shared" si="135"/>
        <v>19.573745214196684</v>
      </c>
      <c r="AD204" s="14">
        <f t="shared" si="119"/>
        <v>14.422854147286552</v>
      </c>
      <c r="AE204" s="14">
        <f t="shared" si="120"/>
        <v>0.27815201118374588</v>
      </c>
      <c r="AF204" s="14">
        <f t="shared" si="121"/>
        <v>0.22103018987753273</v>
      </c>
      <c r="AG204" s="14">
        <f t="shared" si="122"/>
        <v>6.4631363361290518E-5</v>
      </c>
      <c r="AH204" s="14">
        <f t="shared" si="123"/>
        <v>-8.7720635128600275</v>
      </c>
      <c r="AI204" s="14">
        <f t="shared" si="124"/>
        <v>-0.10219898010846924</v>
      </c>
      <c r="AJ204" s="23">
        <f t="shared" si="136"/>
        <v>5.8718208243040575</v>
      </c>
      <c r="AK204" s="23">
        <f t="shared" si="137"/>
        <v>0.17601766243863792</v>
      </c>
      <c r="AL204" s="14">
        <f t="shared" si="125"/>
        <v>0</v>
      </c>
      <c r="AM204" s="14">
        <f t="shared" si="126"/>
        <v>0</v>
      </c>
      <c r="AN204" s="14">
        <f t="shared" si="127"/>
        <v>0</v>
      </c>
      <c r="AO204" s="14">
        <f t="shared" si="128"/>
        <v>0</v>
      </c>
      <c r="AP204" s="23">
        <f t="shared" si="138"/>
        <v>0</v>
      </c>
      <c r="AQ204" s="23">
        <f t="shared" si="139"/>
        <v>0</v>
      </c>
    </row>
    <row r="205" spans="8:43" x14ac:dyDescent="0.25">
      <c r="H205" s="14">
        <v>3.02</v>
      </c>
      <c r="I205" s="36">
        <f t="shared" si="129"/>
        <v>10471.285480508999</v>
      </c>
      <c r="J205" s="24">
        <f t="shared" si="130"/>
        <v>26.232146332337194</v>
      </c>
      <c r="K205" s="24">
        <f t="shared" si="131"/>
        <v>-13.911601772648909</v>
      </c>
      <c r="L205" s="14">
        <f t="shared" si="105"/>
        <v>0.67018069634200106</v>
      </c>
      <c r="M205" s="14">
        <f t="shared" si="106"/>
        <v>-46.995041490420959</v>
      </c>
      <c r="N205" s="14">
        <f t="shared" si="107"/>
        <v>3.3235273665486438</v>
      </c>
      <c r="O205" s="14">
        <f t="shared" si="108"/>
        <v>-88.784018108106764</v>
      </c>
      <c r="P205" s="14">
        <f t="shared" si="109"/>
        <v>-33.464562543082081</v>
      </c>
      <c r="Q205" s="14">
        <f t="shared" si="110"/>
        <v>-4.9855562086176057</v>
      </c>
      <c r="R205" s="14">
        <f t="shared" si="111"/>
        <v>-3.2924189004278459E-2</v>
      </c>
      <c r="S205" s="23">
        <f t="shared" si="132"/>
        <v>-140.76461580714533</v>
      </c>
      <c r="T205" s="23">
        <f t="shared" si="133"/>
        <v>-33.650121077375573</v>
      </c>
      <c r="U205" s="14">
        <f t="shared" si="112"/>
        <v>20000</v>
      </c>
      <c r="V205" s="14">
        <f t="shared" si="113"/>
        <v>-89.999604159630607</v>
      </c>
      <c r="W205" s="14">
        <f t="shared" si="114"/>
        <v>-103.21205098381371</v>
      </c>
      <c r="X205" s="14">
        <f t="shared" si="115"/>
        <v>89.208369638404506</v>
      </c>
      <c r="Y205" s="14">
        <f t="shared" si="116"/>
        <v>37.192280152829071</v>
      </c>
      <c r="Z205" s="14">
        <f t="shared" si="117"/>
        <v>-18.209403042349397</v>
      </c>
      <c r="AA205" s="14">
        <f t="shared" si="118"/>
        <v>-0.44625223450896523</v>
      </c>
      <c r="AB205" s="23">
        <f t="shared" si="134"/>
        <v>-19.000637563575498</v>
      </c>
      <c r="AC205" s="23">
        <f t="shared" si="135"/>
        <v>19.55457684778602</v>
      </c>
      <c r="AD205" s="14">
        <f t="shared" si="119"/>
        <v>14.744324467083526</v>
      </c>
      <c r="AE205" s="14">
        <f t="shared" si="120"/>
        <v>0.2908314130077978</v>
      </c>
      <c r="AF205" s="14">
        <f t="shared" si="121"/>
        <v>0.22617859150667083</v>
      </c>
      <c r="AG205" s="14">
        <f t="shared" si="122"/>
        <v>6.7677321941949495E-5</v>
      </c>
      <c r="AH205" s="14">
        <f t="shared" si="123"/>
        <v>-8.9731033555321691</v>
      </c>
      <c r="AI205" s="14">
        <f t="shared" si="124"/>
        <v>-0.10695663338909532</v>
      </c>
      <c r="AJ205" s="23">
        <f t="shared" si="136"/>
        <v>5.9973997030580275</v>
      </c>
      <c r="AK205" s="23">
        <f t="shared" si="137"/>
        <v>0.18394245694064443</v>
      </c>
      <c r="AL205" s="14">
        <f t="shared" si="125"/>
        <v>0</v>
      </c>
      <c r="AM205" s="14">
        <f t="shared" si="126"/>
        <v>0</v>
      </c>
      <c r="AN205" s="14">
        <f t="shared" si="127"/>
        <v>0</v>
      </c>
      <c r="AO205" s="14">
        <f t="shared" si="128"/>
        <v>0</v>
      </c>
      <c r="AP205" s="23">
        <f t="shared" si="138"/>
        <v>0</v>
      </c>
      <c r="AQ205" s="23">
        <f t="shared" si="139"/>
        <v>0</v>
      </c>
    </row>
    <row r="206" spans="8:43" x14ac:dyDescent="0.25">
      <c r="H206" s="14">
        <v>3.03</v>
      </c>
      <c r="I206" s="36">
        <f t="shared" si="129"/>
        <v>10715.193052376069</v>
      </c>
      <c r="J206" s="24">
        <f t="shared" si="130"/>
        <v>25.18200037979306</v>
      </c>
      <c r="K206" s="24">
        <f t="shared" si="131"/>
        <v>-14.016670439654698</v>
      </c>
      <c r="L206" s="14">
        <f t="shared" si="105"/>
        <v>0.67018069634200106</v>
      </c>
      <c r="M206" s="14">
        <f t="shared" si="106"/>
        <v>-47.652500000404082</v>
      </c>
      <c r="N206" s="14">
        <f t="shared" si="107"/>
        <v>3.4316301423138995</v>
      </c>
      <c r="O206" s="14">
        <f t="shared" si="108"/>
        <v>-88.811689206167756</v>
      </c>
      <c r="P206" s="14">
        <f t="shared" si="109"/>
        <v>-33.664474515956961</v>
      </c>
      <c r="Q206" s="14">
        <f t="shared" si="110"/>
        <v>-5.1010789606500699</v>
      </c>
      <c r="R206" s="14">
        <f t="shared" si="111"/>
        <v>-3.4469716365972347E-2</v>
      </c>
      <c r="S206" s="23">
        <f t="shared" si="132"/>
        <v>-141.56526816722189</v>
      </c>
      <c r="T206" s="23">
        <f t="shared" si="133"/>
        <v>-33.743475801846884</v>
      </c>
      <c r="U206" s="14">
        <f t="shared" si="112"/>
        <v>20000</v>
      </c>
      <c r="V206" s="14">
        <f t="shared" si="113"/>
        <v>-89.999613170057472</v>
      </c>
      <c r="W206" s="14">
        <f t="shared" si="114"/>
        <v>-103.41205098380439</v>
      </c>
      <c r="X206" s="14">
        <f t="shared" si="115"/>
        <v>89.226387129916446</v>
      </c>
      <c r="Y206" s="14">
        <f t="shared" si="116"/>
        <v>37.39224284137093</v>
      </c>
      <c r="Z206" s="14">
        <f t="shared" si="117"/>
        <v>-18.604659489382737</v>
      </c>
      <c r="AA206" s="14">
        <f t="shared" si="118"/>
        <v>-0.46619316709165215</v>
      </c>
      <c r="AB206" s="23">
        <f t="shared" si="134"/>
        <v>-19.377885529523763</v>
      </c>
      <c r="AC206" s="23">
        <f t="shared" si="135"/>
        <v>19.53459860375451</v>
      </c>
      <c r="AD206" s="14">
        <f t="shared" si="119"/>
        <v>15.072302785624814</v>
      </c>
      <c r="AE206" s="14">
        <f t="shared" si="120"/>
        <v>0.30406881967418631</v>
      </c>
      <c r="AF206" s="14">
        <f t="shared" si="121"/>
        <v>0.23144691103350193</v>
      </c>
      <c r="AG206" s="14">
        <f t="shared" si="122"/>
        <v>7.0866829837750445E-5</v>
      </c>
      <c r="AH206" s="14">
        <f t="shared" si="123"/>
        <v>-9.1785956201196033</v>
      </c>
      <c r="AI206" s="14">
        <f t="shared" si="124"/>
        <v>-0.11193292806634871</v>
      </c>
      <c r="AJ206" s="23">
        <f t="shared" si="136"/>
        <v>6.1251540765387116</v>
      </c>
      <c r="AK206" s="23">
        <f t="shared" si="137"/>
        <v>0.19220675843767537</v>
      </c>
      <c r="AL206" s="14">
        <f t="shared" si="125"/>
        <v>0</v>
      </c>
      <c r="AM206" s="14">
        <f t="shared" si="126"/>
        <v>0</v>
      </c>
      <c r="AN206" s="14">
        <f t="shared" si="127"/>
        <v>0</v>
      </c>
      <c r="AO206" s="14">
        <f t="shared" si="128"/>
        <v>0</v>
      </c>
      <c r="AP206" s="23">
        <f t="shared" si="138"/>
        <v>0</v>
      </c>
      <c r="AQ206" s="23">
        <f t="shared" si="139"/>
        <v>0</v>
      </c>
    </row>
    <row r="207" spans="8:43" x14ac:dyDescent="0.25">
      <c r="H207" s="14">
        <v>3.04</v>
      </c>
      <c r="I207" s="36">
        <f t="shared" si="129"/>
        <v>10964.781961431863</v>
      </c>
      <c r="J207" s="24">
        <f t="shared" si="130"/>
        <v>24.125687603882639</v>
      </c>
      <c r="K207" s="24">
        <f t="shared" si="131"/>
        <v>-14.120020567773564</v>
      </c>
      <c r="L207" s="14">
        <f t="shared" si="105"/>
        <v>0.67018069634200106</v>
      </c>
      <c r="M207" s="14">
        <f t="shared" si="106"/>
        <v>-48.30856051131348</v>
      </c>
      <c r="N207" s="14">
        <f t="shared" si="107"/>
        <v>3.5420156232582056</v>
      </c>
      <c r="O207" s="14">
        <f t="shared" si="108"/>
        <v>-88.838730968865136</v>
      </c>
      <c r="P207" s="14">
        <f t="shared" si="109"/>
        <v>-33.864390449039504</v>
      </c>
      <c r="Q207" s="14">
        <f t="shared" si="110"/>
        <v>-5.2192495427250787</v>
      </c>
      <c r="R207" s="14">
        <f t="shared" si="111"/>
        <v>-3.6087492903951614E-2</v>
      </c>
      <c r="S207" s="23">
        <f t="shared" si="132"/>
        <v>-142.36654102290368</v>
      </c>
      <c r="T207" s="23">
        <f t="shared" si="133"/>
        <v>-33.834624030523109</v>
      </c>
      <c r="U207" s="14">
        <f t="shared" si="112"/>
        <v>20000</v>
      </c>
      <c r="V207" s="14">
        <f t="shared" si="113"/>
        <v>-89.999621975381984</v>
      </c>
      <c r="W207" s="14">
        <f t="shared" si="114"/>
        <v>-103.61205098379548</v>
      </c>
      <c r="X207" s="14">
        <f t="shared" si="115"/>
        <v>89.24399464110401</v>
      </c>
      <c r="Y207" s="14">
        <f t="shared" si="116"/>
        <v>37.592207208905805</v>
      </c>
      <c r="Z207" s="14">
        <f t="shared" si="117"/>
        <v>-19.007230865445795</v>
      </c>
      <c r="AA207" s="14">
        <f t="shared" si="118"/>
        <v>-0.48697621473995861</v>
      </c>
      <c r="AB207" s="23">
        <f t="shared" si="134"/>
        <v>-19.76285819972377</v>
      </c>
      <c r="AC207" s="23">
        <f t="shared" si="135"/>
        <v>19.513779923649988</v>
      </c>
      <c r="AD207" s="14">
        <f t="shared" si="119"/>
        <v>15.406876989486966</v>
      </c>
      <c r="AE207" s="14">
        <f t="shared" si="120"/>
        <v>0.31788697651527065</v>
      </c>
      <c r="AF207" s="14">
        <f t="shared" si="121"/>
        <v>0.23683794143423198</v>
      </c>
      <c r="AG207" s="14">
        <f t="shared" si="122"/>
        <v>7.4206652101032854E-5</v>
      </c>
      <c r="AH207" s="14">
        <f t="shared" si="123"/>
        <v>-9.3886281044111151</v>
      </c>
      <c r="AI207" s="14">
        <f t="shared" si="124"/>
        <v>-0.11713764406781452</v>
      </c>
      <c r="AJ207" s="23">
        <f t="shared" si="136"/>
        <v>6.2550868265100821</v>
      </c>
      <c r="AK207" s="23">
        <f t="shared" si="137"/>
        <v>0.20082353909955714</v>
      </c>
      <c r="AL207" s="14">
        <f t="shared" si="125"/>
        <v>0</v>
      </c>
      <c r="AM207" s="14">
        <f t="shared" si="126"/>
        <v>0</v>
      </c>
      <c r="AN207" s="14">
        <f t="shared" si="127"/>
        <v>0</v>
      </c>
      <c r="AO207" s="14">
        <f t="shared" si="128"/>
        <v>0</v>
      </c>
      <c r="AP207" s="23">
        <f t="shared" si="138"/>
        <v>0</v>
      </c>
      <c r="AQ207" s="23">
        <f t="shared" si="139"/>
        <v>0</v>
      </c>
    </row>
    <row r="208" spans="8:43" x14ac:dyDescent="0.25">
      <c r="H208" s="14">
        <v>3.05</v>
      </c>
      <c r="I208" s="36">
        <f t="shared" si="129"/>
        <v>11220.184543019637</v>
      </c>
      <c r="J208" s="24">
        <f t="shared" si="130"/>
        <v>23.063430403426565</v>
      </c>
      <c r="K208" s="24">
        <f t="shared" si="131"/>
        <v>-14.221684251124575</v>
      </c>
      <c r="L208" s="14">
        <f t="shared" si="105"/>
        <v>0.67018069634200106</v>
      </c>
      <c r="M208" s="14">
        <f t="shared" si="106"/>
        <v>-48.962882791588072</v>
      </c>
      <c r="N208" s="14">
        <f t="shared" si="107"/>
        <v>3.6546729208227253</v>
      </c>
      <c r="O208" s="14">
        <f t="shared" si="108"/>
        <v>-88.865157685882593</v>
      </c>
      <c r="P208" s="14">
        <f t="shared" si="109"/>
        <v>-34.064310164237483</v>
      </c>
      <c r="Q208" s="14">
        <f t="shared" si="110"/>
        <v>-5.3401265868657291</v>
      </c>
      <c r="R208" s="14">
        <f t="shared" si="111"/>
        <v>-3.7780867245445965E-2</v>
      </c>
      <c r="S208" s="23">
        <f t="shared" si="132"/>
        <v>-143.16816706433639</v>
      </c>
      <c r="T208" s="23">
        <f t="shared" si="133"/>
        <v>-33.923579822498056</v>
      </c>
      <c r="U208" s="14">
        <f t="shared" si="112"/>
        <v>20000</v>
      </c>
      <c r="V208" s="14">
        <f t="shared" si="113"/>
        <v>-89.999630580272836</v>
      </c>
      <c r="W208" s="14">
        <f t="shared" si="114"/>
        <v>-103.81205098378697</v>
      </c>
      <c r="X208" s="14">
        <f t="shared" si="115"/>
        <v>89.261201494392395</v>
      </c>
      <c r="Y208" s="14">
        <f t="shared" si="116"/>
        <v>37.792173179892849</v>
      </c>
      <c r="Z208" s="14">
        <f t="shared" si="117"/>
        <v>-19.417171575826785</v>
      </c>
      <c r="AA208" s="14">
        <f t="shared" si="118"/>
        <v>-0.50863266254034467</v>
      </c>
      <c r="AB208" s="23">
        <f t="shared" si="134"/>
        <v>-20.155600661707226</v>
      </c>
      <c r="AC208" s="23">
        <f t="shared" si="135"/>
        <v>19.492089446845156</v>
      </c>
      <c r="AD208" s="14">
        <f t="shared" si="119"/>
        <v>15.748133168734157</v>
      </c>
      <c r="AE208" s="14">
        <f t="shared" si="120"/>
        <v>0.3323093943244978</v>
      </c>
      <c r="AF208" s="14">
        <f t="shared" si="121"/>
        <v>0.24235454072249699</v>
      </c>
      <c r="AG208" s="14">
        <f t="shared" si="122"/>
        <v>7.7703872583465103E-5</v>
      </c>
      <c r="AH208" s="14">
        <f t="shared" si="123"/>
        <v>-9.603289579986475</v>
      </c>
      <c r="AI208" s="14">
        <f t="shared" si="124"/>
        <v>-0.12258097366875728</v>
      </c>
      <c r="AJ208" s="23">
        <f t="shared" si="136"/>
        <v>6.3871981294701783</v>
      </c>
      <c r="AK208" s="23">
        <f t="shared" si="137"/>
        <v>0.20980612452832401</v>
      </c>
      <c r="AL208" s="14">
        <f t="shared" si="125"/>
        <v>0</v>
      </c>
      <c r="AM208" s="14">
        <f t="shared" si="126"/>
        <v>0</v>
      </c>
      <c r="AN208" s="14">
        <f t="shared" si="127"/>
        <v>0</v>
      </c>
      <c r="AO208" s="14">
        <f t="shared" si="128"/>
        <v>0</v>
      </c>
      <c r="AP208" s="23">
        <f t="shared" si="138"/>
        <v>0</v>
      </c>
      <c r="AQ208" s="23">
        <f t="shared" si="139"/>
        <v>0</v>
      </c>
    </row>
    <row r="209" spans="8:43" x14ac:dyDescent="0.25">
      <c r="H209" s="14">
        <v>3.06</v>
      </c>
      <c r="I209" s="36">
        <f t="shared" si="129"/>
        <v>11481.536214968839</v>
      </c>
      <c r="J209" s="24">
        <f t="shared" si="130"/>
        <v>21.995447693898136</v>
      </c>
      <c r="K209" s="24">
        <f t="shared" si="131"/>
        <v>-14.321696500706521</v>
      </c>
      <c r="L209" s="14">
        <f t="shared" si="105"/>
        <v>0.67018069634200106</v>
      </c>
      <c r="M209" s="14">
        <f t="shared" si="106"/>
        <v>-49.615131140415755</v>
      </c>
      <c r="N209" s="14">
        <f t="shared" si="107"/>
        <v>3.7695888347650772</v>
      </c>
      <c r="O209" s="14">
        <f t="shared" si="108"/>
        <v>-88.890983324014158</v>
      </c>
      <c r="P209" s="14">
        <f t="shared" si="109"/>
        <v>-34.264233491461297</v>
      </c>
      <c r="Q209" s="14">
        <f t="shared" si="110"/>
        <v>-5.4637698772648413</v>
      </c>
      <c r="R209" s="14">
        <f t="shared" si="111"/>
        <v>-3.9553340465709394E-2</v>
      </c>
      <c r="S209" s="23">
        <f t="shared" si="132"/>
        <v>-143.96988434169475</v>
      </c>
      <c r="T209" s="23">
        <f t="shared" si="133"/>
        <v>-34.010359708999786</v>
      </c>
      <c r="U209" s="14">
        <f t="shared" si="112"/>
        <v>20000</v>
      </c>
      <c r="V209" s="14">
        <f t="shared" si="113"/>
        <v>-89.999638989292464</v>
      </c>
      <c r="W209" s="14">
        <f t="shared" si="114"/>
        <v>-104.01205098377885</v>
      </c>
      <c r="X209" s="14">
        <f t="shared" si="115"/>
        <v>89.278016800660779</v>
      </c>
      <c r="Y209" s="14">
        <f t="shared" si="116"/>
        <v>37.992140682188882</v>
      </c>
      <c r="Z209" s="14">
        <f t="shared" si="117"/>
        <v>-19.83453103962183</v>
      </c>
      <c r="AA209" s="14">
        <f t="shared" si="118"/>
        <v>-0.53119459348331111</v>
      </c>
      <c r="AB209" s="23">
        <f t="shared" si="134"/>
        <v>-20.556153228253514</v>
      </c>
      <c r="AC209" s="23">
        <f t="shared" si="135"/>
        <v>19.469495018206349</v>
      </c>
      <c r="AD209" s="14">
        <f t="shared" si="119"/>
        <v>16.096155376434378</v>
      </c>
      <c r="AE209" s="14">
        <f t="shared" si="120"/>
        <v>0.34736036070595161</v>
      </c>
      <c r="AF209" s="14">
        <f t="shared" si="121"/>
        <v>0.24799963346289847</v>
      </c>
      <c r="AG209" s="14">
        <f t="shared" si="122"/>
        <v>8.1365908971757039E-5</v>
      </c>
      <c r="AH209" s="14">
        <f t="shared" si="123"/>
        <v>-9.8226697460508792</v>
      </c>
      <c r="AI209" s="14">
        <f t="shared" si="124"/>
        <v>-0.1282735365280061</v>
      </c>
      <c r="AJ209" s="23">
        <f t="shared" si="136"/>
        <v>6.5214852638463991</v>
      </c>
      <c r="AK209" s="23">
        <f t="shared" si="137"/>
        <v>0.21916819008691724</v>
      </c>
      <c r="AL209" s="14">
        <f t="shared" si="125"/>
        <v>0</v>
      </c>
      <c r="AM209" s="14">
        <f t="shared" si="126"/>
        <v>0</v>
      </c>
      <c r="AN209" s="14">
        <f t="shared" si="127"/>
        <v>0</v>
      </c>
      <c r="AO209" s="14">
        <f t="shared" si="128"/>
        <v>0</v>
      </c>
      <c r="AP209" s="23">
        <f t="shared" si="138"/>
        <v>0</v>
      </c>
      <c r="AQ209" s="23">
        <f t="shared" si="139"/>
        <v>0</v>
      </c>
    </row>
    <row r="210" spans="8:43" x14ac:dyDescent="0.25">
      <c r="H210" s="14">
        <v>3.07</v>
      </c>
      <c r="I210" s="36">
        <f t="shared" si="129"/>
        <v>11748.975549395294</v>
      </c>
      <c r="J210" s="24">
        <f t="shared" si="130"/>
        <v>20.921954218019458</v>
      </c>
      <c r="K210" s="24">
        <f t="shared" si="131"/>
        <v>-14.420095190684503</v>
      </c>
      <c r="L210" s="14">
        <f t="shared" si="105"/>
        <v>0.67018069634200106</v>
      </c>
      <c r="M210" s="14">
        <f t="shared" si="106"/>
        <v>-50.264975224993776</v>
      </c>
      <c r="N210" s="14">
        <f t="shared" si="107"/>
        <v>3.8867479077318672</v>
      </c>
      <c r="O210" s="14">
        <f t="shared" si="108"/>
        <v>-88.916221534355259</v>
      </c>
      <c r="P210" s="14">
        <f t="shared" si="109"/>
        <v>-34.464160268264841</v>
      </c>
      <c r="Q210" s="14">
        <f t="shared" si="110"/>
        <v>-5.5902403623484034</v>
      </c>
      <c r="R210" s="14">
        <f t="shared" si="111"/>
        <v>-4.1408572765132413E-2</v>
      </c>
      <c r="S210" s="23">
        <f t="shared" si="132"/>
        <v>-144.77143712169743</v>
      </c>
      <c r="T210" s="23">
        <f t="shared" si="133"/>
        <v>-34.094982645135964</v>
      </c>
      <c r="U210" s="14">
        <f t="shared" si="112"/>
        <v>20000</v>
      </c>
      <c r="V210" s="14">
        <f t="shared" si="113"/>
        <v>-89.999647206899439</v>
      </c>
      <c r="W210" s="14">
        <f t="shared" si="114"/>
        <v>-104.21205098377108</v>
      </c>
      <c r="X210" s="14">
        <f t="shared" si="115"/>
        <v>89.294449464013766</v>
      </c>
      <c r="Y210" s="14">
        <f t="shared" si="116"/>
        <v>38.19210964689551</v>
      </c>
      <c r="Z210" s="14">
        <f t="shared" si="117"/>
        <v>-20.25935332757707</v>
      </c>
      <c r="AA210" s="14">
        <f t="shared" si="118"/>
        <v>-0.55469487762695291</v>
      </c>
      <c r="AB210" s="23">
        <f t="shared" si="134"/>
        <v>-20.964551070462743</v>
      </c>
      <c r="AC210" s="23">
        <f t="shared" si="135"/>
        <v>19.445963698777103</v>
      </c>
      <c r="AD210" s="14">
        <f t="shared" si="119"/>
        <v>16.451025376014591</v>
      </c>
      <c r="AE210" s="14">
        <f t="shared" si="120"/>
        <v>0.36306495019458485</v>
      </c>
      <c r="AF210" s="14">
        <f t="shared" si="121"/>
        <v>0.25377621231968878</v>
      </c>
      <c r="AG210" s="14">
        <f t="shared" si="122"/>
        <v>8.5200528507851412E-5</v>
      </c>
      <c r="AH210" s="14">
        <f t="shared" si="123"/>
        <v>-10.046859178154648</v>
      </c>
      <c r="AI210" s="14">
        <f t="shared" si="124"/>
        <v>-0.13422639504873352</v>
      </c>
      <c r="AJ210" s="23">
        <f t="shared" si="136"/>
        <v>6.6579424101796327</v>
      </c>
      <c r="AK210" s="23">
        <f t="shared" si="137"/>
        <v>0.22892375567435919</v>
      </c>
      <c r="AL210" s="14">
        <f t="shared" si="125"/>
        <v>0</v>
      </c>
      <c r="AM210" s="14">
        <f t="shared" si="126"/>
        <v>0</v>
      </c>
      <c r="AN210" s="14">
        <f t="shared" si="127"/>
        <v>0</v>
      </c>
      <c r="AO210" s="14">
        <f t="shared" si="128"/>
        <v>0</v>
      </c>
      <c r="AP210" s="23">
        <f t="shared" si="138"/>
        <v>0</v>
      </c>
      <c r="AQ210" s="23">
        <f t="shared" si="139"/>
        <v>0</v>
      </c>
    </row>
    <row r="211" spans="8:43" x14ac:dyDescent="0.25">
      <c r="H211" s="14">
        <v>3.08</v>
      </c>
      <c r="I211" s="36">
        <f t="shared" si="129"/>
        <v>12022.644346174138</v>
      </c>
      <c r="J211" s="24">
        <f t="shared" si="130"/>
        <v>19.843159892244277</v>
      </c>
      <c r="K211" s="24">
        <f t="shared" si="131"/>
        <v>-14.51692099470781</v>
      </c>
      <c r="L211" s="14">
        <f t="shared" si="105"/>
        <v>0.67018069634200106</v>
      </c>
      <c r="M211" s="14">
        <f t="shared" si="106"/>
        <v>-50.912090884286791</v>
      </c>
      <c r="N211" s="14">
        <f t="shared" si="107"/>
        <v>4.0061324885521783</v>
      </c>
      <c r="O211" s="14">
        <f t="shared" si="108"/>
        <v>-88.94088565934058</v>
      </c>
      <c r="P211" s="14">
        <f t="shared" si="109"/>
        <v>-34.664090339502636</v>
      </c>
      <c r="Q211" s="14">
        <f t="shared" si="110"/>
        <v>-5.7196001661230458</v>
      </c>
      <c r="R211" s="14">
        <f t="shared" si="111"/>
        <v>-4.3350390413588916E-2</v>
      </c>
      <c r="S211" s="23">
        <f t="shared" si="132"/>
        <v>-145.57257670975042</v>
      </c>
      <c r="T211" s="23">
        <f t="shared" si="133"/>
        <v>-34.1774699532019</v>
      </c>
      <c r="U211" s="14">
        <f t="shared" si="112"/>
        <v>20000</v>
      </c>
      <c r="V211" s="14">
        <f t="shared" si="113"/>
        <v>-89.999655237450838</v>
      </c>
      <c r="W211" s="14">
        <f t="shared" si="114"/>
        <v>-104.41205098376369</v>
      </c>
      <c r="X211" s="14">
        <f t="shared" si="115"/>
        <v>89.310508186447265</v>
      </c>
      <c r="Y211" s="14">
        <f t="shared" si="116"/>
        <v>38.392080008213412</v>
      </c>
      <c r="Z211" s="14">
        <f t="shared" si="117"/>
        <v>-20.691676791544186</v>
      </c>
      <c r="AA211" s="14">
        <f t="shared" si="118"/>
        <v>-0.57916715804576857</v>
      </c>
      <c r="AB211" s="23">
        <f t="shared" si="134"/>
        <v>-21.380823842547759</v>
      </c>
      <c r="AC211" s="23">
        <f t="shared" si="135"/>
        <v>19.421461779683575</v>
      </c>
      <c r="AD211" s="14">
        <f t="shared" si="119"/>
        <v>16.812822376389231</v>
      </c>
      <c r="AE211" s="14">
        <f t="shared" si="120"/>
        <v>0.37944903299403637</v>
      </c>
      <c r="AF211" s="14">
        <f t="shared" si="121"/>
        <v>0.25968733964143204</v>
      </c>
      <c r="AG211" s="14">
        <f t="shared" si="122"/>
        <v>8.9215864466863997E-5</v>
      </c>
      <c r="AH211" s="14">
        <f t="shared" si="123"/>
        <v>-10.275949271488205</v>
      </c>
      <c r="AI211" s="14">
        <f t="shared" si="124"/>
        <v>-0.14045107004798807</v>
      </c>
      <c r="AJ211" s="23">
        <f t="shared" si="136"/>
        <v>6.7965604445424574</v>
      </c>
      <c r="AK211" s="23">
        <f t="shared" si="137"/>
        <v>0.23908717881051517</v>
      </c>
      <c r="AL211" s="14">
        <f t="shared" si="125"/>
        <v>0</v>
      </c>
      <c r="AM211" s="14">
        <f t="shared" si="126"/>
        <v>0</v>
      </c>
      <c r="AN211" s="14">
        <f t="shared" si="127"/>
        <v>0</v>
      </c>
      <c r="AO211" s="14">
        <f t="shared" si="128"/>
        <v>0</v>
      </c>
      <c r="AP211" s="23">
        <f t="shared" si="138"/>
        <v>0</v>
      </c>
      <c r="AQ211" s="23">
        <f t="shared" si="139"/>
        <v>0</v>
      </c>
    </row>
    <row r="212" spans="8:43" x14ac:dyDescent="0.25">
      <c r="H212" s="14">
        <v>3.09</v>
      </c>
      <c r="I212" s="36">
        <f t="shared" si="129"/>
        <v>12302.687708123824</v>
      </c>
      <c r="J212" s="24">
        <f t="shared" si="130"/>
        <v>18.759269193043259</v>
      </c>
      <c r="K212" s="24">
        <f t="shared" si="131"/>
        <v>-14.612217312745846</v>
      </c>
      <c r="L212" s="14">
        <f t="shared" si="105"/>
        <v>0.67018069634200106</v>
      </c>
      <c r="M212" s="14">
        <f t="shared" si="106"/>
        <v>-51.556160894733836</v>
      </c>
      <c r="N212" s="14">
        <f t="shared" si="107"/>
        <v>4.1277228037085436</v>
      </c>
      <c r="O212" s="14">
        <f t="shared" si="108"/>
        <v>-88.964988739631679</v>
      </c>
      <c r="P212" s="14">
        <f t="shared" si="109"/>
        <v>-34.864023557002056</v>
      </c>
      <c r="Q212" s="14">
        <f t="shared" si="110"/>
        <v>-5.8519125987263214</v>
      </c>
      <c r="R212" s="14">
        <f t="shared" si="111"/>
        <v>-4.5382792970226571E-2</v>
      </c>
      <c r="S212" s="23">
        <f t="shared" si="132"/>
        <v>-146.37306223309184</v>
      </c>
      <c r="T212" s="23">
        <f t="shared" si="133"/>
        <v>-34.257845258101597</v>
      </c>
      <c r="U212" s="14">
        <f t="shared" si="112"/>
        <v>20000</v>
      </c>
      <c r="V212" s="14">
        <f t="shared" si="113"/>
        <v>-89.99966308520456</v>
      </c>
      <c r="W212" s="14">
        <f t="shared" si="114"/>
        <v>-104.61205098375659</v>
      </c>
      <c r="X212" s="14">
        <f t="shared" si="115"/>
        <v>89.326201472410617</v>
      </c>
      <c r="Y212" s="14">
        <f t="shared" si="116"/>
        <v>38.592051703302928</v>
      </c>
      <c r="Z212" s="14">
        <f t="shared" si="117"/>
        <v>-21.131533686580852</v>
      </c>
      <c r="AA212" s="14">
        <f t="shared" si="118"/>
        <v>-0.6046458333583048</v>
      </c>
      <c r="AB212" s="23">
        <f t="shared" si="134"/>
        <v>-21.804995299374795</v>
      </c>
      <c r="AC212" s="23">
        <f t="shared" si="135"/>
        <v>19.39595479946766</v>
      </c>
      <c r="AD212" s="14">
        <f t="shared" si="119"/>
        <v>17.181622754858004</v>
      </c>
      <c r="AE212" s="14">
        <f t="shared" si="120"/>
        <v>0.39653928217050322</v>
      </c>
      <c r="AF212" s="14">
        <f t="shared" si="121"/>
        <v>0.2657361490824538</v>
      </c>
      <c r="AG212" s="14">
        <f t="shared" si="122"/>
        <v>9.3420433400466675E-5</v>
      </c>
      <c r="AH212" s="14">
        <f t="shared" si="123"/>
        <v>-10.51003217843056</v>
      </c>
      <c r="AI212" s="14">
        <f t="shared" si="124"/>
        <v>-0.14695955671581332</v>
      </c>
      <c r="AJ212" s="23">
        <f t="shared" si="136"/>
        <v>6.937326725509898</v>
      </c>
      <c r="AK212" s="23">
        <f t="shared" si="137"/>
        <v>0.24967314588809039</v>
      </c>
      <c r="AL212" s="14">
        <f t="shared" si="125"/>
        <v>0</v>
      </c>
      <c r="AM212" s="14">
        <f t="shared" si="126"/>
        <v>0</v>
      </c>
      <c r="AN212" s="14">
        <f t="shared" si="127"/>
        <v>0</v>
      </c>
      <c r="AO212" s="14">
        <f t="shared" si="128"/>
        <v>0</v>
      </c>
      <c r="AP212" s="23">
        <f t="shared" si="138"/>
        <v>0</v>
      </c>
      <c r="AQ212" s="23">
        <f t="shared" si="139"/>
        <v>0</v>
      </c>
    </row>
    <row r="213" spans="8:43" x14ac:dyDescent="0.25">
      <c r="H213" s="14">
        <v>3.1</v>
      </c>
      <c r="I213" s="36">
        <f t="shared" si="129"/>
        <v>12589.25411794168</v>
      </c>
      <c r="J213" s="24">
        <f t="shared" si="130"/>
        <v>17.670480586412133</v>
      </c>
      <c r="K213" s="24">
        <f t="shared" si="131"/>
        <v>-14.706030188997662</v>
      </c>
      <c r="L213" s="14">
        <f t="shared" si="105"/>
        <v>0.67018069634200106</v>
      </c>
      <c r="M213" s="14">
        <f t="shared" si="106"/>
        <v>-52.196875693787177</v>
      </c>
      <c r="N213" s="14">
        <f t="shared" si="107"/>
        <v>4.2514970363815854</v>
      </c>
      <c r="O213" s="14">
        <f t="shared" si="108"/>
        <v>-88.988543520856993</v>
      </c>
      <c r="P213" s="14">
        <f t="shared" si="109"/>
        <v>-35.063959779250467</v>
      </c>
      <c r="Q213" s="14">
        <f t="shared" si="110"/>
        <v>-5.9872421660934378</v>
      </c>
      <c r="R213" s="14">
        <f t="shared" si="111"/>
        <v>-4.7509960786960584E-2</v>
      </c>
      <c r="S213" s="23">
        <f t="shared" si="132"/>
        <v>-147.17266138073762</v>
      </c>
      <c r="T213" s="23">
        <f t="shared" si="133"/>
        <v>-34.336134415493696</v>
      </c>
      <c r="U213" s="14">
        <f t="shared" si="112"/>
        <v>20000</v>
      </c>
      <c r="V213" s="14">
        <f t="shared" si="113"/>
        <v>-89.999670754321599</v>
      </c>
      <c r="W213" s="14">
        <f t="shared" si="114"/>
        <v>-104.81205098374984</v>
      </c>
      <c r="X213" s="14">
        <f t="shared" si="115"/>
        <v>89.341537633267777</v>
      </c>
      <c r="Y213" s="14">
        <f t="shared" si="116"/>
        <v>38.792024672151051</v>
      </c>
      <c r="Z213" s="14">
        <f t="shared" si="117"/>
        <v>-21.578949786879207</v>
      </c>
      <c r="AA213" s="14">
        <f t="shared" si="118"/>
        <v>-0.63116603662996384</v>
      </c>
      <c r="AB213" s="23">
        <f t="shared" si="134"/>
        <v>-22.237082907933029</v>
      </c>
      <c r="AC213" s="23">
        <f t="shared" si="135"/>
        <v>19.369407565050871</v>
      </c>
      <c r="AD213" s="14">
        <f t="shared" si="119"/>
        <v>17.557499767841279</v>
      </c>
      <c r="AE213" s="14">
        <f t="shared" si="120"/>
        <v>0.41436317913343518</v>
      </c>
      <c r="AF213" s="14">
        <f t="shared" si="121"/>
        <v>0.27192584726194596</v>
      </c>
      <c r="AG213" s="14">
        <f t="shared" si="122"/>
        <v>9.7823153199693168E-5</v>
      </c>
      <c r="AH213" s="14">
        <f t="shared" si="123"/>
        <v>-10.74920074002044</v>
      </c>
      <c r="AI213" s="14">
        <f t="shared" si="124"/>
        <v>-0.15376434084147161</v>
      </c>
      <c r="AJ213" s="23">
        <f t="shared" si="136"/>
        <v>7.0802248750827861</v>
      </c>
      <c r="AK213" s="23">
        <f t="shared" si="137"/>
        <v>0.26069666144516324</v>
      </c>
      <c r="AL213" s="14">
        <f t="shared" si="125"/>
        <v>0</v>
      </c>
      <c r="AM213" s="14">
        <f t="shared" si="126"/>
        <v>0</v>
      </c>
      <c r="AN213" s="14">
        <f t="shared" si="127"/>
        <v>0</v>
      </c>
      <c r="AO213" s="14">
        <f t="shared" si="128"/>
        <v>0</v>
      </c>
      <c r="AP213" s="23">
        <f t="shared" si="138"/>
        <v>0</v>
      </c>
      <c r="AQ213" s="23">
        <f t="shared" si="139"/>
        <v>0</v>
      </c>
    </row>
    <row r="214" spans="8:43" x14ac:dyDescent="0.25">
      <c r="H214" s="14">
        <v>3.11</v>
      </c>
      <c r="I214" s="36">
        <f t="shared" si="129"/>
        <v>12882.495516931347</v>
      </c>
      <c r="J214" s="24">
        <f t="shared" si="130"/>
        <v>16.576986003496824</v>
      </c>
      <c r="K214" s="24">
        <f t="shared" si="131"/>
        <v>-14.798408221489716</v>
      </c>
      <c r="L214" s="14">
        <f t="shared" si="105"/>
        <v>0.67018069634200106</v>
      </c>
      <c r="M214" s="14">
        <f t="shared" si="106"/>
        <v>-52.833934057630799</v>
      </c>
      <c r="N214" s="14">
        <f t="shared" si="107"/>
        <v>4.3774314124120259</v>
      </c>
      <c r="O214" s="14">
        <f t="shared" si="108"/>
        <v>-89.011562460207102</v>
      </c>
      <c r="P214" s="14">
        <f t="shared" si="109"/>
        <v>-35.263898871096224</v>
      </c>
      <c r="Q214" s="14">
        <f t="shared" si="110"/>
        <v>-6.1256545786476524</v>
      </c>
      <c r="R214" s="14">
        <f t="shared" si="111"/>
        <v>-4.9736262803845653E-2</v>
      </c>
      <c r="S214" s="23">
        <f t="shared" si="132"/>
        <v>-147.97115109648553</v>
      </c>
      <c r="T214" s="23">
        <f t="shared" si="133"/>
        <v>-34.412365433325903</v>
      </c>
      <c r="U214" s="14">
        <f t="shared" si="112"/>
        <v>20000</v>
      </c>
      <c r="V214" s="14">
        <f t="shared" si="113"/>
        <v>-89.999678248868236</v>
      </c>
      <c r="W214" s="14">
        <f t="shared" si="114"/>
        <v>-105.01205098374339</v>
      </c>
      <c r="X214" s="14">
        <f t="shared" si="115"/>
        <v>89.356524791659069</v>
      </c>
      <c r="Y214" s="14">
        <f t="shared" si="116"/>
        <v>38.991998857444358</v>
      </c>
      <c r="Z214" s="14">
        <f t="shared" si="117"/>
        <v>-22.033943996859897</v>
      </c>
      <c r="AA214" s="14">
        <f t="shared" si="118"/>
        <v>-0.65876361045168852</v>
      </c>
      <c r="AB214" s="23">
        <f t="shared" si="134"/>
        <v>-22.677097454069063</v>
      </c>
      <c r="AC214" s="23">
        <f t="shared" si="135"/>
        <v>19.3417841765289</v>
      </c>
      <c r="AD214" s="14">
        <f t="shared" si="119"/>
        <v>17.940523249598431</v>
      </c>
      <c r="AE214" s="14">
        <f t="shared" si="120"/>
        <v>0.43294901722597834</v>
      </c>
      <c r="AF214" s="14">
        <f t="shared" si="121"/>
        <v>0.27825971546158101</v>
      </c>
      <c r="AG214" s="14">
        <f t="shared" si="122"/>
        <v>1.0243336200800143E-4</v>
      </c>
      <c r="AH214" s="14">
        <f t="shared" si="123"/>
        <v>-10.993548411008597</v>
      </c>
      <c r="AI214" s="14">
        <f t="shared" si="124"/>
        <v>-0.16087841528069935</v>
      </c>
      <c r="AJ214" s="23">
        <f t="shared" si="136"/>
        <v>7.2252345540514149</v>
      </c>
      <c r="AK214" s="23">
        <f t="shared" si="137"/>
        <v>0.27217303530728698</v>
      </c>
      <c r="AL214" s="14">
        <f t="shared" si="125"/>
        <v>0</v>
      </c>
      <c r="AM214" s="14">
        <f t="shared" si="126"/>
        <v>0</v>
      </c>
      <c r="AN214" s="14">
        <f t="shared" si="127"/>
        <v>0</v>
      </c>
      <c r="AO214" s="14">
        <f t="shared" si="128"/>
        <v>0</v>
      </c>
      <c r="AP214" s="23">
        <f t="shared" si="138"/>
        <v>0</v>
      </c>
      <c r="AQ214" s="23">
        <f t="shared" si="139"/>
        <v>0</v>
      </c>
    </row>
    <row r="215" spans="8:43" x14ac:dyDescent="0.25">
      <c r="H215" s="14">
        <v>3.12</v>
      </c>
      <c r="I215" s="36">
        <f t="shared" si="129"/>
        <v>13182.567385564089</v>
      </c>
      <c r="J215" s="24">
        <f t="shared" si="130"/>
        <v>15.478970364673135</v>
      </c>
      <c r="K215" s="24">
        <f t="shared" si="131"/>
        <v>-14.889402464031525</v>
      </c>
      <c r="L215" s="14">
        <f t="shared" si="105"/>
        <v>0.67018069634200106</v>
      </c>
      <c r="M215" s="14">
        <f t="shared" si="106"/>
        <v>-53.467043729923525</v>
      </c>
      <c r="N215" s="14">
        <f t="shared" si="107"/>
        <v>4.5055002924809369</v>
      </c>
      <c r="O215" s="14">
        <f t="shared" si="108"/>
        <v>-89.034057732887703</v>
      </c>
      <c r="P215" s="14">
        <f t="shared" si="109"/>
        <v>-35.463840703463077</v>
      </c>
      <c r="Q215" s="14">
        <f t="shared" si="110"/>
        <v>-6.2672167589155645</v>
      </c>
      <c r="R215" s="14">
        <f t="shared" si="111"/>
        <v>-5.2066264644477493E-2</v>
      </c>
      <c r="S215" s="23">
        <f t="shared" si="132"/>
        <v>-148.76831822172679</v>
      </c>
      <c r="T215" s="23">
        <f t="shared" si="133"/>
        <v>-34.486568387464473</v>
      </c>
      <c r="U215" s="14">
        <f t="shared" si="112"/>
        <v>20000</v>
      </c>
      <c r="V215" s="14">
        <f t="shared" si="113"/>
        <v>-89.999685572818152</v>
      </c>
      <c r="W215" s="14">
        <f t="shared" si="114"/>
        <v>-105.21205098373724</v>
      </c>
      <c r="X215" s="14">
        <f t="shared" si="115"/>
        <v>89.371170885765977</v>
      </c>
      <c r="Y215" s="14">
        <f t="shared" si="116"/>
        <v>39.191974204447618</v>
      </c>
      <c r="Z215" s="14">
        <f t="shared" si="117"/>
        <v>-22.496527958931317</v>
      </c>
      <c r="AA215" s="14">
        <f t="shared" si="118"/>
        <v>-0.68747507800233076</v>
      </c>
      <c r="AB215" s="23">
        <f t="shared" si="134"/>
        <v>-23.125042645983491</v>
      </c>
      <c r="AC215" s="23">
        <f t="shared" si="135"/>
        <v>19.313048055987672</v>
      </c>
      <c r="AD215" s="14">
        <f t="shared" si="119"/>
        <v>18.330759299162615</v>
      </c>
      <c r="AE215" s="14">
        <f t="shared" si="120"/>
        <v>0.45232590324126842</v>
      </c>
      <c r="AF215" s="14">
        <f t="shared" si="121"/>
        <v>0.28474111136253177</v>
      </c>
      <c r="AG215" s="14">
        <f t="shared" si="122"/>
        <v>1.0726083801735283E-4</v>
      </c>
      <c r="AH215" s="14">
        <f t="shared" si="123"/>
        <v>-11.243169178141734</v>
      </c>
      <c r="AI215" s="14">
        <f t="shared" si="124"/>
        <v>-0.16831529663400929</v>
      </c>
      <c r="AJ215" s="23">
        <f t="shared" si="136"/>
        <v>7.3723312323834129</v>
      </c>
      <c r="AK215" s="23">
        <f t="shared" si="137"/>
        <v>0.28411786744527651</v>
      </c>
      <c r="AL215" s="14">
        <f t="shared" si="125"/>
        <v>0</v>
      </c>
      <c r="AM215" s="14">
        <f t="shared" si="126"/>
        <v>0</v>
      </c>
      <c r="AN215" s="14">
        <f t="shared" si="127"/>
        <v>0</v>
      </c>
      <c r="AO215" s="14">
        <f t="shared" si="128"/>
        <v>0</v>
      </c>
      <c r="AP215" s="23">
        <f t="shared" si="138"/>
        <v>0</v>
      </c>
      <c r="AQ215" s="23">
        <f t="shared" si="139"/>
        <v>0</v>
      </c>
    </row>
    <row r="216" spans="8:43" x14ac:dyDescent="0.25">
      <c r="H216" s="14">
        <v>3.13</v>
      </c>
      <c r="I216" s="36">
        <f t="shared" si="129"/>
        <v>13489.628825916541</v>
      </c>
      <c r="J216" s="24">
        <f t="shared" si="130"/>
        <v>14.376611153847183</v>
      </c>
      <c r="K216" s="24">
        <f t="shared" si="131"/>
        <v>-14.979066321242602</v>
      </c>
      <c r="L216" s="14">
        <f t="shared" si="105"/>
        <v>0.67018069634200106</v>
      </c>
      <c r="M216" s="14">
        <f t="shared" si="106"/>
        <v>-54.09592199892834</v>
      </c>
      <c r="N216" s="14">
        <f t="shared" si="107"/>
        <v>4.6356762697753933</v>
      </c>
      <c r="O216" s="14">
        <f t="shared" si="108"/>
        <v>-89.056041238433451</v>
      </c>
      <c r="P216" s="14">
        <f t="shared" si="109"/>
        <v>-35.663785153077384</v>
      </c>
      <c r="Q216" s="14">
        <f t="shared" si="110"/>
        <v>-6.4119968479617491</v>
      </c>
      <c r="R216" s="14">
        <f t="shared" si="111"/>
        <v>-5.4504737019388697E-2</v>
      </c>
      <c r="S216" s="23">
        <f t="shared" si="132"/>
        <v>-149.56396008532354</v>
      </c>
      <c r="T216" s="23">
        <f t="shared" si="133"/>
        <v>-34.558775332159229</v>
      </c>
      <c r="U216" s="14">
        <f t="shared" si="112"/>
        <v>20000</v>
      </c>
      <c r="V216" s="14">
        <f t="shared" si="113"/>
        <v>-89.999692730054619</v>
      </c>
      <c r="W216" s="14">
        <f t="shared" si="114"/>
        <v>-105.41205098373133</v>
      </c>
      <c r="X216" s="14">
        <f t="shared" si="115"/>
        <v>89.385483673480906</v>
      </c>
      <c r="Y216" s="14">
        <f t="shared" si="116"/>
        <v>39.391950660887865</v>
      </c>
      <c r="Z216" s="14">
        <f t="shared" si="117"/>
        <v>-22.966705659578214</v>
      </c>
      <c r="AA216" s="14">
        <f t="shared" si="118"/>
        <v>-0.71733760991187601</v>
      </c>
      <c r="AB216" s="23">
        <f t="shared" si="134"/>
        <v>-23.580914716151927</v>
      </c>
      <c r="AC216" s="23">
        <f t="shared" si="135"/>
        <v>19.28316198052428</v>
      </c>
      <c r="AD216" s="14">
        <f t="shared" si="119"/>
        <v>18.728269955819993</v>
      </c>
      <c r="AE216" s="14">
        <f t="shared" si="120"/>
        <v>0.47252375667406143</v>
      </c>
      <c r="AF216" s="14">
        <f t="shared" si="121"/>
        <v>0.29137347082280002</v>
      </c>
      <c r="AG216" s="14">
        <f t="shared" si="122"/>
        <v>1.1231582020899501E-4</v>
      </c>
      <c r="AH216" s="14">
        <f t="shared" si="123"/>
        <v>-11.498157471320141</v>
      </c>
      <c r="AI216" s="14">
        <f t="shared" si="124"/>
        <v>-0.176089042101923</v>
      </c>
      <c r="AJ216" s="23">
        <f t="shared" si="136"/>
        <v>7.5214859553226532</v>
      </c>
      <c r="AK216" s="23">
        <f t="shared" si="137"/>
        <v>0.29654703039234742</v>
      </c>
      <c r="AL216" s="14">
        <f t="shared" si="125"/>
        <v>0</v>
      </c>
      <c r="AM216" s="14">
        <f t="shared" si="126"/>
        <v>0</v>
      </c>
      <c r="AN216" s="14">
        <f t="shared" si="127"/>
        <v>0</v>
      </c>
      <c r="AO216" s="14">
        <f t="shared" si="128"/>
        <v>0</v>
      </c>
      <c r="AP216" s="23">
        <f t="shared" si="138"/>
        <v>0</v>
      </c>
      <c r="AQ216" s="23">
        <f t="shared" si="139"/>
        <v>0</v>
      </c>
    </row>
    <row r="217" spans="8:43" x14ac:dyDescent="0.25">
      <c r="H217" s="14">
        <v>3.14</v>
      </c>
      <c r="I217" s="36">
        <f t="shared" si="129"/>
        <v>13803.842646028863</v>
      </c>
      <c r="J217" s="24">
        <f t="shared" si="130"/>
        <v>13.270078044162274</v>
      </c>
      <c r="K217" s="24">
        <f t="shared" si="131"/>
        <v>-15.067455437401964</v>
      </c>
      <c r="L217" s="14">
        <f t="shared" si="105"/>
        <v>0.67018069634200106</v>
      </c>
      <c r="M217" s="14">
        <f t="shared" si="106"/>
        <v>-54.720296220919245</v>
      </c>
      <c r="N217" s="14">
        <f t="shared" si="107"/>
        <v>4.76793027238286</v>
      </c>
      <c r="O217" s="14">
        <f t="shared" si="108"/>
        <v>-89.077524606884907</v>
      </c>
      <c r="P217" s="14">
        <f t="shared" si="109"/>
        <v>-35.863732102207614</v>
      </c>
      <c r="Q217" s="14">
        <f t="shared" si="110"/>
        <v>-6.5600642105303928</v>
      </c>
      <c r="R217" s="14">
        <f t="shared" si="111"/>
        <v>-5.7056664445367389E-2</v>
      </c>
      <c r="S217" s="23">
        <f t="shared" si="132"/>
        <v>-150.35788503833453</v>
      </c>
      <c r="T217" s="23">
        <f t="shared" si="133"/>
        <v>-34.629020206107981</v>
      </c>
      <c r="U217" s="14">
        <f t="shared" si="112"/>
        <v>20000</v>
      </c>
      <c r="V217" s="14">
        <f t="shared" si="113"/>
        <v>-89.999699724372491</v>
      </c>
      <c r="W217" s="14">
        <f t="shared" si="114"/>
        <v>-105.61205098372571</v>
      </c>
      <c r="X217" s="14">
        <f t="shared" si="115"/>
        <v>89.399470736484005</v>
      </c>
      <c r="Y217" s="14">
        <f t="shared" si="116"/>
        <v>39.591928176843716</v>
      </c>
      <c r="Z217" s="14">
        <f t="shared" si="117"/>
        <v>-23.444473035611761</v>
      </c>
      <c r="AA217" s="14">
        <f t="shared" si="118"/>
        <v>-0.74838898675497845</v>
      </c>
      <c r="AB217" s="23">
        <f t="shared" si="134"/>
        <v>-24.044702023500246</v>
      </c>
      <c r="AC217" s="23">
        <f t="shared" si="135"/>
        <v>19.252088119642654</v>
      </c>
      <c r="AD217" s="14">
        <f t="shared" si="119"/>
        <v>19.133112863566129</v>
      </c>
      <c r="AE217" s="14">
        <f t="shared" si="120"/>
        <v>0.49357330651172143</v>
      </c>
      <c r="AF217" s="14">
        <f t="shared" si="121"/>
        <v>0.29816030969578788</v>
      </c>
      <c r="AG217" s="14">
        <f t="shared" si="122"/>
        <v>1.1760903006784642E-4</v>
      </c>
      <c r="AH217" s="14">
        <f t="shared" si="123"/>
        <v>-11.758608067264868</v>
      </c>
      <c r="AI217" s="14">
        <f t="shared" si="124"/>
        <v>-0.18421426647842673</v>
      </c>
      <c r="AJ217" s="23">
        <f t="shared" si="136"/>
        <v>7.6726651059970497</v>
      </c>
      <c r="AK217" s="23">
        <f t="shared" si="137"/>
        <v>0.30947664906336259</v>
      </c>
      <c r="AL217" s="14">
        <f t="shared" si="125"/>
        <v>0</v>
      </c>
      <c r="AM217" s="14">
        <f t="shared" si="126"/>
        <v>0</v>
      </c>
      <c r="AN217" s="14">
        <f t="shared" si="127"/>
        <v>0</v>
      </c>
      <c r="AO217" s="14">
        <f t="shared" si="128"/>
        <v>0</v>
      </c>
      <c r="AP217" s="23">
        <f t="shared" si="138"/>
        <v>0</v>
      </c>
      <c r="AQ217" s="23">
        <f t="shared" si="139"/>
        <v>0</v>
      </c>
    </row>
    <row r="218" spans="8:43" x14ac:dyDescent="0.25">
      <c r="H218" s="14">
        <v>3.15</v>
      </c>
      <c r="I218" s="36">
        <f t="shared" si="129"/>
        <v>14125.375446227545</v>
      </c>
      <c r="J218" s="24">
        <f t="shared" si="130"/>
        <v>12.1595325757237</v>
      </c>
      <c r="K218" s="24">
        <f t="shared" si="131"/>
        <v>-15.154627579900064</v>
      </c>
      <c r="L218" s="14">
        <f t="shared" si="105"/>
        <v>0.67018069634200106</v>
      </c>
      <c r="M218" s="14">
        <f t="shared" si="106"/>
        <v>-55.339904288289709</v>
      </c>
      <c r="N218" s="14">
        <f t="shared" si="107"/>
        <v>4.9022316696428643</v>
      </c>
      <c r="O218" s="14">
        <f t="shared" si="108"/>
        <v>-89.098519204831476</v>
      </c>
      <c r="P218" s="14">
        <f t="shared" si="109"/>
        <v>-36.06368143841533</v>
      </c>
      <c r="Q218" s="14">
        <f t="shared" si="110"/>
        <v>-6.7114894387739987</v>
      </c>
      <c r="R218" s="14">
        <f t="shared" si="111"/>
        <v>-5.9727254288252311E-2</v>
      </c>
      <c r="S218" s="23">
        <f t="shared" si="132"/>
        <v>-151.14991293189519</v>
      </c>
      <c r="T218" s="23">
        <f t="shared" si="133"/>
        <v>-34.697338734898572</v>
      </c>
      <c r="U218" s="14">
        <f t="shared" si="112"/>
        <v>20000</v>
      </c>
      <c r="V218" s="14">
        <f t="shared" si="113"/>
        <v>-89.999706559480245</v>
      </c>
      <c r="W218" s="14">
        <f t="shared" si="114"/>
        <v>-105.81205098372035</v>
      </c>
      <c r="X218" s="14">
        <f t="shared" si="115"/>
        <v>89.41313948422895</v>
      </c>
      <c r="Y218" s="14">
        <f t="shared" si="116"/>
        <v>39.791906704639572</v>
      </c>
      <c r="Z218" s="14">
        <f t="shared" si="117"/>
        <v>-23.929817582580334</v>
      </c>
      <c r="AA218" s="14">
        <f t="shared" si="118"/>
        <v>-0.78066755701929325</v>
      </c>
      <c r="AB218" s="23">
        <f t="shared" si="134"/>
        <v>-24.51638465783163</v>
      </c>
      <c r="AC218" s="23">
        <f t="shared" si="135"/>
        <v>19.219788077179551</v>
      </c>
      <c r="AD218" s="14">
        <f t="shared" si="119"/>
        <v>19.545340925083824</v>
      </c>
      <c r="AE218" s="14">
        <f t="shared" si="120"/>
        <v>0.51550608536383025</v>
      </c>
      <c r="AF218" s="14">
        <f t="shared" si="121"/>
        <v>0.30510522569105047</v>
      </c>
      <c r="AG218" s="14">
        <f t="shared" si="122"/>
        <v>1.2315169430516208E-4</v>
      </c>
      <c r="AH218" s="14">
        <f t="shared" si="123"/>
        <v>-12.024615985324358</v>
      </c>
      <c r="AI218" s="14">
        <f t="shared" si="124"/>
        <v>-0.19270615923917717</v>
      </c>
      <c r="AJ218" s="23">
        <f t="shared" si="136"/>
        <v>7.8258301654505171</v>
      </c>
      <c r="AK218" s="23">
        <f t="shared" si="137"/>
        <v>0.32292307781895829</v>
      </c>
      <c r="AL218" s="14">
        <f t="shared" si="125"/>
        <v>0</v>
      </c>
      <c r="AM218" s="14">
        <f t="shared" si="126"/>
        <v>0</v>
      </c>
      <c r="AN218" s="14">
        <f t="shared" si="127"/>
        <v>0</v>
      </c>
      <c r="AO218" s="14">
        <f t="shared" si="128"/>
        <v>0</v>
      </c>
      <c r="AP218" s="23">
        <f t="shared" si="138"/>
        <v>0</v>
      </c>
      <c r="AQ218" s="23">
        <f t="shared" si="139"/>
        <v>0</v>
      </c>
    </row>
    <row r="219" spans="8:43" x14ac:dyDescent="0.25">
      <c r="H219" s="14">
        <v>3.16</v>
      </c>
      <c r="I219" s="36">
        <f t="shared" si="129"/>
        <v>14454.397707459288</v>
      </c>
      <c r="J219" s="24">
        <f t="shared" si="130"/>
        <v>11.045127885385872</v>
      </c>
      <c r="K219" s="24">
        <f t="shared" si="131"/>
        <v>-15.240642518095267</v>
      </c>
      <c r="L219" s="14">
        <f t="shared" si="105"/>
        <v>0.67018069634200106</v>
      </c>
      <c r="M219" s="14">
        <f t="shared" si="106"/>
        <v>-55.954495041318417</v>
      </c>
      <c r="N219" s="14">
        <f t="shared" si="107"/>
        <v>5.0385483816799219</v>
      </c>
      <c r="O219" s="14">
        <f t="shared" si="108"/>
        <v>-89.119036141322866</v>
      </c>
      <c r="P219" s="14">
        <f t="shared" si="109"/>
        <v>-36.263633054317602</v>
      </c>
      <c r="Q219" s="14">
        <f t="shared" si="110"/>
        <v>-6.8663443544420755</v>
      </c>
      <c r="R219" s="14">
        <f t="shared" si="111"/>
        <v>-6.2521946136644191E-2</v>
      </c>
      <c r="S219" s="23">
        <f t="shared" si="132"/>
        <v>-151.93987553708337</v>
      </c>
      <c r="T219" s="23">
        <f t="shared" si="133"/>
        <v>-34.763768330612173</v>
      </c>
      <c r="U219" s="14">
        <f t="shared" si="112"/>
        <v>20000</v>
      </c>
      <c r="V219" s="14">
        <f t="shared" si="113"/>
        <v>-89.999713239001963</v>
      </c>
      <c r="W219" s="14">
        <f t="shared" si="114"/>
        <v>-106.01205098371523</v>
      </c>
      <c r="X219" s="14">
        <f t="shared" si="115"/>
        <v>89.426497157839705</v>
      </c>
      <c r="Y219" s="14">
        <f t="shared" si="116"/>
        <v>39.991886198744723</v>
      </c>
      <c r="Z219" s="14">
        <f t="shared" si="117"/>
        <v>-24.422717967508465</v>
      </c>
      <c r="AA219" s="14">
        <f t="shared" si="118"/>
        <v>-0.81421219041142412</v>
      </c>
      <c r="AB219" s="23">
        <f t="shared" si="134"/>
        <v>-24.995934048670723</v>
      </c>
      <c r="AC219" s="23">
        <f t="shared" si="135"/>
        <v>19.186222937897696</v>
      </c>
      <c r="AD219" s="14">
        <f t="shared" si="119"/>
        <v>19.965001945909208</v>
      </c>
      <c r="AE219" s="14">
        <f t="shared" si="120"/>
        <v>0.53835442072631368</v>
      </c>
      <c r="AF219" s="14">
        <f t="shared" si="121"/>
        <v>0.31221190027821488</v>
      </c>
      <c r="AG219" s="14">
        <f t="shared" si="122"/>
        <v>1.2895556868008863E-4</v>
      </c>
      <c r="AH219" s="14">
        <f t="shared" si="123"/>
        <v>-12.29627637504746</v>
      </c>
      <c r="AI219" s="14">
        <f t="shared" si="124"/>
        <v>-0.20158050167578473</v>
      </c>
      <c r="AJ219" s="23">
        <f t="shared" si="136"/>
        <v>7.9809374711399617</v>
      </c>
      <c r="AK219" s="23">
        <f t="shared" si="137"/>
        <v>0.33690287461920904</v>
      </c>
      <c r="AL219" s="14">
        <f t="shared" si="125"/>
        <v>0</v>
      </c>
      <c r="AM219" s="14">
        <f t="shared" si="126"/>
        <v>0</v>
      </c>
      <c r="AN219" s="14">
        <f t="shared" si="127"/>
        <v>0</v>
      </c>
      <c r="AO219" s="14">
        <f t="shared" si="128"/>
        <v>0</v>
      </c>
      <c r="AP219" s="23">
        <f t="shared" si="138"/>
        <v>0</v>
      </c>
      <c r="AQ219" s="23">
        <f t="shared" si="139"/>
        <v>0</v>
      </c>
    </row>
    <row r="220" spans="8:43" x14ac:dyDescent="0.25">
      <c r="H220" s="14">
        <v>3.17</v>
      </c>
      <c r="I220" s="36">
        <f t="shared" si="129"/>
        <v>14791.083881682087</v>
      </c>
      <c r="J220" s="24">
        <f t="shared" si="130"/>
        <v>9.9270084881063401</v>
      </c>
      <c r="K220" s="24">
        <f t="shared" si="131"/>
        <v>-15.325561898390044</v>
      </c>
      <c r="L220" s="14">
        <f t="shared" si="105"/>
        <v>0.67018069634200106</v>
      </c>
      <c r="M220" s="14">
        <f t="shared" si="106"/>
        <v>-56.563828623064587</v>
      </c>
      <c r="N220" s="14">
        <f t="shared" si="107"/>
        <v>5.1768469913449948</v>
      </c>
      <c r="O220" s="14">
        <f t="shared" si="108"/>
        <v>-89.139086273651671</v>
      </c>
      <c r="P220" s="14">
        <f t="shared" si="109"/>
        <v>-36.463586847359785</v>
      </c>
      <c r="Q220" s="14">
        <f t="shared" si="110"/>
        <v>-7.024702009394117</v>
      </c>
      <c r="R220" s="14">
        <f t="shared" si="111"/>
        <v>-6.5446421513527281E-2</v>
      </c>
      <c r="S220" s="23">
        <f t="shared" si="132"/>
        <v>-152.72761690611037</v>
      </c>
      <c r="T220" s="23">
        <f t="shared" si="133"/>
        <v>-34.828347989366172</v>
      </c>
      <c r="U220" s="14">
        <f t="shared" si="112"/>
        <v>20000</v>
      </c>
      <c r="V220" s="14">
        <f t="shared" si="113"/>
        <v>-89.999719766479203</v>
      </c>
      <c r="W220" s="14">
        <f t="shared" si="114"/>
        <v>-106.21205098371033</v>
      </c>
      <c r="X220" s="14">
        <f t="shared" si="115"/>
        <v>89.439550833920165</v>
      </c>
      <c r="Y220" s="14">
        <f t="shared" si="116"/>
        <v>40.191866615676773</v>
      </c>
      <c r="Z220" s="14">
        <f t="shared" si="117"/>
        <v>-24.923143648293077</v>
      </c>
      <c r="AA220" s="14">
        <f t="shared" si="118"/>
        <v>-0.84906222638459861</v>
      </c>
      <c r="AB220" s="23">
        <f t="shared" si="134"/>
        <v>-25.483312580852115</v>
      </c>
      <c r="AC220" s="23">
        <f t="shared" si="135"/>
        <v>19.151353318861471</v>
      </c>
      <c r="AD220" s="14">
        <f t="shared" si="119"/>
        <v>20.39213826958078</v>
      </c>
      <c r="AE220" s="14">
        <f t="shared" si="120"/>
        <v>0.56215142317374778</v>
      </c>
      <c r="AF220" s="14">
        <f t="shared" si="121"/>
        <v>0.31948410063504268</v>
      </c>
      <c r="AG220" s="14">
        <f t="shared" si="122"/>
        <v>1.3503296291427969E-4</v>
      </c>
      <c r="AH220" s="14">
        <f t="shared" si="123"/>
        <v>-12.573684395147</v>
      </c>
      <c r="AI220" s="14">
        <f t="shared" si="124"/>
        <v>-0.21085368402200505</v>
      </c>
      <c r="AJ220" s="23">
        <f t="shared" si="136"/>
        <v>8.1379379750688248</v>
      </c>
      <c r="AK220" s="23">
        <f t="shared" si="137"/>
        <v>0.35143277211465701</v>
      </c>
      <c r="AL220" s="14">
        <f t="shared" si="125"/>
        <v>0</v>
      </c>
      <c r="AM220" s="14">
        <f t="shared" si="126"/>
        <v>0</v>
      </c>
      <c r="AN220" s="14">
        <f t="shared" si="127"/>
        <v>0</v>
      </c>
      <c r="AO220" s="14">
        <f t="shared" si="128"/>
        <v>0</v>
      </c>
      <c r="AP220" s="23">
        <f t="shared" si="138"/>
        <v>0</v>
      </c>
      <c r="AQ220" s="23">
        <f t="shared" si="139"/>
        <v>0</v>
      </c>
    </row>
    <row r="221" spans="8:43" x14ac:dyDescent="0.25">
      <c r="H221" s="14">
        <v>3.18</v>
      </c>
      <c r="I221" s="36">
        <f t="shared" si="129"/>
        <v>15135.612484362093</v>
      </c>
      <c r="J221" s="24">
        <f t="shared" si="130"/>
        <v>8.805310108856883</v>
      </c>
      <c r="K221" s="24">
        <f t="shared" si="131"/>
        <v>-15.40944911634891</v>
      </c>
      <c r="L221" s="14">
        <f t="shared" si="105"/>
        <v>0.67018069634200106</v>
      </c>
      <c r="M221" s="14">
        <f t="shared" si="106"/>
        <v>-57.167676777367348</v>
      </c>
      <c r="N221" s="14">
        <f t="shared" si="107"/>
        <v>5.3170928578056786</v>
      </c>
      <c r="O221" s="14">
        <f t="shared" si="108"/>
        <v>-89.158680213009703</v>
      </c>
      <c r="P221" s="14">
        <f t="shared" si="109"/>
        <v>-36.663542719598709</v>
      </c>
      <c r="Q221" s="14">
        <f t="shared" si="110"/>
        <v>-7.1866366842934699</v>
      </c>
      <c r="R221" s="14">
        <f t="shared" si="111"/>
        <v>-6.8506613932454608E-2</v>
      </c>
      <c r="S221" s="23">
        <f t="shared" si="132"/>
        <v>-153.51299367467053</v>
      </c>
      <c r="T221" s="23">
        <f t="shared" si="133"/>
        <v>-34.891118187563343</v>
      </c>
      <c r="U221" s="14">
        <f t="shared" si="112"/>
        <v>20000</v>
      </c>
      <c r="V221" s="14">
        <f t="shared" si="113"/>
        <v>-89.999726145372918</v>
      </c>
      <c r="W221" s="14">
        <f t="shared" si="114"/>
        <v>-106.41205098370564</v>
      </c>
      <c r="X221" s="14">
        <f t="shared" si="115"/>
        <v>89.452307428278502</v>
      </c>
      <c r="Y221" s="14">
        <f t="shared" si="116"/>
        <v>40.39184791390965</v>
      </c>
      <c r="Z221" s="14">
        <f t="shared" si="117"/>
        <v>-25.431054502244827</v>
      </c>
      <c r="AA221" s="14">
        <f t="shared" si="118"/>
        <v>-0.88525741779713063</v>
      </c>
      <c r="AB221" s="23">
        <f t="shared" si="134"/>
        <v>-25.978473219339243</v>
      </c>
      <c r="AC221" s="23">
        <f t="shared" si="135"/>
        <v>19.115139425686504</v>
      </c>
      <c r="AD221" s="14">
        <f t="shared" si="119"/>
        <v>20.826786404705256</v>
      </c>
      <c r="AE221" s="14">
        <f t="shared" si="120"/>
        <v>0.58693097127296423</v>
      </c>
      <c r="AF221" s="14">
        <f t="shared" si="121"/>
        <v>0.32692568164066227</v>
      </c>
      <c r="AG221" s="14">
        <f t="shared" si="122"/>
        <v>1.4139676679788605E-4</v>
      </c>
      <c r="AH221" s="14">
        <f t="shared" si="123"/>
        <v>-12.856935083479268</v>
      </c>
      <c r="AI221" s="14">
        <f t="shared" si="124"/>
        <v>-0.22054272251183249</v>
      </c>
      <c r="AJ221" s="23">
        <f t="shared" si="136"/>
        <v>8.2967770028666514</v>
      </c>
      <c r="AK221" s="23">
        <f t="shared" si="137"/>
        <v>0.36652964552792966</v>
      </c>
      <c r="AL221" s="14">
        <f t="shared" si="125"/>
        <v>0</v>
      </c>
      <c r="AM221" s="14">
        <f t="shared" si="126"/>
        <v>0</v>
      </c>
      <c r="AN221" s="14">
        <f t="shared" si="127"/>
        <v>0</v>
      </c>
      <c r="AO221" s="14">
        <f t="shared" si="128"/>
        <v>0</v>
      </c>
      <c r="AP221" s="23">
        <f t="shared" si="138"/>
        <v>0</v>
      </c>
      <c r="AQ221" s="23">
        <f t="shared" si="139"/>
        <v>0</v>
      </c>
    </row>
    <row r="222" spans="8:43" x14ac:dyDescent="0.25">
      <c r="H222" s="14">
        <v>3.19</v>
      </c>
      <c r="I222" s="36">
        <f t="shared" si="129"/>
        <v>15488.166189124822</v>
      </c>
      <c r="J222" s="24">
        <f t="shared" si="130"/>
        <v>7.6801595636105642</v>
      </c>
      <c r="K222" s="24">
        <f t="shared" si="131"/>
        <v>-15.492369186681032</v>
      </c>
      <c r="L222" s="14">
        <f t="shared" si="105"/>
        <v>0.67018069634200106</v>
      </c>
      <c r="M222" s="14">
        <f t="shared" si="106"/>
        <v>-57.765823090398413</v>
      </c>
      <c r="N222" s="14">
        <f t="shared" si="107"/>
        <v>5.4592502310450346</v>
      </c>
      <c r="O222" s="14">
        <f t="shared" si="108"/>
        <v>-89.177828330020418</v>
      </c>
      <c r="P222" s="14">
        <f t="shared" si="109"/>
        <v>-36.863500577495479</v>
      </c>
      <c r="Q222" s="14">
        <f t="shared" si="110"/>
        <v>-7.3522238853294795</v>
      </c>
      <c r="R222" s="14">
        <f t="shared" si="111"/>
        <v>-7.1708719304434176E-2</v>
      </c>
      <c r="S222" s="23">
        <f t="shared" si="132"/>
        <v>-154.29587530574832</v>
      </c>
      <c r="T222" s="23">
        <f t="shared" si="133"/>
        <v>-34.952120777592732</v>
      </c>
      <c r="U222" s="14">
        <f t="shared" si="112"/>
        <v>20000</v>
      </c>
      <c r="V222" s="14">
        <f t="shared" si="113"/>
        <v>-89.999732379065279</v>
      </c>
      <c r="W222" s="14">
        <f t="shared" si="114"/>
        <v>-106.61205098370118</v>
      </c>
      <c r="X222" s="14">
        <f t="shared" si="115"/>
        <v>89.46477369956817</v>
      </c>
      <c r="Y222" s="14">
        <f t="shared" si="116"/>
        <v>40.591830053785515</v>
      </c>
      <c r="Z222" s="14">
        <f t="shared" si="117"/>
        <v>-25.946400466409795</v>
      </c>
      <c r="AA222" s="14">
        <f t="shared" si="118"/>
        <v>-0.9228378696387336</v>
      </c>
      <c r="AB222" s="23">
        <f t="shared" si="134"/>
        <v>-26.481359145906904</v>
      </c>
      <c r="AC222" s="23">
        <f t="shared" si="135"/>
        <v>19.077541113725225</v>
      </c>
      <c r="AD222" s="14">
        <f t="shared" si="119"/>
        <v>21.268976645017499</v>
      </c>
      <c r="AE222" s="14">
        <f t="shared" si="120"/>
        <v>0.61272769301222396</v>
      </c>
      <c r="AF222" s="14">
        <f t="shared" si="121"/>
        <v>0.33454058791500041</v>
      </c>
      <c r="AG222" s="14">
        <f t="shared" si="122"/>
        <v>1.4806047752737082E-4</v>
      </c>
      <c r="AH222" s="14">
        <f t="shared" si="123"/>
        <v>-13.146123217666707</v>
      </c>
      <c r="AI222" s="14">
        <f t="shared" si="124"/>
        <v>-0.23066527630327466</v>
      </c>
      <c r="AJ222" s="23">
        <f t="shared" si="136"/>
        <v>8.4573940152657929</v>
      </c>
      <c r="AK222" s="23">
        <f t="shared" si="137"/>
        <v>0.38221047718647666</v>
      </c>
      <c r="AL222" s="14">
        <f t="shared" si="125"/>
        <v>0</v>
      </c>
      <c r="AM222" s="14">
        <f t="shared" si="126"/>
        <v>0</v>
      </c>
      <c r="AN222" s="14">
        <f t="shared" si="127"/>
        <v>0</v>
      </c>
      <c r="AO222" s="14">
        <f t="shared" si="128"/>
        <v>0</v>
      </c>
      <c r="AP222" s="23">
        <f t="shared" si="138"/>
        <v>0</v>
      </c>
      <c r="AQ222" s="23">
        <f t="shared" si="139"/>
        <v>0</v>
      </c>
    </row>
    <row r="223" spans="8:43" x14ac:dyDescent="0.25">
      <c r="H223" s="14">
        <v>3.2</v>
      </c>
      <c r="I223" s="36">
        <f t="shared" si="129"/>
        <v>15848.931924611155</v>
      </c>
      <c r="J223" s="24">
        <f t="shared" si="130"/>
        <v>6.5516746874936818</v>
      </c>
      <c r="K223" s="24">
        <f t="shared" si="131"/>
        <v>-15.574388611903416</v>
      </c>
      <c r="L223" s="14">
        <f t="shared" si="105"/>
        <v>0.67018069634200106</v>
      </c>
      <c r="M223" s="14">
        <f t="shared" si="106"/>
        <v>-58.358063176664366</v>
      </c>
      <c r="N223" s="14">
        <f t="shared" si="107"/>
        <v>5.6032823665566314</v>
      </c>
      <c r="O223" s="14">
        <f t="shared" si="108"/>
        <v>-89.196540760150185</v>
      </c>
      <c r="P223" s="14">
        <f t="shared" si="109"/>
        <v>-37.063460331717607</v>
      </c>
      <c r="Q223" s="14">
        <f t="shared" si="110"/>
        <v>-7.5215403388065534</v>
      </c>
      <c r="R223" s="14">
        <f t="shared" si="111"/>
        <v>-7.5059206701110756E-2</v>
      </c>
      <c r="S223" s="23">
        <f t="shared" si="132"/>
        <v>-155.07614427562109</v>
      </c>
      <c r="T223" s="23">
        <f t="shared" si="133"/>
        <v>-35.011398883699947</v>
      </c>
      <c r="U223" s="14">
        <f t="shared" si="112"/>
        <v>20000</v>
      </c>
      <c r="V223" s="14">
        <f t="shared" si="113"/>
        <v>-89.999738470861487</v>
      </c>
      <c r="W223" s="14">
        <f t="shared" si="114"/>
        <v>-106.81205098369693</v>
      </c>
      <c r="X223" s="14">
        <f t="shared" si="115"/>
        <v>89.476956252847287</v>
      </c>
      <c r="Y223" s="14">
        <f t="shared" si="116"/>
        <v>40.791812997430824</v>
      </c>
      <c r="Z223" s="14">
        <f t="shared" si="117"/>
        <v>-26.469121192444366</v>
      </c>
      <c r="AA223" s="14">
        <f t="shared" si="118"/>
        <v>-0.9618439727935334</v>
      </c>
      <c r="AB223" s="23">
        <f t="shared" si="134"/>
        <v>-26.991903410458566</v>
      </c>
      <c r="AC223" s="23">
        <f t="shared" si="135"/>
        <v>19.03851795421998</v>
      </c>
      <c r="AD223" s="14">
        <f t="shared" si="119"/>
        <v>21.718732683664861</v>
      </c>
      <c r="AE223" s="14">
        <f t="shared" si="120"/>
        <v>0.63957694354336014</v>
      </c>
      <c r="AF223" s="14">
        <f t="shared" si="121"/>
        <v>0.34233285590547641</v>
      </c>
      <c r="AG223" s="14">
        <f t="shared" si="122"/>
        <v>1.5503822830595184E-4</v>
      </c>
      <c r="AH223" s="14">
        <f t="shared" si="123"/>
        <v>-13.441343165996999</v>
      </c>
      <c r="AI223" s="14">
        <f t="shared" si="124"/>
        <v>-0.24123966419511433</v>
      </c>
      <c r="AJ223" s="23">
        <f t="shared" si="136"/>
        <v>8.619722373573337</v>
      </c>
      <c r="AK223" s="23">
        <f t="shared" si="137"/>
        <v>0.39849231757655179</v>
      </c>
      <c r="AL223" s="14">
        <f t="shared" si="125"/>
        <v>0</v>
      </c>
      <c r="AM223" s="14">
        <f t="shared" si="126"/>
        <v>0</v>
      </c>
      <c r="AN223" s="14">
        <f t="shared" si="127"/>
        <v>0</v>
      </c>
      <c r="AO223" s="14">
        <f t="shared" si="128"/>
        <v>0</v>
      </c>
      <c r="AP223" s="23">
        <f t="shared" si="138"/>
        <v>0</v>
      </c>
      <c r="AQ223" s="23">
        <f t="shared" si="139"/>
        <v>0</v>
      </c>
    </row>
    <row r="224" spans="8:43" x14ac:dyDescent="0.25">
      <c r="H224" s="14">
        <v>3.21</v>
      </c>
      <c r="I224" s="36">
        <f t="shared" si="129"/>
        <v>16218.100973589308</v>
      </c>
      <c r="J224" s="24">
        <f t="shared" si="130"/>
        <v>5.4199643078173096</v>
      </c>
      <c r="K224" s="24">
        <f t="shared" si="131"/>
        <v>-15.655575250490106</v>
      </c>
      <c r="L224" s="14">
        <f t="shared" si="105"/>
        <v>0.67018069634200106</v>
      </c>
      <c r="M224" s="14">
        <f t="shared" si="106"/>
        <v>-58.944204810766507</v>
      </c>
      <c r="N224" s="14">
        <f t="shared" si="107"/>
        <v>5.7491516395567714</v>
      </c>
      <c r="O224" s="14">
        <f t="shared" si="108"/>
        <v>-89.214827409000534</v>
      </c>
      <c r="P224" s="14">
        <f t="shared" si="109"/>
        <v>-37.26342189694995</v>
      </c>
      <c r="Q224" s="14">
        <f t="shared" si="110"/>
        <v>-7.6946639834292538</v>
      </c>
      <c r="R224" s="14">
        <f t="shared" si="111"/>
        <v>-7.8564829479158993E-2</v>
      </c>
      <c r="S224" s="23">
        <f t="shared" si="132"/>
        <v>-155.85369620319628</v>
      </c>
      <c r="T224" s="23">
        <f t="shared" si="133"/>
        <v>-35.068996798710188</v>
      </c>
      <c r="U224" s="14">
        <f t="shared" si="112"/>
        <v>20000</v>
      </c>
      <c r="V224" s="14">
        <f t="shared" si="113"/>
        <v>-89.999744423991487</v>
      </c>
      <c r="W224" s="14">
        <f t="shared" si="114"/>
        <v>-107.01205098369284</v>
      </c>
      <c r="X224" s="14">
        <f t="shared" si="115"/>
        <v>89.488861543058164</v>
      </c>
      <c r="Y224" s="14">
        <f t="shared" si="116"/>
        <v>40.991796708675999</v>
      </c>
      <c r="Z224" s="14">
        <f t="shared" si="117"/>
        <v>-26.999145718938109</v>
      </c>
      <c r="AA224" s="14">
        <f t="shared" si="118"/>
        <v>-1.0023163328435098</v>
      </c>
      <c r="AB224" s="23">
        <f t="shared" si="134"/>
        <v>-27.510028599871433</v>
      </c>
      <c r="AC224" s="23">
        <f t="shared" si="135"/>
        <v>18.998029305419269</v>
      </c>
      <c r="AD224" s="14">
        <f t="shared" si="119"/>
        <v>22.176071223103051</v>
      </c>
      <c r="AE224" s="14">
        <f t="shared" si="120"/>
        <v>0.66751477903955658</v>
      </c>
      <c r="AF224" s="14">
        <f t="shared" si="121"/>
        <v>0.35030661602203977</v>
      </c>
      <c r="AG224" s="14">
        <f t="shared" si="122"/>
        <v>1.6234481833197142E-4</v>
      </c>
      <c r="AH224" s="14">
        <f t="shared" si="123"/>
        <v>-13.742688728240068</v>
      </c>
      <c r="AI224" s="14">
        <f t="shared" si="124"/>
        <v>-0.25228488105707542</v>
      </c>
      <c r="AJ224" s="23">
        <f t="shared" si="136"/>
        <v>8.783689110885021</v>
      </c>
      <c r="AK224" s="23">
        <f t="shared" si="137"/>
        <v>0.41539224280081316</v>
      </c>
      <c r="AL224" s="14">
        <f t="shared" si="125"/>
        <v>0</v>
      </c>
      <c r="AM224" s="14">
        <f t="shared" si="126"/>
        <v>0</v>
      </c>
      <c r="AN224" s="14">
        <f t="shared" si="127"/>
        <v>0</v>
      </c>
      <c r="AO224" s="14">
        <f t="shared" si="128"/>
        <v>0</v>
      </c>
      <c r="AP224" s="23">
        <f t="shared" si="138"/>
        <v>0</v>
      </c>
      <c r="AQ224" s="23">
        <f t="shared" si="139"/>
        <v>0</v>
      </c>
    </row>
    <row r="225" spans="8:43" x14ac:dyDescent="0.25">
      <c r="H225" s="14">
        <v>3.22</v>
      </c>
      <c r="I225" s="36">
        <f t="shared" si="129"/>
        <v>16595.869074375627</v>
      </c>
      <c r="J225" s="24">
        <f t="shared" si="130"/>
        <v>4.285128259383292</v>
      </c>
      <c r="K225" s="24">
        <f t="shared" si="131"/>
        <v>-15.735998185296417</v>
      </c>
      <c r="L225" s="14">
        <f t="shared" si="105"/>
        <v>0.67018069634200106</v>
      </c>
      <c r="M225" s="14">
        <f t="shared" si="106"/>
        <v>-59.524068006600992</v>
      </c>
      <c r="N225" s="14">
        <f t="shared" si="107"/>
        <v>5.8968196580740395</v>
      </c>
      <c r="O225" s="14">
        <f t="shared" si="108"/>
        <v>-89.232697957484078</v>
      </c>
      <c r="P225" s="14">
        <f t="shared" si="109"/>
        <v>-37.463385191714281</v>
      </c>
      <c r="Q225" s="14">
        <f t="shared" si="110"/>
        <v>-7.8716739601029895</v>
      </c>
      <c r="R225" s="14">
        <f t="shared" si="111"/>
        <v>-8.2232636770045914E-2</v>
      </c>
      <c r="S225" s="23">
        <f t="shared" si="132"/>
        <v>-156.62843992418806</v>
      </c>
      <c r="T225" s="23">
        <f t="shared" si="133"/>
        <v>-35.124959882248142</v>
      </c>
      <c r="U225" s="14">
        <f t="shared" si="112"/>
        <v>20000</v>
      </c>
      <c r="V225" s="14">
        <f t="shared" si="113"/>
        <v>-89.999750241611693</v>
      </c>
      <c r="W225" s="14">
        <f t="shared" si="114"/>
        <v>-107.21205098368897</v>
      </c>
      <c r="X225" s="14">
        <f t="shared" si="115"/>
        <v>89.500495878428794</v>
      </c>
      <c r="Y225" s="14">
        <f t="shared" si="116"/>
        <v>41.191781152978905</v>
      </c>
      <c r="Z225" s="14">
        <f t="shared" si="117"/>
        <v>-27.53639216418442</v>
      </c>
      <c r="AA225" s="14">
        <f t="shared" si="118"/>
        <v>-1.0442956939545454</v>
      </c>
      <c r="AB225" s="23">
        <f t="shared" si="134"/>
        <v>-28.035646527367319</v>
      </c>
      <c r="AC225" s="23">
        <f t="shared" si="135"/>
        <v>18.956034388615016</v>
      </c>
      <c r="AD225" s="14">
        <f t="shared" si="119"/>
        <v>22.641001582153844</v>
      </c>
      <c r="AE225" s="14">
        <f t="shared" si="120"/>
        <v>0.69657792647920225</v>
      </c>
      <c r="AF225" s="14">
        <f t="shared" si="121"/>
        <v>0.35846609482166508</v>
      </c>
      <c r="AG225" s="14">
        <f t="shared" si="122"/>
        <v>1.6999574416355423E-4</v>
      </c>
      <c r="AH225" s="14">
        <f t="shared" si="123"/>
        <v>-14.05025296603684</v>
      </c>
      <c r="AI225" s="14">
        <f t="shared" si="124"/>
        <v>-0.26382061388665745</v>
      </c>
      <c r="AJ225" s="23">
        <f t="shared" si="136"/>
        <v>8.9492147109386693</v>
      </c>
      <c r="AK225" s="23">
        <f t="shared" si="137"/>
        <v>0.43292730833670834</v>
      </c>
      <c r="AL225" s="14">
        <f t="shared" si="125"/>
        <v>0</v>
      </c>
      <c r="AM225" s="14">
        <f t="shared" si="126"/>
        <v>0</v>
      </c>
      <c r="AN225" s="14">
        <f t="shared" si="127"/>
        <v>0</v>
      </c>
      <c r="AO225" s="14">
        <f t="shared" si="128"/>
        <v>0</v>
      </c>
      <c r="AP225" s="23">
        <f t="shared" si="138"/>
        <v>0</v>
      </c>
      <c r="AQ225" s="23">
        <f t="shared" si="139"/>
        <v>0</v>
      </c>
    </row>
    <row r="226" spans="8:43" x14ac:dyDescent="0.25">
      <c r="H226" s="14">
        <v>3.23</v>
      </c>
      <c r="I226" s="36">
        <f t="shared" si="129"/>
        <v>16982.436524617446</v>
      </c>
      <c r="J226" s="24">
        <f t="shared" si="130"/>
        <v>3.1472574392043828</v>
      </c>
      <c r="K226" s="24">
        <f t="shared" si="131"/>
        <v>-15.815727593025564</v>
      </c>
      <c r="L226" s="14">
        <f t="shared" si="105"/>
        <v>0.67018069634200106</v>
      </c>
      <c r="M226" s="14">
        <f t="shared" si="106"/>
        <v>-60.097485046014782</v>
      </c>
      <c r="N226" s="14">
        <f t="shared" si="107"/>
        <v>6.0462473743197069</v>
      </c>
      <c r="O226" s="14">
        <f t="shared" si="108"/>
        <v>-89.250161866886401</v>
      </c>
      <c r="P226" s="14">
        <f t="shared" si="109"/>
        <v>-37.663350138196726</v>
      </c>
      <c r="Q226" s="14">
        <f t="shared" si="110"/>
        <v>-8.0526505990594064</v>
      </c>
      <c r="R226" s="14">
        <f t="shared" si="111"/>
        <v>-8.6069985338468213E-2</v>
      </c>
      <c r="S226" s="23">
        <f t="shared" si="132"/>
        <v>-157.40029751196059</v>
      </c>
      <c r="T226" s="23">
        <f t="shared" si="133"/>
        <v>-35.179334461053344</v>
      </c>
      <c r="U226" s="14">
        <f t="shared" si="112"/>
        <v>20000</v>
      </c>
      <c r="V226" s="14">
        <f t="shared" si="113"/>
        <v>-89.999755926806699</v>
      </c>
      <c r="W226" s="14">
        <f t="shared" si="114"/>
        <v>-107.41205098368523</v>
      </c>
      <c r="X226" s="14">
        <f t="shared" si="115"/>
        <v>89.511865423797914</v>
      </c>
      <c r="Y226" s="14">
        <f t="shared" si="116"/>
        <v>41.391766297351467</v>
      </c>
      <c r="Z226" s="14">
        <f t="shared" si="117"/>
        <v>-28.080767442480781</v>
      </c>
      <c r="AA226" s="14">
        <f t="shared" si="118"/>
        <v>-1.0878228579286358</v>
      </c>
      <c r="AB226" s="23">
        <f t="shared" si="134"/>
        <v>-28.568657945489566</v>
      </c>
      <c r="AC226" s="23">
        <f t="shared" si="135"/>
        <v>18.912492369017222</v>
      </c>
      <c r="AD226" s="14">
        <f t="shared" si="119"/>
        <v>23.113525301939973</v>
      </c>
      <c r="AE226" s="14">
        <f t="shared" si="120"/>
        <v>0.72680374917643631</v>
      </c>
      <c r="AF226" s="14">
        <f t="shared" si="121"/>
        <v>0.36681561724342476</v>
      </c>
      <c r="AG226" s="14">
        <f t="shared" si="122"/>
        <v>1.7800723257326912E-4</v>
      </c>
      <c r="AH226" s="14">
        <f t="shared" si="123"/>
        <v>-14.364128022528861</v>
      </c>
      <c r="AI226" s="14">
        <f t="shared" si="124"/>
        <v>-0.27586725739845097</v>
      </c>
      <c r="AJ226" s="23">
        <f t="shared" si="136"/>
        <v>9.1162128966545364</v>
      </c>
      <c r="AK226" s="23">
        <f t="shared" si="137"/>
        <v>0.45111449901055856</v>
      </c>
      <c r="AL226" s="14">
        <f t="shared" si="125"/>
        <v>0</v>
      </c>
      <c r="AM226" s="14">
        <f t="shared" si="126"/>
        <v>0</v>
      </c>
      <c r="AN226" s="14">
        <f t="shared" si="127"/>
        <v>0</v>
      </c>
      <c r="AO226" s="14">
        <f t="shared" si="128"/>
        <v>0</v>
      </c>
      <c r="AP226" s="23">
        <f t="shared" si="138"/>
        <v>0</v>
      </c>
      <c r="AQ226" s="23">
        <f t="shared" si="139"/>
        <v>0</v>
      </c>
    </row>
    <row r="227" spans="8:43" x14ac:dyDescent="0.25">
      <c r="H227" s="14">
        <v>3.24</v>
      </c>
      <c r="I227" s="36">
        <f t="shared" si="129"/>
        <v>17378.008287493773</v>
      </c>
      <c r="J227" s="24">
        <f t="shared" si="130"/>
        <v>2.0064338975837099</v>
      </c>
      <c r="K227" s="24">
        <f t="shared" si="131"/>
        <v>-15.894834615482095</v>
      </c>
      <c r="L227" s="14">
        <f t="shared" si="105"/>
        <v>0.67018069634200106</v>
      </c>
      <c r="M227" s="14">
        <f t="shared" si="106"/>
        <v>-60.664300459225757</v>
      </c>
      <c r="N227" s="14">
        <f t="shared" si="107"/>
        <v>6.1973951937900207</v>
      </c>
      <c r="O227" s="14">
        <f t="shared" si="108"/>
        <v>-89.267228383816146</v>
      </c>
      <c r="P227" s="14">
        <f t="shared" si="109"/>
        <v>-37.863316662083257</v>
      </c>
      <c r="Q227" s="14">
        <f t="shared" si="110"/>
        <v>-8.2376754041058984</v>
      </c>
      <c r="R227" s="14">
        <f t="shared" si="111"/>
        <v>-9.0084551811726421E-2</v>
      </c>
      <c r="S227" s="23">
        <f t="shared" si="132"/>
        <v>-158.1692042471478</v>
      </c>
      <c r="T227" s="23">
        <f t="shared" si="133"/>
        <v>-35.232167731942816</v>
      </c>
      <c r="U227" s="14">
        <f t="shared" si="112"/>
        <v>20000</v>
      </c>
      <c r="V227" s="14">
        <f t="shared" si="113"/>
        <v>-89.99976148259087</v>
      </c>
      <c r="W227" s="14">
        <f t="shared" si="114"/>
        <v>-107.61205098368168</v>
      </c>
      <c r="X227" s="14">
        <f t="shared" si="115"/>
        <v>89.522976203865312</v>
      </c>
      <c r="Y227" s="14">
        <f t="shared" si="116"/>
        <v>41.591752110289981</v>
      </c>
      <c r="Z227" s="14">
        <f t="shared" si="117"/>
        <v>-28.63216700710117</v>
      </c>
      <c r="AA227" s="14">
        <f t="shared" si="118"/>
        <v>-1.1329385985503801</v>
      </c>
      <c r="AB227" s="23">
        <f t="shared" si="134"/>
        <v>-29.108952285826728</v>
      </c>
      <c r="AC227" s="23">
        <f t="shared" si="135"/>
        <v>18.867362441337541</v>
      </c>
      <c r="AD227" s="14">
        <f t="shared" si="119"/>
        <v>23.593635752581765</v>
      </c>
      <c r="AE227" s="14">
        <f t="shared" si="120"/>
        <v>0.75823020789223028</v>
      </c>
      <c r="AF227" s="14">
        <f t="shared" si="121"/>
        <v>0.37535960889531117</v>
      </c>
      <c r="AG227" s="14">
        <f t="shared" si="122"/>
        <v>1.8639627496021646E-4</v>
      </c>
      <c r="AH227" s="14">
        <f t="shared" si="123"/>
        <v>-14.684404930918836</v>
      </c>
      <c r="AI227" s="14">
        <f t="shared" si="124"/>
        <v>-0.28844592904401073</v>
      </c>
      <c r="AJ227" s="23">
        <f t="shared" si="136"/>
        <v>9.2845904305582412</v>
      </c>
      <c r="AK227" s="23">
        <f t="shared" si="137"/>
        <v>0.46997067512317975</v>
      </c>
      <c r="AL227" s="14">
        <f t="shared" si="125"/>
        <v>0</v>
      </c>
      <c r="AM227" s="14">
        <f t="shared" si="126"/>
        <v>0</v>
      </c>
      <c r="AN227" s="14">
        <f t="shared" si="127"/>
        <v>0</v>
      </c>
      <c r="AO227" s="14">
        <f t="shared" si="128"/>
        <v>0</v>
      </c>
      <c r="AP227" s="23">
        <f t="shared" si="138"/>
        <v>0</v>
      </c>
      <c r="AQ227" s="23">
        <f t="shared" si="139"/>
        <v>0</v>
      </c>
    </row>
    <row r="228" spans="8:43" x14ac:dyDescent="0.25">
      <c r="H228" s="14">
        <v>3.25</v>
      </c>
      <c r="I228" s="36">
        <f t="shared" si="129"/>
        <v>17782.794100389245</v>
      </c>
      <c r="J228" s="24">
        <f t="shared" si="130"/>
        <v>0.86273096237719926</v>
      </c>
      <c r="K228" s="24">
        <f t="shared" si="131"/>
        <v>-15.973391233326927</v>
      </c>
      <c r="L228" s="14">
        <f t="shared" si="105"/>
        <v>0.67018069634200106</v>
      </c>
      <c r="M228" s="14">
        <f t="shared" si="106"/>
        <v>-61.224370959561668</v>
      </c>
      <c r="N228" s="14">
        <f t="shared" si="107"/>
        <v>6.3502230816009062</v>
      </c>
      <c r="O228" s="14">
        <f t="shared" si="108"/>
        <v>-89.283906545045753</v>
      </c>
      <c r="P228" s="14">
        <f t="shared" si="109"/>
        <v>-38.063284692402192</v>
      </c>
      <c r="Q228" s="14">
        <f t="shared" si="110"/>
        <v>-8.426831033787181</v>
      </c>
      <c r="R228" s="14">
        <f t="shared" si="111"/>
        <v>-9.4284345281251805E-2</v>
      </c>
      <c r="S228" s="23">
        <f t="shared" si="132"/>
        <v>-158.93510853839459</v>
      </c>
      <c r="T228" s="23">
        <f t="shared" si="133"/>
        <v>-35.283507667920396</v>
      </c>
      <c r="U228" s="14">
        <f t="shared" si="112"/>
        <v>20000</v>
      </c>
      <c r="V228" s="14">
        <f t="shared" si="113"/>
        <v>-89.999766911909958</v>
      </c>
      <c r="W228" s="14">
        <f t="shared" si="114"/>
        <v>-107.81205098367832</v>
      </c>
      <c r="X228" s="14">
        <f t="shared" si="115"/>
        <v>89.533834106369213</v>
      </c>
      <c r="Y228" s="14">
        <f t="shared" si="116"/>
        <v>41.791738561708186</v>
      </c>
      <c r="Z228" s="14">
        <f t="shared" si="117"/>
        <v>-29.190474623111712</v>
      </c>
      <c r="AA228" s="14">
        <f t="shared" si="118"/>
        <v>-1.1796835714027751</v>
      </c>
      <c r="AB228" s="23">
        <f t="shared" si="134"/>
        <v>-29.656407428652457</v>
      </c>
      <c r="AC228" s="23">
        <f t="shared" si="135"/>
        <v>18.820603919906716</v>
      </c>
      <c r="AD228" s="14">
        <f t="shared" si="119"/>
        <v>24.081317742706108</v>
      </c>
      <c r="AE228" s="14">
        <f t="shared" si="120"/>
        <v>0.79089581737575287</v>
      </c>
      <c r="AF228" s="14">
        <f t="shared" si="121"/>
        <v>0.3841025983939747</v>
      </c>
      <c r="AG228" s="14">
        <f t="shared" si="122"/>
        <v>1.9518066336573871E-4</v>
      </c>
      <c r="AH228" s="14">
        <f t="shared" si="123"/>
        <v>-15.011173411675838</v>
      </c>
      <c r="AI228" s="14">
        <f t="shared" si="124"/>
        <v>-0.30157848335236509</v>
      </c>
      <c r="AJ228" s="23">
        <f t="shared" si="136"/>
        <v>9.4542469294242437</v>
      </c>
      <c r="AK228" s="23">
        <f t="shared" si="137"/>
        <v>0.48951251468675355</v>
      </c>
      <c r="AL228" s="14">
        <f t="shared" si="125"/>
        <v>0</v>
      </c>
      <c r="AM228" s="14">
        <f t="shared" si="126"/>
        <v>0</v>
      </c>
      <c r="AN228" s="14">
        <f t="shared" si="127"/>
        <v>0</v>
      </c>
      <c r="AO228" s="14">
        <f t="shared" si="128"/>
        <v>0</v>
      </c>
      <c r="AP228" s="23">
        <f t="shared" si="138"/>
        <v>0</v>
      </c>
      <c r="AQ228" s="23">
        <f t="shared" si="139"/>
        <v>0</v>
      </c>
    </row>
    <row r="229" spans="8:43" x14ac:dyDescent="0.25">
      <c r="H229" s="14">
        <v>3.26</v>
      </c>
      <c r="I229" s="36">
        <f t="shared" si="129"/>
        <v>18197.008586099833</v>
      </c>
      <c r="J229" s="24">
        <f t="shared" si="130"/>
        <v>-0.2837866068003585</v>
      </c>
      <c r="K229" s="24">
        <f t="shared" si="131"/>
        <v>-16.051470143018729</v>
      </c>
      <c r="L229" s="14">
        <f t="shared" si="105"/>
        <v>0.67018069634200106</v>
      </c>
      <c r="M229" s="14">
        <f t="shared" si="106"/>
        <v>-61.777565335279483</v>
      </c>
      <c r="N229" s="14">
        <f t="shared" si="107"/>
        <v>6.5046906656079253</v>
      </c>
      <c r="O229" s="14">
        <f t="shared" si="108"/>
        <v>-89.300205182245108</v>
      </c>
      <c r="P229" s="14">
        <f t="shared" si="109"/>
        <v>-38.263254161374107</v>
      </c>
      <c r="Q229" s="14">
        <f t="shared" si="110"/>
        <v>-8.6202012792368823</v>
      </c>
      <c r="R229" s="14">
        <f t="shared" si="111"/>
        <v>-9.8677720276129241E-2</v>
      </c>
      <c r="S229" s="23">
        <f t="shared" si="132"/>
        <v>-159.69797179676146</v>
      </c>
      <c r="T229" s="23">
        <f t="shared" si="133"/>
        <v>-35.333402927880165</v>
      </c>
      <c r="U229" s="14">
        <f t="shared" si="112"/>
        <v>20000</v>
      </c>
      <c r="V229" s="14">
        <f t="shared" si="113"/>
        <v>-89.999772217642644</v>
      </c>
      <c r="W229" s="14">
        <f t="shared" si="114"/>
        <v>-108.01205098367507</v>
      </c>
      <c r="X229" s="14">
        <f t="shared" si="115"/>
        <v>89.544444885191922</v>
      </c>
      <c r="Y229" s="14">
        <f t="shared" si="116"/>
        <v>41.991725622873545</v>
      </c>
      <c r="Z229" s="14">
        <f t="shared" si="117"/>
        <v>-29.75556217320322</v>
      </c>
      <c r="AA229" s="14">
        <f t="shared" si="118"/>
        <v>-1.2280982193768455</v>
      </c>
      <c r="AB229" s="23">
        <f t="shared" si="134"/>
        <v>-30.210889505653942</v>
      </c>
      <c r="AC229" s="23">
        <f t="shared" si="135"/>
        <v>18.772176333101257</v>
      </c>
      <c r="AD229" s="14">
        <f t="shared" si="119"/>
        <v>24.576547133986391</v>
      </c>
      <c r="AE229" s="14">
        <f t="shared" si="120"/>
        <v>0.82483959820511576</v>
      </c>
      <c r="AF229" s="14">
        <f t="shared" si="121"/>
        <v>0.39304921975860119</v>
      </c>
      <c r="AG229" s="14">
        <f t="shared" si="122"/>
        <v>2.0437902819873288E-4</v>
      </c>
      <c r="AH229" s="14">
        <f t="shared" si="123"/>
        <v>-15.344521658129946</v>
      </c>
      <c r="AI229" s="14">
        <f t="shared" si="124"/>
        <v>-0.31528752547313493</v>
      </c>
      <c r="AJ229" s="23">
        <f t="shared" si="136"/>
        <v>9.6250746956150479</v>
      </c>
      <c r="AK229" s="23">
        <f t="shared" si="137"/>
        <v>0.50975645176017959</v>
      </c>
      <c r="AL229" s="14">
        <f t="shared" si="125"/>
        <v>0</v>
      </c>
      <c r="AM229" s="14">
        <f t="shared" si="126"/>
        <v>0</v>
      </c>
      <c r="AN229" s="14">
        <f t="shared" si="127"/>
        <v>0</v>
      </c>
      <c r="AO229" s="14">
        <f t="shared" si="128"/>
        <v>0</v>
      </c>
      <c r="AP229" s="23">
        <f t="shared" si="138"/>
        <v>0</v>
      </c>
      <c r="AQ229" s="23">
        <f t="shared" si="139"/>
        <v>0</v>
      </c>
    </row>
    <row r="230" spans="8:43" x14ac:dyDescent="0.25">
      <c r="H230" s="14">
        <v>3.27</v>
      </c>
      <c r="I230" s="36">
        <f t="shared" si="129"/>
        <v>18620.871366628686</v>
      </c>
      <c r="J230" s="24">
        <f t="shared" si="130"/>
        <v>-1.4330624376496885</v>
      </c>
      <c r="K230" s="24">
        <f t="shared" si="131"/>
        <v>-16.129144637592287</v>
      </c>
      <c r="L230" s="14">
        <f t="shared" si="105"/>
        <v>0.67018069634200106</v>
      </c>
      <c r="M230" s="14">
        <f t="shared" si="106"/>
        <v>-62.323764301386809</v>
      </c>
      <c r="N230" s="14">
        <f t="shared" si="107"/>
        <v>6.6607573359166725</v>
      </c>
      <c r="O230" s="14">
        <f t="shared" si="108"/>
        <v>-89.316132926610223</v>
      </c>
      <c r="P230" s="14">
        <f t="shared" si="109"/>
        <v>-38.463225004268281</v>
      </c>
      <c r="Q230" s="14">
        <f t="shared" si="110"/>
        <v>-8.8178710384851975</v>
      </c>
      <c r="R230" s="14">
        <f t="shared" si="111"/>
        <v>-0.10327339010715732</v>
      </c>
      <c r="S230" s="23">
        <f t="shared" si="132"/>
        <v>-160.45776826648225</v>
      </c>
      <c r="T230" s="23">
        <f t="shared" si="133"/>
        <v>-35.38190277029662</v>
      </c>
      <c r="U230" s="14">
        <f t="shared" si="112"/>
        <v>20000</v>
      </c>
      <c r="V230" s="14">
        <f t="shared" si="113"/>
        <v>-89.99977740260212</v>
      </c>
      <c r="W230" s="14">
        <f t="shared" si="114"/>
        <v>-108.21205098367199</v>
      </c>
      <c r="X230" s="14">
        <f t="shared" si="115"/>
        <v>89.554814163395889</v>
      </c>
      <c r="Y230" s="14">
        <f t="shared" si="116"/>
        <v>42.191713266346426</v>
      </c>
      <c r="Z230" s="14">
        <f t="shared" si="117"/>
        <v>-30.327289499678042</v>
      </c>
      <c r="AA230" s="14">
        <f t="shared" si="118"/>
        <v>-1.2782226741505762</v>
      </c>
      <c r="AB230" s="23">
        <f t="shared" si="134"/>
        <v>-30.772252738884273</v>
      </c>
      <c r="AC230" s="23">
        <f t="shared" si="135"/>
        <v>18.722039521803488</v>
      </c>
      <c r="AD230" s="14">
        <f t="shared" si="119"/>
        <v>25.079290463092015</v>
      </c>
      <c r="AE230" s="14">
        <f t="shared" si="120"/>
        <v>0.86010102381895548</v>
      </c>
      <c r="AF230" s="14">
        <f t="shared" si="121"/>
        <v>0.40220421486015306</v>
      </c>
      <c r="AG230" s="14">
        <f t="shared" si="122"/>
        <v>2.1401087772831615E-4</v>
      </c>
      <c r="AH230" s="14">
        <f t="shared" si="123"/>
        <v>-15.684536110235335</v>
      </c>
      <c r="AI230" s="14">
        <f t="shared" si="124"/>
        <v>-0.32959642379583737</v>
      </c>
      <c r="AJ230" s="23">
        <f t="shared" si="136"/>
        <v>9.7969585677168318</v>
      </c>
      <c r="AK230" s="23">
        <f t="shared" si="137"/>
        <v>0.53071861090084638</v>
      </c>
      <c r="AL230" s="14">
        <f t="shared" si="125"/>
        <v>0</v>
      </c>
      <c r="AM230" s="14">
        <f t="shared" si="126"/>
        <v>0</v>
      </c>
      <c r="AN230" s="14">
        <f t="shared" si="127"/>
        <v>0</v>
      </c>
      <c r="AO230" s="14">
        <f t="shared" si="128"/>
        <v>0</v>
      </c>
      <c r="AP230" s="23">
        <f t="shared" si="138"/>
        <v>0</v>
      </c>
      <c r="AQ230" s="23">
        <f t="shared" si="139"/>
        <v>0</v>
      </c>
    </row>
    <row r="231" spans="8:43" x14ac:dyDescent="0.25">
      <c r="H231" s="14">
        <v>3.28</v>
      </c>
      <c r="I231" s="36">
        <f t="shared" si="129"/>
        <v>19054.607179632483</v>
      </c>
      <c r="J231" s="24">
        <f t="shared" si="130"/>
        <v>-2.5850483406946054</v>
      </c>
      <c r="K231" s="24">
        <f t="shared" si="131"/>
        <v>-16.206488491887402</v>
      </c>
      <c r="L231" s="14">
        <f t="shared" si="105"/>
        <v>0.67018069634200106</v>
      </c>
      <c r="M231" s="14">
        <f t="shared" si="106"/>
        <v>-62.862860314508467</v>
      </c>
      <c r="N231" s="14">
        <f t="shared" si="107"/>
        <v>6.8183823404420369</v>
      </c>
      <c r="O231" s="14">
        <f t="shared" si="108"/>
        <v>-89.331698213389231</v>
      </c>
      <c r="P231" s="14">
        <f t="shared" si="109"/>
        <v>-38.663197159265657</v>
      </c>
      <c r="Q231" s="14">
        <f t="shared" si="110"/>
        <v>-9.0199262869778085</v>
      </c>
      <c r="R231" s="14">
        <f t="shared" si="111"/>
        <v>-0.10808044057828409</v>
      </c>
      <c r="S231" s="23">
        <f t="shared" si="132"/>
        <v>-161.2144848148755</v>
      </c>
      <c r="T231" s="23">
        <f t="shared" si="133"/>
        <v>-35.42905697123976</v>
      </c>
      <c r="U231" s="14">
        <f t="shared" si="112"/>
        <v>20000</v>
      </c>
      <c r="V231" s="14">
        <f t="shared" si="113"/>
        <v>-89.999782469537507</v>
      </c>
      <c r="W231" s="14">
        <f t="shared" si="114"/>
        <v>-108.41205098366902</v>
      </c>
      <c r="X231" s="14">
        <f t="shared" si="115"/>
        <v>89.564947436191105</v>
      </c>
      <c r="Y231" s="14">
        <f t="shared" si="116"/>
        <v>42.391701465921805</v>
      </c>
      <c r="Z231" s="14">
        <f t="shared" si="117"/>
        <v>-30.905504285658861</v>
      </c>
      <c r="AA231" s="14">
        <f t="shared" si="118"/>
        <v>-1.3300966539650836</v>
      </c>
      <c r="AB231" s="23">
        <f t="shared" si="134"/>
        <v>-31.340339319005263</v>
      </c>
      <c r="AC231" s="23">
        <f t="shared" si="135"/>
        <v>18.670153741567329</v>
      </c>
      <c r="AD231" s="14">
        <f t="shared" si="119"/>
        <v>25.589504573581607</v>
      </c>
      <c r="AE231" s="14">
        <f t="shared" si="120"/>
        <v>0.89671996265615217</v>
      </c>
      <c r="AF231" s="14">
        <f t="shared" si="121"/>
        <v>0.41157243592723569</v>
      </c>
      <c r="AG231" s="14">
        <f t="shared" si="122"/>
        <v>2.240966394478745E-4</v>
      </c>
      <c r="AH231" s="14">
        <f t="shared" si="123"/>
        <v>-16.031301216322682</v>
      </c>
      <c r="AI231" s="14">
        <f t="shared" si="124"/>
        <v>-0.34452932151057059</v>
      </c>
      <c r="AJ231" s="23">
        <f t="shared" si="136"/>
        <v>9.9697757931861624</v>
      </c>
      <c r="AK231" s="23">
        <f t="shared" si="137"/>
        <v>0.55241473778502947</v>
      </c>
      <c r="AL231" s="14">
        <f t="shared" si="125"/>
        <v>0</v>
      </c>
      <c r="AM231" s="14">
        <f t="shared" si="126"/>
        <v>0</v>
      </c>
      <c r="AN231" s="14">
        <f t="shared" si="127"/>
        <v>0</v>
      </c>
      <c r="AO231" s="14">
        <f t="shared" si="128"/>
        <v>0</v>
      </c>
      <c r="AP231" s="23">
        <f t="shared" si="138"/>
        <v>0</v>
      </c>
      <c r="AQ231" s="23">
        <f t="shared" si="139"/>
        <v>0</v>
      </c>
    </row>
    <row r="232" spans="8:43" x14ac:dyDescent="0.25">
      <c r="H232" s="14">
        <v>3.29</v>
      </c>
      <c r="I232" s="36">
        <f t="shared" si="129"/>
        <v>19498.445997580464</v>
      </c>
      <c r="J232" s="24">
        <f t="shared" si="130"/>
        <v>-3.7397040842369726</v>
      </c>
      <c r="K232" s="24">
        <f t="shared" si="131"/>
        <v>-16.283575852803761</v>
      </c>
      <c r="L232" s="14">
        <f t="shared" si="105"/>
        <v>0.67018069634200106</v>
      </c>
      <c r="M232" s="14">
        <f t="shared" si="106"/>
        <v>-63.394757353922337</v>
      </c>
      <c r="N232" s="14">
        <f t="shared" si="107"/>
        <v>6.9775248762275401</v>
      </c>
      <c r="O232" s="14">
        <f t="shared" si="108"/>
        <v>-89.34690928630792</v>
      </c>
      <c r="P232" s="14">
        <f t="shared" si="109"/>
        <v>-38.863170567327927</v>
      </c>
      <c r="Q232" s="14">
        <f t="shared" si="110"/>
        <v>-9.2264540440498539</v>
      </c>
      <c r="R232" s="14">
        <f t="shared" si="111"/>
        <v>-0.11310834406060888</v>
      </c>
      <c r="S232" s="23">
        <f t="shared" si="132"/>
        <v>-161.96812068428011</v>
      </c>
      <c r="T232" s="23">
        <f t="shared" si="133"/>
        <v>-35.474915746998846</v>
      </c>
      <c r="U232" s="14">
        <f t="shared" si="112"/>
        <v>20000</v>
      </c>
      <c r="V232" s="14">
        <f t="shared" si="113"/>
        <v>-89.999787421135352</v>
      </c>
      <c r="W232" s="14">
        <f t="shared" si="114"/>
        <v>-108.61205098366622</v>
      </c>
      <c r="X232" s="14">
        <f t="shared" si="115"/>
        <v>89.574850073835762</v>
      </c>
      <c r="Y232" s="14">
        <f t="shared" si="116"/>
        <v>42.591690196573857</v>
      </c>
      <c r="Z232" s="14">
        <f t="shared" si="117"/>
        <v>-31.490041978477365</v>
      </c>
      <c r="AA232" s="14">
        <f t="shared" si="118"/>
        <v>-1.3837593580789878</v>
      </c>
      <c r="AB232" s="23">
        <f t="shared" si="134"/>
        <v>-31.914979325776955</v>
      </c>
      <c r="AC232" s="23">
        <f t="shared" si="135"/>
        <v>18.616479768108274</v>
      </c>
      <c r="AD232" s="14">
        <f t="shared" si="119"/>
        <v>26.107136260419768</v>
      </c>
      <c r="AE232" s="14">
        <f t="shared" si="120"/>
        <v>0.93473661535027119</v>
      </c>
      <c r="AF232" s="14">
        <f t="shared" si="121"/>
        <v>0.42115884810988802</v>
      </c>
      <c r="AG232" s="14">
        <f t="shared" si="122"/>
        <v>2.3465770336629618E-4</v>
      </c>
      <c r="AH232" s="14">
        <f t="shared" si="123"/>
        <v>-16.384899182709564</v>
      </c>
      <c r="AI232" s="14">
        <f t="shared" si="124"/>
        <v>-0.36011114696682767</v>
      </c>
      <c r="AJ232" s="23">
        <f t="shared" si="136"/>
        <v>10.143395925820091</v>
      </c>
      <c r="AK232" s="23">
        <f t="shared" si="137"/>
        <v>0.57486012608680981</v>
      </c>
      <c r="AL232" s="14">
        <f t="shared" si="125"/>
        <v>0</v>
      </c>
      <c r="AM232" s="14">
        <f t="shared" si="126"/>
        <v>0</v>
      </c>
      <c r="AN232" s="14">
        <f t="shared" si="127"/>
        <v>0</v>
      </c>
      <c r="AO232" s="14">
        <f t="shared" si="128"/>
        <v>0</v>
      </c>
      <c r="AP232" s="23">
        <f t="shared" si="138"/>
        <v>0</v>
      </c>
      <c r="AQ232" s="23">
        <f t="shared" si="139"/>
        <v>0</v>
      </c>
    </row>
    <row r="233" spans="8:43" x14ac:dyDescent="0.25">
      <c r="H233" s="14">
        <v>3.3</v>
      </c>
      <c r="I233" s="36">
        <f t="shared" si="129"/>
        <v>19952.623149688803</v>
      </c>
      <c r="J233" s="24">
        <f t="shared" si="130"/>
        <v>-4.8969971515722968</v>
      </c>
      <c r="K233" s="24">
        <f t="shared" si="131"/>
        <v>-16.360481135114789</v>
      </c>
      <c r="L233" s="14">
        <f t="shared" si="105"/>
        <v>0.67018069634200106</v>
      </c>
      <c r="M233" s="14">
        <f t="shared" si="106"/>
        <v>-63.919370671930736</v>
      </c>
      <c r="N233" s="14">
        <f t="shared" si="107"/>
        <v>7.1381441762870548</v>
      </c>
      <c r="O233" s="14">
        <f t="shared" si="108"/>
        <v>-89.361774201896807</v>
      </c>
      <c r="P233" s="14">
        <f t="shared" si="109"/>
        <v>-39.063145172072552</v>
      </c>
      <c r="Q233" s="14">
        <f t="shared" si="110"/>
        <v>-9.4375423350869649</v>
      </c>
      <c r="R233" s="14">
        <f t="shared" si="111"/>
        <v>-0.11836697392207124</v>
      </c>
      <c r="S233" s="23">
        <f t="shared" si="132"/>
        <v>-162.7186872089145</v>
      </c>
      <c r="T233" s="23">
        <f t="shared" si="133"/>
        <v>-35.519529681545421</v>
      </c>
      <c r="U233" s="14">
        <f t="shared" si="112"/>
        <v>20000</v>
      </c>
      <c r="V233" s="14">
        <f t="shared" si="113"/>
        <v>-89.999792260021067</v>
      </c>
      <c r="W233" s="14">
        <f t="shared" si="114"/>
        <v>-108.81205098366353</v>
      </c>
      <c r="X233" s="14">
        <f t="shared" si="115"/>
        <v>89.584527324471665</v>
      </c>
      <c r="Y233" s="14">
        <f t="shared" si="116"/>
        <v>42.791679434402816</v>
      </c>
      <c r="Z233" s="14">
        <f t="shared" si="117"/>
        <v>-32.080725758048622</v>
      </c>
      <c r="AA233" s="14">
        <f t="shared" si="118"/>
        <v>-1.4392493583348083</v>
      </c>
      <c r="AB233" s="23">
        <f t="shared" si="134"/>
        <v>-32.495990693598024</v>
      </c>
      <c r="AC233" s="23">
        <f t="shared" si="135"/>
        <v>18.560979005684107</v>
      </c>
      <c r="AD233" s="14">
        <f t="shared" si="119"/>
        <v>26.632121929929024</v>
      </c>
      <c r="AE233" s="14">
        <f t="shared" si="120"/>
        <v>0.97419144695794957</v>
      </c>
      <c r="AF233" s="14">
        <f t="shared" si="121"/>
        <v>0.43096853210260139</v>
      </c>
      <c r="AG233" s="14">
        <f t="shared" si="122"/>
        <v>2.4571646736896784E-4</v>
      </c>
      <c r="AH233" s="14">
        <f t="shared" si="123"/>
        <v>-16.745409711091394</v>
      </c>
      <c r="AI233" s="14">
        <f t="shared" si="124"/>
        <v>-0.37636762267879204</v>
      </c>
      <c r="AJ233" s="23">
        <f t="shared" si="136"/>
        <v>10.31768075094023</v>
      </c>
      <c r="AK233" s="23">
        <f t="shared" si="137"/>
        <v>0.59806954074652641</v>
      </c>
      <c r="AL233" s="14">
        <f t="shared" si="125"/>
        <v>0</v>
      </c>
      <c r="AM233" s="14">
        <f t="shared" si="126"/>
        <v>0</v>
      </c>
      <c r="AN233" s="14">
        <f t="shared" si="127"/>
        <v>0</v>
      </c>
      <c r="AO233" s="14">
        <f t="shared" si="128"/>
        <v>0</v>
      </c>
      <c r="AP233" s="23">
        <f t="shared" si="138"/>
        <v>0</v>
      </c>
      <c r="AQ233" s="23">
        <f t="shared" si="139"/>
        <v>0</v>
      </c>
    </row>
    <row r="234" spans="8:43" x14ac:dyDescent="0.25">
      <c r="H234" s="14">
        <v>3.31</v>
      </c>
      <c r="I234" s="36">
        <f t="shared" si="129"/>
        <v>20417.379446695319</v>
      </c>
      <c r="J234" s="24">
        <f t="shared" si="130"/>
        <v>-6.0569024830315534</v>
      </c>
      <c r="K234" s="24">
        <f t="shared" si="131"/>
        <v>-16.437278923330044</v>
      </c>
      <c r="L234" s="14">
        <f t="shared" si="105"/>
        <v>0.67018069634200106</v>
      </c>
      <c r="M234" s="14">
        <f t="shared" si="106"/>
        <v>-64.436626516743317</v>
      </c>
      <c r="N234" s="14">
        <f t="shared" si="107"/>
        <v>7.3001995917814391</v>
      </c>
      <c r="O234" s="14">
        <f t="shared" si="108"/>
        <v>-89.376300833721828</v>
      </c>
      <c r="P234" s="14">
        <f t="shared" si="109"/>
        <v>-39.263120919653332</v>
      </c>
      <c r="Q234" s="14">
        <f t="shared" si="110"/>
        <v>-9.653280149094174</v>
      </c>
      <c r="R234" s="14">
        <f t="shared" si="111"/>
        <v>-0.12386661930389732</v>
      </c>
      <c r="S234" s="23">
        <f t="shared" si="132"/>
        <v>-163.46620749955932</v>
      </c>
      <c r="T234" s="23">
        <f t="shared" si="133"/>
        <v>-35.562949659013647</v>
      </c>
      <c r="U234" s="14">
        <f t="shared" si="112"/>
        <v>20000</v>
      </c>
      <c r="V234" s="14">
        <f t="shared" si="113"/>
        <v>-89.999796988760309</v>
      </c>
      <c r="W234" s="14">
        <f t="shared" si="114"/>
        <v>-109.01205098366097</v>
      </c>
      <c r="X234" s="14">
        <f t="shared" si="115"/>
        <v>89.593984316895387</v>
      </c>
      <c r="Y234" s="14">
        <f t="shared" si="116"/>
        <v>42.991669156584379</v>
      </c>
      <c r="Z234" s="14">
        <f t="shared" si="117"/>
        <v>-32.677366552844092</v>
      </c>
      <c r="AA234" s="14">
        <f t="shared" si="118"/>
        <v>-1.4966044883234093</v>
      </c>
      <c r="AB234" s="23">
        <f t="shared" si="134"/>
        <v>-33.083179224709014</v>
      </c>
      <c r="AC234" s="23">
        <f t="shared" si="135"/>
        <v>18.503613597879625</v>
      </c>
      <c r="AD234" s="14">
        <f t="shared" si="119"/>
        <v>27.164387278106528</v>
      </c>
      <c r="AE234" s="14">
        <f t="shared" si="120"/>
        <v>1.0151251142364928</v>
      </c>
      <c r="AF234" s="14">
        <f t="shared" si="121"/>
        <v>0.44100668682792049</v>
      </c>
      <c r="AG234" s="14">
        <f t="shared" si="122"/>
        <v>2.57296384681166E-4</v>
      </c>
      <c r="AH234" s="14">
        <f t="shared" si="123"/>
        <v>-17.112909723697669</v>
      </c>
      <c r="AI234" s="14">
        <f t="shared" si="124"/>
        <v>-0.39332527281719443</v>
      </c>
      <c r="AJ234" s="23">
        <f t="shared" si="136"/>
        <v>10.492484241236777</v>
      </c>
      <c r="AK234" s="23">
        <f t="shared" si="137"/>
        <v>0.62205713780397953</v>
      </c>
      <c r="AL234" s="14">
        <f t="shared" si="125"/>
        <v>0</v>
      </c>
      <c r="AM234" s="14">
        <f t="shared" si="126"/>
        <v>0</v>
      </c>
      <c r="AN234" s="14">
        <f t="shared" si="127"/>
        <v>0</v>
      </c>
      <c r="AO234" s="14">
        <f t="shared" si="128"/>
        <v>0</v>
      </c>
      <c r="AP234" s="23">
        <f t="shared" si="138"/>
        <v>0</v>
      </c>
      <c r="AQ234" s="23">
        <f t="shared" si="139"/>
        <v>0</v>
      </c>
    </row>
    <row r="235" spans="8:43" x14ac:dyDescent="0.25">
      <c r="H235" s="14">
        <v>3.32</v>
      </c>
      <c r="I235" s="36">
        <f t="shared" si="129"/>
        <v>20892.961308540398</v>
      </c>
      <c r="J235" s="24">
        <f t="shared" si="130"/>
        <v>-7.2194022051105229</v>
      </c>
      <c r="K235" s="24">
        <f t="shared" si="131"/>
        <v>-16.514043880048138</v>
      </c>
      <c r="L235" s="14">
        <f t="shared" si="105"/>
        <v>0.67018069634200106</v>
      </c>
      <c r="M235" s="14">
        <f t="shared" si="106"/>
        <v>-64.946461831023356</v>
      </c>
      <c r="N235" s="14">
        <f t="shared" si="107"/>
        <v>7.463650669389958</v>
      </c>
      <c r="O235" s="14">
        <f t="shared" si="108"/>
        <v>-89.390496876520857</v>
      </c>
      <c r="P235" s="14">
        <f t="shared" si="109"/>
        <v>-39.463097758646342</v>
      </c>
      <c r="Q235" s="14">
        <f t="shared" si="110"/>
        <v>-9.8737573913818473</v>
      </c>
      <c r="R235" s="14">
        <f t="shared" si="111"/>
        <v>-0.1296180002324252</v>
      </c>
      <c r="S235" s="23">
        <f t="shared" si="132"/>
        <v>-164.21071609892607</v>
      </c>
      <c r="T235" s="23">
        <f t="shared" si="133"/>
        <v>-35.605226801326666</v>
      </c>
      <c r="U235" s="14">
        <f t="shared" si="112"/>
        <v>20000</v>
      </c>
      <c r="V235" s="14">
        <f t="shared" si="113"/>
        <v>-89.999801609860313</v>
      </c>
      <c r="W235" s="14">
        <f t="shared" si="114"/>
        <v>-109.21205098365849</v>
      </c>
      <c r="X235" s="14">
        <f t="shared" si="115"/>
        <v>89.603226063267172</v>
      </c>
      <c r="Y235" s="14">
        <f t="shared" si="116"/>
        <v>43.191659341321241</v>
      </c>
      <c r="Z235" s="14">
        <f t="shared" si="117"/>
        <v>-33.279763105838931</v>
      </c>
      <c r="AA235" s="14">
        <f t="shared" si="118"/>
        <v>-1.5558617306829523</v>
      </c>
      <c r="AB235" s="23">
        <f t="shared" si="134"/>
        <v>-33.676338652432072</v>
      </c>
      <c r="AC235" s="23">
        <f t="shared" si="135"/>
        <v>18.444346540259428</v>
      </c>
      <c r="AD235" s="14">
        <f t="shared" si="119"/>
        <v>27.703846990332782</v>
      </c>
      <c r="AE235" s="14">
        <f t="shared" si="120"/>
        <v>1.0575783880253311</v>
      </c>
      <c r="AF235" s="14">
        <f t="shared" si="121"/>
        <v>0.45127863218199415</v>
      </c>
      <c r="AG235" s="14">
        <f t="shared" si="122"/>
        <v>2.6942201358796496E-4</v>
      </c>
      <c r="AH235" s="14">
        <f t="shared" si="123"/>
        <v>-17.487473076267154</v>
      </c>
      <c r="AI235" s="14">
        <f t="shared" si="124"/>
        <v>-0.41101142901981946</v>
      </c>
      <c r="AJ235" s="23">
        <f t="shared" si="136"/>
        <v>10.66765254624762</v>
      </c>
      <c r="AK235" s="23">
        <f t="shared" si="137"/>
        <v>0.64683638101909957</v>
      </c>
      <c r="AL235" s="14">
        <f t="shared" si="125"/>
        <v>0</v>
      </c>
      <c r="AM235" s="14">
        <f t="shared" si="126"/>
        <v>0</v>
      </c>
      <c r="AN235" s="14">
        <f t="shared" si="127"/>
        <v>0</v>
      </c>
      <c r="AO235" s="14">
        <f t="shared" si="128"/>
        <v>0</v>
      </c>
      <c r="AP235" s="23">
        <f t="shared" si="138"/>
        <v>0</v>
      </c>
      <c r="AQ235" s="23">
        <f t="shared" si="139"/>
        <v>0</v>
      </c>
    </row>
    <row r="236" spans="8:43" x14ac:dyDescent="0.25">
      <c r="H236" s="14">
        <v>3.33</v>
      </c>
      <c r="I236" s="36">
        <f t="shared" si="129"/>
        <v>21379.620895022344</v>
      </c>
      <c r="J236" s="24">
        <f t="shared" si="130"/>
        <v>-8.3844853486081199</v>
      </c>
      <c r="K236" s="24">
        <f t="shared" si="131"/>
        <v>-16.590850661193016</v>
      </c>
      <c r="L236" s="14">
        <f t="shared" si="105"/>
        <v>0.67018069634200106</v>
      </c>
      <c r="M236" s="14">
        <f t="shared" si="106"/>
        <v>-65.448823929198198</v>
      </c>
      <c r="N236" s="14">
        <f t="shared" si="107"/>
        <v>7.6284572237819326</v>
      </c>
      <c r="O236" s="14">
        <f t="shared" si="108"/>
        <v>-89.404369850247861</v>
      </c>
      <c r="P236" s="14">
        <f t="shared" si="109"/>
        <v>-39.663075639941091</v>
      </c>
      <c r="Q236" s="14">
        <f t="shared" si="110"/>
        <v>-10.099064831066876</v>
      </c>
      <c r="R236" s="14">
        <f t="shared" si="111"/>
        <v>-0.13563228305235817</v>
      </c>
      <c r="S236" s="23">
        <f t="shared" si="132"/>
        <v>-164.95225861051293</v>
      </c>
      <c r="T236" s="23">
        <f t="shared" si="133"/>
        <v>-35.646412411049376</v>
      </c>
      <c r="U236" s="14">
        <f t="shared" si="112"/>
        <v>20000</v>
      </c>
      <c r="V236" s="14">
        <f t="shared" si="113"/>
        <v>-89.999806125771229</v>
      </c>
      <c r="W236" s="14">
        <f t="shared" si="114"/>
        <v>-109.41205098365616</v>
      </c>
      <c r="X236" s="14">
        <f t="shared" si="115"/>
        <v>89.612257461758588</v>
      </c>
      <c r="Y236" s="14">
        <f t="shared" si="116"/>
        <v>43.391649967797022</v>
      </c>
      <c r="Z236" s="14">
        <f t="shared" si="117"/>
        <v>-33.887702092529395</v>
      </c>
      <c r="AA236" s="14">
        <f t="shared" si="118"/>
        <v>-1.6170571031169068</v>
      </c>
      <c r="AB236" s="23">
        <f t="shared" si="134"/>
        <v>-34.275250756542036</v>
      </c>
      <c r="AC236" s="23">
        <f t="shared" si="135"/>
        <v>18.383141794303583</v>
      </c>
      <c r="AD236" s="14">
        <f t="shared" si="119"/>
        <v>28.250404465576565</v>
      </c>
      <c r="AE236" s="14">
        <f t="shared" si="120"/>
        <v>1.1015920708283764</v>
      </c>
      <c r="AF236" s="14">
        <f t="shared" si="121"/>
        <v>0.46178981184348988</v>
      </c>
      <c r="AG236" s="14">
        <f t="shared" si="122"/>
        <v>2.8211906949533521E-4</v>
      </c>
      <c r="AH236" s="14">
        <f t="shared" si="123"/>
        <v>-17.869170258973213</v>
      </c>
      <c r="AI236" s="14">
        <f t="shared" si="124"/>
        <v>-0.42945423434509478</v>
      </c>
      <c r="AJ236" s="23">
        <f t="shared" si="136"/>
        <v>10.843024018446844</v>
      </c>
      <c r="AK236" s="23">
        <f t="shared" si="137"/>
        <v>0.67241995555277689</v>
      </c>
      <c r="AL236" s="14">
        <f t="shared" si="125"/>
        <v>0</v>
      </c>
      <c r="AM236" s="14">
        <f t="shared" si="126"/>
        <v>0</v>
      </c>
      <c r="AN236" s="14">
        <f t="shared" si="127"/>
        <v>0</v>
      </c>
      <c r="AO236" s="14">
        <f t="shared" si="128"/>
        <v>0</v>
      </c>
      <c r="AP236" s="23">
        <f t="shared" si="138"/>
        <v>0</v>
      </c>
      <c r="AQ236" s="23">
        <f t="shared" si="139"/>
        <v>0</v>
      </c>
    </row>
    <row r="237" spans="8:43" x14ac:dyDescent="0.25">
      <c r="H237" s="14">
        <v>3.34</v>
      </c>
      <c r="I237" s="36">
        <f t="shared" si="129"/>
        <v>21877.616239495528</v>
      </c>
      <c r="J237" s="24">
        <f t="shared" si="130"/>
        <v>-9.5521475573163492</v>
      </c>
      <c r="K237" s="24">
        <f t="shared" si="131"/>
        <v>-16.667773838472623</v>
      </c>
      <c r="L237" s="14">
        <f t="shared" si="105"/>
        <v>0.67018069634200106</v>
      </c>
      <c r="M237" s="14">
        <f t="shared" si="106"/>
        <v>-65.943670156556152</v>
      </c>
      <c r="N237" s="14">
        <f t="shared" si="107"/>
        <v>7.7945794051356865</v>
      </c>
      <c r="O237" s="14">
        <f t="shared" si="108"/>
        <v>-89.417927104026802</v>
      </c>
      <c r="P237" s="14">
        <f t="shared" si="109"/>
        <v>-39.863054516636389</v>
      </c>
      <c r="Q237" s="14">
        <f t="shared" si="110"/>
        <v>-10.329294043075754</v>
      </c>
      <c r="R237" s="14">
        <f t="shared" si="111"/>
        <v>-0.14192109616466717</v>
      </c>
      <c r="S237" s="23">
        <f t="shared" si="132"/>
        <v>-165.6908913036587</v>
      </c>
      <c r="T237" s="23">
        <f t="shared" si="133"/>
        <v>-35.686557919503223</v>
      </c>
      <c r="U237" s="14">
        <f t="shared" si="112"/>
        <v>20000</v>
      </c>
      <c r="V237" s="14">
        <f t="shared" si="113"/>
        <v>-89.999810538887459</v>
      </c>
      <c r="W237" s="14">
        <f t="shared" si="114"/>
        <v>-109.61205098365392</v>
      </c>
      <c r="X237" s="14">
        <f t="shared" si="115"/>
        <v>89.621083299140494</v>
      </c>
      <c r="Y237" s="14">
        <f t="shared" si="116"/>
        <v>43.591641016131994</v>
      </c>
      <c r="Z237" s="14">
        <f t="shared" si="117"/>
        <v>-34.500958292791921</v>
      </c>
      <c r="AA237" s="14">
        <f t="shared" si="118"/>
        <v>-1.6802255437600748</v>
      </c>
      <c r="AB237" s="23">
        <f t="shared" si="134"/>
        <v>-34.879685532538886</v>
      </c>
      <c r="AC237" s="23">
        <f t="shared" si="135"/>
        <v>18.31996440199763</v>
      </c>
      <c r="AD237" s="14">
        <f t="shared" si="119"/>
        <v>28.803951568248994</v>
      </c>
      <c r="AE237" s="14">
        <f t="shared" si="120"/>
        <v>1.147206909739541</v>
      </c>
      <c r="AF237" s="14">
        <f t="shared" si="121"/>
        <v>0.4725457961472862</v>
      </c>
      <c r="AG237" s="14">
        <f t="shared" si="122"/>
        <v>2.9541447942480327E-4</v>
      </c>
      <c r="AH237" s="14">
        <f t="shared" si="123"/>
        <v>-18.258068085515042</v>
      </c>
      <c r="AI237" s="14">
        <f t="shared" si="124"/>
        <v>-0.44868264518599577</v>
      </c>
      <c r="AJ237" s="23">
        <f t="shared" si="136"/>
        <v>11.018429278881239</v>
      </c>
      <c r="AK237" s="23">
        <f t="shared" si="137"/>
        <v>0.69881967903296993</v>
      </c>
      <c r="AL237" s="14">
        <f t="shared" si="125"/>
        <v>0</v>
      </c>
      <c r="AM237" s="14">
        <f t="shared" si="126"/>
        <v>0</v>
      </c>
      <c r="AN237" s="14">
        <f t="shared" si="127"/>
        <v>0</v>
      </c>
      <c r="AO237" s="14">
        <f t="shared" si="128"/>
        <v>0</v>
      </c>
      <c r="AP237" s="23">
        <f t="shared" si="138"/>
        <v>0</v>
      </c>
      <c r="AQ237" s="23">
        <f t="shared" si="139"/>
        <v>0</v>
      </c>
    </row>
    <row r="238" spans="8:43" x14ac:dyDescent="0.25">
      <c r="H238" s="14">
        <v>3.35</v>
      </c>
      <c r="I238" s="36">
        <f t="shared" si="129"/>
        <v>22387.211385683418</v>
      </c>
      <c r="J238" s="24">
        <f t="shared" si="130"/>
        <v>-10.722390788405537</v>
      </c>
      <c r="K238" s="24">
        <f t="shared" si="131"/>
        <v>-16.744887829343728</v>
      </c>
      <c r="L238" s="14">
        <f t="shared" si="105"/>
        <v>0.67018069634200106</v>
      </c>
      <c r="M238" s="14">
        <f t="shared" si="106"/>
        <v>-66.430967533054343</v>
      </c>
      <c r="N238" s="14">
        <f t="shared" si="107"/>
        <v>7.9619777616919034</v>
      </c>
      <c r="O238" s="14">
        <f t="shared" si="108"/>
        <v>-89.431175820017216</v>
      </c>
      <c r="P238" s="14">
        <f t="shared" si="109"/>
        <v>-40.063034343941119</v>
      </c>
      <c r="Q238" s="14">
        <f t="shared" si="110"/>
        <v>-10.564537344326473</v>
      </c>
      <c r="R238" s="14">
        <f t="shared" si="111"/>
        <v>-0.14849654604918741</v>
      </c>
      <c r="S238" s="23">
        <f t="shared" si="132"/>
        <v>-166.42668069739804</v>
      </c>
      <c r="T238" s="23">
        <f t="shared" si="133"/>
        <v>-35.725714840136263</v>
      </c>
      <c r="U238" s="14">
        <f t="shared" si="112"/>
        <v>20000</v>
      </c>
      <c r="V238" s="14">
        <f t="shared" si="113"/>
        <v>-89.999814851548905</v>
      </c>
      <c r="W238" s="14">
        <f t="shared" si="114"/>
        <v>-109.81205098365179</v>
      </c>
      <c r="X238" s="14">
        <f t="shared" si="115"/>
        <v>89.629708253312316</v>
      </c>
      <c r="Y238" s="14">
        <f t="shared" si="116"/>
        <v>43.791632467341053</v>
      </c>
      <c r="Z238" s="14">
        <f t="shared" si="117"/>
        <v>-35.119294817993833</v>
      </c>
      <c r="AA238" s="14">
        <f t="shared" si="118"/>
        <v>-1.745400796562143</v>
      </c>
      <c r="AB238" s="23">
        <f t="shared" si="134"/>
        <v>-35.489401416230422</v>
      </c>
      <c r="AC238" s="23">
        <f t="shared" si="135"/>
        <v>18.254780600406747</v>
      </c>
      <c r="AD238" s="14">
        <f t="shared" si="119"/>
        <v>29.364368410884175</v>
      </c>
      <c r="AE238" s="14">
        <f t="shared" si="120"/>
        <v>1.1944635049016745</v>
      </c>
      <c r="AF238" s="14">
        <f t="shared" si="121"/>
        <v>0.48355228502443298</v>
      </c>
      <c r="AG238" s="14">
        <f t="shared" si="122"/>
        <v>3.0933643909381129E-4</v>
      </c>
      <c r="AH238" s="14">
        <f t="shared" si="123"/>
        <v>-18.654229370685684</v>
      </c>
      <c r="AI238" s="14">
        <f t="shared" si="124"/>
        <v>-0.46872643095498157</v>
      </c>
      <c r="AJ238" s="23">
        <f t="shared" si="136"/>
        <v>11.193691325222925</v>
      </c>
      <c r="AK238" s="23">
        <f t="shared" si="137"/>
        <v>0.72604641038578677</v>
      </c>
      <c r="AL238" s="14">
        <f t="shared" si="125"/>
        <v>0</v>
      </c>
      <c r="AM238" s="14">
        <f t="shared" si="126"/>
        <v>0</v>
      </c>
      <c r="AN238" s="14">
        <f t="shared" si="127"/>
        <v>0</v>
      </c>
      <c r="AO238" s="14">
        <f t="shared" si="128"/>
        <v>0</v>
      </c>
      <c r="AP238" s="23">
        <f t="shared" si="138"/>
        <v>0</v>
      </c>
      <c r="AQ238" s="23">
        <f t="shared" si="139"/>
        <v>0</v>
      </c>
    </row>
    <row r="239" spans="8:43" x14ac:dyDescent="0.25">
      <c r="H239" s="14">
        <v>3.36</v>
      </c>
      <c r="I239" s="36">
        <f t="shared" si="129"/>
        <v>22908.676527677748</v>
      </c>
      <c r="J239" s="24">
        <f t="shared" si="130"/>
        <v>-11.895223005226594</v>
      </c>
      <c r="K239" s="24">
        <f t="shared" si="131"/>
        <v>-16.822266834705523</v>
      </c>
      <c r="L239" s="14">
        <f t="shared" si="105"/>
        <v>0.67018069634200106</v>
      </c>
      <c r="M239" s="14">
        <f t="shared" si="106"/>
        <v>-66.910692384642701</v>
      </c>
      <c r="N239" s="14">
        <f t="shared" si="107"/>
        <v>8.1306132973634266</v>
      </c>
      <c r="O239" s="14">
        <f t="shared" si="108"/>
        <v>-89.444123017193277</v>
      </c>
      <c r="P239" s="14">
        <f t="shared" si="109"/>
        <v>-40.263015079079203</v>
      </c>
      <c r="Q239" s="14">
        <f t="shared" si="110"/>
        <v>-10.804887723754955</v>
      </c>
      <c r="R239" s="14">
        <f t="shared" si="111"/>
        <v>-0.1553712335486844</v>
      </c>
      <c r="S239" s="23">
        <f t="shared" si="132"/>
        <v>-167.15970312559094</v>
      </c>
      <c r="T239" s="23">
        <f t="shared" si="133"/>
        <v>-35.763934727102317</v>
      </c>
      <c r="U239" s="14">
        <f t="shared" si="112"/>
        <v>20000</v>
      </c>
      <c r="V239" s="14">
        <f t="shared" si="113"/>
        <v>-89.999819066042178</v>
      </c>
      <c r="W239" s="14">
        <f t="shared" si="114"/>
        <v>-110.01205098364974</v>
      </c>
      <c r="X239" s="14">
        <f t="shared" si="115"/>
        <v>89.638136895774466</v>
      </c>
      <c r="Y239" s="14">
        <f t="shared" si="116"/>
        <v>43.991624303293364</v>
      </c>
      <c r="Z239" s="14">
        <f t="shared" si="117"/>
        <v>-35.742463394359767</v>
      </c>
      <c r="AA239" s="14">
        <f t="shared" si="118"/>
        <v>-1.8126152973930807</v>
      </c>
      <c r="AB239" s="23">
        <f t="shared" si="134"/>
        <v>-36.10414556462748</v>
      </c>
      <c r="AC239" s="23">
        <f t="shared" si="135"/>
        <v>18.187557935530165</v>
      </c>
      <c r="AD239" s="14">
        <f t="shared" si="119"/>
        <v>29.931523170810308</v>
      </c>
      <c r="AE239" s="14">
        <f t="shared" si="120"/>
        <v>1.243402213738825</v>
      </c>
      <c r="AF239" s="14">
        <f t="shared" si="121"/>
        <v>0.49481511100984316</v>
      </c>
      <c r="AG239" s="14">
        <f t="shared" si="122"/>
        <v>3.2391447267796287E-4</v>
      </c>
      <c r="AH239" s="14">
        <f t="shared" si="123"/>
        <v>-19.057712596828328</v>
      </c>
      <c r="AI239" s="14">
        <f t="shared" si="124"/>
        <v>-0.48961617134487567</v>
      </c>
      <c r="AJ239" s="23">
        <f t="shared" si="136"/>
        <v>11.368625684991823</v>
      </c>
      <c r="AK239" s="23">
        <f t="shared" si="137"/>
        <v>0.75410995686662718</v>
      </c>
      <c r="AL239" s="14">
        <f t="shared" si="125"/>
        <v>0</v>
      </c>
      <c r="AM239" s="14">
        <f t="shared" si="126"/>
        <v>0</v>
      </c>
      <c r="AN239" s="14">
        <f t="shared" si="127"/>
        <v>0</v>
      </c>
      <c r="AO239" s="14">
        <f t="shared" si="128"/>
        <v>0</v>
      </c>
      <c r="AP239" s="23">
        <f t="shared" si="138"/>
        <v>0</v>
      </c>
      <c r="AQ239" s="23">
        <f t="shared" si="139"/>
        <v>0</v>
      </c>
    </row>
    <row r="240" spans="8:43" x14ac:dyDescent="0.25">
      <c r="H240" s="14">
        <v>3.37</v>
      </c>
      <c r="I240" s="36">
        <f t="shared" si="129"/>
        <v>23442.288153199239</v>
      </c>
      <c r="J240" s="24">
        <f t="shared" si="130"/>
        <v>-13.07065786283194</v>
      </c>
      <c r="K240" s="24">
        <f t="shared" si="131"/>
        <v>-16.899984784482477</v>
      </c>
      <c r="L240" s="14">
        <f t="shared" si="105"/>
        <v>0.67018069634200106</v>
      </c>
      <c r="M240" s="14">
        <f t="shared" si="106"/>
        <v>-67.382829964776789</v>
      </c>
      <c r="N240" s="14">
        <f t="shared" si="107"/>
        <v>8.3004475244569171</v>
      </c>
      <c r="O240" s="14">
        <f t="shared" si="108"/>
        <v>-89.456775555038277</v>
      </c>
      <c r="P240" s="14">
        <f t="shared" si="109"/>
        <v>-40.462996681199144</v>
      </c>
      <c r="Q240" s="14">
        <f t="shared" si="110"/>
        <v>-11.050438765843477</v>
      </c>
      <c r="R240" s="14">
        <f t="shared" si="111"/>
        <v>-0.16255827038739668</v>
      </c>
      <c r="S240" s="23">
        <f t="shared" si="132"/>
        <v>-167.89004428565852</v>
      </c>
      <c r="T240" s="23">
        <f t="shared" si="133"/>
        <v>-35.801269138967484</v>
      </c>
      <c r="U240" s="14">
        <f t="shared" si="112"/>
        <v>20000</v>
      </c>
      <c r="V240" s="14">
        <f t="shared" si="113"/>
        <v>-89.99982318460188</v>
      </c>
      <c r="W240" s="14">
        <f t="shared" si="114"/>
        <v>-110.2120509836478</v>
      </c>
      <c r="X240" s="14">
        <f t="shared" si="115"/>
        <v>89.646373694044712</v>
      </c>
      <c r="Y240" s="14">
        <f t="shared" si="116"/>
        <v>44.191616506674023</v>
      </c>
      <c r="Z240" s="14">
        <f t="shared" si="117"/>
        <v>-36.370204703163601</v>
      </c>
      <c r="AA240" s="14">
        <f t="shared" si="118"/>
        <v>-1.8819000616039758</v>
      </c>
      <c r="AB240" s="23">
        <f t="shared" si="134"/>
        <v>-36.723654193720769</v>
      </c>
      <c r="AC240" s="23">
        <f t="shared" si="135"/>
        <v>18.118265374701874</v>
      </c>
      <c r="AD240" s="14">
        <f t="shared" si="119"/>
        <v>30.505271943933302</v>
      </c>
      <c r="AE240" s="14">
        <f t="shared" si="120"/>
        <v>1.2940630512535833</v>
      </c>
      <c r="AF240" s="14">
        <f t="shared" si="121"/>
        <v>0.50634024231927288</v>
      </c>
      <c r="AG240" s="14">
        <f t="shared" si="122"/>
        <v>3.3917949536674795E-4</v>
      </c>
      <c r="AH240" s="14">
        <f t="shared" si="123"/>
        <v>-19.468571569705226</v>
      </c>
      <c r="AI240" s="14">
        <f t="shared" si="124"/>
        <v>-0.51138325096581649</v>
      </c>
      <c r="AJ240" s="23">
        <f t="shared" si="136"/>
        <v>11.543040616547348</v>
      </c>
      <c r="AK240" s="23">
        <f t="shared" si="137"/>
        <v>0.78301897978313351</v>
      </c>
      <c r="AL240" s="14">
        <f t="shared" si="125"/>
        <v>0</v>
      </c>
      <c r="AM240" s="14">
        <f t="shared" si="126"/>
        <v>0</v>
      </c>
      <c r="AN240" s="14">
        <f t="shared" si="127"/>
        <v>0</v>
      </c>
      <c r="AO240" s="14">
        <f t="shared" si="128"/>
        <v>0</v>
      </c>
      <c r="AP240" s="23">
        <f t="shared" si="138"/>
        <v>0</v>
      </c>
      <c r="AQ240" s="23">
        <f t="shared" si="139"/>
        <v>0</v>
      </c>
    </row>
    <row r="241" spans="8:43" x14ac:dyDescent="0.25">
      <c r="H241" s="14">
        <v>3.38</v>
      </c>
      <c r="I241" s="36">
        <f t="shared" si="129"/>
        <v>23988.32919019492</v>
      </c>
      <c r="J241" s="24">
        <f t="shared" si="130"/>
        <v>-14.248714386091095</v>
      </c>
      <c r="K241" s="24">
        <f t="shared" si="131"/>
        <v>-16.978115291188065</v>
      </c>
      <c r="L241" s="14">
        <f t="shared" si="105"/>
        <v>0.67018069634200106</v>
      </c>
      <c r="M241" s="14">
        <f t="shared" si="106"/>
        <v>-67.847374068645507</v>
      </c>
      <c r="N241" s="14">
        <f t="shared" si="107"/>
        <v>8.471442511590153</v>
      </c>
      <c r="O241" s="14">
        <f t="shared" si="108"/>
        <v>-89.469140137156373</v>
      </c>
      <c r="P241" s="14">
        <f t="shared" si="109"/>
        <v>-40.662979111287321</v>
      </c>
      <c r="Q241" s="14">
        <f t="shared" si="110"/>
        <v>-11.301284567298875</v>
      </c>
      <c r="R241" s="14">
        <f t="shared" si="111"/>
        <v>-0.17007129589318534</v>
      </c>
      <c r="S241" s="23">
        <f t="shared" si="132"/>
        <v>-168.61779877310073</v>
      </c>
      <c r="T241" s="23">
        <f t="shared" si="133"/>
        <v>-35.837769607428207</v>
      </c>
      <c r="U241" s="14">
        <f t="shared" si="112"/>
        <v>20000</v>
      </c>
      <c r="V241" s="14">
        <f t="shared" si="113"/>
        <v>-89.99982720941172</v>
      </c>
      <c r="W241" s="14">
        <f t="shared" si="114"/>
        <v>-110.41205098364593</v>
      </c>
      <c r="X241" s="14">
        <f t="shared" si="115"/>
        <v>89.654423014019898</v>
      </c>
      <c r="Y241" s="14">
        <f t="shared" si="116"/>
        <v>44.391609060947289</v>
      </c>
      <c r="Z241" s="14">
        <f t="shared" si="117"/>
        <v>-37.002248777843633</v>
      </c>
      <c r="AA241" s="14">
        <f t="shared" si="118"/>
        <v>-1.9532845737988032</v>
      </c>
      <c r="AB241" s="23">
        <f t="shared" si="134"/>
        <v>-37.347652973235455</v>
      </c>
      <c r="AC241" s="23">
        <f t="shared" si="135"/>
        <v>18.046873416782184</v>
      </c>
      <c r="AD241" s="14">
        <f t="shared" si="119"/>
        <v>31.085458638669476</v>
      </c>
      <c r="AE241" s="14">
        <f t="shared" si="120"/>
        <v>1.3464855867336809</v>
      </c>
      <c r="AF241" s="14">
        <f t="shared" si="121"/>
        <v>0.51813378599712101</v>
      </c>
      <c r="AG241" s="14">
        <f t="shared" si="122"/>
        <v>3.5516387890531368E-4</v>
      </c>
      <c r="AH241" s="14">
        <f t="shared" si="123"/>
        <v>-19.886855064421507</v>
      </c>
      <c r="AI241" s="14">
        <f t="shared" si="124"/>
        <v>-0.53405985115462562</v>
      </c>
      <c r="AJ241" s="23">
        <f t="shared" si="136"/>
        <v>11.716737360245091</v>
      </c>
      <c r="AK241" s="23">
        <f t="shared" si="137"/>
        <v>0.8127808994579605</v>
      </c>
      <c r="AL241" s="14">
        <f t="shared" si="125"/>
        <v>0</v>
      </c>
      <c r="AM241" s="14">
        <f t="shared" si="126"/>
        <v>0</v>
      </c>
      <c r="AN241" s="14">
        <f t="shared" si="127"/>
        <v>0</v>
      </c>
      <c r="AO241" s="14">
        <f t="shared" si="128"/>
        <v>0</v>
      </c>
      <c r="AP241" s="23">
        <f t="shared" si="138"/>
        <v>0</v>
      </c>
      <c r="AQ241" s="23">
        <f t="shared" si="139"/>
        <v>0</v>
      </c>
    </row>
    <row r="242" spans="8:43" x14ac:dyDescent="0.25">
      <c r="H242" s="14">
        <v>3.39</v>
      </c>
      <c r="I242" s="36">
        <f t="shared" si="129"/>
        <v>24547.089156850339</v>
      </c>
      <c r="J242" s="24">
        <f t="shared" si="130"/>
        <v>-15.429416639873011</v>
      </c>
      <c r="K242" s="24">
        <f t="shared" si="131"/>
        <v>-17.056731611491948</v>
      </c>
      <c r="L242" s="14">
        <f t="shared" si="105"/>
        <v>0.67018069634200106</v>
      </c>
      <c r="M242" s="14">
        <f t="shared" si="106"/>
        <v>-68.304326642485179</v>
      </c>
      <c r="N242" s="14">
        <f t="shared" si="107"/>
        <v>8.643560926914903</v>
      </c>
      <c r="O242" s="14">
        <f t="shared" si="108"/>
        <v>-89.481223314803415</v>
      </c>
      <c r="P242" s="14">
        <f t="shared" si="109"/>
        <v>-40.862962332085459</v>
      </c>
      <c r="Q242" s="14">
        <f t="shared" si="110"/>
        <v>-11.557519646521468</v>
      </c>
      <c r="R242" s="14">
        <f t="shared" si="111"/>
        <v>-0.17792449388810622</v>
      </c>
      <c r="S242" s="23">
        <f t="shared" si="132"/>
        <v>-169.34306960381005</v>
      </c>
      <c r="T242" s="23">
        <f t="shared" si="133"/>
        <v>-35.873487610896518</v>
      </c>
      <c r="U242" s="14">
        <f t="shared" si="112"/>
        <v>20000</v>
      </c>
      <c r="V242" s="14">
        <f t="shared" si="113"/>
        <v>-89.999831142605714</v>
      </c>
      <c r="W242" s="14">
        <f t="shared" si="114"/>
        <v>-110.61205098364417</v>
      </c>
      <c r="X242" s="14">
        <f t="shared" si="115"/>
        <v>89.662289122284378</v>
      </c>
      <c r="Y242" s="14">
        <f t="shared" si="116"/>
        <v>44.591601950321554</v>
      </c>
      <c r="Z242" s="14">
        <f t="shared" si="117"/>
        <v>-37.638315457646208</v>
      </c>
      <c r="AA242" s="14">
        <f t="shared" si="118"/>
        <v>-2.0267966805871991</v>
      </c>
      <c r="AB242" s="23">
        <f t="shared" si="134"/>
        <v>-37.975857477967544</v>
      </c>
      <c r="AC242" s="23">
        <f t="shared" si="135"/>
        <v>17.973354199369812</v>
      </c>
      <c r="AD242" s="14">
        <f t="shared" si="119"/>
        <v>31.671914912943272</v>
      </c>
      <c r="AE242" s="14">
        <f t="shared" si="120"/>
        <v>1.4007088372651955</v>
      </c>
      <c r="AF242" s="14">
        <f t="shared" si="121"/>
        <v>0.530201991136656</v>
      </c>
      <c r="AG242" s="14">
        <f t="shared" si="122"/>
        <v>3.7190152017789067E-4</v>
      </c>
      <c r="AH242" s="14">
        <f t="shared" si="123"/>
        <v>-20.312606462175346</v>
      </c>
      <c r="AI242" s="14">
        <f t="shared" si="124"/>
        <v>-0.55767893875061325</v>
      </c>
      <c r="AJ242" s="23">
        <f t="shared" si="136"/>
        <v>11.889510441904584</v>
      </c>
      <c r="AK242" s="23">
        <f t="shared" si="137"/>
        <v>0.84340180003476017</v>
      </c>
      <c r="AL242" s="14">
        <f t="shared" si="125"/>
        <v>0</v>
      </c>
      <c r="AM242" s="14">
        <f t="shared" si="126"/>
        <v>0</v>
      </c>
      <c r="AN242" s="14">
        <f t="shared" si="127"/>
        <v>0</v>
      </c>
      <c r="AO242" s="14">
        <f t="shared" si="128"/>
        <v>0</v>
      </c>
      <c r="AP242" s="23">
        <f t="shared" si="138"/>
        <v>0</v>
      </c>
      <c r="AQ242" s="23">
        <f t="shared" si="139"/>
        <v>0</v>
      </c>
    </row>
    <row r="243" spans="8:43" x14ac:dyDescent="0.25">
      <c r="H243" s="14">
        <v>3.4</v>
      </c>
      <c r="I243" s="36">
        <f t="shared" si="129"/>
        <v>25118.864315095812</v>
      </c>
      <c r="J243" s="24">
        <f t="shared" si="130"/>
        <v>-16.612793390382915</v>
      </c>
      <c r="K243" s="24">
        <f t="shared" si="131"/>
        <v>-17.13590661573657</v>
      </c>
      <c r="L243" s="14">
        <f t="shared" si="105"/>
        <v>0.67018069634200106</v>
      </c>
      <c r="M243" s="14">
        <f t="shared" si="106"/>
        <v>-68.753697390189018</v>
      </c>
      <c r="N243" s="14">
        <f t="shared" si="107"/>
        <v>8.8167660767772542</v>
      </c>
      <c r="O243" s="14">
        <f t="shared" si="108"/>
        <v>-89.493031490338467</v>
      </c>
      <c r="P243" s="14">
        <f t="shared" si="109"/>
        <v>-41.062946308011533</v>
      </c>
      <c r="Q243" s="14">
        <f t="shared" si="110"/>
        <v>-11.819238845498752</v>
      </c>
      <c r="R243" s="14">
        <f t="shared" si="111"/>
        <v>-0.18613260970768405</v>
      </c>
      <c r="S243" s="23">
        <f t="shared" si="132"/>
        <v>-170.06596772602623</v>
      </c>
      <c r="T243" s="23">
        <f t="shared" si="133"/>
        <v>-35.908474552779822</v>
      </c>
      <c r="U243" s="14">
        <f t="shared" si="112"/>
        <v>20000</v>
      </c>
      <c r="V243" s="14">
        <f t="shared" si="113"/>
        <v>-89.999834986269263</v>
      </c>
      <c r="W243" s="14">
        <f t="shared" si="114"/>
        <v>-110.81205098364245</v>
      </c>
      <c r="X243" s="14">
        <f t="shared" si="115"/>
        <v>89.669976188366064</v>
      </c>
      <c r="Y243" s="14">
        <f t="shared" si="116"/>
        <v>44.791595159715811</v>
      </c>
      <c r="Z243" s="14">
        <f t="shared" si="117"/>
        <v>-38.278114896887388</v>
      </c>
      <c r="AA243" s="14">
        <f t="shared" si="118"/>
        <v>-2.102462487094356</v>
      </c>
      <c r="AB243" s="23">
        <f t="shared" si="134"/>
        <v>-38.607973694790587</v>
      </c>
      <c r="AC243" s="23">
        <f t="shared" si="135"/>
        <v>17.897681602258629</v>
      </c>
      <c r="AD243" s="14">
        <f t="shared" si="119"/>
        <v>32.264460157000769</v>
      </c>
      <c r="AE243" s="14">
        <f t="shared" si="120"/>
        <v>1.4567711585024732</v>
      </c>
      <c r="AF243" s="14">
        <f t="shared" si="121"/>
        <v>0.54255125217427924</v>
      </c>
      <c r="AG243" s="14">
        <f t="shared" si="122"/>
        <v>3.8942791304081025E-4</v>
      </c>
      <c r="AH243" s="14">
        <f t="shared" si="123"/>
        <v>-20.745863378741145</v>
      </c>
      <c r="AI243" s="14">
        <f t="shared" si="124"/>
        <v>-0.58227425163089086</v>
      </c>
      <c r="AJ243" s="23">
        <f t="shared" si="136"/>
        <v>12.061148030433902</v>
      </c>
      <c r="AK243" s="23">
        <f t="shared" si="137"/>
        <v>0.87488633478462308</v>
      </c>
      <c r="AL243" s="14">
        <f t="shared" si="125"/>
        <v>0</v>
      </c>
      <c r="AM243" s="14">
        <f t="shared" si="126"/>
        <v>0</v>
      </c>
      <c r="AN243" s="14">
        <f t="shared" si="127"/>
        <v>0</v>
      </c>
      <c r="AO243" s="14">
        <f t="shared" si="128"/>
        <v>0</v>
      </c>
      <c r="AP243" s="23">
        <f t="shared" si="138"/>
        <v>0</v>
      </c>
      <c r="AQ243" s="23">
        <f t="shared" si="139"/>
        <v>0</v>
      </c>
    </row>
    <row r="244" spans="8:43" x14ac:dyDescent="0.25">
      <c r="H244" s="14">
        <v>3.41</v>
      </c>
      <c r="I244" s="36">
        <f t="shared" si="129"/>
        <v>25703.957827688668</v>
      </c>
      <c r="J244" s="24">
        <f t="shared" si="130"/>
        <v>-17.798877756394738</v>
      </c>
      <c r="K244" s="24">
        <f t="shared" si="131"/>
        <v>-17.215712765273949</v>
      </c>
      <c r="L244" s="14">
        <f t="shared" si="105"/>
        <v>0.67018069634200106</v>
      </c>
      <c r="M244" s="14">
        <f t="shared" si="106"/>
        <v>-69.195503379255427</v>
      </c>
      <c r="N244" s="14">
        <f t="shared" si="107"/>
        <v>8.9910219399666556</v>
      </c>
      <c r="O244" s="14">
        <f t="shared" si="108"/>
        <v>-89.504570920597871</v>
      </c>
      <c r="P244" s="14">
        <f t="shared" si="109"/>
        <v>-41.262931005084567</v>
      </c>
      <c r="Q244" s="14">
        <f t="shared" si="110"/>
        <v>-12.086537223753327</v>
      </c>
      <c r="R244" s="14">
        <f t="shared" si="111"/>
        <v>-0.19471096730419785</v>
      </c>
      <c r="S244" s="23">
        <f t="shared" si="132"/>
        <v>-170.78661152360664</v>
      </c>
      <c r="T244" s="23">
        <f t="shared" si="133"/>
        <v>-35.942781744259968</v>
      </c>
      <c r="U244" s="14">
        <f t="shared" si="112"/>
        <v>20000</v>
      </c>
      <c r="V244" s="14">
        <f t="shared" si="113"/>
        <v>-89.999838742440346</v>
      </c>
      <c r="W244" s="14">
        <f t="shared" si="114"/>
        <v>-111.01205098364083</v>
      </c>
      <c r="X244" s="14">
        <f t="shared" si="115"/>
        <v>89.677488286941582</v>
      </c>
      <c r="Y244" s="14">
        <f t="shared" si="116"/>
        <v>44.991588674727765</v>
      </c>
      <c r="Z244" s="14">
        <f t="shared" si="117"/>
        <v>-38.921348128395429</v>
      </c>
      <c r="AA244" s="14">
        <f t="shared" si="118"/>
        <v>-2.1803062580015449</v>
      </c>
      <c r="AB244" s="23">
        <f t="shared" si="134"/>
        <v>-39.243698583894194</v>
      </c>
      <c r="AC244" s="23">
        <f t="shared" si="135"/>
        <v>17.819831346365014</v>
      </c>
      <c r="AD244" s="14">
        <f t="shared" si="119"/>
        <v>32.862901524583485</v>
      </c>
      <c r="AE244" s="14">
        <f t="shared" si="120"/>
        <v>1.5147101331965886</v>
      </c>
      <c r="AF244" s="14">
        <f t="shared" si="121"/>
        <v>0.55518811225949727</v>
      </c>
      <c r="AG244" s="14">
        <f t="shared" si="122"/>
        <v>4.0778022354358756E-4</v>
      </c>
      <c r="AH244" s="14">
        <f t="shared" si="123"/>
        <v>-21.186657285736892</v>
      </c>
      <c r="AI244" s="14">
        <f t="shared" si="124"/>
        <v>-0.60788028079912659</v>
      </c>
      <c r="AJ244" s="23">
        <f t="shared" si="136"/>
        <v>12.231432351106093</v>
      </c>
      <c r="AK244" s="23">
        <f t="shared" si="137"/>
        <v>0.90723763262100565</v>
      </c>
      <c r="AL244" s="14">
        <f t="shared" si="125"/>
        <v>0</v>
      </c>
      <c r="AM244" s="14">
        <f t="shared" si="126"/>
        <v>0</v>
      </c>
      <c r="AN244" s="14">
        <f t="shared" si="127"/>
        <v>0</v>
      </c>
      <c r="AO244" s="14">
        <f t="shared" si="128"/>
        <v>0</v>
      </c>
      <c r="AP244" s="23">
        <f t="shared" si="138"/>
        <v>0</v>
      </c>
      <c r="AQ244" s="23">
        <f t="shared" si="139"/>
        <v>0</v>
      </c>
    </row>
    <row r="245" spans="8:43" x14ac:dyDescent="0.25">
      <c r="H245" s="14">
        <v>3.42</v>
      </c>
      <c r="I245" s="36">
        <f t="shared" si="129"/>
        <v>26302.679918953821</v>
      </c>
      <c r="J245" s="24">
        <f t="shared" si="130"/>
        <v>-18.987706848813353</v>
      </c>
      <c r="K245" s="24">
        <f t="shared" si="131"/>
        <v>-17.296222097410819</v>
      </c>
      <c r="L245" s="14">
        <f t="shared" si="105"/>
        <v>0.67018069634200106</v>
      </c>
      <c r="M245" s="14">
        <f t="shared" si="106"/>
        <v>-69.629768647949732</v>
      </c>
      <c r="N245" s="14">
        <f t="shared" si="107"/>
        <v>9.1662931977203357</v>
      </c>
      <c r="O245" s="14">
        <f t="shared" si="108"/>
        <v>-89.515847720193634</v>
      </c>
      <c r="P245" s="14">
        <f t="shared" si="109"/>
        <v>-41.462916390852421</v>
      </c>
      <c r="Q245" s="14">
        <f t="shared" si="110"/>
        <v>-12.359509943970577</v>
      </c>
      <c r="R245" s="14">
        <f t="shared" si="111"/>
        <v>-0.20367548638411243</v>
      </c>
      <c r="S245" s="23">
        <f t="shared" si="132"/>
        <v>-171.50512631211393</v>
      </c>
      <c r="T245" s="23">
        <f t="shared" si="133"/>
        <v>-35.976460391354053</v>
      </c>
      <c r="U245" s="14">
        <f t="shared" si="112"/>
        <v>20000</v>
      </c>
      <c r="V245" s="14">
        <f t="shared" si="113"/>
        <v>-89.999842413110557</v>
      </c>
      <c r="W245" s="14">
        <f t="shared" si="114"/>
        <v>-111.21205098363929</v>
      </c>
      <c r="X245" s="14">
        <f t="shared" si="115"/>
        <v>89.684829399991358</v>
      </c>
      <c r="Y245" s="14">
        <f t="shared" si="116"/>
        <v>45.19158248160322</v>
      </c>
      <c r="Z245" s="14">
        <f t="shared" si="117"/>
        <v>-39.567707679161721</v>
      </c>
      <c r="AA245" s="14">
        <f t="shared" si="118"/>
        <v>-2.2603503238785425</v>
      </c>
      <c r="AB245" s="23">
        <f t="shared" si="134"/>
        <v>-39.88272069228092</v>
      </c>
      <c r="AC245" s="23">
        <f t="shared" si="135"/>
        <v>17.739781087365017</v>
      </c>
      <c r="AD245" s="14">
        <f t="shared" si="119"/>
        <v>33.46703401475542</v>
      </c>
      <c r="AE245" s="14">
        <f t="shared" si="120"/>
        <v>1.5745624580339075</v>
      </c>
      <c r="AF245" s="14">
        <f t="shared" si="121"/>
        <v>0.56811926670226753</v>
      </c>
      <c r="AG245" s="14">
        <f t="shared" si="122"/>
        <v>4.2699736867457533E-4</v>
      </c>
      <c r="AH245" s="14">
        <f t="shared" si="123"/>
        <v>-21.635013125876192</v>
      </c>
      <c r="AI245" s="14">
        <f t="shared" si="124"/>
        <v>-0.63453224882436698</v>
      </c>
      <c r="AJ245" s="23">
        <f t="shared" si="136"/>
        <v>12.400140155581497</v>
      </c>
      <c r="AK245" s="23">
        <f t="shared" si="137"/>
        <v>0.94045720657821508</v>
      </c>
      <c r="AL245" s="14">
        <f t="shared" si="125"/>
        <v>0</v>
      </c>
      <c r="AM245" s="14">
        <f t="shared" si="126"/>
        <v>0</v>
      </c>
      <c r="AN245" s="14">
        <f t="shared" si="127"/>
        <v>0</v>
      </c>
      <c r="AO245" s="14">
        <f t="shared" si="128"/>
        <v>0</v>
      </c>
      <c r="AP245" s="23">
        <f t="shared" si="138"/>
        <v>0</v>
      </c>
      <c r="AQ245" s="23">
        <f t="shared" si="139"/>
        <v>0</v>
      </c>
    </row>
    <row r="246" spans="8:43" x14ac:dyDescent="0.25">
      <c r="H246" s="14">
        <v>3.43</v>
      </c>
      <c r="I246" s="36">
        <f t="shared" si="129"/>
        <v>26915.348039269185</v>
      </c>
      <c r="J246" s="24">
        <f t="shared" si="130"/>
        <v>-20.179321396755082</v>
      </c>
      <c r="K246" s="24">
        <f t="shared" si="131"/>
        <v>-17.377506217670238</v>
      </c>
      <c r="L246" s="14">
        <f t="shared" si="105"/>
        <v>0.67018069634200106</v>
      </c>
      <c r="M246" s="14">
        <f t="shared" si="106"/>
        <v>-70.056523815387521</v>
      </c>
      <c r="N246" s="14">
        <f t="shared" si="107"/>
        <v>9.3425452596633924</v>
      </c>
      <c r="O246" s="14">
        <f t="shared" si="108"/>
        <v>-89.526867864737497</v>
      </c>
      <c r="P246" s="14">
        <f t="shared" si="109"/>
        <v>-41.662902434323179</v>
      </c>
      <c r="Q246" s="14">
        <f t="shared" si="110"/>
        <v>-12.638252148931182</v>
      </c>
      <c r="R246" s="14">
        <f t="shared" si="111"/>
        <v>-0.21304269952414573</v>
      </c>
      <c r="S246" s="23">
        <f t="shared" si="132"/>
        <v>-172.22164382905621</v>
      </c>
      <c r="T246" s="23">
        <f t="shared" si="133"/>
        <v>-36.009561586021789</v>
      </c>
      <c r="U246" s="14">
        <f t="shared" si="112"/>
        <v>20000</v>
      </c>
      <c r="V246" s="14">
        <f t="shared" si="113"/>
        <v>-89.9998460002261</v>
      </c>
      <c r="W246" s="14">
        <f t="shared" si="114"/>
        <v>-111.41205098363781</v>
      </c>
      <c r="X246" s="14">
        <f t="shared" si="115"/>
        <v>89.69200341890604</v>
      </c>
      <c r="Y246" s="14">
        <f t="shared" si="116"/>
        <v>45.391576567206961</v>
      </c>
      <c r="Z246" s="14">
        <f t="shared" si="117"/>
        <v>-40.21687823569917</v>
      </c>
      <c r="AA246" s="14">
        <f t="shared" si="118"/>
        <v>-2.3426149935480591</v>
      </c>
      <c r="AB246" s="23">
        <f t="shared" si="134"/>
        <v>-40.524720817019229</v>
      </c>
      <c r="AC246" s="23">
        <f t="shared" si="135"/>
        <v>17.657510503300713</v>
      </c>
      <c r="AD246" s="14">
        <f t="shared" si="119"/>
        <v>34.076640606384771</v>
      </c>
      <c r="AE246" s="14">
        <f t="shared" si="120"/>
        <v>1.6363638293835376</v>
      </c>
      <c r="AF246" s="14">
        <f t="shared" si="121"/>
        <v>0.58135156649947084</v>
      </c>
      <c r="AG246" s="14">
        <f t="shared" si="122"/>
        <v>4.4712009881394267E-4</v>
      </c>
      <c r="AH246" s="14">
        <f t="shared" si="123"/>
        <v>-22.090948923563889</v>
      </c>
      <c r="AI246" s="14">
        <f t="shared" si="124"/>
        <v>-0.66226608443151269</v>
      </c>
      <c r="AJ246" s="23">
        <f t="shared" si="136"/>
        <v>12.567043249320353</v>
      </c>
      <c r="AK246" s="23">
        <f t="shared" si="137"/>
        <v>0.97454486505083882</v>
      </c>
      <c r="AL246" s="14">
        <f t="shared" si="125"/>
        <v>0</v>
      </c>
      <c r="AM246" s="14">
        <f t="shared" si="126"/>
        <v>0</v>
      </c>
      <c r="AN246" s="14">
        <f t="shared" si="127"/>
        <v>0</v>
      </c>
      <c r="AO246" s="14">
        <f t="shared" si="128"/>
        <v>0</v>
      </c>
      <c r="AP246" s="23">
        <f t="shared" si="138"/>
        <v>0</v>
      </c>
      <c r="AQ246" s="23">
        <f t="shared" si="139"/>
        <v>0</v>
      </c>
    </row>
    <row r="247" spans="8:43" x14ac:dyDescent="0.25">
      <c r="H247" s="14">
        <v>3.44</v>
      </c>
      <c r="I247" s="36">
        <f t="shared" si="129"/>
        <v>27542.28703338169</v>
      </c>
      <c r="J247" s="24">
        <f t="shared" si="130"/>
        <v>-21.373765358141242</v>
      </c>
      <c r="K247" s="24">
        <f t="shared" si="131"/>
        <v>-17.459636298992809</v>
      </c>
      <c r="L247" s="14">
        <f t="shared" si="105"/>
        <v>0.67018069634200106</v>
      </c>
      <c r="M247" s="14">
        <f t="shared" si="106"/>
        <v>-70.475805696080343</v>
      </c>
      <c r="N247" s="14">
        <f t="shared" si="107"/>
        <v>9.5197442858741805</v>
      </c>
      <c r="O247" s="14">
        <f t="shared" si="108"/>
        <v>-89.537637193992694</v>
      </c>
      <c r="P247" s="14">
        <f t="shared" si="109"/>
        <v>-41.862889105899356</v>
      </c>
      <c r="Q247" s="14">
        <f t="shared" si="110"/>
        <v>-12.922858829373052</v>
      </c>
      <c r="R247" s="14">
        <f t="shared" si="111"/>
        <v>-0.22282976920458111</v>
      </c>
      <c r="S247" s="23">
        <f t="shared" si="132"/>
        <v>-172.93630171944608</v>
      </c>
      <c r="T247" s="23">
        <f t="shared" si="133"/>
        <v>-36.042136301067615</v>
      </c>
      <c r="U247" s="14">
        <f t="shared" si="112"/>
        <v>20000</v>
      </c>
      <c r="V247" s="14">
        <f t="shared" si="113"/>
        <v>-89.999849505688914</v>
      </c>
      <c r="W247" s="14">
        <f t="shared" si="114"/>
        <v>-111.61205098363639</v>
      </c>
      <c r="X247" s="14">
        <f t="shared" si="115"/>
        <v>89.699014146545096</v>
      </c>
      <c r="Y247" s="14">
        <f t="shared" si="116"/>
        <v>45.591570918994861</v>
      </c>
      <c r="Z247" s="14">
        <f t="shared" si="117"/>
        <v>-40.868537356082854</v>
      </c>
      <c r="AA247" s="14">
        <f t="shared" si="118"/>
        <v>-2.4271184731907351</v>
      </c>
      <c r="AB247" s="23">
        <f t="shared" si="134"/>
        <v>-41.169372715226672</v>
      </c>
      <c r="AC247" s="23">
        <f t="shared" si="135"/>
        <v>17.573001375447358</v>
      </c>
      <c r="AD247" s="14">
        <f t="shared" si="119"/>
        <v>34.691492446943052</v>
      </c>
      <c r="AE247" s="14">
        <f t="shared" si="120"/>
        <v>1.7001488285955333</v>
      </c>
      <c r="AF247" s="14">
        <f t="shared" si="121"/>
        <v>0.59489202194223811</v>
      </c>
      <c r="AG247" s="14">
        <f t="shared" si="122"/>
        <v>4.6819108407475683E-4</v>
      </c>
      <c r="AH247" s="14">
        <f t="shared" si="123"/>
        <v>-22.55447539235378</v>
      </c>
      <c r="AI247" s="14">
        <f t="shared" si="124"/>
        <v>-0.69111839305216027</v>
      </c>
      <c r="AJ247" s="23">
        <f t="shared" si="136"/>
        <v>12.731909076531508</v>
      </c>
      <c r="AK247" s="23">
        <f t="shared" si="137"/>
        <v>1.0094986266274477</v>
      </c>
      <c r="AL247" s="14">
        <f t="shared" si="125"/>
        <v>0</v>
      </c>
      <c r="AM247" s="14">
        <f t="shared" si="126"/>
        <v>0</v>
      </c>
      <c r="AN247" s="14">
        <f t="shared" si="127"/>
        <v>0</v>
      </c>
      <c r="AO247" s="14">
        <f t="shared" si="128"/>
        <v>0</v>
      </c>
      <c r="AP247" s="23">
        <f t="shared" si="138"/>
        <v>0</v>
      </c>
      <c r="AQ247" s="23">
        <f t="shared" si="139"/>
        <v>0</v>
      </c>
    </row>
    <row r="248" spans="8:43" x14ac:dyDescent="0.25">
      <c r="H248" s="14">
        <v>3.45</v>
      </c>
      <c r="I248" s="36">
        <f t="shared" si="129"/>
        <v>28183.829312644561</v>
      </c>
      <c r="J248" s="24">
        <f t="shared" si="130"/>
        <v>-22.571085512685158</v>
      </c>
      <c r="K248" s="24">
        <f t="shared" si="131"/>
        <v>-17.542683087418265</v>
      </c>
      <c r="L248" s="14">
        <f t="shared" si="105"/>
        <v>0.67018069634200106</v>
      </c>
      <c r="M248" s="14">
        <f t="shared" si="106"/>
        <v>-70.88765692032392</v>
      </c>
      <c r="N248" s="14">
        <f t="shared" si="107"/>
        <v>9.6978572052730954</v>
      </c>
      <c r="O248" s="14">
        <f t="shared" si="108"/>
        <v>-89.548161414954606</v>
      </c>
      <c r="P248" s="14">
        <f t="shared" si="109"/>
        <v>-42.06287637731522</v>
      </c>
      <c r="Q248" s="14">
        <f t="shared" si="110"/>
        <v>-13.213424682412017</v>
      </c>
      <c r="R248" s="14">
        <f t="shared" si="111"/>
        <v>-0.23305450469216848</v>
      </c>
      <c r="S248" s="23">
        <f t="shared" si="132"/>
        <v>-173.64924301769054</v>
      </c>
      <c r="T248" s="23">
        <f t="shared" si="133"/>
        <v>-36.074235388572149</v>
      </c>
      <c r="U248" s="14">
        <f t="shared" si="112"/>
        <v>20000</v>
      </c>
      <c r="V248" s="14">
        <f t="shared" si="113"/>
        <v>-89.99985293135768</v>
      </c>
      <c r="W248" s="14">
        <f t="shared" si="114"/>
        <v>-111.81205098363505</v>
      </c>
      <c r="X248" s="14">
        <f t="shared" si="115"/>
        <v>89.70586529924897</v>
      </c>
      <c r="Y248" s="14">
        <f t="shared" si="116"/>
        <v>45.791565524987313</v>
      </c>
      <c r="Z248" s="14">
        <f t="shared" si="117"/>
        <v>-41.522356225148577</v>
      </c>
      <c r="AA248" s="14">
        <f t="shared" si="118"/>
        <v>-2.5138767928590786</v>
      </c>
      <c r="AB248" s="23">
        <f t="shared" si="134"/>
        <v>-41.816343857257287</v>
      </c>
      <c r="AC248" s="23">
        <f t="shared" si="135"/>
        <v>17.486237661772812</v>
      </c>
      <c r="AD248" s="14">
        <f t="shared" si="119"/>
        <v>35.311349096911258</v>
      </c>
      <c r="AE248" s="14">
        <f t="shared" si="120"/>
        <v>1.7659508075308283</v>
      </c>
      <c r="AF248" s="14">
        <f t="shared" si="121"/>
        <v>0.60874780630595149</v>
      </c>
      <c r="AG248" s="14">
        <f t="shared" si="122"/>
        <v>4.9025500470711132E-4</v>
      </c>
      <c r="AH248" s="14">
        <f t="shared" si="123"/>
        <v>-23.025595540954541</v>
      </c>
      <c r="AI248" s="14">
        <f t="shared" si="124"/>
        <v>-0.72112642315446329</v>
      </c>
      <c r="AJ248" s="23">
        <f t="shared" si="136"/>
        <v>12.894501362262666</v>
      </c>
      <c r="AK248" s="23">
        <f t="shared" si="137"/>
        <v>1.0453146393810719</v>
      </c>
      <c r="AL248" s="14">
        <f t="shared" si="125"/>
        <v>0</v>
      </c>
      <c r="AM248" s="14">
        <f t="shared" si="126"/>
        <v>0</v>
      </c>
      <c r="AN248" s="14">
        <f t="shared" si="127"/>
        <v>0</v>
      </c>
      <c r="AO248" s="14">
        <f t="shared" si="128"/>
        <v>0</v>
      </c>
      <c r="AP248" s="23">
        <f t="shared" si="138"/>
        <v>0</v>
      </c>
      <c r="AQ248" s="23">
        <f t="shared" si="139"/>
        <v>0</v>
      </c>
    </row>
    <row r="249" spans="8:43" x14ac:dyDescent="0.25">
      <c r="H249" s="14">
        <v>3.46</v>
      </c>
      <c r="I249" s="36">
        <f t="shared" si="129"/>
        <v>28840.315031266076</v>
      </c>
      <c r="J249" s="24">
        <f t="shared" si="130"/>
        <v>-23.771331035103284</v>
      </c>
      <c r="K249" s="24">
        <f t="shared" si="131"/>
        <v>-17.626716913705156</v>
      </c>
      <c r="L249" s="14">
        <f t="shared" si="105"/>
        <v>0.67018069634200106</v>
      </c>
      <c r="M249" s="14">
        <f t="shared" si="106"/>
        <v>-71.292125561650067</v>
      </c>
      <c r="N249" s="14">
        <f t="shared" si="107"/>
        <v>9.8768517305371422</v>
      </c>
      <c r="O249" s="14">
        <f t="shared" si="108"/>
        <v>-89.558446104862284</v>
      </c>
      <c r="P249" s="14">
        <f t="shared" si="109"/>
        <v>-42.262864221576926</v>
      </c>
      <c r="Q249" s="14">
        <f t="shared" si="110"/>
        <v>-13.510043960155405</v>
      </c>
      <c r="R249" s="14">
        <f t="shared" si="111"/>
        <v>-0.24373537869830722</v>
      </c>
      <c r="S249" s="23">
        <f t="shared" si="132"/>
        <v>-174.36061562666774</v>
      </c>
      <c r="T249" s="23">
        <f t="shared" si="133"/>
        <v>-36.105909581575943</v>
      </c>
      <c r="U249" s="14">
        <f t="shared" si="112"/>
        <v>20000</v>
      </c>
      <c r="V249" s="14">
        <f t="shared" si="113"/>
        <v>-89.999856279048686</v>
      </c>
      <c r="W249" s="14">
        <f t="shared" si="114"/>
        <v>-112.01205098363376</v>
      </c>
      <c r="X249" s="14">
        <f t="shared" si="115"/>
        <v>89.712560508805325</v>
      </c>
      <c r="Y249" s="14">
        <f t="shared" si="116"/>
        <v>45.991560373743852</v>
      </c>
      <c r="Z249" s="14">
        <f t="shared" si="117"/>
        <v>-42.178000448847243</v>
      </c>
      <c r="AA249" s="14">
        <f t="shared" si="118"/>
        <v>-2.6029037410184834</v>
      </c>
      <c r="AB249" s="23">
        <f t="shared" si="134"/>
        <v>-42.465296219090604</v>
      </c>
      <c r="AC249" s="23">
        <f t="shared" si="135"/>
        <v>17.397205562371237</v>
      </c>
      <c r="AD249" s="14">
        <f t="shared" si="119"/>
        <v>35.935958830665953</v>
      </c>
      <c r="AE249" s="14">
        <f t="shared" si="120"/>
        <v>1.8338017750368796</v>
      </c>
      <c r="AF249" s="14">
        <f t="shared" si="121"/>
        <v>0.62292625962472803</v>
      </c>
      <c r="AG249" s="14">
        <f t="shared" si="122"/>
        <v>5.1335864574018984E-4</v>
      </c>
      <c r="AH249" s="14">
        <f t="shared" si="123"/>
        <v>-23.504304279635623</v>
      </c>
      <c r="AI249" s="14">
        <f t="shared" si="124"/>
        <v>-0.75232802818306921</v>
      </c>
      <c r="AJ249" s="23">
        <f t="shared" si="136"/>
        <v>13.054580810655057</v>
      </c>
      <c r="AK249" s="23">
        <f t="shared" si="137"/>
        <v>1.0819871054995507</v>
      </c>
      <c r="AL249" s="14">
        <f t="shared" si="125"/>
        <v>0</v>
      </c>
      <c r="AM249" s="14">
        <f t="shared" si="126"/>
        <v>0</v>
      </c>
      <c r="AN249" s="14">
        <f t="shared" si="127"/>
        <v>0</v>
      </c>
      <c r="AO249" s="14">
        <f t="shared" si="128"/>
        <v>0</v>
      </c>
      <c r="AP249" s="23">
        <f t="shared" si="138"/>
        <v>0</v>
      </c>
      <c r="AQ249" s="23">
        <f t="shared" si="139"/>
        <v>0</v>
      </c>
    </row>
    <row r="250" spans="8:43" x14ac:dyDescent="0.25">
      <c r="H250" s="14">
        <v>3.47</v>
      </c>
      <c r="I250" s="36">
        <f t="shared" si="129"/>
        <v>29512.092266663898</v>
      </c>
      <c r="J250" s="24">
        <f t="shared" si="130"/>
        <v>-24.974553046418638</v>
      </c>
      <c r="K250" s="24">
        <f t="shared" si="131"/>
        <v>-17.711807710266807</v>
      </c>
      <c r="L250" s="14">
        <f t="shared" si="105"/>
        <v>0.67018069634200106</v>
      </c>
      <c r="M250" s="14">
        <f t="shared" si="106"/>
        <v>-71.689264772413338</v>
      </c>
      <c r="N250" s="14">
        <f t="shared" si="107"/>
        <v>10.056696369746422</v>
      </c>
      <c r="O250" s="14">
        <f t="shared" si="108"/>
        <v>-89.568496714141816</v>
      </c>
      <c r="P250" s="14">
        <f t="shared" si="109"/>
        <v>-42.462852612905223</v>
      </c>
      <c r="Q250" s="14">
        <f t="shared" si="110"/>
        <v>-13.812810308152949</v>
      </c>
      <c r="R250" s="14">
        <f t="shared" si="111"/>
        <v>-0.25489154373137968</v>
      </c>
      <c r="S250" s="23">
        <f t="shared" si="132"/>
        <v>-175.07057179470812</v>
      </c>
      <c r="T250" s="23">
        <f t="shared" si="133"/>
        <v>-36.137209498728041</v>
      </c>
      <c r="U250" s="14">
        <f t="shared" si="112"/>
        <v>20000</v>
      </c>
      <c r="V250" s="14">
        <f t="shared" si="113"/>
        <v>-89.999859550536939</v>
      </c>
      <c r="W250" s="14">
        <f t="shared" si="114"/>
        <v>-112.21205098363254</v>
      </c>
      <c r="X250" s="14">
        <f t="shared" si="115"/>
        <v>89.719103324371147</v>
      </c>
      <c r="Y250" s="14">
        <f t="shared" si="116"/>
        <v>46.19155545433884</v>
      </c>
      <c r="Z250" s="14">
        <f t="shared" si="117"/>
        <v>-42.835130883314946</v>
      </c>
      <c r="AA250" s="14">
        <f t="shared" si="118"/>
        <v>-2.6942108076751667</v>
      </c>
      <c r="AB250" s="23">
        <f t="shared" si="134"/>
        <v>-43.115887109480738</v>
      </c>
      <c r="AC250" s="23">
        <f t="shared" si="135"/>
        <v>17.305893576310762</v>
      </c>
      <c r="AD250" s="14">
        <f t="shared" si="119"/>
        <v>36.565058994272292</v>
      </c>
      <c r="AE250" s="14">
        <f t="shared" si="120"/>
        <v>1.9037322851101894</v>
      </c>
      <c r="AF250" s="14">
        <f t="shared" si="121"/>
        <v>0.63743489255225938</v>
      </c>
      <c r="AG250" s="14">
        <f t="shared" si="122"/>
        <v>5.3755099609881229E-4</v>
      </c>
      <c r="AH250" s="14">
        <f t="shared" si="123"/>
        <v>-23.990588029054333</v>
      </c>
      <c r="AI250" s="14">
        <f t="shared" si="124"/>
        <v>-0.78476162395581572</v>
      </c>
      <c r="AJ250" s="23">
        <f t="shared" si="136"/>
        <v>13.211905857770216</v>
      </c>
      <c r="AK250" s="23">
        <f t="shared" si="137"/>
        <v>1.1195082121504725</v>
      </c>
      <c r="AL250" s="14">
        <f t="shared" si="125"/>
        <v>0</v>
      </c>
      <c r="AM250" s="14">
        <f t="shared" si="126"/>
        <v>0</v>
      </c>
      <c r="AN250" s="14">
        <f t="shared" si="127"/>
        <v>0</v>
      </c>
      <c r="AO250" s="14">
        <f t="shared" si="128"/>
        <v>0</v>
      </c>
      <c r="AP250" s="23">
        <f t="shared" si="138"/>
        <v>0</v>
      </c>
      <c r="AQ250" s="23">
        <f t="shared" si="139"/>
        <v>0</v>
      </c>
    </row>
    <row r="251" spans="8:43" x14ac:dyDescent="0.25">
      <c r="H251" s="14">
        <v>3.48</v>
      </c>
      <c r="I251" s="36">
        <f t="shared" si="129"/>
        <v>30199.517204020176</v>
      </c>
      <c r="J251" s="24">
        <f t="shared" si="130"/>
        <v>-26.180804141338122</v>
      </c>
      <c r="K251" s="24">
        <f t="shared" si="131"/>
        <v>-17.79802503272516</v>
      </c>
      <c r="L251" s="14">
        <f t="shared" si="105"/>
        <v>0.67018069634200106</v>
      </c>
      <c r="M251" s="14">
        <f t="shared" si="106"/>
        <v>-72.079132428437788</v>
      </c>
      <c r="N251" s="14">
        <f t="shared" si="107"/>
        <v>10.237360434969254</v>
      </c>
      <c r="O251" s="14">
        <f t="shared" si="108"/>
        <v>-89.578318569283766</v>
      </c>
      <c r="P251" s="14">
        <f t="shared" si="109"/>
        <v>-42.662841526680836</v>
      </c>
      <c r="Q251" s="14">
        <f t="shared" si="110"/>
        <v>-14.121816593341652</v>
      </c>
      <c r="R251" s="14">
        <f t="shared" si="111"/>
        <v>-0.26654284805475514</v>
      </c>
      <c r="S251" s="23">
        <f t="shared" si="132"/>
        <v>-175.77926759106322</v>
      </c>
      <c r="T251" s="23">
        <f t="shared" si="133"/>
        <v>-36.16818565160419</v>
      </c>
      <c r="U251" s="14">
        <f t="shared" si="112"/>
        <v>20000</v>
      </c>
      <c r="V251" s="14">
        <f t="shared" si="113"/>
        <v>-89.999862747557046</v>
      </c>
      <c r="W251" s="14">
        <f t="shared" si="114"/>
        <v>-112.41205098363136</v>
      </c>
      <c r="X251" s="14">
        <f t="shared" si="115"/>
        <v>89.725497214350895</v>
      </c>
      <c r="Y251" s="14">
        <f t="shared" si="116"/>
        <v>46.391550756338304</v>
      </c>
      <c r="Z251" s="14">
        <f t="shared" si="117"/>
        <v>-43.493404493821011</v>
      </c>
      <c r="AA251" s="14">
        <f t="shared" si="118"/>
        <v>-2.7878071365840347</v>
      </c>
      <c r="AB251" s="23">
        <f t="shared" si="134"/>
        <v>-43.767770027027161</v>
      </c>
      <c r="AC251" s="23">
        <f t="shared" si="135"/>
        <v>17.212292549402534</v>
      </c>
      <c r="AD251" s="14">
        <f t="shared" si="119"/>
        <v>37.198376420132284</v>
      </c>
      <c r="AE251" s="14">
        <f t="shared" si="120"/>
        <v>1.9757713275065161</v>
      </c>
      <c r="AF251" s="14">
        <f t="shared" si="121"/>
        <v>0.65228139031090138</v>
      </c>
      <c r="AG251" s="14">
        <f t="shared" si="122"/>
        <v>5.6288335236343988E-4</v>
      </c>
      <c r="AH251" s="14">
        <f t="shared" si="123"/>
        <v>-24.484424333690932</v>
      </c>
      <c r="AI251" s="14">
        <f t="shared" si="124"/>
        <v>-0.81846614138238449</v>
      </c>
      <c r="AJ251" s="23">
        <f t="shared" si="136"/>
        <v>13.366233476752257</v>
      </c>
      <c r="AK251" s="23">
        <f t="shared" si="137"/>
        <v>1.1578680694764949</v>
      </c>
      <c r="AL251" s="14">
        <f t="shared" si="125"/>
        <v>0</v>
      </c>
      <c r="AM251" s="14">
        <f t="shared" si="126"/>
        <v>0</v>
      </c>
      <c r="AN251" s="14">
        <f t="shared" si="127"/>
        <v>0</v>
      </c>
      <c r="AO251" s="14">
        <f t="shared" si="128"/>
        <v>0</v>
      </c>
      <c r="AP251" s="23">
        <f t="shared" si="138"/>
        <v>0</v>
      </c>
      <c r="AQ251" s="23">
        <f t="shared" si="139"/>
        <v>0</v>
      </c>
    </row>
    <row r="252" spans="8:43" x14ac:dyDescent="0.25">
      <c r="H252" s="14">
        <v>3.49</v>
      </c>
      <c r="I252" s="36">
        <f t="shared" si="129"/>
        <v>30902.954325135921</v>
      </c>
      <c r="J252" s="24">
        <f t="shared" si="130"/>
        <v>-27.39013788988477</v>
      </c>
      <c r="K252" s="24">
        <f t="shared" si="131"/>
        <v>-17.885438085313652</v>
      </c>
      <c r="L252" s="14">
        <f t="shared" si="105"/>
        <v>0.67018069634200106</v>
      </c>
      <c r="M252" s="14">
        <f t="shared" si="106"/>
        <v>-72.461790783513138</v>
      </c>
      <c r="N252" s="14">
        <f t="shared" si="107"/>
        <v>10.418814047992349</v>
      </c>
      <c r="O252" s="14">
        <f t="shared" si="108"/>
        <v>-89.587916875655409</v>
      </c>
      <c r="P252" s="14">
        <f t="shared" si="109"/>
        <v>-42.862830939392317</v>
      </c>
      <c r="Q252" s="14">
        <f t="shared" si="110"/>
        <v>-14.43715472115869</v>
      </c>
      <c r="R252" s="14">
        <f t="shared" si="111"/>
        <v>-0.27870985115456359</v>
      </c>
      <c r="S252" s="23">
        <f t="shared" si="132"/>
        <v>-176.48686238032724</v>
      </c>
      <c r="T252" s="23">
        <f t="shared" si="133"/>
        <v>-36.198888454392389</v>
      </c>
      <c r="U252" s="14">
        <f t="shared" si="112"/>
        <v>20000</v>
      </c>
      <c r="V252" s="14">
        <f t="shared" si="113"/>
        <v>-89.999865871804076</v>
      </c>
      <c r="W252" s="14">
        <f t="shared" si="114"/>
        <v>-112.61205098363023</v>
      </c>
      <c r="X252" s="14">
        <f t="shared" si="115"/>
        <v>89.731745568232299</v>
      </c>
      <c r="Y252" s="14">
        <f t="shared" si="116"/>
        <v>46.591546269777893</v>
      </c>
      <c r="Z252" s="14">
        <f t="shared" si="117"/>
        <v>-44.152475238410773</v>
      </c>
      <c r="AA252" s="14">
        <f t="shared" si="118"/>
        <v>-2.8836994869556825</v>
      </c>
      <c r="AB252" s="23">
        <f t="shared" si="134"/>
        <v>-44.42059554198255</v>
      </c>
      <c r="AC252" s="23">
        <f t="shared" si="135"/>
        <v>17.116395712471611</v>
      </c>
      <c r="AD252" s="14">
        <f t="shared" si="119"/>
        <v>37.835627897936064</v>
      </c>
      <c r="AE252" s="14">
        <f t="shared" si="120"/>
        <v>2.0499462215717159</v>
      </c>
      <c r="AF252" s="14">
        <f t="shared" si="121"/>
        <v>0.6674736167309604</v>
      </c>
      <c r="AG252" s="14">
        <f t="shared" si="122"/>
        <v>5.8940942742740808E-4</v>
      </c>
      <c r="AH252" s="14">
        <f t="shared" si="123"/>
        <v>-24.985781482242004</v>
      </c>
      <c r="AI252" s="14">
        <f t="shared" si="124"/>
        <v>-0.85348097439201731</v>
      </c>
      <c r="AJ252" s="23">
        <f t="shared" si="136"/>
        <v>13.517320032425019</v>
      </c>
      <c r="AK252" s="23">
        <f t="shared" si="137"/>
        <v>1.1970546566071258</v>
      </c>
      <c r="AL252" s="14">
        <f t="shared" si="125"/>
        <v>0</v>
      </c>
      <c r="AM252" s="14">
        <f t="shared" si="126"/>
        <v>0</v>
      </c>
      <c r="AN252" s="14">
        <f t="shared" si="127"/>
        <v>0</v>
      </c>
      <c r="AO252" s="14">
        <f t="shared" si="128"/>
        <v>0</v>
      </c>
      <c r="AP252" s="23">
        <f t="shared" si="138"/>
        <v>0</v>
      </c>
      <c r="AQ252" s="23">
        <f t="shared" si="139"/>
        <v>0</v>
      </c>
    </row>
    <row r="253" spans="8:43" x14ac:dyDescent="0.25">
      <c r="H253" s="14">
        <v>3.5</v>
      </c>
      <c r="I253" s="36">
        <f t="shared" si="129"/>
        <v>31622.776601683803</v>
      </c>
      <c r="J253" s="24">
        <f t="shared" si="130"/>
        <v>-28.602608311740468</v>
      </c>
      <c r="K253" s="24">
        <f t="shared" si="131"/>
        <v>-17.974115749295997</v>
      </c>
      <c r="L253" s="14">
        <f t="shared" si="105"/>
        <v>0.67018069634200106</v>
      </c>
      <c r="M253" s="14">
        <f t="shared" si="106"/>
        <v>-72.837306134399341</v>
      </c>
      <c r="N253" s="14">
        <f t="shared" si="107"/>
        <v>10.601028143399798</v>
      </c>
      <c r="O253" s="14">
        <f t="shared" si="108"/>
        <v>-89.597296720249673</v>
      </c>
      <c r="P253" s="14">
        <f t="shared" si="109"/>
        <v>-43.06282082858619</v>
      </c>
      <c r="Q253" s="14">
        <f t="shared" si="110"/>
        <v>-14.75891544151669</v>
      </c>
      <c r="R253" s="14">
        <f t="shared" si="111"/>
        <v>-0.29141383861347647</v>
      </c>
      <c r="S253" s="23">
        <f t="shared" si="132"/>
        <v>-177.19351829616571</v>
      </c>
      <c r="T253" s="23">
        <f t="shared" si="133"/>
        <v>-36.229368235637729</v>
      </c>
      <c r="U253" s="14">
        <f t="shared" si="112"/>
        <v>20000</v>
      </c>
      <c r="V253" s="14">
        <f t="shared" si="113"/>
        <v>-89.99986892493456</v>
      </c>
      <c r="W253" s="14">
        <f t="shared" si="114"/>
        <v>-112.81205098362916</v>
      </c>
      <c r="X253" s="14">
        <f t="shared" si="115"/>
        <v>89.737851698380467</v>
      </c>
      <c r="Y253" s="14">
        <f t="shared" si="116"/>
        <v>46.791541985141635</v>
      </c>
      <c r="Z253" s="14">
        <f t="shared" si="117"/>
        <v>-44.811994970768708</v>
      </c>
      <c r="AA253" s="14">
        <f t="shared" si="118"/>
        <v>-2.9818922050014054</v>
      </c>
      <c r="AB253" s="23">
        <f t="shared" si="134"/>
        <v>-45.074012197322801</v>
      </c>
      <c r="AC253" s="23">
        <f t="shared" si="135"/>
        <v>17.018198709790692</v>
      </c>
      <c r="AD253" s="14">
        <f t="shared" si="119"/>
        <v>38.476520700843459</v>
      </c>
      <c r="AE253" s="14">
        <f t="shared" si="120"/>
        <v>2.1262825140693695</v>
      </c>
      <c r="AF253" s="14">
        <f t="shared" si="121"/>
        <v>0.68301961838213088</v>
      </c>
      <c r="AG253" s="14">
        <f t="shared" si="122"/>
        <v>6.1718546424335786E-4</v>
      </c>
      <c r="AH253" s="14">
        <f t="shared" si="123"/>
        <v>-25.494618137477552</v>
      </c>
      <c r="AI253" s="14">
        <f t="shared" si="124"/>
        <v>-0.88984592298257126</v>
      </c>
      <c r="AJ253" s="23">
        <f t="shared" si="136"/>
        <v>13.66492218174804</v>
      </c>
      <c r="AK253" s="23">
        <f t="shared" si="137"/>
        <v>1.2370537765510414</v>
      </c>
      <c r="AL253" s="14">
        <f t="shared" si="125"/>
        <v>0</v>
      </c>
      <c r="AM253" s="14">
        <f t="shared" si="126"/>
        <v>0</v>
      </c>
      <c r="AN253" s="14">
        <f t="shared" si="127"/>
        <v>0</v>
      </c>
      <c r="AO253" s="14">
        <f t="shared" si="128"/>
        <v>0</v>
      </c>
      <c r="AP253" s="23">
        <f t="shared" si="138"/>
        <v>0</v>
      </c>
      <c r="AQ253" s="23">
        <f t="shared" si="139"/>
        <v>0</v>
      </c>
    </row>
    <row r="254" spans="8:43" x14ac:dyDescent="0.25">
      <c r="H254" s="14">
        <v>3.51</v>
      </c>
      <c r="I254" s="36">
        <f t="shared" si="129"/>
        <v>32359.365692962834</v>
      </c>
      <c r="J254" s="24">
        <f t="shared" si="130"/>
        <v>-29.818269322114457</v>
      </c>
      <c r="K254" s="24">
        <f t="shared" si="131"/>
        <v>-18.064126613511817</v>
      </c>
      <c r="L254" s="14">
        <f t="shared" si="105"/>
        <v>0.67018069634200106</v>
      </c>
      <c r="M254" s="14">
        <f t="shared" si="106"/>
        <v>-73.205748496879181</v>
      </c>
      <c r="N254" s="14">
        <f t="shared" si="107"/>
        <v>10.783974469201596</v>
      </c>
      <c r="O254" s="14">
        <f t="shared" si="108"/>
        <v>-89.606463074372044</v>
      </c>
      <c r="P254" s="14">
        <f t="shared" si="109"/>
        <v>-43.262811172819326</v>
      </c>
      <c r="Q254" s="14">
        <f t="shared" si="110"/>
        <v>-15.08718814336256</v>
      </c>
      <c r="R254" s="14">
        <f t="shared" si="111"/>
        <v>-0.30467683627873376</v>
      </c>
      <c r="S254" s="23">
        <f t="shared" si="132"/>
        <v>-177.89939971461379</v>
      </c>
      <c r="T254" s="23">
        <f t="shared" si="133"/>
        <v>-36.259675251734315</v>
      </c>
      <c r="U254" s="14">
        <f t="shared" si="112"/>
        <v>20000</v>
      </c>
      <c r="V254" s="14">
        <f t="shared" si="113"/>
        <v>-89.999871908567314</v>
      </c>
      <c r="W254" s="14">
        <f t="shared" si="114"/>
        <v>-113.01205098362814</v>
      </c>
      <c r="X254" s="14">
        <f t="shared" si="115"/>
        <v>89.743818841791267</v>
      </c>
      <c r="Y254" s="14">
        <f t="shared" si="116"/>
        <v>46.991537893341828</v>
      </c>
      <c r="Z254" s="14">
        <f t="shared" si="117"/>
        <v>-45.471614356601989</v>
      </c>
      <c r="AA254" s="14">
        <f t="shared" si="118"/>
        <v>-3.0823872055699924</v>
      </c>
      <c r="AB254" s="23">
        <f t="shared" si="134"/>
        <v>-45.727667423378037</v>
      </c>
      <c r="AC254" s="23">
        <f t="shared" si="135"/>
        <v>16.917699617423317</v>
      </c>
      <c r="AD254" s="14">
        <f t="shared" si="119"/>
        <v>39.120753165294119</v>
      </c>
      <c r="AE254" s="14">
        <f t="shared" si="120"/>
        <v>2.2048038817760256</v>
      </c>
      <c r="AF254" s="14">
        <f t="shared" si="121"/>
        <v>0.69892762879911186</v>
      </c>
      <c r="AG254" s="14">
        <f t="shared" si="122"/>
        <v>6.4627035494525429E-4</v>
      </c>
      <c r="AH254" s="14">
        <f t="shared" si="123"/>
        <v>-26.010882978215857</v>
      </c>
      <c r="AI254" s="14">
        <f t="shared" si="124"/>
        <v>-0.92760113133179056</v>
      </c>
      <c r="AJ254" s="23">
        <f t="shared" si="136"/>
        <v>13.808797815877373</v>
      </c>
      <c r="AK254" s="23">
        <f t="shared" si="137"/>
        <v>1.2778490207991804</v>
      </c>
      <c r="AL254" s="14">
        <f t="shared" si="125"/>
        <v>0</v>
      </c>
      <c r="AM254" s="14">
        <f t="shared" si="126"/>
        <v>0</v>
      </c>
      <c r="AN254" s="14">
        <f t="shared" si="127"/>
        <v>0</v>
      </c>
      <c r="AO254" s="14">
        <f t="shared" si="128"/>
        <v>0</v>
      </c>
      <c r="AP254" s="23">
        <f t="shared" si="138"/>
        <v>0</v>
      </c>
      <c r="AQ254" s="23">
        <f t="shared" si="139"/>
        <v>0</v>
      </c>
    </row>
    <row r="255" spans="8:43" x14ac:dyDescent="0.25">
      <c r="H255" s="14">
        <v>3.52</v>
      </c>
      <c r="I255" s="36">
        <f t="shared" si="129"/>
        <v>33113.112148259112</v>
      </c>
      <c r="J255" s="24">
        <f t="shared" si="130"/>
        <v>-31.037174148374934</v>
      </c>
      <c r="K255" s="24">
        <f t="shared" si="131"/>
        <v>-18.155539006115497</v>
      </c>
      <c r="L255" s="14">
        <f t="shared" si="105"/>
        <v>0.67018069634200106</v>
      </c>
      <c r="M255" s="14">
        <f t="shared" si="106"/>
        <v>-73.567191293285191</v>
      </c>
      <c r="N255" s="14">
        <f t="shared" si="107"/>
        <v>10.967625585207291</v>
      </c>
      <c r="O255" s="14">
        <f t="shared" si="108"/>
        <v>-89.615420796266918</v>
      </c>
      <c r="P255" s="14">
        <f t="shared" si="109"/>
        <v>-43.462801951613514</v>
      </c>
      <c r="Q255" s="14">
        <f t="shared" si="110"/>
        <v>-15.422060637571356</v>
      </c>
      <c r="R255" s="14">
        <f t="shared" si="111"/>
        <v>-0.31852162360446223</v>
      </c>
      <c r="S255" s="23">
        <f t="shared" si="132"/>
        <v>-178.60467272712344</v>
      </c>
      <c r="T255" s="23">
        <f t="shared" si="133"/>
        <v>-36.289859701848542</v>
      </c>
      <c r="U255" s="14">
        <f t="shared" si="112"/>
        <v>20000</v>
      </c>
      <c r="V255" s="14">
        <f t="shared" si="113"/>
        <v>-89.999874824284291</v>
      </c>
      <c r="W255" s="14">
        <f t="shared" si="114"/>
        <v>-113.21205098362717</v>
      </c>
      <c r="X255" s="14">
        <f t="shared" si="115"/>
        <v>89.749650161805107</v>
      </c>
      <c r="Y255" s="14">
        <f t="shared" si="116"/>
        <v>47.191533985699749</v>
      </c>
      <c r="Z255" s="14">
        <f t="shared" si="117"/>
        <v>-46.130983797681267</v>
      </c>
      <c r="AA255" s="14">
        <f t="shared" si="118"/>
        <v>-3.1851839640407476</v>
      </c>
      <c r="AB255" s="23">
        <f t="shared" si="134"/>
        <v>-46.381208460160451</v>
      </c>
      <c r="AC255" s="23">
        <f t="shared" si="135"/>
        <v>16.814898951311463</v>
      </c>
      <c r="AD255" s="14">
        <f t="shared" si="119"/>
        <v>39.768015322309878</v>
      </c>
      <c r="AE255" s="14">
        <f t="shared" si="120"/>
        <v>2.2855320395997976</v>
      </c>
      <c r="AF255" s="14">
        <f t="shared" si="121"/>
        <v>0.71520607280343418</v>
      </c>
      <c r="AG255" s="14">
        <f t="shared" si="122"/>
        <v>6.7672576554742828E-4</v>
      </c>
      <c r="AH255" s="14">
        <f t="shared" si="123"/>
        <v>-26.534514356204351</v>
      </c>
      <c r="AI255" s="14">
        <f t="shared" si="124"/>
        <v>-0.96678702094376401</v>
      </c>
      <c r="AJ255" s="23">
        <f t="shared" si="136"/>
        <v>13.94870703890896</v>
      </c>
      <c r="AK255" s="23">
        <f t="shared" si="137"/>
        <v>1.319421744421581</v>
      </c>
      <c r="AL255" s="14">
        <f t="shared" si="125"/>
        <v>0</v>
      </c>
      <c r="AM255" s="14">
        <f t="shared" si="126"/>
        <v>0</v>
      </c>
      <c r="AN255" s="14">
        <f t="shared" si="127"/>
        <v>0</v>
      </c>
      <c r="AO255" s="14">
        <f t="shared" si="128"/>
        <v>0</v>
      </c>
      <c r="AP255" s="23">
        <f t="shared" si="138"/>
        <v>0</v>
      </c>
      <c r="AQ255" s="23">
        <f t="shared" si="139"/>
        <v>0</v>
      </c>
    </row>
    <row r="256" spans="8:43" x14ac:dyDescent="0.25">
      <c r="H256" s="14">
        <v>3.53</v>
      </c>
      <c r="I256" s="36">
        <f t="shared" si="129"/>
        <v>33884.415613920253</v>
      </c>
      <c r="J256" s="24">
        <f t="shared" si="130"/>
        <v>-32.259374717175923</v>
      </c>
      <c r="K256" s="24">
        <f t="shared" si="131"/>
        <v>-18.248421026538566</v>
      </c>
      <c r="L256" s="14">
        <f t="shared" si="105"/>
        <v>0.67018069634200106</v>
      </c>
      <c r="M256" s="14">
        <f t="shared" si="106"/>
        <v>-73.921711051824502</v>
      </c>
      <c r="N256" s="14">
        <f t="shared" si="107"/>
        <v>11.15195485933501</v>
      </c>
      <c r="O256" s="14">
        <f t="shared" si="108"/>
        <v>-89.624174633684362</v>
      </c>
      <c r="P256" s="14">
        <f t="shared" si="109"/>
        <v>-43.662793145412053</v>
      </c>
      <c r="Q256" s="14">
        <f t="shared" si="110"/>
        <v>-15.763618927963693</v>
      </c>
      <c r="R256" s="14">
        <f t="shared" si="111"/>
        <v>-0.33297174603996094</v>
      </c>
      <c r="S256" s="23">
        <f t="shared" si="132"/>
        <v>-179.30950461347257</v>
      </c>
      <c r="T256" s="23">
        <f t="shared" si="133"/>
        <v>-36.319971743954859</v>
      </c>
      <c r="U256" s="14">
        <f t="shared" si="112"/>
        <v>20000</v>
      </c>
      <c r="V256" s="14">
        <f t="shared" si="113"/>
        <v>-89.99987767363146</v>
      </c>
      <c r="W256" s="14">
        <f t="shared" si="114"/>
        <v>-113.41205098362622</v>
      </c>
      <c r="X256" s="14">
        <f t="shared" si="115"/>
        <v>89.75534874978149</v>
      </c>
      <c r="Y256" s="14">
        <f t="shared" si="116"/>
        <v>47.39153025392725</v>
      </c>
      <c r="Z256" s="14">
        <f t="shared" si="117"/>
        <v>-46.789754357585664</v>
      </c>
      <c r="AA256" s="14">
        <f t="shared" si="118"/>
        <v>-3.2902795185456157</v>
      </c>
      <c r="AB256" s="23">
        <f t="shared" si="134"/>
        <v>-47.034283281435634</v>
      </c>
      <c r="AC256" s="23">
        <f t="shared" si="135"/>
        <v>16.709799665035042</v>
      </c>
      <c r="AD256" s="14">
        <f t="shared" si="119"/>
        <v>40.417989577624361</v>
      </c>
      <c r="AE256" s="14">
        <f t="shared" si="120"/>
        <v>2.3684866549536263</v>
      </c>
      <c r="AF256" s="14">
        <f t="shared" si="121"/>
        <v>0.73186357092359267</v>
      </c>
      <c r="AG256" s="14">
        <f t="shared" si="122"/>
        <v>7.0861626652804694E-4</v>
      </c>
      <c r="AH256" s="14">
        <f t="shared" si="123"/>
        <v>-27.065439970815675</v>
      </c>
      <c r="AI256" s="14">
        <f t="shared" si="124"/>
        <v>-1.0074442188389017</v>
      </c>
      <c r="AJ256" s="23">
        <f t="shared" si="136"/>
        <v>14.08441317773228</v>
      </c>
      <c r="AK256" s="23">
        <f t="shared" si="137"/>
        <v>1.3617510523812526</v>
      </c>
      <c r="AL256" s="14">
        <f t="shared" si="125"/>
        <v>0</v>
      </c>
      <c r="AM256" s="14">
        <f t="shared" si="126"/>
        <v>0</v>
      </c>
      <c r="AN256" s="14">
        <f t="shared" si="127"/>
        <v>0</v>
      </c>
      <c r="AO256" s="14">
        <f t="shared" si="128"/>
        <v>0</v>
      </c>
      <c r="AP256" s="23">
        <f t="shared" si="138"/>
        <v>0</v>
      </c>
      <c r="AQ256" s="23">
        <f t="shared" si="139"/>
        <v>0</v>
      </c>
    </row>
    <row r="257" spans="8:43" x14ac:dyDescent="0.25">
      <c r="H257" s="14">
        <v>3.54</v>
      </c>
      <c r="I257" s="36">
        <f t="shared" si="129"/>
        <v>34673.685045253224</v>
      </c>
      <c r="J257" s="24">
        <f t="shared" si="130"/>
        <v>-33.484921012352899</v>
      </c>
      <c r="K257" s="24">
        <f t="shared" si="131"/>
        <v>-18.34284057668534</v>
      </c>
      <c r="L257" s="14">
        <f t="shared" si="105"/>
        <v>0.67018069634200106</v>
      </c>
      <c r="M257" s="14">
        <f t="shared" si="106"/>
        <v>-74.269387117929881</v>
      </c>
      <c r="N257" s="14">
        <f t="shared" si="107"/>
        <v>11.336936462039446</v>
      </c>
      <c r="O257" s="14">
        <f t="shared" si="108"/>
        <v>-89.632729226389216</v>
      </c>
      <c r="P257" s="14">
        <f t="shared" si="109"/>
        <v>-43.862784735538298</v>
      </c>
      <c r="Q257" s="14">
        <f t="shared" si="110"/>
        <v>-16.11194697027792</v>
      </c>
      <c r="R257" s="14">
        <f t="shared" si="111"/>
        <v>-0.34805152632718794</v>
      </c>
      <c r="S257" s="23">
        <f t="shared" si="132"/>
        <v>-180.01406331459702</v>
      </c>
      <c r="T257" s="23">
        <f t="shared" si="133"/>
        <v>-36.350061511663895</v>
      </c>
      <c r="U257" s="14">
        <f t="shared" si="112"/>
        <v>20000</v>
      </c>
      <c r="V257" s="14">
        <f t="shared" si="113"/>
        <v>-89.999880458119549</v>
      </c>
      <c r="W257" s="14">
        <f t="shared" si="114"/>
        <v>-113.61205098362534</v>
      </c>
      <c r="X257" s="14">
        <f t="shared" si="115"/>
        <v>89.760917626736017</v>
      </c>
      <c r="Y257" s="14">
        <f t="shared" si="116"/>
        <v>47.591526690109205</v>
      </c>
      <c r="Z257" s="14">
        <f t="shared" si="117"/>
        <v>-47.447578683176943</v>
      </c>
      <c r="AA257" s="14">
        <f t="shared" si="118"/>
        <v>-3.3976684825003893</v>
      </c>
      <c r="AB257" s="23">
        <f t="shared" si="134"/>
        <v>-47.686541514560474</v>
      </c>
      <c r="AC257" s="23">
        <f t="shared" si="135"/>
        <v>16.602407137263103</v>
      </c>
      <c r="AD257" s="14">
        <f t="shared" si="119"/>
        <v>41.070351437458783</v>
      </c>
      <c r="AE257" s="14">
        <f t="shared" si="120"/>
        <v>2.4536852690804816</v>
      </c>
      <c r="AF257" s="14">
        <f t="shared" si="121"/>
        <v>0.74890894391559581</v>
      </c>
      <c r="AG257" s="14">
        <f t="shared" si="122"/>
        <v>7.4200946952715952E-4</v>
      </c>
      <c r="AH257" s="14">
        <f t="shared" si="123"/>
        <v>-27.603576564569778</v>
      </c>
      <c r="AI257" s="14">
        <f t="shared" si="124"/>
        <v>-1.0496134808345561</v>
      </c>
      <c r="AJ257" s="23">
        <f t="shared" si="136"/>
        <v>14.215683816804599</v>
      </c>
      <c r="AK257" s="23">
        <f t="shared" si="137"/>
        <v>1.4048137977154527</v>
      </c>
      <c r="AL257" s="14">
        <f t="shared" si="125"/>
        <v>0</v>
      </c>
      <c r="AM257" s="14">
        <f t="shared" si="126"/>
        <v>0</v>
      </c>
      <c r="AN257" s="14">
        <f t="shared" si="127"/>
        <v>0</v>
      </c>
      <c r="AO257" s="14">
        <f t="shared" si="128"/>
        <v>0</v>
      </c>
      <c r="AP257" s="23">
        <f t="shared" si="138"/>
        <v>0</v>
      </c>
      <c r="AQ257" s="23">
        <f t="shared" si="139"/>
        <v>0</v>
      </c>
    </row>
    <row r="258" spans="8:43" x14ac:dyDescent="0.25">
      <c r="H258" s="14">
        <v>3.55</v>
      </c>
      <c r="I258" s="36">
        <f t="shared" si="129"/>
        <v>35481.338923357536</v>
      </c>
      <c r="J258" s="24">
        <f t="shared" si="130"/>
        <v>-34.71386040445379</v>
      </c>
      <c r="K258" s="24">
        <f t="shared" si="131"/>
        <v>-18.438865390362121</v>
      </c>
      <c r="L258" s="14">
        <f t="shared" si="105"/>
        <v>0.67018069634200106</v>
      </c>
      <c r="M258" s="14">
        <f t="shared" si="106"/>
        <v>-74.61030137777874</v>
      </c>
      <c r="N258" s="14">
        <f t="shared" si="107"/>
        <v>11.522545359035334</v>
      </c>
      <c r="O258" s="14">
        <f t="shared" si="108"/>
        <v>-89.641089108613244</v>
      </c>
      <c r="P258" s="14">
        <f t="shared" si="109"/>
        <v>-44.062776704155972</v>
      </c>
      <c r="Q258" s="14">
        <f t="shared" si="110"/>
        <v>-16.467126418977067</v>
      </c>
      <c r="R258" s="14">
        <f t="shared" si="111"/>
        <v>-0.36378607456226941</v>
      </c>
      <c r="S258" s="23">
        <f t="shared" si="132"/>
        <v>-180.71851690536906</v>
      </c>
      <c r="T258" s="23">
        <f t="shared" si="133"/>
        <v>-36.380179131520762</v>
      </c>
      <c r="U258" s="14">
        <f t="shared" si="112"/>
        <v>20000</v>
      </c>
      <c r="V258" s="14">
        <f t="shared" si="113"/>
        <v>-89.999883179224966</v>
      </c>
      <c r="W258" s="14">
        <f t="shared" si="114"/>
        <v>-113.81205098362449</v>
      </c>
      <c r="X258" s="14">
        <f t="shared" si="115"/>
        <v>89.766359744939791</v>
      </c>
      <c r="Y258" s="14">
        <f t="shared" si="116"/>
        <v>47.79152328668664</v>
      </c>
      <c r="Z258" s="14">
        <f t="shared" si="117"/>
        <v>-48.104111915879976</v>
      </c>
      <c r="AA258" s="14">
        <f t="shared" si="118"/>
        <v>-3.5073430673325379</v>
      </c>
      <c r="AB258" s="23">
        <f t="shared" si="134"/>
        <v>-48.337635350165151</v>
      </c>
      <c r="AC258" s="23">
        <f t="shared" si="135"/>
        <v>16.492729149009239</v>
      </c>
      <c r="AD258" s="14">
        <f t="shared" si="119"/>
        <v>41.724770276267471</v>
      </c>
      <c r="AE258" s="14">
        <f t="shared" si="120"/>
        <v>2.5411432259841393</v>
      </c>
      <c r="AF258" s="14">
        <f t="shared" si="121"/>
        <v>0.76635121738608969</v>
      </c>
      <c r="AG258" s="14">
        <f t="shared" si="122"/>
        <v>7.7697617050506013E-4</v>
      </c>
      <c r="AH258" s="14">
        <f t="shared" si="123"/>
        <v>-28.148829642573141</v>
      </c>
      <c r="AI258" s="14">
        <f t="shared" si="124"/>
        <v>-1.0933356100052423</v>
      </c>
      <c r="AJ258" s="23">
        <f t="shared" si="136"/>
        <v>14.342291851080418</v>
      </c>
      <c r="AK258" s="23">
        <f t="shared" si="137"/>
        <v>1.4485845921494021</v>
      </c>
      <c r="AL258" s="14">
        <f t="shared" si="125"/>
        <v>0</v>
      </c>
      <c r="AM258" s="14">
        <f t="shared" si="126"/>
        <v>0</v>
      </c>
      <c r="AN258" s="14">
        <f t="shared" si="127"/>
        <v>0</v>
      </c>
      <c r="AO258" s="14">
        <f t="shared" si="128"/>
        <v>0</v>
      </c>
      <c r="AP258" s="23">
        <f t="shared" si="138"/>
        <v>0</v>
      </c>
      <c r="AQ258" s="23">
        <f t="shared" si="139"/>
        <v>0</v>
      </c>
    </row>
    <row r="259" spans="8:43" x14ac:dyDescent="0.25">
      <c r="H259" s="14">
        <v>3.56</v>
      </c>
      <c r="I259" s="36">
        <f t="shared" si="129"/>
        <v>36307.805477010188</v>
      </c>
      <c r="J259" s="24">
        <f t="shared" si="130"/>
        <v>-35.946236953389644</v>
      </c>
      <c r="K259" s="24">
        <f t="shared" si="131"/>
        <v>-18.536563059946829</v>
      </c>
      <c r="L259" s="14">
        <f t="shared" ref="L259:L322" si="140">A_PS</f>
        <v>0.67018069634200106</v>
      </c>
      <c r="M259" s="14">
        <f t="shared" ref="M259:M322" si="141">-180/PI()*ATAN($I259/z_RHP/1000)</f>
        <v>-74.944537994044211</v>
      </c>
      <c r="N259" s="14">
        <f t="shared" ref="N259:N322" si="142">20*LOG(SQRT(($I259/z_RHP/1000)^2+1))</f>
        <v>11.708757302485679</v>
      </c>
      <c r="O259" s="14">
        <f t="shared" ref="O259:O322" si="143">-180/PI()*ATAN($I259/p_small)</f>
        <v>-89.649258711452092</v>
      </c>
      <c r="P259" s="14">
        <f t="shared" ref="P259:P322" si="144">-20*LOG(SQRT(($I259/p_small)^2+1))</f>
        <v>-44.262769034231567</v>
      </c>
      <c r="Q259" s="14">
        <f t="shared" ref="Q259:Q322" si="145">-180/PI()*ATAN($I259/p_large/1000)</f>
        <v>-16.829236361827729</v>
      </c>
      <c r="R259" s="14">
        <f t="shared" ref="R259:R322" si="146">-20*LOG(SQRT(($I259/p_large/1000)^2+1))</f>
        <v>-0.38020129686748177</v>
      </c>
      <c r="S259" s="23">
        <f t="shared" si="132"/>
        <v>-181.42303306732401</v>
      </c>
      <c r="T259" s="23">
        <f t="shared" si="133"/>
        <v>-36.410374740451225</v>
      </c>
      <c r="U259" s="14">
        <f t="shared" ref="U259:U322" si="147">A_EA</f>
        <v>20000</v>
      </c>
      <c r="V259" s="14">
        <f t="shared" ref="V259:V322" si="148">-180/PI()*ATAN($I259/p_EA)</f>
        <v>-89.999885838390455</v>
      </c>
      <c r="W259" s="14">
        <f t="shared" ref="W259:W322" si="149">-20*LOG(SQRT(($I259/p_EA)^2+1))</f>
        <v>-114.01205098362368</v>
      </c>
      <c r="X259" s="14">
        <f t="shared" ref="X259:X322" si="150">180/PI()*ATAN($I259/z_comp)</f>
        <v>89.771677989482953</v>
      </c>
      <c r="Y259" s="14">
        <f t="shared" ref="Y259:Y322" si="151">20*LOG(SQRT(($I259/z_comp)^2+1))</f>
        <v>47.991520036440853</v>
      </c>
      <c r="Z259" s="14">
        <f t="shared" ref="Z259:Z322" si="152">IF(p_comp="",0,-180/PI()*ATAN($I259/p_comp/1000))</f>
        <v>-48.759012586969106</v>
      </c>
      <c r="AA259" s="14">
        <f t="shared" ref="AA259:AA322" si="153">IF(p_comp="",0,-20*LOG(SQRT(($I259/p_comp/1000)^2+1)))</f>
        <v>-3.6192931152025523</v>
      </c>
      <c r="AB259" s="23">
        <f t="shared" si="134"/>
        <v>-48.987220435876608</v>
      </c>
      <c r="AC259" s="23">
        <f t="shared" si="135"/>
        <v>16.380775850894246</v>
      </c>
      <c r="AD259" s="14">
        <f t="shared" ref="AD259:AD322" si="154">IF(z_esr_1="",0,180/PI()*ATAN($I259/z_esr_1/1000))</f>
        <v>42.380910142313631</v>
      </c>
      <c r="AE259" s="14">
        <f t="shared" ref="AE259:AE322" si="155">IF(z_esr_1="",0,20*LOG(SQRT(($I259/z_esr_1/1000)^2+1)))</f>
        <v>2.6308736095668444</v>
      </c>
      <c r="AF259" s="14">
        <f t="shared" ref="AF259:AF322" si="156">180/PI()*ATAN($I259/z_esr_2/1000)</f>
        <v>0.78419962652027497</v>
      </c>
      <c r="AG259" s="14">
        <f t="shared" ref="AG259:AG322" si="157">20*LOG(SQRT(($I259/z_esr_2/1000)^2+1))</f>
        <v>8.1359049958507111E-4</v>
      </c>
      <c r="AH259" s="14">
        <f t="shared" ref="AH259:AH322" si="158">IF(p_esr="",0,-180/PI()*ATAN($I259/p_esr/1000))</f>
        <v>-28.70109321902293</v>
      </c>
      <c r="AI259" s="14">
        <f t="shared" ref="AI259:AI322" si="159">IF(p_esr="",0,-20*LOG(SQRT(($I259/p_esr/1000)^2+1)))</f>
        <v>-1.1386513704562786</v>
      </c>
      <c r="AJ259" s="23">
        <f t="shared" si="136"/>
        <v>14.464016549810978</v>
      </c>
      <c r="AK259" s="23">
        <f t="shared" si="137"/>
        <v>1.4930358296101509</v>
      </c>
      <c r="AL259" s="14">
        <f t="shared" ref="AL259:AL322" si="160">IF(z_ff="",0,180/PI()*ATAN($I259/z_ff/1000))</f>
        <v>0</v>
      </c>
      <c r="AM259" s="14">
        <f t="shared" ref="AM259:AM322" si="161">IF(z_ff="",0,20*LOG(SQRT(($I259/z_ff/1000)^2+1)))</f>
        <v>0</v>
      </c>
      <c r="AN259" s="14">
        <f t="shared" ref="AN259:AN322" si="162">IF(p_ff="",0,-180/PI()*ATAN($I259/p_ff/1000))</f>
        <v>0</v>
      </c>
      <c r="AO259" s="14">
        <f t="shared" ref="AO259:AO322" si="163">IF(p_ff="",0,-20*LOG(SQRT(($I259/p_ff/1000)^2+1)))</f>
        <v>0</v>
      </c>
      <c r="AP259" s="23">
        <f t="shared" si="138"/>
        <v>0</v>
      </c>
      <c r="AQ259" s="23">
        <f t="shared" si="139"/>
        <v>0</v>
      </c>
    </row>
    <row r="260" spans="8:43" x14ac:dyDescent="0.25">
      <c r="H260" s="14">
        <v>3.57</v>
      </c>
      <c r="I260" s="36">
        <f t="shared" ref="I260:I323" si="164">10*10^H260</f>
        <v>37153.522909717241</v>
      </c>
      <c r="J260" s="24">
        <f t="shared" ref="J260:J303" si="165">180+S260+AB260+AJ260+AP260</f>
        <v>-37.182090686325722</v>
      </c>
      <c r="K260" s="24">
        <f t="shared" ref="K260:K303" si="166">T260+AC260+AK260+AQ260</f>
        <v>-18.636001059325807</v>
      </c>
      <c r="L260" s="14">
        <f t="shared" si="140"/>
        <v>0.67018069634200106</v>
      </c>
      <c r="M260" s="14">
        <f t="shared" si="141"/>
        <v>-75.272183153870813</v>
      </c>
      <c r="N260" s="14">
        <f t="shared" si="142"/>
        <v>11.895548820815128</v>
      </c>
      <c r="O260" s="14">
        <f t="shared" si="143"/>
        <v>-89.657242365207779</v>
      </c>
      <c r="P260" s="14">
        <f t="shared" si="144"/>
        <v>-44.462761709497947</v>
      </c>
      <c r="Q260" s="14">
        <f t="shared" si="145"/>
        <v>-17.19835304224933</v>
      </c>
      <c r="R260" s="14">
        <f t="shared" si="146"/>
        <v>-0.39732390251186722</v>
      </c>
      <c r="S260" s="23">
        <f t="shared" ref="S260:S303" si="167">M260+O260+Q260</f>
        <v>-182.12777856132791</v>
      </c>
      <c r="T260" s="23">
        <f t="shared" ref="T260:T303" si="168">20*LOG(L260)+N260+P260+R260</f>
        <v>-36.440698503032543</v>
      </c>
      <c r="U260" s="14">
        <f t="shared" si="147"/>
        <v>20000</v>
      </c>
      <c r="V260" s="14">
        <f t="shared" si="148"/>
        <v>-89.99988843702593</v>
      </c>
      <c r="W260" s="14">
        <f t="shared" si="149"/>
        <v>-114.2120509836229</v>
      </c>
      <c r="X260" s="14">
        <f t="shared" si="150"/>
        <v>89.776875179802374</v>
      </c>
      <c r="Y260" s="14">
        <f t="shared" si="151"/>
        <v>48.191516932477931</v>
      </c>
      <c r="Z260" s="14">
        <f t="shared" si="152"/>
        <v>-49.411943491247129</v>
      </c>
      <c r="AA260" s="14">
        <f t="shared" si="153"/>
        <v>-3.7335061414275588</v>
      </c>
      <c r="AB260" s="23">
        <f t="shared" ref="AB260:AB303" si="169">V260+X260+Z260</f>
        <v>-49.634956748470685</v>
      </c>
      <c r="AC260" s="23">
        <f t="shared" ref="AC260:AC303" si="170">20*LOG(U260)+W260+Y260+AA260</f>
        <v>16.266559720707097</v>
      </c>
      <c r="AD260" s="14">
        <f t="shared" si="154"/>
        <v>43.038430596504419</v>
      </c>
      <c r="AE260" s="14">
        <f t="shared" si="155"/>
        <v>2.7228871895134912</v>
      </c>
      <c r="AF260" s="14">
        <f t="shared" si="156"/>
        <v>0.80246362091679457</v>
      </c>
      <c r="AG260" s="14">
        <f t="shared" si="157"/>
        <v>8.5193007798405507E-4</v>
      </c>
      <c r="AH260" s="14">
        <f t="shared" si="158"/>
        <v>-29.260249593948338</v>
      </c>
      <c r="AI260" s="14">
        <f t="shared" si="159"/>
        <v>-1.1856013965918353</v>
      </c>
      <c r="AJ260" s="23">
        <f t="shared" ref="AJ260:AJ303" si="171">AD260+AF260+AH260</f>
        <v>14.580644623472878</v>
      </c>
      <c r="AK260" s="23">
        <f t="shared" ref="AK260:AK303" si="172">AE260+AG260+AI260</f>
        <v>1.5381377229996398</v>
      </c>
      <c r="AL260" s="14">
        <f t="shared" si="160"/>
        <v>0</v>
      </c>
      <c r="AM260" s="14">
        <f t="shared" si="161"/>
        <v>0</v>
      </c>
      <c r="AN260" s="14">
        <f t="shared" si="162"/>
        <v>0</v>
      </c>
      <c r="AO260" s="14">
        <f t="shared" si="163"/>
        <v>0</v>
      </c>
      <c r="AP260" s="23">
        <f t="shared" ref="AP260:AP303" si="173">AL260+AN260</f>
        <v>0</v>
      </c>
      <c r="AQ260" s="23">
        <f t="shared" ref="AQ260:AQ303" si="174">AM260+AO260</f>
        <v>0</v>
      </c>
    </row>
    <row r="261" spans="8:43" x14ac:dyDescent="0.25">
      <c r="H261" s="14">
        <v>3.58</v>
      </c>
      <c r="I261" s="36">
        <f t="shared" si="164"/>
        <v>38018.939632056172</v>
      </c>
      <c r="J261" s="24">
        <f t="shared" si="165"/>
        <v>-38.421456853580594</v>
      </c>
      <c r="K261" s="24">
        <f t="shared" si="166"/>
        <v>-18.737246762160868</v>
      </c>
      <c r="L261" s="14">
        <f t="shared" si="140"/>
        <v>0.67018069634200106</v>
      </c>
      <c r="M261" s="14">
        <f t="shared" si="141"/>
        <v>-75.59332482900659</v>
      </c>
      <c r="N261" s="14">
        <f t="shared" si="142"/>
        <v>12.08289720730207</v>
      </c>
      <c r="O261" s="14">
        <f t="shared" si="143"/>
        <v>-89.665044301678421</v>
      </c>
      <c r="P261" s="14">
        <f t="shared" si="144"/>
        <v>-44.662754714420146</v>
      </c>
      <c r="Q261" s="14">
        <f t="shared" si="145"/>
        <v>-17.574549569506324</v>
      </c>
      <c r="R261" s="14">
        <f t="shared" si="146"/>
        <v>-0.41518140931087744</v>
      </c>
      <c r="S261" s="23">
        <f t="shared" si="167"/>
        <v>-182.83291870019136</v>
      </c>
      <c r="T261" s="23">
        <f t="shared" si="168"/>
        <v>-36.471200628266807</v>
      </c>
      <c r="U261" s="14">
        <f t="shared" si="147"/>
        <v>20000</v>
      </c>
      <c r="V261" s="14">
        <f t="shared" si="148"/>
        <v>-89.999890976509278</v>
      </c>
      <c r="W261" s="14">
        <f t="shared" si="149"/>
        <v>-114.41205098362217</v>
      </c>
      <c r="X261" s="14">
        <f t="shared" si="150"/>
        <v>89.781954071174866</v>
      </c>
      <c r="Y261" s="14">
        <f t="shared" si="151"/>
        <v>48.391513968214312</v>
      </c>
      <c r="Z261" s="14">
        <f t="shared" si="152"/>
        <v>-50.062572533763664</v>
      </c>
      <c r="AA261" s="14">
        <f t="shared" si="153"/>
        <v>-3.8499673862335704</v>
      </c>
      <c r="AB261" s="23">
        <f t="shared" si="169"/>
        <v>-50.280509439098076</v>
      </c>
      <c r="AC261" s="23">
        <f t="shared" si="170"/>
        <v>16.150095511638202</v>
      </c>
      <c r="AD261" s="14">
        <f t="shared" si="154"/>
        <v>43.696987579538607</v>
      </c>
      <c r="AE261" s="14">
        <f t="shared" si="155"/>
        <v>2.8171923763936961</v>
      </c>
      <c r="AF261" s="14">
        <f t="shared" si="156"/>
        <v>0.82115286953194322</v>
      </c>
      <c r="AG261" s="14">
        <f t="shared" si="157"/>
        <v>8.9207618228530762E-4</v>
      </c>
      <c r="AH261" s="14">
        <f t="shared" si="158"/>
        <v>-29.826169163361712</v>
      </c>
      <c r="AI261" s="14">
        <f t="shared" si="159"/>
        <v>-1.2342260981082465</v>
      </c>
      <c r="AJ261" s="23">
        <f t="shared" si="171"/>
        <v>14.691971285708838</v>
      </c>
      <c r="AK261" s="23">
        <f t="shared" si="172"/>
        <v>1.5838583544677349</v>
      </c>
      <c r="AL261" s="14">
        <f t="shared" si="160"/>
        <v>0</v>
      </c>
      <c r="AM261" s="14">
        <f t="shared" si="161"/>
        <v>0</v>
      </c>
      <c r="AN261" s="14">
        <f t="shared" si="162"/>
        <v>0</v>
      </c>
      <c r="AO261" s="14">
        <f t="shared" si="163"/>
        <v>0</v>
      </c>
      <c r="AP261" s="23">
        <f t="shared" si="173"/>
        <v>0</v>
      </c>
      <c r="AQ261" s="23">
        <f t="shared" si="174"/>
        <v>0</v>
      </c>
    </row>
    <row r="262" spans="8:43" x14ac:dyDescent="0.25">
      <c r="H262" s="14">
        <v>3.59</v>
      </c>
      <c r="I262" s="36">
        <f t="shared" si="164"/>
        <v>38904.514499428107</v>
      </c>
      <c r="J262" s="24">
        <f t="shared" si="165"/>
        <v>-39.664365165921147</v>
      </c>
      <c r="K262" s="24">
        <f t="shared" si="166"/>
        <v>-18.84036745459958</v>
      </c>
      <c r="L262" s="14">
        <f t="shared" si="140"/>
        <v>0.67018069634200106</v>
      </c>
      <c r="M262" s="14">
        <f t="shared" si="141"/>
        <v>-75.908052547965809</v>
      </c>
      <c r="N262" s="14">
        <f t="shared" si="142"/>
        <v>12.270780507592997</v>
      </c>
      <c r="O262" s="14">
        <f t="shared" si="143"/>
        <v>-89.672668656396013</v>
      </c>
      <c r="P262" s="14">
        <f t="shared" si="144"/>
        <v>-44.862748034162166</v>
      </c>
      <c r="Q262" s="14">
        <f t="shared" si="145"/>
        <v>-17.957895616891239</v>
      </c>
      <c r="R262" s="14">
        <f t="shared" si="146"/>
        <v>-0.43380214712765713</v>
      </c>
      <c r="S262" s="23">
        <f t="shared" si="167"/>
        <v>-183.53861682125307</v>
      </c>
      <c r="T262" s="23">
        <f t="shared" si="168"/>
        <v>-36.501931385534682</v>
      </c>
      <c r="U262" s="14">
        <f t="shared" si="147"/>
        <v>20000</v>
      </c>
      <c r="V262" s="14">
        <f t="shared" si="148"/>
        <v>-89.999893458186904</v>
      </c>
      <c r="W262" s="14">
        <f t="shared" si="149"/>
        <v>-114.61205098362144</v>
      </c>
      <c r="X262" s="14">
        <f t="shared" si="150"/>
        <v>89.786917356176389</v>
      </c>
      <c r="Y262" s="14">
        <f t="shared" si="151"/>
        <v>48.59151113736263</v>
      </c>
      <c r="Z262" s="14">
        <f t="shared" si="152"/>
        <v>-50.710573544528422</v>
      </c>
      <c r="AA262" s="14">
        <f t="shared" si="153"/>
        <v>-3.968659875384057</v>
      </c>
      <c r="AB262" s="23">
        <f t="shared" si="169"/>
        <v>-50.923549646538937</v>
      </c>
      <c r="AC262" s="23">
        <f t="shared" si="170"/>
        <v>16.031400191636756</v>
      </c>
      <c r="AD262" s="14">
        <f t="shared" si="154"/>
        <v>44.356234302083735</v>
      </c>
      <c r="AE262" s="14">
        <f t="shared" si="155"/>
        <v>2.9137951863763107</v>
      </c>
      <c r="AF262" s="14">
        <f t="shared" si="156"/>
        <v>0.84027726573541128</v>
      </c>
      <c r="AG262" s="14">
        <f t="shared" si="157"/>
        <v>9.3411391643751147E-4</v>
      </c>
      <c r="AH262" s="14">
        <f t="shared" si="158"/>
        <v>-30.398710265948282</v>
      </c>
      <c r="AI262" s="14">
        <f t="shared" si="159"/>
        <v>-1.2845655609944013</v>
      </c>
      <c r="AJ262" s="23">
        <f t="shared" si="171"/>
        <v>14.797801301870862</v>
      </c>
      <c r="AK262" s="23">
        <f t="shared" si="172"/>
        <v>1.630163739298347</v>
      </c>
      <c r="AL262" s="14">
        <f t="shared" si="160"/>
        <v>0</v>
      </c>
      <c r="AM262" s="14">
        <f t="shared" si="161"/>
        <v>0</v>
      </c>
      <c r="AN262" s="14">
        <f t="shared" si="162"/>
        <v>0</v>
      </c>
      <c r="AO262" s="14">
        <f t="shared" si="163"/>
        <v>0</v>
      </c>
      <c r="AP262" s="23">
        <f t="shared" si="173"/>
        <v>0</v>
      </c>
      <c r="AQ262" s="23">
        <f t="shared" si="174"/>
        <v>0</v>
      </c>
    </row>
    <row r="263" spans="8:43" x14ac:dyDescent="0.25">
      <c r="H263" s="14">
        <v>3.6</v>
      </c>
      <c r="I263" s="36">
        <f t="shared" si="164"/>
        <v>39810.717055349771</v>
      </c>
      <c r="J263" s="24">
        <f t="shared" si="165"/>
        <v>-40.910839017254851</v>
      </c>
      <c r="K263" s="24">
        <f t="shared" si="166"/>
        <v>-18.945430341606976</v>
      </c>
      <c r="L263" s="14">
        <f t="shared" si="140"/>
        <v>0.67018069634200106</v>
      </c>
      <c r="M263" s="14">
        <f t="shared" si="141"/>
        <v>-76.216457180050071</v>
      </c>
      <c r="N263" s="14">
        <f t="shared" si="142"/>
        <v>12.459177506275816</v>
      </c>
      <c r="O263" s="14">
        <f t="shared" si="143"/>
        <v>-89.680119470813665</v>
      </c>
      <c r="P263" s="14">
        <f t="shared" si="144"/>
        <v>-45.062741654555737</v>
      </c>
      <c r="Q263" s="14">
        <f t="shared" si="145"/>
        <v>-18.348457108137442</v>
      </c>
      <c r="R263" s="14">
        <f t="shared" si="146"/>
        <v>-0.45321525929174689</v>
      </c>
      <c r="S263" s="23">
        <f t="shared" si="167"/>
        <v>-184.24503375900116</v>
      </c>
      <c r="T263" s="23">
        <f t="shared" si="168"/>
        <v>-36.532941119409521</v>
      </c>
      <c r="U263" s="14">
        <f t="shared" si="147"/>
        <v>20000</v>
      </c>
      <c r="V263" s="14">
        <f t="shared" si="148"/>
        <v>-89.999895883374649</v>
      </c>
      <c r="W263" s="14">
        <f t="shared" si="149"/>
        <v>-114.81205098362079</v>
      </c>
      <c r="X263" s="14">
        <f t="shared" si="150"/>
        <v>89.791767666108242</v>
      </c>
      <c r="Y263" s="14">
        <f t="shared" si="151"/>
        <v>48.791508433918537</v>
      </c>
      <c r="Z263" s="14">
        <f t="shared" si="152"/>
        <v>-51.355627056549515</v>
      </c>
      <c r="AA263" s="14">
        <f t="shared" si="153"/>
        <v>-4.0895644891626892</v>
      </c>
      <c r="AB263" s="23">
        <f t="shared" si="169"/>
        <v>-51.563755273815921</v>
      </c>
      <c r="AC263" s="23">
        <f t="shared" si="170"/>
        <v>15.910492874414679</v>
      </c>
      <c r="AD263" s="14">
        <f t="shared" si="154"/>
        <v>45.015822152435248</v>
      </c>
      <c r="AE263" s="14">
        <f t="shared" si="155"/>
        <v>3.0126992158698873</v>
      </c>
      <c r="AF263" s="14">
        <f t="shared" si="156"/>
        <v>0.85984693247999788</v>
      </c>
      <c r="AG263" s="14">
        <f t="shared" si="157"/>
        <v>9.7813239184588435E-4</v>
      </c>
      <c r="AH263" s="14">
        <f t="shared" si="158"/>
        <v>-30.977719069353014</v>
      </c>
      <c r="AI263" s="14">
        <f t="shared" si="159"/>
        <v>-1.3366594448738667</v>
      </c>
      <c r="AJ263" s="23">
        <f t="shared" si="171"/>
        <v>14.89795001556223</v>
      </c>
      <c r="AK263" s="23">
        <f t="shared" si="172"/>
        <v>1.6770179033878665</v>
      </c>
      <c r="AL263" s="14">
        <f t="shared" si="160"/>
        <v>0</v>
      </c>
      <c r="AM263" s="14">
        <f t="shared" si="161"/>
        <v>0</v>
      </c>
      <c r="AN263" s="14">
        <f t="shared" si="162"/>
        <v>0</v>
      </c>
      <c r="AO263" s="14">
        <f t="shared" si="163"/>
        <v>0</v>
      </c>
      <c r="AP263" s="23">
        <f t="shared" si="173"/>
        <v>0</v>
      </c>
      <c r="AQ263" s="23">
        <f t="shared" si="174"/>
        <v>0</v>
      </c>
    </row>
    <row r="264" spans="8:43" x14ac:dyDescent="0.25">
      <c r="H264" s="14">
        <v>3.61</v>
      </c>
      <c r="I264" s="36">
        <f t="shared" si="164"/>
        <v>40738.027780411314</v>
      </c>
      <c r="J264" s="24">
        <f t="shared" si="165"/>
        <v>-42.160894697272603</v>
      </c>
      <c r="K264" s="24">
        <f t="shared" si="166"/>
        <v>-19.052502546174811</v>
      </c>
      <c r="L264" s="14">
        <f t="shared" si="140"/>
        <v>0.67018069634200106</v>
      </c>
      <c r="M264" s="14">
        <f t="shared" si="141"/>
        <v>-76.518630731011712</v>
      </c>
      <c r="N264" s="14">
        <f t="shared" si="142"/>
        <v>12.648067712639087</v>
      </c>
      <c r="O264" s="14">
        <f t="shared" si="143"/>
        <v>-89.687400694443198</v>
      </c>
      <c r="P264" s="14">
        <f t="shared" si="144"/>
        <v>-45.262735562070155</v>
      </c>
      <c r="Q264" s="14">
        <f t="shared" si="145"/>
        <v>-18.746295892393057</v>
      </c>
      <c r="R264" s="14">
        <f t="shared" si="146"/>
        <v>-0.47345070174443349</v>
      </c>
      <c r="S264" s="23">
        <f t="shared" si="167"/>
        <v>-184.95232731784796</v>
      </c>
      <c r="T264" s="23">
        <f t="shared" si="168"/>
        <v>-36.564280263013359</v>
      </c>
      <c r="U264" s="14">
        <f t="shared" si="147"/>
        <v>20000</v>
      </c>
      <c r="V264" s="14">
        <f t="shared" si="148"/>
        <v>-89.999898253358381</v>
      </c>
      <c r="W264" s="14">
        <f t="shared" si="149"/>
        <v>-115.01205098362013</v>
      </c>
      <c r="X264" s="14">
        <f t="shared" si="150"/>
        <v>89.796507572390709</v>
      </c>
      <c r="Y264" s="14">
        <f t="shared" si="151"/>
        <v>48.991505852147895</v>
      </c>
      <c r="Z264" s="14">
        <f t="shared" si="152"/>
        <v>-51.997421042938143</v>
      </c>
      <c r="AA264" s="14">
        <f t="shared" si="153"/>
        <v>-4.2126600391239002</v>
      </c>
      <c r="AB264" s="23">
        <f t="shared" si="169"/>
        <v>-52.200811723905815</v>
      </c>
      <c r="AC264" s="23">
        <f t="shared" si="170"/>
        <v>15.787394742683492</v>
      </c>
      <c r="AD264" s="14">
        <f t="shared" si="154"/>
        <v>45.675401615897236</v>
      </c>
      <c r="AE264" s="14">
        <f t="shared" si="155"/>
        <v>3.1139056263152467</v>
      </c>
      <c r="AF264" s="14">
        <f t="shared" si="156"/>
        <v>0.87987222758760109</v>
      </c>
      <c r="AG264" s="14">
        <f t="shared" si="157"/>
        <v>1.0242249159021452E-3</v>
      </c>
      <c r="AH264" s="14">
        <f t="shared" si="158"/>
        <v>-31.563029499003669</v>
      </c>
      <c r="AI264" s="14">
        <f t="shared" si="159"/>
        <v>-1.3905468770760943</v>
      </c>
      <c r="AJ264" s="23">
        <f t="shared" si="171"/>
        <v>14.992244344481172</v>
      </c>
      <c r="AK264" s="23">
        <f t="shared" si="172"/>
        <v>1.7243829741550545</v>
      </c>
      <c r="AL264" s="14">
        <f t="shared" si="160"/>
        <v>0</v>
      </c>
      <c r="AM264" s="14">
        <f t="shared" si="161"/>
        <v>0</v>
      </c>
      <c r="AN264" s="14">
        <f t="shared" si="162"/>
        <v>0</v>
      </c>
      <c r="AO264" s="14">
        <f t="shared" si="163"/>
        <v>0</v>
      </c>
      <c r="AP264" s="23">
        <f t="shared" si="173"/>
        <v>0</v>
      </c>
      <c r="AQ264" s="23">
        <f t="shared" si="174"/>
        <v>0</v>
      </c>
    </row>
    <row r="265" spans="8:43" x14ac:dyDescent="0.25">
      <c r="H265" s="14">
        <v>3.62</v>
      </c>
      <c r="I265" s="36">
        <f t="shared" si="164"/>
        <v>41686.938347033582</v>
      </c>
      <c r="J265" s="24">
        <f t="shared" si="165"/>
        <v>-43.414540599111234</v>
      </c>
      <c r="K265" s="24">
        <f t="shared" si="166"/>
        <v>-19.161651100756341</v>
      </c>
      <c r="L265" s="14">
        <f t="shared" si="140"/>
        <v>0.67018069634200106</v>
      </c>
      <c r="M265" s="14">
        <f t="shared" si="141"/>
        <v>-76.814666150108621</v>
      </c>
      <c r="N265" s="14">
        <f t="shared" si="142"/>
        <v>12.837431345736661</v>
      </c>
      <c r="O265" s="14">
        <f t="shared" si="143"/>
        <v>-89.694516186944554</v>
      </c>
      <c r="P265" s="14">
        <f t="shared" si="144"/>
        <v>-45.462729743783605</v>
      </c>
      <c r="Q265" s="14">
        <f t="shared" si="145"/>
        <v>-19.151469408194117</v>
      </c>
      <c r="R265" s="14">
        <f t="shared" si="146"/>
        <v>-0.49453923971454233</v>
      </c>
      <c r="S265" s="23">
        <f t="shared" si="167"/>
        <v>-185.66065174524729</v>
      </c>
      <c r="T265" s="23">
        <f t="shared" si="168"/>
        <v>-36.595999349599339</v>
      </c>
      <c r="U265" s="14">
        <f t="shared" si="147"/>
        <v>20000</v>
      </c>
      <c r="V265" s="14">
        <f t="shared" si="148"/>
        <v>-89.999900569394711</v>
      </c>
      <c r="W265" s="14">
        <f t="shared" si="149"/>
        <v>-115.21205098361952</v>
      </c>
      <c r="X265" s="14">
        <f t="shared" si="150"/>
        <v>89.801139587925192</v>
      </c>
      <c r="Y265" s="14">
        <f t="shared" si="151"/>
        <v>49.191503386574638</v>
      </c>
      <c r="Z265" s="14">
        <f t="shared" si="152"/>
        <v>-52.635651609280529</v>
      </c>
      <c r="AA265" s="14">
        <f t="shared" si="153"/>
        <v>-4.3379233519706393</v>
      </c>
      <c r="AB265" s="23">
        <f t="shared" si="169"/>
        <v>-52.834412590750048</v>
      </c>
      <c r="AC265" s="23">
        <f t="shared" si="170"/>
        <v>15.662128964264104</v>
      </c>
      <c r="AD265" s="14">
        <f t="shared" si="154"/>
        <v>46.334623199987959</v>
      </c>
      <c r="AE265" s="14">
        <f t="shared" si="155"/>
        <v>3.2174131392667342</v>
      </c>
      <c r="AF265" s="14">
        <f t="shared" si="156"/>
        <v>0.90036374915394257</v>
      </c>
      <c r="AG265" s="14">
        <f t="shared" si="157"/>
        <v>1.0724891893845519E-3</v>
      </c>
      <c r="AH265" s="14">
        <f t="shared" si="158"/>
        <v>-32.154463212255791</v>
      </c>
      <c r="AI265" s="14">
        <f t="shared" si="159"/>
        <v>-1.4462663438772276</v>
      </c>
      <c r="AJ265" s="23">
        <f t="shared" si="171"/>
        <v>15.080523736886107</v>
      </c>
      <c r="AK265" s="23">
        <f t="shared" si="172"/>
        <v>1.7722192845788913</v>
      </c>
      <c r="AL265" s="14">
        <f t="shared" si="160"/>
        <v>0</v>
      </c>
      <c r="AM265" s="14">
        <f t="shared" si="161"/>
        <v>0</v>
      </c>
      <c r="AN265" s="14">
        <f t="shared" si="162"/>
        <v>0</v>
      </c>
      <c r="AO265" s="14">
        <f t="shared" si="163"/>
        <v>0</v>
      </c>
      <c r="AP265" s="23">
        <f t="shared" si="173"/>
        <v>0</v>
      </c>
      <c r="AQ265" s="23">
        <f t="shared" si="174"/>
        <v>0</v>
      </c>
    </row>
    <row r="266" spans="8:43" x14ac:dyDescent="0.25">
      <c r="H266" s="14">
        <v>3.63</v>
      </c>
      <c r="I266" s="36">
        <f t="shared" si="164"/>
        <v>42657.9518801593</v>
      </c>
      <c r="J266" s="24">
        <f t="shared" si="165"/>
        <v>-44.671776427540614</v>
      </c>
      <c r="K266" s="24">
        <f t="shared" si="166"/>
        <v>-19.272942930374818</v>
      </c>
      <c r="L266" s="14">
        <f t="shared" si="140"/>
        <v>0.67018069634200106</v>
      </c>
      <c r="M266" s="14">
        <f t="shared" si="141"/>
        <v>-77.104657148267904</v>
      </c>
      <c r="N266" s="14">
        <f t="shared" si="142"/>
        <v>13.027249318868581</v>
      </c>
      <c r="O266" s="14">
        <f t="shared" si="143"/>
        <v>-89.701469720167594</v>
      </c>
      <c r="P266" s="14">
        <f t="shared" si="144"/>
        <v>-45.662724187355806</v>
      </c>
      <c r="Q266" s="14">
        <f t="shared" si="145"/>
        <v>-19.56403033698659</v>
      </c>
      <c r="R266" s="14">
        <f t="shared" si="146"/>
        <v>-0.51651244172373967</v>
      </c>
      <c r="S266" s="23">
        <f t="shared" si="167"/>
        <v>-186.37015720542212</v>
      </c>
      <c r="T266" s="23">
        <f t="shared" si="168"/>
        <v>-36.628149022048824</v>
      </c>
      <c r="U266" s="14">
        <f t="shared" si="147"/>
        <v>20000</v>
      </c>
      <c r="V266" s="14">
        <f t="shared" si="148"/>
        <v>-89.999902832711612</v>
      </c>
      <c r="W266" s="14">
        <f t="shared" si="149"/>
        <v>-115.41205098361893</v>
      </c>
      <c r="X266" s="14">
        <f t="shared" si="150"/>
        <v>89.805666168425319</v>
      </c>
      <c r="Y266" s="14">
        <f t="shared" si="151"/>
        <v>49.391501031969163</v>
      </c>
      <c r="Z266" s="14">
        <f t="shared" si="152"/>
        <v>-53.270023637963654</v>
      </c>
      <c r="AA266" s="14">
        <f t="shared" si="153"/>
        <v>-4.4653293598724453</v>
      </c>
      <c r="AB266" s="23">
        <f t="shared" si="169"/>
        <v>-53.464260302249947</v>
      </c>
      <c r="AC266" s="23">
        <f t="shared" si="170"/>
        <v>15.534720601757417</v>
      </c>
      <c r="AD266" s="14">
        <f t="shared" si="154"/>
        <v>46.993138359501884</v>
      </c>
      <c r="AE266" s="14">
        <f t="shared" si="155"/>
        <v>3.3232180418062911</v>
      </c>
      <c r="AF266" s="14">
        <f t="shared" si="156"/>
        <v>0.92133234107446205</v>
      </c>
      <c r="AG266" s="14">
        <f t="shared" si="157"/>
        <v>1.1230275131185019E-3</v>
      </c>
      <c r="AH266" s="14">
        <f t="shared" si="158"/>
        <v>-32.751829620444894</v>
      </c>
      <c r="AI266" s="14">
        <f t="shared" si="159"/>
        <v>-1.5038555794028228</v>
      </c>
      <c r="AJ266" s="23">
        <f t="shared" si="171"/>
        <v>15.162641080131451</v>
      </c>
      <c r="AK266" s="23">
        <f t="shared" si="172"/>
        <v>1.820485489916587</v>
      </c>
      <c r="AL266" s="14">
        <f t="shared" si="160"/>
        <v>0</v>
      </c>
      <c r="AM266" s="14">
        <f t="shared" si="161"/>
        <v>0</v>
      </c>
      <c r="AN266" s="14">
        <f t="shared" si="162"/>
        <v>0</v>
      </c>
      <c r="AO266" s="14">
        <f t="shared" si="163"/>
        <v>0</v>
      </c>
      <c r="AP266" s="23">
        <f t="shared" si="173"/>
        <v>0</v>
      </c>
      <c r="AQ266" s="23">
        <f t="shared" si="174"/>
        <v>0</v>
      </c>
    </row>
    <row r="267" spans="8:43" x14ac:dyDescent="0.25">
      <c r="H267" s="14">
        <v>3.64</v>
      </c>
      <c r="I267" s="36">
        <f t="shared" si="164"/>
        <v>43651.583224016635</v>
      </c>
      <c r="J267" s="24">
        <f t="shared" si="165"/>
        <v>-45.932592413547063</v>
      </c>
      <c r="K267" s="24">
        <f t="shared" si="166"/>
        <v>-19.386444826966692</v>
      </c>
      <c r="L267" s="14">
        <f t="shared" si="140"/>
        <v>0.67018069634200106</v>
      </c>
      <c r="M267" s="14">
        <f t="shared" si="141"/>
        <v>-77.38869802705166</v>
      </c>
      <c r="N267" s="14">
        <f t="shared" si="142"/>
        <v>13.217503223581291</v>
      </c>
      <c r="O267" s="14">
        <f t="shared" si="143"/>
        <v>-89.708264980147845</v>
      </c>
      <c r="P267" s="14">
        <f t="shared" si="144"/>
        <v>-45.86271888100184</v>
      </c>
      <c r="Q267" s="14">
        <f t="shared" si="145"/>
        <v>-19.984026246869263</v>
      </c>
      <c r="R267" s="14">
        <f t="shared" si="146"/>
        <v>-0.53940267071712222</v>
      </c>
      <c r="S267" s="23">
        <f t="shared" si="167"/>
        <v>-187.08098925406878</v>
      </c>
      <c r="T267" s="23">
        <f t="shared" si="168"/>
        <v>-36.660780039975528</v>
      </c>
      <c r="U267" s="14">
        <f t="shared" si="147"/>
        <v>20000</v>
      </c>
      <c r="V267" s="14">
        <f t="shared" si="148"/>
        <v>-89.99990504450912</v>
      </c>
      <c r="W267" s="14">
        <f t="shared" si="149"/>
        <v>-115.61205098361837</v>
      </c>
      <c r="X267" s="14">
        <f t="shared" si="150"/>
        <v>89.810089713717815</v>
      </c>
      <c r="Y267" s="14">
        <f t="shared" si="151"/>
        <v>49.591498783337194</v>
      </c>
      <c r="Z267" s="14">
        <f t="shared" si="152"/>
        <v>-53.900251381653874</v>
      </c>
      <c r="AA267" s="14">
        <f t="shared" si="153"/>
        <v>-4.5948511965005592</v>
      </c>
      <c r="AB267" s="23">
        <f t="shared" si="169"/>
        <v>-54.090066712445179</v>
      </c>
      <c r="AC267" s="23">
        <f t="shared" si="170"/>
        <v>15.405196516497885</v>
      </c>
      <c r="AD267" s="14">
        <f t="shared" si="154"/>
        <v>47.650600415462236</v>
      </c>
      <c r="AE267" s="14">
        <f t="shared" si="155"/>
        <v>3.4313142022417105</v>
      </c>
      <c r="AF267" s="14">
        <f t="shared" si="156"/>
        <v>0.94278909869387073</v>
      </c>
      <c r="AG267" s="14">
        <f t="shared" si="157"/>
        <v>1.1759470043418963E-3</v>
      </c>
      <c r="AH267" s="14">
        <f t="shared" si="158"/>
        <v>-33.35492596118921</v>
      </c>
      <c r="AI267" s="14">
        <f t="shared" si="159"/>
        <v>-1.5633514527351022</v>
      </c>
      <c r="AJ267" s="23">
        <f t="shared" si="171"/>
        <v>15.238463552966898</v>
      </c>
      <c r="AK267" s="23">
        <f t="shared" si="172"/>
        <v>1.8691386965109502</v>
      </c>
      <c r="AL267" s="14">
        <f t="shared" si="160"/>
        <v>0</v>
      </c>
      <c r="AM267" s="14">
        <f t="shared" si="161"/>
        <v>0</v>
      </c>
      <c r="AN267" s="14">
        <f t="shared" si="162"/>
        <v>0</v>
      </c>
      <c r="AO267" s="14">
        <f t="shared" si="163"/>
        <v>0</v>
      </c>
      <c r="AP267" s="23">
        <f t="shared" si="173"/>
        <v>0</v>
      </c>
      <c r="AQ267" s="23">
        <f t="shared" si="174"/>
        <v>0</v>
      </c>
    </row>
    <row r="268" spans="8:43" x14ac:dyDescent="0.25">
      <c r="H268" s="14">
        <v>3.65</v>
      </c>
      <c r="I268" s="36">
        <f t="shared" si="164"/>
        <v>44668.359215096345</v>
      </c>
      <c r="J268" s="24">
        <f t="shared" si="165"/>
        <v>-47.1969685414591</v>
      </c>
      <c r="K268" s="24">
        <f t="shared" si="166"/>
        <v>-19.502223414637442</v>
      </c>
      <c r="L268" s="14">
        <f t="shared" si="140"/>
        <v>0.67018069634200106</v>
      </c>
      <c r="M268" s="14">
        <f t="shared" si="141"/>
        <v>-77.666883518096242</v>
      </c>
      <c r="N268" s="14">
        <f t="shared" si="142"/>
        <v>13.408175313282271</v>
      </c>
      <c r="O268" s="14">
        <f t="shared" si="143"/>
        <v>-89.714905569057024</v>
      </c>
      <c r="P268" s="14">
        <f t="shared" si="144"/>
        <v>-46.06271381346707</v>
      </c>
      <c r="Q268" s="14">
        <f t="shared" si="145"/>
        <v>-20.411499227358828</v>
      </c>
      <c r="R268" s="14">
        <f t="shared" si="146"/>
        <v>-0.56324307211269709</v>
      </c>
      <c r="S268" s="23">
        <f t="shared" si="167"/>
        <v>-187.7932883145121</v>
      </c>
      <c r="T268" s="23">
        <f t="shared" si="168"/>
        <v>-36.693943284135351</v>
      </c>
      <c r="U268" s="14">
        <f t="shared" si="147"/>
        <v>20000</v>
      </c>
      <c r="V268" s="14">
        <f t="shared" si="148"/>
        <v>-89.999907205959985</v>
      </c>
      <c r="W268" s="14">
        <f t="shared" si="149"/>
        <v>-115.81205098361784</v>
      </c>
      <c r="X268" s="14">
        <f t="shared" si="150"/>
        <v>89.814412569013882</v>
      </c>
      <c r="Y268" s="14">
        <f t="shared" si="151"/>
        <v>49.791496635909247</v>
      </c>
      <c r="Z268" s="14">
        <f t="shared" si="152"/>
        <v>-54.526059003653181</v>
      </c>
      <c r="AA268" s="14">
        <f t="shared" si="153"/>
        <v>-4.726460298029683</v>
      </c>
      <c r="AB268" s="23">
        <f t="shared" si="169"/>
        <v>-54.711553640599284</v>
      </c>
      <c r="AC268" s="23">
        <f t="shared" si="170"/>
        <v>15.273585267541353</v>
      </c>
      <c r="AD268" s="14">
        <f t="shared" si="154"/>
        <v>48.306665462070995</v>
      </c>
      <c r="AE268" s="14">
        <f t="shared" si="155"/>
        <v>3.5416930959482817</v>
      </c>
      <c r="AF268" s="14">
        <f t="shared" si="156"/>
        <v>0.96474537458188181</v>
      </c>
      <c r="AG268" s="14">
        <f t="shared" si="157"/>
        <v>1.2313598232249583E-3</v>
      </c>
      <c r="AH268" s="14">
        <f t="shared" si="158"/>
        <v>-33.963537423000595</v>
      </c>
      <c r="AI268" s="14">
        <f t="shared" si="159"/>
        <v>-1.624789853814951</v>
      </c>
      <c r="AJ268" s="23">
        <f t="shared" si="171"/>
        <v>15.307873413652281</v>
      </c>
      <c r="AK268" s="23">
        <f t="shared" si="172"/>
        <v>1.9181346019565555</v>
      </c>
      <c r="AL268" s="14">
        <f t="shared" si="160"/>
        <v>0</v>
      </c>
      <c r="AM268" s="14">
        <f t="shared" si="161"/>
        <v>0</v>
      </c>
      <c r="AN268" s="14">
        <f t="shared" si="162"/>
        <v>0</v>
      </c>
      <c r="AO268" s="14">
        <f t="shared" si="163"/>
        <v>0</v>
      </c>
      <c r="AP268" s="23">
        <f t="shared" si="173"/>
        <v>0</v>
      </c>
      <c r="AQ268" s="23">
        <f t="shared" si="174"/>
        <v>0</v>
      </c>
    </row>
    <row r="269" spans="8:43" x14ac:dyDescent="0.25">
      <c r="H269" s="14">
        <v>3.66</v>
      </c>
      <c r="I269" s="36">
        <f t="shared" si="164"/>
        <v>45708.81896148753</v>
      </c>
      <c r="J269" s="24">
        <f t="shared" si="165"/>
        <v>-48.464873794945802</v>
      </c>
      <c r="K269" s="24">
        <f t="shared" si="166"/>
        <v>-19.620345105632939</v>
      </c>
      <c r="L269" s="14">
        <f t="shared" si="140"/>
        <v>0.67018069634200106</v>
      </c>
      <c r="M269" s="14">
        <f t="shared" si="141"/>
        <v>-77.939308632680834</v>
      </c>
      <c r="N269" s="14">
        <f t="shared" si="142"/>
        <v>13.599248486556936</v>
      </c>
      <c r="O269" s="14">
        <f t="shared" si="143"/>
        <v>-89.721395007109237</v>
      </c>
      <c r="P269" s="14">
        <f t="shared" si="144"/>
        <v>-46.262708974003417</v>
      </c>
      <c r="Q269" s="14">
        <f t="shared" si="145"/>
        <v>-20.846485516116655</v>
      </c>
      <c r="R269" s="14">
        <f t="shared" si="146"/>
        <v>-0.58806755856287984</v>
      </c>
      <c r="S269" s="23">
        <f t="shared" si="167"/>
        <v>-188.50718915590673</v>
      </c>
      <c r="T269" s="23">
        <f t="shared" si="168"/>
        <v>-36.727689757847209</v>
      </c>
      <c r="U269" s="14">
        <f t="shared" si="147"/>
        <v>20000</v>
      </c>
      <c r="V269" s="14">
        <f t="shared" si="148"/>
        <v>-89.999909318210214</v>
      </c>
      <c r="W269" s="14">
        <f t="shared" si="149"/>
        <v>-116.01205098361731</v>
      </c>
      <c r="X269" s="14">
        <f t="shared" si="150"/>
        <v>89.818637026151663</v>
      </c>
      <c r="Y269" s="14">
        <f t="shared" si="151"/>
        <v>49.991494585130489</v>
      </c>
      <c r="Z269" s="14">
        <f t="shared" si="152"/>
        <v>-55.147181063391798</v>
      </c>
      <c r="AA269" s="14">
        <f t="shared" si="153"/>
        <v>-4.8601265083387037</v>
      </c>
      <c r="AB269" s="23">
        <f t="shared" si="169"/>
        <v>-55.32845335545035</v>
      </c>
      <c r="AC269" s="23">
        <f t="shared" si="170"/>
        <v>15.139917006454096</v>
      </c>
      <c r="AD269" s="14">
        <f t="shared" si="154"/>
        <v>48.960993255906871</v>
      </c>
      <c r="AE269" s="14">
        <f t="shared" si="155"/>
        <v>3.6543438411231444</v>
      </c>
      <c r="AF269" s="14">
        <f t="shared" si="156"/>
        <v>0.9872127844376748</v>
      </c>
      <c r="AG269" s="14">
        <f t="shared" si="157"/>
        <v>1.2893834100227669E-3</v>
      </c>
      <c r="AH269" s="14">
        <f t="shared" si="158"/>
        <v>-34.577437323933268</v>
      </c>
      <c r="AI269" s="14">
        <f t="shared" si="159"/>
        <v>-1.6882055787729946</v>
      </c>
      <c r="AJ269" s="23">
        <f t="shared" si="171"/>
        <v>15.370768716411277</v>
      </c>
      <c r="AK269" s="23">
        <f t="shared" si="172"/>
        <v>1.9674276457601725</v>
      </c>
      <c r="AL269" s="14">
        <f t="shared" si="160"/>
        <v>0</v>
      </c>
      <c r="AM269" s="14">
        <f t="shared" si="161"/>
        <v>0</v>
      </c>
      <c r="AN269" s="14">
        <f t="shared" si="162"/>
        <v>0</v>
      </c>
      <c r="AO269" s="14">
        <f t="shared" si="163"/>
        <v>0</v>
      </c>
      <c r="AP269" s="23">
        <f t="shared" si="173"/>
        <v>0</v>
      </c>
      <c r="AQ269" s="23">
        <f t="shared" si="174"/>
        <v>0</v>
      </c>
    </row>
    <row r="270" spans="8:43" x14ac:dyDescent="0.25">
      <c r="H270" s="14">
        <v>3.67</v>
      </c>
      <c r="I270" s="36">
        <f t="shared" si="164"/>
        <v>46773.514128719842</v>
      </c>
      <c r="J270" s="24">
        <f t="shared" si="165"/>
        <v>-49.736265428303575</v>
      </c>
      <c r="K270" s="24">
        <f t="shared" si="166"/>
        <v>-19.740876046954497</v>
      </c>
      <c r="L270" s="14">
        <f t="shared" si="140"/>
        <v>0.67018069634200106</v>
      </c>
      <c r="M270" s="14">
        <f t="shared" si="141"/>
        <v>-78.206068521068175</v>
      </c>
      <c r="N270" s="14">
        <f t="shared" si="142"/>
        <v>13.79070627026824</v>
      </c>
      <c r="O270" s="14">
        <f t="shared" si="143"/>
        <v>-89.727736734424084</v>
      </c>
      <c r="P270" s="14">
        <f t="shared" si="144"/>
        <v>-46.462704352346478</v>
      </c>
      <c r="Q270" s="14">
        <f t="shared" si="145"/>
        <v>-21.289015118721895</v>
      </c>
      <c r="R270" s="14">
        <f t="shared" si="146"/>
        <v>-0.61391079122237802</v>
      </c>
      <c r="S270" s="23">
        <f t="shared" si="167"/>
        <v>-189.22282037421414</v>
      </c>
      <c r="T270" s="23">
        <f t="shared" si="168"/>
        <v>-36.762070585138474</v>
      </c>
      <c r="U270" s="14">
        <f t="shared" si="147"/>
        <v>20000</v>
      </c>
      <c r="V270" s="14">
        <f t="shared" si="148"/>
        <v>-89.999911382379764</v>
      </c>
      <c r="W270" s="14">
        <f t="shared" si="149"/>
        <v>-116.21205098361682</v>
      </c>
      <c r="X270" s="14">
        <f t="shared" si="150"/>
        <v>89.822765324810433</v>
      </c>
      <c r="Y270" s="14">
        <f t="shared" si="151"/>
        <v>50.191492626651069</v>
      </c>
      <c r="Z270" s="14">
        <f t="shared" si="152"/>
        <v>-55.763362945847142</v>
      </c>
      <c r="AA270" s="14">
        <f t="shared" si="153"/>
        <v>-4.9958181876346259</v>
      </c>
      <c r="AB270" s="23">
        <f t="shared" si="169"/>
        <v>-55.940509003416473</v>
      </c>
      <c r="AC270" s="23">
        <f t="shared" si="170"/>
        <v>15.004223368679249</v>
      </c>
      <c r="AD270" s="14">
        <f t="shared" si="154"/>
        <v>49.613248081832097</v>
      </c>
      <c r="AE270" s="14">
        <f t="shared" si="155"/>
        <v>3.7692532441351592</v>
      </c>
      <c r="AF270" s="14">
        <f t="shared" si="156"/>
        <v>1.0102032131256722</v>
      </c>
      <c r="AG270" s="14">
        <f t="shared" si="157"/>
        <v>1.3501407333461185E-3</v>
      </c>
      <c r="AH270" s="14">
        <f t="shared" si="158"/>
        <v>-35.196387345630725</v>
      </c>
      <c r="AI270" s="14">
        <f t="shared" si="159"/>
        <v>-1.7536322153637773</v>
      </c>
      <c r="AJ270" s="23">
        <f t="shared" si="171"/>
        <v>15.427063949327042</v>
      </c>
      <c r="AK270" s="23">
        <f t="shared" si="172"/>
        <v>2.0169711695047283</v>
      </c>
      <c r="AL270" s="14">
        <f t="shared" si="160"/>
        <v>0</v>
      </c>
      <c r="AM270" s="14">
        <f t="shared" si="161"/>
        <v>0</v>
      </c>
      <c r="AN270" s="14">
        <f t="shared" si="162"/>
        <v>0</v>
      </c>
      <c r="AO270" s="14">
        <f t="shared" si="163"/>
        <v>0</v>
      </c>
      <c r="AP270" s="23">
        <f t="shared" si="173"/>
        <v>0</v>
      </c>
      <c r="AQ270" s="23">
        <f t="shared" si="174"/>
        <v>0</v>
      </c>
    </row>
    <row r="271" spans="8:43" x14ac:dyDescent="0.25">
      <c r="H271" s="14">
        <v>3.68</v>
      </c>
      <c r="I271" s="36">
        <f t="shared" si="164"/>
        <v>47863.009232263852</v>
      </c>
      <c r="J271" s="24">
        <f t="shared" si="165"/>
        <v>-51.011088269431177</v>
      </c>
      <c r="K271" s="24">
        <f t="shared" si="166"/>
        <v>-19.863882057673848</v>
      </c>
      <c r="L271" s="14">
        <f t="shared" si="140"/>
        <v>0.67018069634200106</v>
      </c>
      <c r="M271" s="14">
        <f t="shared" si="141"/>
        <v>-78.467258341251664</v>
      </c>
      <c r="N271" s="14">
        <f t="shared" si="142"/>
        <v>13.982532802512582</v>
      </c>
      <c r="O271" s="14">
        <f t="shared" si="143"/>
        <v>-89.733934112847408</v>
      </c>
      <c r="P271" s="14">
        <f t="shared" si="144"/>
        <v>-46.66269993869377</v>
      </c>
      <c r="Q271" s="14">
        <f t="shared" si="145"/>
        <v>-21.739111422727682</v>
      </c>
      <c r="R271" s="14">
        <f t="shared" si="146"/>
        <v>-0.64080815732004659</v>
      </c>
      <c r="S271" s="23">
        <f t="shared" si="167"/>
        <v>-189.94030387682676</v>
      </c>
      <c r="T271" s="23">
        <f t="shared" si="168"/>
        <v>-36.797137005339088</v>
      </c>
      <c r="U271" s="14">
        <f t="shared" si="147"/>
        <v>20000</v>
      </c>
      <c r="V271" s="14">
        <f t="shared" si="148"/>
        <v>-89.99991339956307</v>
      </c>
      <c r="W271" s="14">
        <f t="shared" si="149"/>
        <v>-116.41205098361635</v>
      </c>
      <c r="X271" s="14">
        <f t="shared" si="150"/>
        <v>89.826799653697208</v>
      </c>
      <c r="Y271" s="14">
        <f t="shared" si="151"/>
        <v>50.391490756316927</v>
      </c>
      <c r="Z271" s="14">
        <f t="shared" si="152"/>
        <v>-56.374361234202425</v>
      </c>
      <c r="AA271" s="14">
        <f t="shared" si="153"/>
        <v>-5.1335023237251587</v>
      </c>
      <c r="AB271" s="23">
        <f t="shared" si="169"/>
        <v>-56.547474980068287</v>
      </c>
      <c r="AC271" s="23">
        <f t="shared" si="170"/>
        <v>14.866537362255039</v>
      </c>
      <c r="AD271" s="14">
        <f t="shared" si="154"/>
        <v>50.263099590342982</v>
      </c>
      <c r="AE271" s="14">
        <f t="shared" si="155"/>
        <v>3.8864058540715574</v>
      </c>
      <c r="AF271" s="14">
        <f t="shared" si="156"/>
        <v>1.0337288208452489</v>
      </c>
      <c r="AG271" s="14">
        <f t="shared" si="157"/>
        <v>1.4137605500937722E-3</v>
      </c>
      <c r="AH271" s="14">
        <f t="shared" si="158"/>
        <v>-35.820137823724359</v>
      </c>
      <c r="AI271" s="14">
        <f t="shared" si="159"/>
        <v>-1.8211020292114466</v>
      </c>
      <c r="AJ271" s="23">
        <f t="shared" si="171"/>
        <v>15.476690587463871</v>
      </c>
      <c r="AK271" s="23">
        <f t="shared" si="172"/>
        <v>2.0667175854102044</v>
      </c>
      <c r="AL271" s="14">
        <f t="shared" si="160"/>
        <v>0</v>
      </c>
      <c r="AM271" s="14">
        <f t="shared" si="161"/>
        <v>0</v>
      </c>
      <c r="AN271" s="14">
        <f t="shared" si="162"/>
        <v>0</v>
      </c>
      <c r="AO271" s="14">
        <f t="shared" si="163"/>
        <v>0</v>
      </c>
      <c r="AP271" s="23">
        <f t="shared" si="173"/>
        <v>0</v>
      </c>
      <c r="AQ271" s="23">
        <f t="shared" si="174"/>
        <v>0</v>
      </c>
    </row>
    <row r="272" spans="8:43" x14ac:dyDescent="0.25">
      <c r="H272" s="14">
        <v>3.69</v>
      </c>
      <c r="I272" s="36">
        <f t="shared" si="164"/>
        <v>48977.881936844635</v>
      </c>
      <c r="J272" s="24">
        <f t="shared" si="165"/>
        <v>-52.289274060777487</v>
      </c>
      <c r="K272" s="24">
        <f t="shared" si="166"/>
        <v>-19.989428557129983</v>
      </c>
      <c r="L272" s="14">
        <f t="shared" si="140"/>
        <v>0.67018069634200106</v>
      </c>
      <c r="M272" s="14">
        <f t="shared" si="141"/>
        <v>-78.722973136736712</v>
      </c>
      <c r="N272" s="14">
        <f t="shared" si="142"/>
        <v>14.174712815499129</v>
      </c>
      <c r="O272" s="14">
        <f t="shared" si="143"/>
        <v>-89.739990427730902</v>
      </c>
      <c r="P272" s="14">
        <f t="shared" si="144"/>
        <v>-46.86269572368397</v>
      </c>
      <c r="Q272" s="14">
        <f t="shared" si="145"/>
        <v>-22.196790807395107</v>
      </c>
      <c r="R272" s="14">
        <f t="shared" si="146"/>
        <v>-0.66879574383769613</v>
      </c>
      <c r="S272" s="23">
        <f t="shared" si="167"/>
        <v>-190.6597543718627</v>
      </c>
      <c r="T272" s="23">
        <f t="shared" si="168"/>
        <v>-36.832940363860395</v>
      </c>
      <c r="U272" s="14">
        <f t="shared" si="147"/>
        <v>20000</v>
      </c>
      <c r="V272" s="14">
        <f t="shared" si="148"/>
        <v>-89.999915370829683</v>
      </c>
      <c r="W272" s="14">
        <f t="shared" si="149"/>
        <v>-116.6120509836159</v>
      </c>
      <c r="X272" s="14">
        <f t="shared" si="150"/>
        <v>89.83074215170646</v>
      </c>
      <c r="Y272" s="14">
        <f t="shared" si="151"/>
        <v>50.591488970160938</v>
      </c>
      <c r="Z272" s="14">
        <f t="shared" si="152"/>
        <v>-56.979944025564876</v>
      </c>
      <c r="AA272" s="14">
        <f t="shared" si="153"/>
        <v>-5.2731446451751509</v>
      </c>
      <c r="AB272" s="23">
        <f t="shared" si="169"/>
        <v>-57.1491172446881</v>
      </c>
      <c r="AC272" s="23">
        <f t="shared" si="170"/>
        <v>14.726893254649511</v>
      </c>
      <c r="AD272" s="14">
        <f t="shared" si="154"/>
        <v>50.910223601431305</v>
      </c>
      <c r="AE272" s="14">
        <f t="shared" si="155"/>
        <v>4.0057840260068946</v>
      </c>
      <c r="AF272" s="14">
        <f t="shared" si="156"/>
        <v>1.0578020494370193</v>
      </c>
      <c r="AG272" s="14">
        <f t="shared" si="157"/>
        <v>1.4803776775616831E-3</v>
      </c>
      <c r="AH272" s="14">
        <f t="shared" si="158"/>
        <v>-36.448428095095011</v>
      </c>
      <c r="AI272" s="14">
        <f t="shared" si="159"/>
        <v>-1.890645851603556</v>
      </c>
      <c r="AJ272" s="23">
        <f t="shared" si="171"/>
        <v>15.519597555773316</v>
      </c>
      <c r="AK272" s="23">
        <f t="shared" si="172"/>
        <v>2.1166185520809009</v>
      </c>
      <c r="AL272" s="14">
        <f t="shared" si="160"/>
        <v>0</v>
      </c>
      <c r="AM272" s="14">
        <f t="shared" si="161"/>
        <v>0</v>
      </c>
      <c r="AN272" s="14">
        <f t="shared" si="162"/>
        <v>0</v>
      </c>
      <c r="AO272" s="14">
        <f t="shared" si="163"/>
        <v>0</v>
      </c>
      <c r="AP272" s="23">
        <f t="shared" si="173"/>
        <v>0</v>
      </c>
      <c r="AQ272" s="23">
        <f t="shared" si="174"/>
        <v>0</v>
      </c>
    </row>
    <row r="273" spans="8:43" x14ac:dyDescent="0.25">
      <c r="H273" s="14">
        <v>3.7</v>
      </c>
      <c r="I273" s="36">
        <f t="shared" si="164"/>
        <v>50118.723362727324</v>
      </c>
      <c r="J273" s="24">
        <f t="shared" si="165"/>
        <v>-53.570740844335205</v>
      </c>
      <c r="K273" s="24">
        <f t="shared" si="166"/>
        <v>-20.117580484310629</v>
      </c>
      <c r="L273" s="14">
        <f t="shared" si="140"/>
        <v>0.67018069634200106</v>
      </c>
      <c r="M273" s="14">
        <f t="shared" si="141"/>
        <v>-78.973307722981787</v>
      </c>
      <c r="N273" s="14">
        <f t="shared" si="142"/>
        <v>14.367231618413385</v>
      </c>
      <c r="O273" s="14">
        <f t="shared" si="143"/>
        <v>-89.745908889671256</v>
      </c>
      <c r="P273" s="14">
        <f t="shared" si="144"/>
        <v>-47.062691698377066</v>
      </c>
      <c r="Q273" s="14">
        <f t="shared" si="145"/>
        <v>-22.662062250662402</v>
      </c>
      <c r="R273" s="14">
        <f t="shared" si="146"/>
        <v>-0.69791030710665725</v>
      </c>
      <c r="S273" s="23">
        <f t="shared" si="167"/>
        <v>-191.38127886331546</v>
      </c>
      <c r="T273" s="23">
        <f t="shared" si="168"/>
        <v>-36.869532098908195</v>
      </c>
      <c r="U273" s="14">
        <f t="shared" si="147"/>
        <v>20000</v>
      </c>
      <c r="V273" s="14">
        <f t="shared" si="148"/>
        <v>-89.999917297224783</v>
      </c>
      <c r="W273" s="14">
        <f t="shared" si="149"/>
        <v>-116.81205098361548</v>
      </c>
      <c r="X273" s="14">
        <f t="shared" si="150"/>
        <v>89.834594909053394</v>
      </c>
      <c r="Y273" s="14">
        <f t="shared" si="151"/>
        <v>50.791487264394533</v>
      </c>
      <c r="Z273" s="14">
        <f t="shared" si="152"/>
        <v>-57.579891190047832</v>
      </c>
      <c r="AA273" s="14">
        <f t="shared" si="153"/>
        <v>-5.4147097355999199</v>
      </c>
      <c r="AB273" s="23">
        <f t="shared" si="169"/>
        <v>-57.745213578219222</v>
      </c>
      <c r="AC273" s="23">
        <f t="shared" si="170"/>
        <v>14.585326458458759</v>
      </c>
      <c r="AD273" s="14">
        <f t="shared" si="154"/>
        <v>51.554302870407859</v>
      </c>
      <c r="AE273" s="14">
        <f t="shared" si="155"/>
        <v>4.1273679924512887</v>
      </c>
      <c r="AF273" s="14">
        <f t="shared" si="156"/>
        <v>1.0824356288283692</v>
      </c>
      <c r="AG273" s="14">
        <f t="shared" si="157"/>
        <v>1.5501332783156992E-3</v>
      </c>
      <c r="AH273" s="14">
        <f t="shared" si="158"/>
        <v>-37.080986902036756</v>
      </c>
      <c r="AI273" s="14">
        <f t="shared" si="159"/>
        <v>-1.9622929695907971</v>
      </c>
      <c r="AJ273" s="23">
        <f t="shared" si="171"/>
        <v>15.555751597199475</v>
      </c>
      <c r="AK273" s="23">
        <f t="shared" si="172"/>
        <v>2.166625156138807</v>
      </c>
      <c r="AL273" s="14">
        <f t="shared" si="160"/>
        <v>0</v>
      </c>
      <c r="AM273" s="14">
        <f t="shared" si="161"/>
        <v>0</v>
      </c>
      <c r="AN273" s="14">
        <f t="shared" si="162"/>
        <v>0</v>
      </c>
      <c r="AO273" s="14">
        <f t="shared" si="163"/>
        <v>0</v>
      </c>
      <c r="AP273" s="23">
        <f t="shared" si="173"/>
        <v>0</v>
      </c>
      <c r="AQ273" s="23">
        <f t="shared" si="174"/>
        <v>0</v>
      </c>
    </row>
    <row r="274" spans="8:43" x14ac:dyDescent="0.25">
      <c r="H274" s="14">
        <v>3.71</v>
      </c>
      <c r="I274" s="36">
        <f t="shared" si="164"/>
        <v>51286.138399136486</v>
      </c>
      <c r="J274" s="24">
        <f t="shared" si="165"/>
        <v>-54.855392396444941</v>
      </c>
      <c r="K274" s="24">
        <f t="shared" si="166"/>
        <v>-20.248402208837536</v>
      </c>
      <c r="L274" s="14">
        <f t="shared" si="140"/>
        <v>0.67018069634200106</v>
      </c>
      <c r="M274" s="14">
        <f t="shared" si="141"/>
        <v>-79.21835658212332</v>
      </c>
      <c r="N274" s="14">
        <f t="shared" si="142"/>
        <v>14.560075080319779</v>
      </c>
      <c r="O274" s="14">
        <f t="shared" si="143"/>
        <v>-89.751692636209782</v>
      </c>
      <c r="P274" s="14">
        <f t="shared" si="144"/>
        <v>-47.262687854235296</v>
      </c>
      <c r="Q274" s="14">
        <f t="shared" si="145"/>
        <v>-23.13492693507234</v>
      </c>
      <c r="R274" s="14">
        <f t="shared" si="146"/>
        <v>-0.7281892381432804</v>
      </c>
      <c r="S274" s="23">
        <f t="shared" si="167"/>
        <v>-192.10497615340543</v>
      </c>
      <c r="T274" s="23">
        <f t="shared" si="168"/>
        <v>-36.906963723896652</v>
      </c>
      <c r="U274" s="14">
        <f t="shared" si="147"/>
        <v>20000</v>
      </c>
      <c r="V274" s="14">
        <f t="shared" si="148"/>
        <v>-89.999919179769776</v>
      </c>
      <c r="W274" s="14">
        <f t="shared" si="149"/>
        <v>-117.01205098361507</v>
      </c>
      <c r="X274" s="14">
        <f t="shared" si="150"/>
        <v>89.838359968381539</v>
      </c>
      <c r="Y274" s="14">
        <f t="shared" si="151"/>
        <v>50.991485635399613</v>
      </c>
      <c r="Z274" s="14">
        <f t="shared" si="152"/>
        <v>-58.173994573976621</v>
      </c>
      <c r="AA274" s="14">
        <f t="shared" si="153"/>
        <v>-5.5581611483735882</v>
      </c>
      <c r="AB274" s="23">
        <f t="shared" si="169"/>
        <v>-58.335553785364858</v>
      </c>
      <c r="AC274" s="23">
        <f t="shared" si="170"/>
        <v>14.44187341669058</v>
      </c>
      <c r="AD274" s="14">
        <f t="shared" si="154"/>
        <v>52.195027811568245</v>
      </c>
      <c r="AE274" s="14">
        <f t="shared" si="155"/>
        <v>4.2511359423739901</v>
      </c>
      <c r="AF274" s="14">
        <f t="shared" si="156"/>
        <v>1.1076425836209316</v>
      </c>
      <c r="AG274" s="14">
        <f t="shared" si="157"/>
        <v>1.6231751584232872E-3</v>
      </c>
      <c r="AH274" s="14">
        <f t="shared" si="158"/>
        <v>-37.717532852863833</v>
      </c>
      <c r="AI274" s="14">
        <f t="shared" si="159"/>
        <v>-2.0360710191638773</v>
      </c>
      <c r="AJ274" s="23">
        <f t="shared" si="171"/>
        <v>15.585137542325342</v>
      </c>
      <c r="AK274" s="23">
        <f t="shared" si="172"/>
        <v>2.216688098368536</v>
      </c>
      <c r="AL274" s="14">
        <f t="shared" si="160"/>
        <v>0</v>
      </c>
      <c r="AM274" s="14">
        <f t="shared" si="161"/>
        <v>0</v>
      </c>
      <c r="AN274" s="14">
        <f t="shared" si="162"/>
        <v>0</v>
      </c>
      <c r="AO274" s="14">
        <f t="shared" si="163"/>
        <v>0</v>
      </c>
      <c r="AP274" s="23">
        <f t="shared" si="173"/>
        <v>0</v>
      </c>
      <c r="AQ274" s="23">
        <f t="shared" si="174"/>
        <v>0</v>
      </c>
    </row>
    <row r="275" spans="8:43" x14ac:dyDescent="0.25">
      <c r="H275" s="14">
        <v>3.72</v>
      </c>
      <c r="I275" s="36">
        <f t="shared" si="164"/>
        <v>52480.74602497735</v>
      </c>
      <c r="J275" s="24">
        <f t="shared" si="165"/>
        <v>-56.143117717790965</v>
      </c>
      <c r="K275" s="24">
        <f t="shared" si="166"/>
        <v>-20.381957434082466</v>
      </c>
      <c r="L275" s="14">
        <f t="shared" si="140"/>
        <v>0.67018069634200106</v>
      </c>
      <c r="M275" s="14">
        <f t="shared" si="141"/>
        <v>-79.45821376561122</v>
      </c>
      <c r="N275" s="14">
        <f t="shared" si="142"/>
        <v>14.753229613153033</v>
      </c>
      <c r="O275" s="14">
        <f t="shared" si="143"/>
        <v>-89.757344733493753</v>
      </c>
      <c r="P275" s="14">
        <f t="shared" si="144"/>
        <v>-47.462684183105267</v>
      </c>
      <c r="Q275" s="14">
        <f t="shared" si="145"/>
        <v>-23.615377854550115</v>
      </c>
      <c r="R275" s="14">
        <f t="shared" si="146"/>
        <v>-0.75967052355786691</v>
      </c>
      <c r="S275" s="23">
        <f t="shared" si="167"/>
        <v>-192.83093635365509</v>
      </c>
      <c r="T275" s="23">
        <f t="shared" si="168"/>
        <v>-36.945286805347955</v>
      </c>
      <c r="U275" s="14">
        <f t="shared" si="147"/>
        <v>20000</v>
      </c>
      <c r="V275" s="14">
        <f t="shared" si="148"/>
        <v>-89.999921019462818</v>
      </c>
      <c r="W275" s="14">
        <f t="shared" si="149"/>
        <v>-117.21205098361469</v>
      </c>
      <c r="X275" s="14">
        <f t="shared" si="150"/>
        <v>89.842039325845008</v>
      </c>
      <c r="Y275" s="14">
        <f t="shared" si="151"/>
        <v>51.191484079720993</v>
      </c>
      <c r="Z275" s="14">
        <f t="shared" si="152"/>
        <v>-58.762058148403028</v>
      </c>
      <c r="AA275" s="14">
        <f t="shared" si="153"/>
        <v>-5.7034615210626329</v>
      </c>
      <c r="AB275" s="23">
        <f t="shared" si="169"/>
        <v>-58.919939842020838</v>
      </c>
      <c r="AC275" s="23">
        <f t="shared" si="170"/>
        <v>14.296571488323298</v>
      </c>
      <c r="AD275" s="14">
        <f t="shared" si="154"/>
        <v>52.832097176049338</v>
      </c>
      <c r="AE275" s="14">
        <f t="shared" si="155"/>
        <v>4.3770641071464915</v>
      </c>
      <c r="AF275" s="14">
        <f t="shared" si="156"/>
        <v>1.1334362398227553</v>
      </c>
      <c r="AG275" s="14">
        <f t="shared" si="157"/>
        <v>1.6996580796450641E-3</v>
      </c>
      <c r="AH275" s="14">
        <f t="shared" si="158"/>
        <v>-38.357774937987131</v>
      </c>
      <c r="AI275" s="14">
        <f t="shared" si="159"/>
        <v>-2.1120058822839463</v>
      </c>
      <c r="AJ275" s="23">
        <f t="shared" si="171"/>
        <v>15.607758477884964</v>
      </c>
      <c r="AK275" s="23">
        <f t="shared" si="172"/>
        <v>2.2667578829421906</v>
      </c>
      <c r="AL275" s="14">
        <f t="shared" si="160"/>
        <v>0</v>
      </c>
      <c r="AM275" s="14">
        <f t="shared" si="161"/>
        <v>0</v>
      </c>
      <c r="AN275" s="14">
        <f t="shared" si="162"/>
        <v>0</v>
      </c>
      <c r="AO275" s="14">
        <f t="shared" si="163"/>
        <v>0</v>
      </c>
      <c r="AP275" s="23">
        <f t="shared" si="173"/>
        <v>0</v>
      </c>
      <c r="AQ275" s="23">
        <f t="shared" si="174"/>
        <v>0</v>
      </c>
    </row>
    <row r="276" spans="8:43" x14ac:dyDescent="0.25">
      <c r="H276" s="14">
        <v>3.73</v>
      </c>
      <c r="I276" s="36">
        <f t="shared" si="164"/>
        <v>53703.17963702527</v>
      </c>
      <c r="J276" s="24">
        <f t="shared" si="165"/>
        <v>-57.433790583490186</v>
      </c>
      <c r="K276" s="24">
        <f t="shared" si="166"/>
        <v>-20.518309093038056</v>
      </c>
      <c r="L276" s="14">
        <f t="shared" si="140"/>
        <v>0.67018069634200106</v>
      </c>
      <c r="M276" s="14">
        <f t="shared" si="141"/>
        <v>-79.6929728043837</v>
      </c>
      <c r="N276" s="14">
        <f t="shared" si="142"/>
        <v>14.946682154841861</v>
      </c>
      <c r="O276" s="14">
        <f t="shared" si="143"/>
        <v>-89.762868177899634</v>
      </c>
      <c r="P276" s="14">
        <f t="shared" si="144"/>
        <v>-47.662680677200377</v>
      </c>
      <c r="Q276" s="14">
        <f t="shared" si="145"/>
        <v>-24.103399424089183</v>
      </c>
      <c r="R276" s="14">
        <f t="shared" si="146"/>
        <v>-0.79239270188754141</v>
      </c>
      <c r="S276" s="23">
        <f t="shared" si="167"/>
        <v>-193.55924040637254</v>
      </c>
      <c r="T276" s="23">
        <f t="shared" si="168"/>
        <v>-36.984552936083915</v>
      </c>
      <c r="U276" s="14">
        <f t="shared" si="147"/>
        <v>20000</v>
      </c>
      <c r="V276" s="14">
        <f t="shared" si="148"/>
        <v>-89.999922817279341</v>
      </c>
      <c r="W276" s="14">
        <f t="shared" si="149"/>
        <v>-117.41205098361431</v>
      </c>
      <c r="X276" s="14">
        <f t="shared" si="150"/>
        <v>89.845634932166391</v>
      </c>
      <c r="Y276" s="14">
        <f t="shared" si="151"/>
        <v>51.3914825940589</v>
      </c>
      <c r="Z276" s="14">
        <f t="shared" si="152"/>
        <v>-59.343898104495935</v>
      </c>
      <c r="AA276" s="14">
        <f t="shared" si="153"/>
        <v>-5.8505726889315079</v>
      </c>
      <c r="AB276" s="23">
        <f t="shared" si="169"/>
        <v>-59.498185989608885</v>
      </c>
      <c r="AC276" s="23">
        <f t="shared" si="170"/>
        <v>14.149458834792711</v>
      </c>
      <c r="AD276" s="14">
        <f t="shared" si="154"/>
        <v>53.465218680717335</v>
      </c>
      <c r="AE276" s="14">
        <f t="shared" si="155"/>
        <v>4.5051268527056916</v>
      </c>
      <c r="AF276" s="14">
        <f t="shared" si="156"/>
        <v>1.1598302317278431</v>
      </c>
      <c r="AG276" s="14">
        <f t="shared" si="157"/>
        <v>1.7797440862788135E-3</v>
      </c>
      <c r="AH276" s="14">
        <f t="shared" si="158"/>
        <v>-39.001413099953943</v>
      </c>
      <c r="AI276" s="14">
        <f t="shared" si="159"/>
        <v>-2.1901215885388199</v>
      </c>
      <c r="AJ276" s="23">
        <f t="shared" si="171"/>
        <v>15.623635812491237</v>
      </c>
      <c r="AK276" s="23">
        <f t="shared" si="172"/>
        <v>2.3167850082531505</v>
      </c>
      <c r="AL276" s="14">
        <f t="shared" si="160"/>
        <v>0</v>
      </c>
      <c r="AM276" s="14">
        <f t="shared" si="161"/>
        <v>0</v>
      </c>
      <c r="AN276" s="14">
        <f t="shared" si="162"/>
        <v>0</v>
      </c>
      <c r="AO276" s="14">
        <f t="shared" si="163"/>
        <v>0</v>
      </c>
      <c r="AP276" s="23">
        <f t="shared" si="173"/>
        <v>0</v>
      </c>
      <c r="AQ276" s="23">
        <f t="shared" si="174"/>
        <v>0</v>
      </c>
    </row>
    <row r="277" spans="8:43" x14ac:dyDescent="0.25">
      <c r="H277" s="14">
        <v>3.74</v>
      </c>
      <c r="I277" s="36">
        <f t="shared" si="164"/>
        <v>54954.087385762541</v>
      </c>
      <c r="J277" s="24">
        <f t="shared" si="165"/>
        <v>-58.727269157659592</v>
      </c>
      <c r="K277" s="24">
        <f t="shared" si="166"/>
        <v>-20.657519237655656</v>
      </c>
      <c r="L277" s="14">
        <f t="shared" si="140"/>
        <v>0.67018069634200106</v>
      </c>
      <c r="M277" s="14">
        <f t="shared" si="141"/>
        <v>-79.92272662621744</v>
      </c>
      <c r="N277" s="14">
        <f t="shared" si="142"/>
        <v>15.140420152605094</v>
      </c>
      <c r="O277" s="14">
        <f t="shared" si="143"/>
        <v>-89.768265897619912</v>
      </c>
      <c r="P277" s="14">
        <f t="shared" si="144"/>
        <v>-47.862677329084576</v>
      </c>
      <c r="Q277" s="14">
        <f t="shared" si="145"/>
        <v>-24.59896709457221</v>
      </c>
      <c r="R277" s="14">
        <f t="shared" si="146"/>
        <v>-0.82639481522317315</v>
      </c>
      <c r="S277" s="23">
        <f t="shared" si="167"/>
        <v>-194.28995961840954</v>
      </c>
      <c r="T277" s="23">
        <f t="shared" si="168"/>
        <v>-37.024813703540509</v>
      </c>
      <c r="U277" s="14">
        <f t="shared" si="147"/>
        <v>20000</v>
      </c>
      <c r="V277" s="14">
        <f t="shared" si="148"/>
        <v>-89.999924574172553</v>
      </c>
      <c r="W277" s="14">
        <f t="shared" si="149"/>
        <v>-117.61205098361395</v>
      </c>
      <c r="X277" s="14">
        <f t="shared" si="150"/>
        <v>89.849148693670415</v>
      </c>
      <c r="Y277" s="14">
        <f t="shared" si="151"/>
        <v>51.591481175262174</v>
      </c>
      <c r="Z277" s="14">
        <f t="shared" si="152"/>
        <v>-59.919342897727631</v>
      </c>
      <c r="AA277" s="14">
        <f t="shared" si="153"/>
        <v>-5.9994557969106479</v>
      </c>
      <c r="AB277" s="23">
        <f t="shared" si="169"/>
        <v>-60.070118778229769</v>
      </c>
      <c r="AC277" s="23">
        <f t="shared" si="170"/>
        <v>14.000574308017196</v>
      </c>
      <c r="AD277" s="14">
        <f t="shared" si="154"/>
        <v>54.094109585450525</v>
      </c>
      <c r="AE277" s="14">
        <f t="shared" si="155"/>
        <v>4.6352967772049452</v>
      </c>
      <c r="AF277" s="14">
        <f t="shared" si="156"/>
        <v>1.1868385089459279</v>
      </c>
      <c r="AG277" s="14">
        <f t="shared" si="157"/>
        <v>1.8636028472881832E-3</v>
      </c>
      <c r="AH277" s="14">
        <f t="shared" si="158"/>
        <v>-39.648138855416732</v>
      </c>
      <c r="AI277" s="14">
        <f t="shared" si="159"/>
        <v>-2.2704402221845772</v>
      </c>
      <c r="AJ277" s="23">
        <f t="shared" si="171"/>
        <v>15.632809238979718</v>
      </c>
      <c r="AK277" s="23">
        <f t="shared" si="172"/>
        <v>2.3667201578676558</v>
      </c>
      <c r="AL277" s="14">
        <f t="shared" si="160"/>
        <v>0</v>
      </c>
      <c r="AM277" s="14">
        <f t="shared" si="161"/>
        <v>0</v>
      </c>
      <c r="AN277" s="14">
        <f t="shared" si="162"/>
        <v>0</v>
      </c>
      <c r="AO277" s="14">
        <f t="shared" si="163"/>
        <v>0</v>
      </c>
      <c r="AP277" s="23">
        <f t="shared" si="173"/>
        <v>0</v>
      </c>
      <c r="AQ277" s="23">
        <f t="shared" si="174"/>
        <v>0</v>
      </c>
    </row>
    <row r="278" spans="8:43" x14ac:dyDescent="0.25">
      <c r="H278" s="14">
        <v>3.75</v>
      </c>
      <c r="I278" s="36">
        <f t="shared" si="164"/>
        <v>56234.132519034989</v>
      </c>
      <c r="J278" s="24">
        <f t="shared" si="165"/>
        <v>-60.023395676242991</v>
      </c>
      <c r="K278" s="24">
        <f t="shared" si="166"/>
        <v>-20.799648922436045</v>
      </c>
      <c r="L278" s="14">
        <f t="shared" si="140"/>
        <v>0.67018069634200106</v>
      </c>
      <c r="M278" s="14">
        <f t="shared" si="141"/>
        <v>-80.147567479893027</v>
      </c>
      <c r="N278" s="14">
        <f t="shared" si="142"/>
        <v>15.334431546454097</v>
      </c>
      <c r="O278" s="14">
        <f t="shared" si="143"/>
        <v>-89.773540754213542</v>
      </c>
      <c r="P278" s="14">
        <f t="shared" si="144"/>
        <v>-48.062674131656394</v>
      </c>
      <c r="Q278" s="14">
        <f t="shared" si="145"/>
        <v>-25.102046975111168</v>
      </c>
      <c r="R278" s="14">
        <f t="shared" si="146"/>
        <v>-0.86171635602275654</v>
      </c>
      <c r="S278" s="23">
        <f t="shared" si="167"/>
        <v>-195.02315520921772</v>
      </c>
      <c r="T278" s="23">
        <f t="shared" si="168"/>
        <v>-37.06612065306291</v>
      </c>
      <c r="U278" s="14">
        <f t="shared" si="147"/>
        <v>20000</v>
      </c>
      <c r="V278" s="14">
        <f t="shared" si="148"/>
        <v>-89.99992629107399</v>
      </c>
      <c r="W278" s="14">
        <f t="shared" si="149"/>
        <v>-117.81205098361363</v>
      </c>
      <c r="X278" s="14">
        <f t="shared" si="150"/>
        <v>89.852582473294135</v>
      </c>
      <c r="Y278" s="14">
        <f t="shared" si="151"/>
        <v>51.791479820321371</v>
      </c>
      <c r="Z278" s="14">
        <f t="shared" si="152"/>
        <v>-60.488233243074021</v>
      </c>
      <c r="AA278" s="14">
        <f t="shared" si="153"/>
        <v>-6.1500714094619227</v>
      </c>
      <c r="AB278" s="23">
        <f t="shared" si="169"/>
        <v>-60.635577060853876</v>
      </c>
      <c r="AC278" s="23">
        <f t="shared" si="170"/>
        <v>13.849957340525442</v>
      </c>
      <c r="AD278" s="14">
        <f t="shared" si="154"/>
        <v>54.718497216703071</v>
      </c>
      <c r="AE278" s="14">
        <f t="shared" si="155"/>
        <v>4.7675448133956779</v>
      </c>
      <c r="AF278" s="14">
        <f t="shared" si="156"/>
        <v>1.2144753435851476</v>
      </c>
      <c r="AG278" s="14">
        <f t="shared" si="157"/>
        <v>1.9514120144689757E-3</v>
      </c>
      <c r="AH278" s="14">
        <f t="shared" si="158"/>
        <v>-40.297635966459616</v>
      </c>
      <c r="AI278" s="14">
        <f t="shared" si="159"/>
        <v>-2.3529818353087233</v>
      </c>
      <c r="AJ278" s="23">
        <f t="shared" si="171"/>
        <v>15.635336593828605</v>
      </c>
      <c r="AK278" s="23">
        <f t="shared" si="172"/>
        <v>2.4165143901014234</v>
      </c>
      <c r="AL278" s="14">
        <f t="shared" si="160"/>
        <v>0</v>
      </c>
      <c r="AM278" s="14">
        <f t="shared" si="161"/>
        <v>0</v>
      </c>
      <c r="AN278" s="14">
        <f t="shared" si="162"/>
        <v>0</v>
      </c>
      <c r="AO278" s="14">
        <f t="shared" si="163"/>
        <v>0</v>
      </c>
      <c r="AP278" s="23">
        <f t="shared" si="173"/>
        <v>0</v>
      </c>
      <c r="AQ278" s="23">
        <f t="shared" si="174"/>
        <v>0</v>
      </c>
    </row>
    <row r="279" spans="8:43" x14ac:dyDescent="0.25">
      <c r="H279" s="14">
        <v>3.76</v>
      </c>
      <c r="I279" s="36">
        <f t="shared" si="164"/>
        <v>57543.993733715673</v>
      </c>
      <c r="J279" s="24">
        <f t="shared" si="165"/>
        <v>-61.321996201262891</v>
      </c>
      <c r="K279" s="24">
        <f t="shared" si="166"/>
        <v>-20.944758083120519</v>
      </c>
      <c r="L279" s="14">
        <f t="shared" si="140"/>
        <v>0.67018069634200106</v>
      </c>
      <c r="M279" s="14">
        <f t="shared" si="141"/>
        <v>-80.367586865826127</v>
      </c>
      <c r="N279" s="14">
        <f t="shared" si="142"/>
        <v>15.528704752932811</v>
      </c>
      <c r="O279" s="14">
        <f t="shared" si="143"/>
        <v>-89.778695544121419</v>
      </c>
      <c r="P279" s="14">
        <f t="shared" si="144"/>
        <v>-48.262671078133977</v>
      </c>
      <c r="Q279" s="14">
        <f t="shared" si="145"/>
        <v>-25.612595465449537</v>
      </c>
      <c r="R279" s="14">
        <f t="shared" si="146"/>
        <v>-0.89839720902996723</v>
      </c>
      <c r="S279" s="23">
        <f t="shared" si="167"/>
        <v>-195.7588778753971</v>
      </c>
      <c r="T279" s="23">
        <f t="shared" si="168"/>
        <v>-37.108525246068986</v>
      </c>
      <c r="U279" s="14">
        <f t="shared" si="147"/>
        <v>20000</v>
      </c>
      <c r="V279" s="14">
        <f t="shared" si="148"/>
        <v>-89.999927968893985</v>
      </c>
      <c r="W279" s="14">
        <f t="shared" si="149"/>
        <v>-118.01205098361329</v>
      </c>
      <c r="X279" s="14">
        <f t="shared" si="150"/>
        <v>89.855938091574259</v>
      </c>
      <c r="Y279" s="14">
        <f t="shared" si="151"/>
        <v>51.991478526362542</v>
      </c>
      <c r="Z279" s="14">
        <f t="shared" si="152"/>
        <v>-61.050422063714151</v>
      </c>
      <c r="AA279" s="14">
        <f t="shared" si="153"/>
        <v>-6.3023796178271407</v>
      </c>
      <c r="AB279" s="23">
        <f t="shared" si="169"/>
        <v>-61.194411941033877</v>
      </c>
      <c r="AC279" s="23">
        <f t="shared" si="170"/>
        <v>13.697647838201734</v>
      </c>
      <c r="AD279" s="14">
        <f t="shared" si="154"/>
        <v>55.338119435775965</v>
      </c>
      <c r="AE279" s="14">
        <f t="shared" si="155"/>
        <v>4.9018403349689024</v>
      </c>
      <c r="AF279" s="14">
        <f t="shared" si="156"/>
        <v>1.2427553375905256</v>
      </c>
      <c r="AG279" s="14">
        <f t="shared" si="157"/>
        <v>2.0433575973665117E-3</v>
      </c>
      <c r="AH279" s="14">
        <f t="shared" si="158"/>
        <v>-40.949581158198399</v>
      </c>
      <c r="AI279" s="14">
        <f t="shared" si="159"/>
        <v>-2.437764367819534</v>
      </c>
      <c r="AJ279" s="23">
        <f t="shared" si="171"/>
        <v>15.63129361516809</v>
      </c>
      <c r="AK279" s="23">
        <f t="shared" si="172"/>
        <v>2.4661193247467348</v>
      </c>
      <c r="AL279" s="14">
        <f t="shared" si="160"/>
        <v>0</v>
      </c>
      <c r="AM279" s="14">
        <f t="shared" si="161"/>
        <v>0</v>
      </c>
      <c r="AN279" s="14">
        <f t="shared" si="162"/>
        <v>0</v>
      </c>
      <c r="AO279" s="14">
        <f t="shared" si="163"/>
        <v>0</v>
      </c>
      <c r="AP279" s="23">
        <f t="shared" si="173"/>
        <v>0</v>
      </c>
      <c r="AQ279" s="23">
        <f t="shared" si="174"/>
        <v>0</v>
      </c>
    </row>
    <row r="280" spans="8:43" x14ac:dyDescent="0.25">
      <c r="H280" s="14">
        <v>3.77</v>
      </c>
      <c r="I280" s="36">
        <f t="shared" si="164"/>
        <v>58884.365535558973</v>
      </c>
      <c r="J280" s="24">
        <f t="shared" si="165"/>
        <v>-62.622880448996838</v>
      </c>
      <c r="K280" s="24">
        <f t="shared" si="166"/>
        <v>-21.092905411378641</v>
      </c>
      <c r="L280" s="14">
        <f t="shared" si="140"/>
        <v>0.67018069634200106</v>
      </c>
      <c r="M280" s="14">
        <f t="shared" si="141"/>
        <v>-80.582875472820902</v>
      </c>
      <c r="N280" s="14">
        <f t="shared" si="142"/>
        <v>15.723228649121438</v>
      </c>
      <c r="O280" s="14">
        <f t="shared" si="143"/>
        <v>-89.783733000147464</v>
      </c>
      <c r="P280" s="14">
        <f t="shared" si="144"/>
        <v>-48.462668162040728</v>
      </c>
      <c r="Q280" s="14">
        <f t="shared" si="145"/>
        <v>-26.130558901110948</v>
      </c>
      <c r="R280" s="14">
        <f t="shared" si="146"/>
        <v>-0.93647758824573502</v>
      </c>
      <c r="S280" s="23">
        <f t="shared" si="167"/>
        <v>-196.49716737407934</v>
      </c>
      <c r="T280" s="23">
        <f t="shared" si="168"/>
        <v>-37.152078813002881</v>
      </c>
      <c r="U280" s="14">
        <f t="shared" si="147"/>
        <v>20000</v>
      </c>
      <c r="V280" s="14">
        <f t="shared" si="148"/>
        <v>-89.999929608522137</v>
      </c>
      <c r="W280" s="14">
        <f t="shared" si="149"/>
        <v>-118.21205098361298</v>
      </c>
      <c r="X280" s="14">
        <f t="shared" si="150"/>
        <v>89.859217327611887</v>
      </c>
      <c r="Y280" s="14">
        <f t="shared" si="151"/>
        <v>52.191477290641117</v>
      </c>
      <c r="Z280" s="14">
        <f t="shared" si="152"/>
        <v>-61.605774395928876</v>
      </c>
      <c r="AA280" s="14">
        <f t="shared" si="153"/>
        <v>-6.4563401441954715</v>
      </c>
      <c r="AB280" s="23">
        <f t="shared" si="169"/>
        <v>-61.746486676839126</v>
      </c>
      <c r="AC280" s="23">
        <f t="shared" si="170"/>
        <v>13.543686076112287</v>
      </c>
      <c r="AD280" s="14">
        <f t="shared" si="154"/>
        <v>55.952725050746409</v>
      </c>
      <c r="AE280" s="14">
        <f t="shared" si="155"/>
        <v>5.0381512660799945</v>
      </c>
      <c r="AF280" s="14">
        <f t="shared" si="156"/>
        <v>1.2716934302409917</v>
      </c>
      <c r="AG280" s="14">
        <f t="shared" si="157"/>
        <v>2.1396343557569049E-3</v>
      </c>
      <c r="AH280" s="14">
        <f t="shared" si="158"/>
        <v>-41.603644879065776</v>
      </c>
      <c r="AI280" s="14">
        <f t="shared" si="159"/>
        <v>-2.5248035749238</v>
      </c>
      <c r="AJ280" s="23">
        <f t="shared" si="171"/>
        <v>15.620773601921627</v>
      </c>
      <c r="AK280" s="23">
        <f t="shared" si="172"/>
        <v>2.5154873255119514</v>
      </c>
      <c r="AL280" s="14">
        <f t="shared" si="160"/>
        <v>0</v>
      </c>
      <c r="AM280" s="14">
        <f t="shared" si="161"/>
        <v>0</v>
      </c>
      <c r="AN280" s="14">
        <f t="shared" si="162"/>
        <v>0</v>
      </c>
      <c r="AO280" s="14">
        <f t="shared" si="163"/>
        <v>0</v>
      </c>
      <c r="AP280" s="23">
        <f t="shared" si="173"/>
        <v>0</v>
      </c>
      <c r="AQ280" s="23">
        <f t="shared" si="174"/>
        <v>0</v>
      </c>
    </row>
    <row r="281" spans="8:43" x14ac:dyDescent="0.25">
      <c r="H281" s="14">
        <v>3.78</v>
      </c>
      <c r="I281" s="36">
        <f t="shared" si="164"/>
        <v>60255.958607435852</v>
      </c>
      <c r="J281" s="24">
        <f t="shared" si="165"/>
        <v>-63.925841693908083</v>
      </c>
      <c r="K281" s="24">
        <f t="shared" si="166"/>
        <v>-21.244148226421679</v>
      </c>
      <c r="L281" s="14">
        <f t="shared" si="140"/>
        <v>0.67018069634200106</v>
      </c>
      <c r="M281" s="14">
        <f t="shared" si="141"/>
        <v>-80.793523120613656</v>
      </c>
      <c r="N281" s="14">
        <f t="shared" si="142"/>
        <v>15.917992556926805</v>
      </c>
      <c r="O281" s="14">
        <f t="shared" si="143"/>
        <v>-89.7886557929058</v>
      </c>
      <c r="P281" s="14">
        <f t="shared" si="144"/>
        <v>-48.662665377191459</v>
      </c>
      <c r="Q281" s="14">
        <f t="shared" si="145"/>
        <v>-26.655873214112045</v>
      </c>
      <c r="R281" s="14">
        <f t="shared" si="146"/>
        <v>-0.97599796893362301</v>
      </c>
      <c r="S281" s="23">
        <f t="shared" si="167"/>
        <v>-197.23805212763148</v>
      </c>
      <c r="T281" s="23">
        <f t="shared" si="168"/>
        <v>-37.196832501036134</v>
      </c>
      <c r="U281" s="14">
        <f t="shared" si="147"/>
        <v>20000</v>
      </c>
      <c r="V281" s="14">
        <f t="shared" si="148"/>
        <v>-89.99993121082781</v>
      </c>
      <c r="W281" s="14">
        <f t="shared" si="149"/>
        <v>-118.4120509836127</v>
      </c>
      <c r="X281" s="14">
        <f t="shared" si="150"/>
        <v>89.862421920015365</v>
      </c>
      <c r="Y281" s="14">
        <f t="shared" si="151"/>
        <v>52.391476110535976</v>
      </c>
      <c r="Z281" s="14">
        <f t="shared" si="152"/>
        <v>-62.154167253075222</v>
      </c>
      <c r="AA281" s="14">
        <f t="shared" si="153"/>
        <v>-6.611912442378661</v>
      </c>
      <c r="AB281" s="23">
        <f t="shared" si="169"/>
        <v>-62.291676543887668</v>
      </c>
      <c r="AC281" s="23">
        <f t="shared" si="170"/>
        <v>13.388112597824239</v>
      </c>
      <c r="AD281" s="14">
        <f t="shared" si="154"/>
        <v>56.562074171527726</v>
      </c>
      <c r="AE281" s="14">
        <f t="shared" si="155"/>
        <v>5.1764441932842633</v>
      </c>
      <c r="AF281" s="14">
        <f t="shared" si="156"/>
        <v>1.301304905807757</v>
      </c>
      <c r="AG281" s="14">
        <f t="shared" si="157"/>
        <v>2.2404462104674023E-3</v>
      </c>
      <c r="AH281" s="14">
        <f t="shared" si="158"/>
        <v>-42.259492099724426</v>
      </c>
      <c r="AI281" s="14">
        <f t="shared" si="159"/>
        <v>-2.614112962704513</v>
      </c>
      <c r="AJ281" s="23">
        <f t="shared" si="171"/>
        <v>15.603886977611054</v>
      </c>
      <c r="AK281" s="23">
        <f t="shared" si="172"/>
        <v>2.5645716767902176</v>
      </c>
      <c r="AL281" s="14">
        <f t="shared" si="160"/>
        <v>0</v>
      </c>
      <c r="AM281" s="14">
        <f t="shared" si="161"/>
        <v>0</v>
      </c>
      <c r="AN281" s="14">
        <f t="shared" si="162"/>
        <v>0</v>
      </c>
      <c r="AO281" s="14">
        <f t="shared" si="163"/>
        <v>0</v>
      </c>
      <c r="AP281" s="23">
        <f t="shared" si="173"/>
        <v>0</v>
      </c>
      <c r="AQ281" s="23">
        <f t="shared" si="174"/>
        <v>0</v>
      </c>
    </row>
    <row r="282" spans="8:43" x14ac:dyDescent="0.25">
      <c r="H282" s="14">
        <v>3.79</v>
      </c>
      <c r="I282" s="36">
        <f t="shared" si="164"/>
        <v>61659.500186148289</v>
      </c>
      <c r="J282" s="24">
        <f t="shared" si="165"/>
        <v>-65.230656749486656</v>
      </c>
      <c r="K282" s="24">
        <f t="shared" si="166"/>
        <v>-21.398542344492554</v>
      </c>
      <c r="L282" s="14">
        <f t="shared" si="140"/>
        <v>0.67018069634200106</v>
      </c>
      <c r="M282" s="14">
        <f t="shared" si="141"/>
        <v>-80.999618707884011</v>
      </c>
      <c r="N282" s="14">
        <f t="shared" si="142"/>
        <v>16.11298622767934</v>
      </c>
      <c r="O282" s="14">
        <f t="shared" si="143"/>
        <v>-89.793466532235414</v>
      </c>
      <c r="P282" s="14">
        <f t="shared" si="144"/>
        <v>-48.862662717679378</v>
      </c>
      <c r="Q282" s="14">
        <f t="shared" si="145"/>
        <v>-27.188463612174797</v>
      </c>
      <c r="R282" s="14">
        <f t="shared" si="146"/>
        <v>-1.0169990146760768</v>
      </c>
      <c r="S282" s="23">
        <f t="shared" si="167"/>
        <v>-197.9815488522942</v>
      </c>
      <c r="T282" s="23">
        <f t="shared" si="168"/>
        <v>-37.242837216513969</v>
      </c>
      <c r="U282" s="14">
        <f t="shared" si="147"/>
        <v>20000</v>
      </c>
      <c r="V282" s="14">
        <f t="shared" si="148"/>
        <v>-89.999932776660529</v>
      </c>
      <c r="W282" s="14">
        <f t="shared" si="149"/>
        <v>-118.61205098361241</v>
      </c>
      <c r="X282" s="14">
        <f t="shared" si="150"/>
        <v>89.865553567821777</v>
      </c>
      <c r="Y282" s="14">
        <f t="shared" si="151"/>
        <v>52.591474983544018</v>
      </c>
      <c r="Z282" s="14">
        <f t="shared" si="152"/>
        <v>-62.695489451647141</v>
      </c>
      <c r="AA282" s="14">
        <f t="shared" si="153"/>
        <v>-6.7690557946362082</v>
      </c>
      <c r="AB282" s="23">
        <f t="shared" si="169"/>
        <v>-62.829868660485893</v>
      </c>
      <c r="AC282" s="23">
        <f t="shared" si="170"/>
        <v>13.230968118575028</v>
      </c>
      <c r="AD282" s="14">
        <f t="shared" si="154"/>
        <v>57.165938508033129</v>
      </c>
      <c r="AE282" s="14">
        <f t="shared" si="155"/>
        <v>5.3166844791234933</v>
      </c>
      <c r="AF282" s="14">
        <f t="shared" si="156"/>
        <v>1.3316054013769179</v>
      </c>
      <c r="AG282" s="14">
        <f t="shared" si="157"/>
        <v>2.3460066734216955E-3</v>
      </c>
      <c r="AH282" s="14">
        <f t="shared" si="158"/>
        <v>-42.916783146116614</v>
      </c>
      <c r="AI282" s="14">
        <f t="shared" si="159"/>
        <v>-2.7057037323505275</v>
      </c>
      <c r="AJ282" s="23">
        <f t="shared" si="171"/>
        <v>15.580760763293434</v>
      </c>
      <c r="AK282" s="23">
        <f t="shared" si="172"/>
        <v>2.6133267534463878</v>
      </c>
      <c r="AL282" s="14">
        <f t="shared" si="160"/>
        <v>0</v>
      </c>
      <c r="AM282" s="14">
        <f t="shared" si="161"/>
        <v>0</v>
      </c>
      <c r="AN282" s="14">
        <f t="shared" si="162"/>
        <v>0</v>
      </c>
      <c r="AO282" s="14">
        <f t="shared" si="163"/>
        <v>0</v>
      </c>
      <c r="AP282" s="23">
        <f t="shared" si="173"/>
        <v>0</v>
      </c>
      <c r="AQ282" s="23">
        <f t="shared" si="174"/>
        <v>0</v>
      </c>
    </row>
    <row r="283" spans="8:43" x14ac:dyDescent="0.25">
      <c r="H283" s="14">
        <v>3.8</v>
      </c>
      <c r="I283" s="36">
        <f t="shared" si="164"/>
        <v>63095.734448019386</v>
      </c>
      <c r="J283" s="24">
        <f t="shared" si="165"/>
        <v>-66.537086026485554</v>
      </c>
      <c r="K283" s="24">
        <f t="shared" si="166"/>
        <v>-21.5561419471905</v>
      </c>
      <c r="L283" s="14">
        <f t="shared" si="140"/>
        <v>0.67018069634200106</v>
      </c>
      <c r="M283" s="14">
        <f t="shared" si="141"/>
        <v>-81.201250165421399</v>
      </c>
      <c r="N283" s="14">
        <f t="shared" si="142"/>
        <v>16.30819982705275</v>
      </c>
      <c r="O283" s="14">
        <f t="shared" si="143"/>
        <v>-89.798167768582516</v>
      </c>
      <c r="P283" s="14">
        <f t="shared" si="144"/>
        <v>-49.062660177863542</v>
      </c>
      <c r="Q283" s="14">
        <f t="shared" si="145"/>
        <v>-27.728244279468338</v>
      </c>
      <c r="R283" s="14">
        <f t="shared" si="146"/>
        <v>-1.0595214995378976</v>
      </c>
      <c r="S283" s="23">
        <f t="shared" si="167"/>
        <v>-198.72766221347226</v>
      </c>
      <c r="T283" s="23">
        <f t="shared" si="168"/>
        <v>-37.29014356218655</v>
      </c>
      <c r="U283" s="14">
        <f t="shared" si="147"/>
        <v>20000</v>
      </c>
      <c r="V283" s="14">
        <f t="shared" si="148"/>
        <v>-89.999934306850562</v>
      </c>
      <c r="W283" s="14">
        <f t="shared" si="149"/>
        <v>-118.81205098361214</v>
      </c>
      <c r="X283" s="14">
        <f t="shared" si="150"/>
        <v>89.868613931397348</v>
      </c>
      <c r="Y283" s="14">
        <f t="shared" si="151"/>
        <v>52.791473907274778</v>
      </c>
      <c r="Z283" s="14">
        <f t="shared" si="152"/>
        <v>-63.229641402524074</v>
      </c>
      <c r="AA283" s="14">
        <f t="shared" si="153"/>
        <v>-6.927729404344908</v>
      </c>
      <c r="AB283" s="23">
        <f t="shared" si="169"/>
        <v>-63.360961777977288</v>
      </c>
      <c r="AC283" s="23">
        <f t="shared" si="170"/>
        <v>13.072293432597355</v>
      </c>
      <c r="AD283" s="14">
        <f t="shared" si="154"/>
        <v>57.764101611890439</v>
      </c>
      <c r="AE283" s="14">
        <f t="shared" si="155"/>
        <v>5.458836376623168</v>
      </c>
      <c r="AF283" s="14">
        <f t="shared" si="156"/>
        <v>1.3626109148390313</v>
      </c>
      <c r="AG283" s="14">
        <f t="shared" si="157"/>
        <v>2.4565392977929134E-3</v>
      </c>
      <c r="AH283" s="14">
        <f t="shared" si="158"/>
        <v>-43.575174561765493</v>
      </c>
      <c r="AI283" s="14">
        <f t="shared" si="159"/>
        <v>-2.7995847335222672</v>
      </c>
      <c r="AJ283" s="23">
        <f t="shared" si="171"/>
        <v>15.551537964963977</v>
      </c>
      <c r="AK283" s="23">
        <f t="shared" si="172"/>
        <v>2.6617081823986934</v>
      </c>
      <c r="AL283" s="14">
        <f t="shared" si="160"/>
        <v>0</v>
      </c>
      <c r="AM283" s="14">
        <f t="shared" si="161"/>
        <v>0</v>
      </c>
      <c r="AN283" s="14">
        <f t="shared" si="162"/>
        <v>0</v>
      </c>
      <c r="AO283" s="14">
        <f t="shared" si="163"/>
        <v>0</v>
      </c>
      <c r="AP283" s="23">
        <f t="shared" si="173"/>
        <v>0</v>
      </c>
      <c r="AQ283" s="23">
        <f t="shared" si="174"/>
        <v>0</v>
      </c>
    </row>
    <row r="284" spans="8:43" x14ac:dyDescent="0.25">
      <c r="H284" s="14">
        <v>3.81</v>
      </c>
      <c r="I284" s="36">
        <f t="shared" si="164"/>
        <v>64565.422903465616</v>
      </c>
      <c r="J284" s="24">
        <f t="shared" si="165"/>
        <v>-67.844873668396843</v>
      </c>
      <c r="K284" s="24">
        <f t="shared" si="166"/>
        <v>-21.716999449582794</v>
      </c>
      <c r="L284" s="14">
        <f t="shared" si="140"/>
        <v>0.67018069634200106</v>
      </c>
      <c r="M284" s="14">
        <f t="shared" si="141"/>
        <v>-81.398504414146245</v>
      </c>
      <c r="N284" s="14">
        <f t="shared" si="142"/>
        <v>16.503623920320344</v>
      </c>
      <c r="O284" s="14">
        <f t="shared" si="143"/>
        <v>-89.802761994351499</v>
      </c>
      <c r="P284" s="14">
        <f t="shared" si="144"/>
        <v>-49.262657752356859</v>
      </c>
      <c r="Q284" s="14">
        <f t="shared" si="145"/>
        <v>-28.275118101987644</v>
      </c>
      <c r="R284" s="14">
        <f t="shared" si="146"/>
        <v>-1.1036062254360275</v>
      </c>
      <c r="S284" s="23">
        <f t="shared" si="167"/>
        <v>-199.47638451048539</v>
      </c>
      <c r="T284" s="23">
        <f t="shared" si="168"/>
        <v>-37.338801769310393</v>
      </c>
      <c r="U284" s="14">
        <f t="shared" si="147"/>
        <v>20000</v>
      </c>
      <c r="V284" s="14">
        <f t="shared" si="148"/>
        <v>-89.999935802209208</v>
      </c>
      <c r="W284" s="14">
        <f t="shared" si="149"/>
        <v>-119.01205098361189</v>
      </c>
      <c r="X284" s="14">
        <f t="shared" si="150"/>
        <v>89.871604633317475</v>
      </c>
      <c r="Y284" s="14">
        <f t="shared" si="151"/>
        <v>52.991472879445389</v>
      </c>
      <c r="Z284" s="14">
        <f t="shared" si="152"/>
        <v>-63.756534870565297</v>
      </c>
      <c r="AA284" s="14">
        <f t="shared" si="153"/>
        <v>-7.0878924842595383</v>
      </c>
      <c r="AB284" s="23">
        <f t="shared" si="169"/>
        <v>-63.88486603945703</v>
      </c>
      <c r="AC284" s="23">
        <f t="shared" si="170"/>
        <v>12.912129324853591</v>
      </c>
      <c r="AD284" s="14">
        <f t="shared" si="154"/>
        <v>58.356359062603332</v>
      </c>
      <c r="AE284" s="14">
        <f t="shared" si="155"/>
        <v>5.6028631439879533</v>
      </c>
      <c r="AF284" s="14">
        <f t="shared" si="156"/>
        <v>1.3943378130485151</v>
      </c>
      <c r="AG284" s="14">
        <f t="shared" si="157"/>
        <v>2.5722781491707711E-3</v>
      </c>
      <c r="AH284" s="14">
        <f t="shared" si="158"/>
        <v>-44.234319994106279</v>
      </c>
      <c r="AI284" s="14">
        <f t="shared" si="159"/>
        <v>-2.8957624272631142</v>
      </c>
      <c r="AJ284" s="23">
        <f t="shared" si="171"/>
        <v>15.516376881545568</v>
      </c>
      <c r="AK284" s="23">
        <f t="shared" si="172"/>
        <v>2.7096729948740101</v>
      </c>
      <c r="AL284" s="14">
        <f t="shared" si="160"/>
        <v>0</v>
      </c>
      <c r="AM284" s="14">
        <f t="shared" si="161"/>
        <v>0</v>
      </c>
      <c r="AN284" s="14">
        <f t="shared" si="162"/>
        <v>0</v>
      </c>
      <c r="AO284" s="14">
        <f t="shared" si="163"/>
        <v>0</v>
      </c>
      <c r="AP284" s="23">
        <f t="shared" si="173"/>
        <v>0</v>
      </c>
      <c r="AQ284" s="23">
        <f t="shared" si="174"/>
        <v>0</v>
      </c>
    </row>
    <row r="285" spans="8:43" x14ac:dyDescent="0.25">
      <c r="H285" s="14">
        <v>3.82</v>
      </c>
      <c r="I285" s="36">
        <f t="shared" si="164"/>
        <v>66069.34480075966</v>
      </c>
      <c r="J285" s="24">
        <f t="shared" si="165"/>
        <v>-69.153747763394634</v>
      </c>
      <c r="K285" s="24">
        <f t="shared" si="166"/>
        <v>-21.881165369041597</v>
      </c>
      <c r="L285" s="14">
        <f t="shared" si="140"/>
        <v>0.67018069634200106</v>
      </c>
      <c r="M285" s="14">
        <f t="shared" si="141"/>
        <v>-81.591467327695952</v>
      </c>
      <c r="N285" s="14">
        <f t="shared" si="142"/>
        <v>16.699249457959045</v>
      </c>
      <c r="O285" s="14">
        <f t="shared" si="143"/>
        <v>-89.807251645225222</v>
      </c>
      <c r="P285" s="14">
        <f t="shared" si="144"/>
        <v>-49.462655436014707</v>
      </c>
      <c r="Q285" s="14">
        <f t="shared" si="145"/>
        <v>-28.828976420724331</v>
      </c>
      <c r="R285" s="14">
        <f t="shared" si="146"/>
        <v>-1.1492939348600313</v>
      </c>
      <c r="S285" s="23">
        <f t="shared" si="167"/>
        <v>-200.22769539364552</v>
      </c>
      <c r="T285" s="23">
        <f t="shared" si="168"/>
        <v>-37.388861624753552</v>
      </c>
      <c r="U285" s="14">
        <f t="shared" si="147"/>
        <v>20000</v>
      </c>
      <c r="V285" s="14">
        <f t="shared" si="148"/>
        <v>-89.999937263529333</v>
      </c>
      <c r="W285" s="14">
        <f t="shared" si="149"/>
        <v>-119.21205098361165</v>
      </c>
      <c r="X285" s="14">
        <f t="shared" si="150"/>
        <v>89.874527259226667</v>
      </c>
      <c r="Y285" s="14">
        <f t="shared" si="151"/>
        <v>53.191471897875715</v>
      </c>
      <c r="Z285" s="14">
        <f t="shared" si="152"/>
        <v>-64.27609270572637</v>
      </c>
      <c r="AA285" s="14">
        <f t="shared" si="153"/>
        <v>-7.2495043401616943</v>
      </c>
      <c r="AB285" s="23">
        <f t="shared" si="169"/>
        <v>-64.401502710029035</v>
      </c>
      <c r="AC285" s="23">
        <f t="shared" si="170"/>
        <v>12.750516487381999</v>
      </c>
      <c r="AD285" s="14">
        <f t="shared" si="154"/>
        <v>58.942518599465849</v>
      </c>
      <c r="AE285" s="14">
        <f t="shared" si="155"/>
        <v>5.748727158816255</v>
      </c>
      <c r="AF285" s="14">
        <f t="shared" si="156"/>
        <v>1.4268028401556501</v>
      </c>
      <c r="AG285" s="14">
        <f t="shared" si="157"/>
        <v>2.6934682987635253E-3</v>
      </c>
      <c r="AH285" s="14">
        <f t="shared" si="158"/>
        <v>-44.893871099341581</v>
      </c>
      <c r="AI285" s="14">
        <f t="shared" si="159"/>
        <v>-2.9942408587850622</v>
      </c>
      <c r="AJ285" s="23">
        <f t="shared" si="171"/>
        <v>15.47545034027992</v>
      </c>
      <c r="AK285" s="23">
        <f t="shared" si="172"/>
        <v>2.7571797683299559</v>
      </c>
      <c r="AL285" s="14">
        <f t="shared" si="160"/>
        <v>0</v>
      </c>
      <c r="AM285" s="14">
        <f t="shared" si="161"/>
        <v>0</v>
      </c>
      <c r="AN285" s="14">
        <f t="shared" si="162"/>
        <v>0</v>
      </c>
      <c r="AO285" s="14">
        <f t="shared" si="163"/>
        <v>0</v>
      </c>
      <c r="AP285" s="23">
        <f t="shared" si="173"/>
        <v>0</v>
      </c>
      <c r="AQ285" s="23">
        <f t="shared" si="174"/>
        <v>0</v>
      </c>
    </row>
    <row r="286" spans="8:43" x14ac:dyDescent="0.25">
      <c r="H286" s="14">
        <v>3.83</v>
      </c>
      <c r="I286" s="36">
        <f t="shared" si="164"/>
        <v>67608.297539198233</v>
      </c>
      <c r="J286" s="24">
        <f t="shared" si="165"/>
        <v>-70.463420631396616</v>
      </c>
      <c r="K286" s="24">
        <f t="shared" si="166"/>
        <v>-22.048688195715734</v>
      </c>
      <c r="L286" s="14">
        <f t="shared" si="140"/>
        <v>0.67018069634200106</v>
      </c>
      <c r="M286" s="14">
        <f t="shared" si="141"/>
        <v>-81.780223699297736</v>
      </c>
      <c r="N286" s="14">
        <f t="shared" si="142"/>
        <v>16.895067761609884</v>
      </c>
      <c r="O286" s="14">
        <f t="shared" si="143"/>
        <v>-89.811639101455327</v>
      </c>
      <c r="P286" s="14">
        <f t="shared" si="144"/>
        <v>-49.662653223923961</v>
      </c>
      <c r="Q286" s="14">
        <f t="shared" si="145"/>
        <v>-29.389698815805964</v>
      </c>
      <c r="R286" s="14">
        <f t="shared" si="146"/>
        <v>-1.1966252191356324</v>
      </c>
      <c r="S286" s="23">
        <f t="shared" si="167"/>
        <v>-200.98156161655902</v>
      </c>
      <c r="T286" s="23">
        <f t="shared" si="168"/>
        <v>-37.440372393287568</v>
      </c>
      <c r="U286" s="14">
        <f t="shared" si="147"/>
        <v>20000</v>
      </c>
      <c r="V286" s="14">
        <f t="shared" si="148"/>
        <v>-89.999938691585754</v>
      </c>
      <c r="W286" s="14">
        <f t="shared" si="149"/>
        <v>-119.41205098361141</v>
      </c>
      <c r="X286" s="14">
        <f t="shared" si="150"/>
        <v>89.877383358678998</v>
      </c>
      <c r="Y286" s="14">
        <f t="shared" si="151"/>
        <v>53.391470960483744</v>
      </c>
      <c r="Z286" s="14">
        <f t="shared" si="152"/>
        <v>-64.788248548860068</v>
      </c>
      <c r="AA286" s="14">
        <f t="shared" si="153"/>
        <v>-7.4125244497421763</v>
      </c>
      <c r="AB286" s="23">
        <f t="shared" si="169"/>
        <v>-64.910803881766824</v>
      </c>
      <c r="AC286" s="23">
        <f t="shared" si="170"/>
        <v>12.587495440409786</v>
      </c>
      <c r="AD286" s="14">
        <f t="shared" si="154"/>
        <v>59.522400200911704</v>
      </c>
      <c r="AE286" s="14">
        <f t="shared" si="155"/>
        <v>5.8963900311938851</v>
      </c>
      <c r="AF286" s="14">
        <f t="shared" si="156"/>
        <v>1.4600231261139753</v>
      </c>
      <c r="AG286" s="14">
        <f t="shared" si="157"/>
        <v>2.8203663396056018E-3</v>
      </c>
      <c r="AH286" s="14">
        <f t="shared" si="158"/>
        <v>-45.553478460096443</v>
      </c>
      <c r="AI286" s="14">
        <f t="shared" si="159"/>
        <v>-3.0950216403714408</v>
      </c>
      <c r="AJ286" s="23">
        <f t="shared" si="171"/>
        <v>15.428944866929236</v>
      </c>
      <c r="AK286" s="23">
        <f t="shared" si="172"/>
        <v>2.8041887571620498</v>
      </c>
      <c r="AL286" s="14">
        <f t="shared" si="160"/>
        <v>0</v>
      </c>
      <c r="AM286" s="14">
        <f t="shared" si="161"/>
        <v>0</v>
      </c>
      <c r="AN286" s="14">
        <f t="shared" si="162"/>
        <v>0</v>
      </c>
      <c r="AO286" s="14">
        <f t="shared" si="163"/>
        <v>0</v>
      </c>
      <c r="AP286" s="23">
        <f t="shared" si="173"/>
        <v>0</v>
      </c>
      <c r="AQ286" s="23">
        <f t="shared" si="174"/>
        <v>0</v>
      </c>
    </row>
    <row r="287" spans="8:43" x14ac:dyDescent="0.25">
      <c r="H287" s="14">
        <v>3.84</v>
      </c>
      <c r="I287" s="36">
        <f t="shared" si="164"/>
        <v>69183.097091893695</v>
      </c>
      <c r="J287" s="24">
        <f t="shared" si="165"/>
        <v>-71.773589184366898</v>
      </c>
      <c r="K287" s="24">
        <f t="shared" si="166"/>
        <v>-22.219614265514128</v>
      </c>
      <c r="L287" s="14">
        <f t="shared" si="140"/>
        <v>0.67018069634200106</v>
      </c>
      <c r="M287" s="14">
        <f t="shared" si="141"/>
        <v>-81.964857212661371</v>
      </c>
      <c r="N287" s="14">
        <f t="shared" si="142"/>
        <v>17.091070510401529</v>
      </c>
      <c r="O287" s="14">
        <f t="shared" si="143"/>
        <v>-89.815926689123273</v>
      </c>
      <c r="P287" s="14">
        <f t="shared" si="144"/>
        <v>-49.862651111392644</v>
      </c>
      <c r="Q287" s="14">
        <f t="shared" si="145"/>
        <v>-29.957152924767943</v>
      </c>
      <c r="R287" s="14">
        <f t="shared" si="146"/>
        <v>-1.2456404224736155</v>
      </c>
      <c r="S287" s="23">
        <f t="shared" si="167"/>
        <v>-201.73793682655258</v>
      </c>
      <c r="T287" s="23">
        <f t="shared" si="168"/>
        <v>-37.493382735302582</v>
      </c>
      <c r="U287" s="14">
        <f t="shared" si="147"/>
        <v>20000</v>
      </c>
      <c r="V287" s="14">
        <f t="shared" si="148"/>
        <v>-89.999940087135641</v>
      </c>
      <c r="W287" s="14">
        <f t="shared" si="149"/>
        <v>-119.61205098361118</v>
      </c>
      <c r="X287" s="14">
        <f t="shared" si="150"/>
        <v>89.880174445959383</v>
      </c>
      <c r="Y287" s="14">
        <f t="shared" si="151"/>
        <v>53.591470065281179</v>
      </c>
      <c r="Z287" s="14">
        <f t="shared" si="152"/>
        <v>-65.292946515321631</v>
      </c>
      <c r="AA287" s="14">
        <f t="shared" si="153"/>
        <v>-7.5769125366083543</v>
      </c>
      <c r="AB287" s="23">
        <f t="shared" si="169"/>
        <v>-65.412712156497889</v>
      </c>
      <c r="AC287" s="23">
        <f t="shared" si="170"/>
        <v>12.423106458341266</v>
      </c>
      <c r="AD287" s="14">
        <f t="shared" si="154"/>
        <v>60.095836113313318</v>
      </c>
      <c r="AE287" s="14">
        <f t="shared" si="155"/>
        <v>6.0458127150702898</v>
      </c>
      <c r="AF287" s="14">
        <f t="shared" si="156"/>
        <v>1.4940161953658262</v>
      </c>
      <c r="AG287" s="14">
        <f t="shared" si="157"/>
        <v>2.9532409268633697E-3</v>
      </c>
      <c r="AH287" s="14">
        <f t="shared" si="158"/>
        <v>-46.212792509995559</v>
      </c>
      <c r="AI287" s="14">
        <f t="shared" si="159"/>
        <v>-3.198103944549965</v>
      </c>
      <c r="AJ287" s="23">
        <f t="shared" si="171"/>
        <v>15.377059798683582</v>
      </c>
      <c r="AK287" s="23">
        <f t="shared" si="172"/>
        <v>2.8506620114471879</v>
      </c>
      <c r="AL287" s="14">
        <f t="shared" si="160"/>
        <v>0</v>
      </c>
      <c r="AM287" s="14">
        <f t="shared" si="161"/>
        <v>0</v>
      </c>
      <c r="AN287" s="14">
        <f t="shared" si="162"/>
        <v>0</v>
      </c>
      <c r="AO287" s="14">
        <f t="shared" si="163"/>
        <v>0</v>
      </c>
      <c r="AP287" s="23">
        <f t="shared" si="173"/>
        <v>0</v>
      </c>
      <c r="AQ287" s="23">
        <f t="shared" si="174"/>
        <v>0</v>
      </c>
    </row>
    <row r="288" spans="8:43" x14ac:dyDescent="0.25">
      <c r="H288" s="14">
        <v>3.85</v>
      </c>
      <c r="I288" s="36">
        <f t="shared" si="164"/>
        <v>70794.578438413824</v>
      </c>
      <c r="J288" s="24">
        <f t="shared" si="165"/>
        <v>-73.083935357501133</v>
      </c>
      <c r="K288" s="24">
        <f t="shared" si="166"/>
        <v>-22.393987636433458</v>
      </c>
      <c r="L288" s="14">
        <f t="shared" si="140"/>
        <v>0.67018069634200106</v>
      </c>
      <c r="M288" s="14">
        <f t="shared" si="141"/>
        <v>-82.145450416636692</v>
      </c>
      <c r="N288" s="14">
        <f t="shared" si="142"/>
        <v>17.287249727641647</v>
      </c>
      <c r="O288" s="14">
        <f t="shared" si="143"/>
        <v>-89.820116681372582</v>
      </c>
      <c r="P288" s="14">
        <f t="shared" si="144"/>
        <v>-50.062649093939946</v>
      </c>
      <c r="Q288" s="14">
        <f t="shared" si="145"/>
        <v>-30.531194298075793</v>
      </c>
      <c r="R288" s="14">
        <f t="shared" si="146"/>
        <v>-1.2963795420981024</v>
      </c>
      <c r="S288" s="23">
        <f t="shared" si="167"/>
        <v>-202.49676139608508</v>
      </c>
      <c r="T288" s="23">
        <f t="shared" si="168"/>
        <v>-37.547940620234257</v>
      </c>
      <c r="U288" s="14">
        <f t="shared" si="147"/>
        <v>20000</v>
      </c>
      <c r="V288" s="14">
        <f t="shared" si="148"/>
        <v>-89.999941450918925</v>
      </c>
      <c r="W288" s="14">
        <f t="shared" si="149"/>
        <v>-119.81205098361096</v>
      </c>
      <c r="X288" s="14">
        <f t="shared" si="150"/>
        <v>89.882902000886233</v>
      </c>
      <c r="Y288" s="14">
        <f t="shared" si="151"/>
        <v>53.791469210369186</v>
      </c>
      <c r="Z288" s="14">
        <f t="shared" si="152"/>
        <v>-65.790140859427424</v>
      </c>
      <c r="AA288" s="14">
        <f t="shared" si="153"/>
        <v>-7.7426286393510662</v>
      </c>
      <c r="AB288" s="23">
        <f t="shared" si="169"/>
        <v>-65.907180309460117</v>
      </c>
      <c r="AC288" s="23">
        <f t="shared" si="170"/>
        <v>12.257389500686786</v>
      </c>
      <c r="AD288" s="14">
        <f t="shared" si="154"/>
        <v>60.662670831537731</v>
      </c>
      <c r="AE288" s="14">
        <f t="shared" si="155"/>
        <v>6.1969556173680793</v>
      </c>
      <c r="AF288" s="14">
        <f t="shared" si="156"/>
        <v>1.5287999757087452</v>
      </c>
      <c r="AG288" s="14">
        <f t="shared" si="157"/>
        <v>3.0923733433585198E-3</v>
      </c>
      <c r="AH288" s="14">
        <f t="shared" si="158"/>
        <v>-46.871464459202414</v>
      </c>
      <c r="AI288" s="14">
        <f t="shared" si="159"/>
        <v>-3.3034845075974237</v>
      </c>
      <c r="AJ288" s="23">
        <f t="shared" si="171"/>
        <v>15.32000634804406</v>
      </c>
      <c r="AK288" s="23">
        <f t="shared" si="172"/>
        <v>2.8965634831140141</v>
      </c>
      <c r="AL288" s="14">
        <f t="shared" si="160"/>
        <v>0</v>
      </c>
      <c r="AM288" s="14">
        <f t="shared" si="161"/>
        <v>0</v>
      </c>
      <c r="AN288" s="14">
        <f t="shared" si="162"/>
        <v>0</v>
      </c>
      <c r="AO288" s="14">
        <f t="shared" si="163"/>
        <v>0</v>
      </c>
      <c r="AP288" s="23">
        <f t="shared" si="173"/>
        <v>0</v>
      </c>
      <c r="AQ288" s="23">
        <f t="shared" si="174"/>
        <v>0</v>
      </c>
    </row>
    <row r="289" spans="8:43" x14ac:dyDescent="0.25">
      <c r="H289" s="14">
        <v>3.86</v>
      </c>
      <c r="I289" s="36">
        <f t="shared" si="164"/>
        <v>72443.596007499029</v>
      </c>
      <c r="J289" s="24">
        <f t="shared" si="165"/>
        <v>-74.394126608512522</v>
      </c>
      <c r="K289" s="24">
        <f t="shared" si="166"/>
        <v>-22.571849969015609</v>
      </c>
      <c r="L289" s="14">
        <f t="shared" si="140"/>
        <v>0.67018069634200106</v>
      </c>
      <c r="M289" s="14">
        <f t="shared" si="141"/>
        <v>-82.322084703392079</v>
      </c>
      <c r="N289" s="14">
        <f t="shared" si="142"/>
        <v>17.483597767878937</v>
      </c>
      <c r="O289" s="14">
        <f t="shared" si="143"/>
        <v>-89.824211299613239</v>
      </c>
      <c r="P289" s="14">
        <f t="shared" si="144"/>
        <v>-50.262647167286694</v>
      </c>
      <c r="Q289" s="14">
        <f t="shared" si="145"/>
        <v>-31.11166629493081</v>
      </c>
      <c r="R289" s="14">
        <f t="shared" si="146"/>
        <v>-1.3488821248007912</v>
      </c>
      <c r="S289" s="23">
        <f t="shared" si="167"/>
        <v>-203.25796229793613</v>
      </c>
      <c r="T289" s="23">
        <f t="shared" si="168"/>
        <v>-37.604093236046403</v>
      </c>
      <c r="U289" s="14">
        <f t="shared" si="147"/>
        <v>20000</v>
      </c>
      <c r="V289" s="14">
        <f t="shared" si="148"/>
        <v>-89.999942783658724</v>
      </c>
      <c r="W289" s="14">
        <f t="shared" si="149"/>
        <v>-120.01205098361076</v>
      </c>
      <c r="X289" s="14">
        <f t="shared" si="150"/>
        <v>89.885567469595813</v>
      </c>
      <c r="Y289" s="14">
        <f t="shared" si="151"/>
        <v>53.991468393934412</v>
      </c>
      <c r="Z289" s="14">
        <f t="shared" si="152"/>
        <v>-66.279795622724492</v>
      </c>
      <c r="AA289" s="14">
        <f t="shared" si="153"/>
        <v>-7.9096331756458689</v>
      </c>
      <c r="AB289" s="23">
        <f t="shared" si="169"/>
        <v>-66.394170936787404</v>
      </c>
      <c r="AC289" s="23">
        <f t="shared" si="170"/>
        <v>12.090384147957405</v>
      </c>
      <c r="AD289" s="14">
        <f t="shared" si="154"/>
        <v>61.222761033813974</v>
      </c>
      <c r="AE289" s="14">
        <f t="shared" si="155"/>
        <v>6.3497787043264919</v>
      </c>
      <c r="AF289" s="14">
        <f t="shared" si="156"/>
        <v>1.5643928073454521</v>
      </c>
      <c r="AG289" s="14">
        <f t="shared" si="157"/>
        <v>3.2380580914321841E-3</v>
      </c>
      <c r="AH289" s="14">
        <f t="shared" si="158"/>
        <v>-47.529147214948402</v>
      </c>
      <c r="AI289" s="14">
        <f t="shared" si="159"/>
        <v>-3.4111576433445356</v>
      </c>
      <c r="AJ289" s="23">
        <f t="shared" si="171"/>
        <v>15.258006626211021</v>
      </c>
      <c r="AK289" s="23">
        <f t="shared" si="172"/>
        <v>2.9418591190733889</v>
      </c>
      <c r="AL289" s="14">
        <f t="shared" si="160"/>
        <v>0</v>
      </c>
      <c r="AM289" s="14">
        <f t="shared" si="161"/>
        <v>0</v>
      </c>
      <c r="AN289" s="14">
        <f t="shared" si="162"/>
        <v>0</v>
      </c>
      <c r="AO289" s="14">
        <f t="shared" si="163"/>
        <v>0</v>
      </c>
      <c r="AP289" s="23">
        <f t="shared" si="173"/>
        <v>0</v>
      </c>
      <c r="AQ289" s="23">
        <f t="shared" si="174"/>
        <v>0</v>
      </c>
    </row>
    <row r="290" spans="8:43" x14ac:dyDescent="0.25">
      <c r="H290" s="14">
        <v>3.87</v>
      </c>
      <c r="I290" s="36">
        <f t="shared" si="164"/>
        <v>74131.02413009177</v>
      </c>
      <c r="J290" s="24">
        <f t="shared" si="165"/>
        <v>-75.703816481863811</v>
      </c>
      <c r="K290" s="24">
        <f t="shared" si="166"/>
        <v>-22.753240411667431</v>
      </c>
      <c r="L290" s="14">
        <f t="shared" si="140"/>
        <v>0.67018069634200106</v>
      </c>
      <c r="M290" s="14">
        <f t="shared" si="141"/>
        <v>-82.494840289881395</v>
      </c>
      <c r="N290" s="14">
        <f t="shared" si="142"/>
        <v>17.680107304337273</v>
      </c>
      <c r="O290" s="14">
        <f t="shared" si="143"/>
        <v>-89.82821271469868</v>
      </c>
      <c r="P290" s="14">
        <f t="shared" si="144"/>
        <v>-50.462645327346337</v>
      </c>
      <c r="Q290" s="14">
        <f t="shared" si="145"/>
        <v>-31.698400022267926</v>
      </c>
      <c r="R290" s="14">
        <f t="shared" si="146"/>
        <v>-1.403187160320913</v>
      </c>
      <c r="S290" s="23">
        <f t="shared" si="167"/>
        <v>-204.02145302684798</v>
      </c>
      <c r="T290" s="23">
        <f t="shared" si="168"/>
        <v>-37.661886895167832</v>
      </c>
      <c r="U290" s="14">
        <f t="shared" si="147"/>
        <v>20000</v>
      </c>
      <c r="V290" s="14">
        <f t="shared" si="148"/>
        <v>-89.99994408606166</v>
      </c>
      <c r="W290" s="14">
        <f t="shared" si="149"/>
        <v>-120.21205098361057</v>
      </c>
      <c r="X290" s="14">
        <f t="shared" si="150"/>
        <v>89.888172265308725</v>
      </c>
      <c r="Y290" s="14">
        <f t="shared" si="151"/>
        <v>54.191467614245113</v>
      </c>
      <c r="Z290" s="14">
        <f t="shared" si="152"/>
        <v>-66.761884268914784</v>
      </c>
      <c r="AA290" s="14">
        <f t="shared" si="153"/>
        <v>-8.0778870014002706</v>
      </c>
      <c r="AB290" s="23">
        <f t="shared" si="169"/>
        <v>-66.873656089667719</v>
      </c>
      <c r="AC290" s="23">
        <f t="shared" si="170"/>
        <v>11.9221295425139</v>
      </c>
      <c r="AD290" s="14">
        <f t="shared" si="154"/>
        <v>61.775975473672183</v>
      </c>
      <c r="AE290" s="14">
        <f t="shared" si="155"/>
        <v>6.5042416046311704</v>
      </c>
      <c r="AF290" s="14">
        <f t="shared" si="156"/>
        <v>1.6008134521200279</v>
      </c>
      <c r="AG290" s="14">
        <f t="shared" si="157"/>
        <v>3.3906035124151679E-3</v>
      </c>
      <c r="AH290" s="14">
        <f t="shared" si="158"/>
        <v>-48.185496291140318</v>
      </c>
      <c r="AI290" s="14">
        <f t="shared" si="159"/>
        <v>-3.5211152671570862</v>
      </c>
      <c r="AJ290" s="23">
        <f t="shared" si="171"/>
        <v>15.191292634651894</v>
      </c>
      <c r="AK290" s="23">
        <f t="shared" si="172"/>
        <v>2.9865169409864998</v>
      </c>
      <c r="AL290" s="14">
        <f t="shared" si="160"/>
        <v>0</v>
      </c>
      <c r="AM290" s="14">
        <f t="shared" si="161"/>
        <v>0</v>
      </c>
      <c r="AN290" s="14">
        <f t="shared" si="162"/>
        <v>0</v>
      </c>
      <c r="AO290" s="14">
        <f t="shared" si="163"/>
        <v>0</v>
      </c>
      <c r="AP290" s="23">
        <f t="shared" si="173"/>
        <v>0</v>
      </c>
      <c r="AQ290" s="23">
        <f t="shared" si="174"/>
        <v>0</v>
      </c>
    </row>
    <row r="291" spans="8:43" x14ac:dyDescent="0.25">
      <c r="H291" s="14">
        <v>3.88</v>
      </c>
      <c r="I291" s="36">
        <f t="shared" si="164"/>
        <v>75857.757502918394</v>
      </c>
      <c r="J291" s="24">
        <f t="shared" si="165"/>
        <v>-77.01264523447658</v>
      </c>
      <c r="K291" s="24">
        <f t="shared" si="166"/>
        <v>-22.938195491519494</v>
      </c>
      <c r="L291" s="14">
        <f t="shared" si="140"/>
        <v>0.67018069634200106</v>
      </c>
      <c r="M291" s="14">
        <f t="shared" si="141"/>
        <v>-82.663796202377796</v>
      </c>
      <c r="N291" s="14">
        <f t="shared" si="142"/>
        <v>17.87677131672195</v>
      </c>
      <c r="O291" s="14">
        <f t="shared" si="143"/>
        <v>-89.8321230480759</v>
      </c>
      <c r="P291" s="14">
        <f t="shared" si="144"/>
        <v>-50.662643570216204</v>
      </c>
      <c r="Q291" s="14">
        <f t="shared" si="145"/>
        <v>-32.291214319688571</v>
      </c>
      <c r="R291" s="14">
        <f t="shared" si="146"/>
        <v>-1.4593329720033386</v>
      </c>
      <c r="S291" s="23">
        <f t="shared" si="167"/>
        <v>-204.78713357014229</v>
      </c>
      <c r="T291" s="23">
        <f t="shared" si="168"/>
        <v>-37.721366937335446</v>
      </c>
      <c r="U291" s="14">
        <f t="shared" si="147"/>
        <v>20000</v>
      </c>
      <c r="V291" s="14">
        <f t="shared" si="148"/>
        <v>-89.99994535881828</v>
      </c>
      <c r="W291" s="14">
        <f t="shared" si="149"/>
        <v>-120.41205098361038</v>
      </c>
      <c r="X291" s="14">
        <f t="shared" si="150"/>
        <v>89.890717769079032</v>
      </c>
      <c r="Y291" s="14">
        <f t="shared" si="151"/>
        <v>54.391466869647488</v>
      </c>
      <c r="Z291" s="14">
        <f t="shared" si="152"/>
        <v>-67.236389308149739</v>
      </c>
      <c r="AA291" s="14">
        <f t="shared" si="153"/>
        <v>-8.2473514649921924</v>
      </c>
      <c r="AB291" s="23">
        <f t="shared" si="169"/>
        <v>-67.345616897888988</v>
      </c>
      <c r="AC291" s="23">
        <f t="shared" si="170"/>
        <v>11.752664334324535</v>
      </c>
      <c r="AD291" s="14">
        <f t="shared" si="154"/>
        <v>62.322194831876445</v>
      </c>
      <c r="AE291" s="14">
        <f t="shared" si="155"/>
        <v>6.6603037089355226</v>
      </c>
      <c r="AF291" s="14">
        <f t="shared" si="156"/>
        <v>1.6380811029428906</v>
      </c>
      <c r="AG291" s="14">
        <f t="shared" si="157"/>
        <v>3.5503324349382471E-3</v>
      </c>
      <c r="AH291" s="14">
        <f t="shared" si="158"/>
        <v>-48.84017070126464</v>
      </c>
      <c r="AI291" s="14">
        <f t="shared" si="159"/>
        <v>-3.6333469298790417</v>
      </c>
      <c r="AJ291" s="23">
        <f t="shared" si="171"/>
        <v>15.120105233554696</v>
      </c>
      <c r="AK291" s="23">
        <f t="shared" si="172"/>
        <v>3.0305071114914188</v>
      </c>
      <c r="AL291" s="14">
        <f t="shared" si="160"/>
        <v>0</v>
      </c>
      <c r="AM291" s="14">
        <f t="shared" si="161"/>
        <v>0</v>
      </c>
      <c r="AN291" s="14">
        <f t="shared" si="162"/>
        <v>0</v>
      </c>
      <c r="AO291" s="14">
        <f t="shared" si="163"/>
        <v>0</v>
      </c>
      <c r="AP291" s="23">
        <f t="shared" si="173"/>
        <v>0</v>
      </c>
      <c r="AQ291" s="23">
        <f t="shared" si="174"/>
        <v>0</v>
      </c>
    </row>
    <row r="292" spans="8:43" x14ac:dyDescent="0.25">
      <c r="H292" s="14">
        <v>3.89</v>
      </c>
      <c r="I292" s="36">
        <f t="shared" si="164"/>
        <v>77624.711662869318</v>
      </c>
      <c r="J292" s="24">
        <f t="shared" si="165"/>
        <v>-78.320240519186555</v>
      </c>
      <c r="K292" s="24">
        <f t="shared" si="166"/>
        <v>-23.126749011443792</v>
      </c>
      <c r="L292" s="14">
        <f t="shared" si="140"/>
        <v>0.67018069634200106</v>
      </c>
      <c r="M292" s="14">
        <f t="shared" si="141"/>
        <v>-82.829030263864041</v>
      </c>
      <c r="N292" s="14">
        <f t="shared" si="142"/>
        <v>18.073583079396645</v>
      </c>
      <c r="O292" s="14">
        <f t="shared" si="143"/>
        <v>-89.835944372909609</v>
      </c>
      <c r="P292" s="14">
        <f t="shared" si="144"/>
        <v>-50.8626418921693</v>
      </c>
      <c r="Q292" s="14">
        <f t="shared" si="145"/>
        <v>-32.889915792862247</v>
      </c>
      <c r="R292" s="14">
        <f t="shared" si="146"/>
        <v>-1.517357105238921</v>
      </c>
      <c r="S292" s="23">
        <f t="shared" si="167"/>
        <v>-205.55489042963589</v>
      </c>
      <c r="T292" s="23">
        <f t="shared" si="168"/>
        <v>-37.782577629849435</v>
      </c>
      <c r="U292" s="14">
        <f t="shared" si="147"/>
        <v>20000</v>
      </c>
      <c r="V292" s="14">
        <f t="shared" si="148"/>
        <v>-89.99994660260343</v>
      </c>
      <c r="W292" s="14">
        <f t="shared" si="149"/>
        <v>-120.61205098361022</v>
      </c>
      <c r="X292" s="14">
        <f t="shared" si="150"/>
        <v>89.893205330526314</v>
      </c>
      <c r="Y292" s="14">
        <f t="shared" si="151"/>
        <v>54.59146615856217</v>
      </c>
      <c r="Z292" s="14">
        <f t="shared" si="152"/>
        <v>-67.70330191326849</v>
      </c>
      <c r="AA292" s="14">
        <f t="shared" si="153"/>
        <v>-8.4179884566751095</v>
      </c>
      <c r="AB292" s="23">
        <f t="shared" si="169"/>
        <v>-67.810043185345606</v>
      </c>
      <c r="AC292" s="23">
        <f t="shared" si="170"/>
        <v>11.582026631556468</v>
      </c>
      <c r="AD292" s="14">
        <f t="shared" si="154"/>
        <v>62.861311531393923</v>
      </c>
      <c r="AE292" s="14">
        <f t="shared" si="155"/>
        <v>6.8179242654319205</v>
      </c>
      <c r="AF292" s="14">
        <f t="shared" si="156"/>
        <v>1.6762153934071065</v>
      </c>
      <c r="AG292" s="14">
        <f t="shared" si="157"/>
        <v>3.7175828534177363E-3</v>
      </c>
      <c r="AH292" s="14">
        <f t="shared" si="158"/>
        <v>-49.492833829006088</v>
      </c>
      <c r="AI292" s="14">
        <f t="shared" si="159"/>
        <v>-3.7478398614361641</v>
      </c>
      <c r="AJ292" s="23">
        <f t="shared" si="171"/>
        <v>15.044693095794941</v>
      </c>
      <c r="AK292" s="23">
        <f t="shared" si="172"/>
        <v>3.0738019868491744</v>
      </c>
      <c r="AL292" s="14">
        <f t="shared" si="160"/>
        <v>0</v>
      </c>
      <c r="AM292" s="14">
        <f t="shared" si="161"/>
        <v>0</v>
      </c>
      <c r="AN292" s="14">
        <f t="shared" si="162"/>
        <v>0</v>
      </c>
      <c r="AO292" s="14">
        <f t="shared" si="163"/>
        <v>0</v>
      </c>
      <c r="AP292" s="23">
        <f t="shared" si="173"/>
        <v>0</v>
      </c>
      <c r="AQ292" s="23">
        <f t="shared" si="174"/>
        <v>0</v>
      </c>
    </row>
    <row r="293" spans="8:43" x14ac:dyDescent="0.25">
      <c r="H293" s="14">
        <v>3.9</v>
      </c>
      <c r="I293" s="36">
        <f t="shared" si="164"/>
        <v>79432.82347242815</v>
      </c>
      <c r="J293" s="24">
        <f t="shared" si="165"/>
        <v>-79.626218122000381</v>
      </c>
      <c r="K293" s="24">
        <f t="shared" si="166"/>
        <v>-23.318931953791928</v>
      </c>
      <c r="L293" s="14">
        <f t="shared" si="140"/>
        <v>0.67018069634200106</v>
      </c>
      <c r="M293" s="14">
        <f t="shared" si="141"/>
        <v>-82.990619084079043</v>
      </c>
      <c r="N293" s="14">
        <f t="shared" si="142"/>
        <v>18.270536149928773</v>
      </c>
      <c r="O293" s="14">
        <f t="shared" si="143"/>
        <v>-89.839678715180781</v>
      </c>
      <c r="P293" s="14">
        <f t="shared" si="144"/>
        <v>-51.062640289646318</v>
      </c>
      <c r="Q293" s="14">
        <f t="shared" si="145"/>
        <v>-33.494298897678149</v>
      </c>
      <c r="R293" s="14">
        <f t="shared" si="146"/>
        <v>-1.5772962142408833</v>
      </c>
      <c r="S293" s="23">
        <f t="shared" si="167"/>
        <v>-206.32459669693799</v>
      </c>
      <c r="T293" s="23">
        <f t="shared" si="168"/>
        <v>-37.84556206579628</v>
      </c>
      <c r="U293" s="14">
        <f t="shared" si="147"/>
        <v>20000</v>
      </c>
      <c r="V293" s="14">
        <f t="shared" si="148"/>
        <v>-89.999947818076564</v>
      </c>
      <c r="W293" s="14">
        <f t="shared" si="149"/>
        <v>-120.81205098361004</v>
      </c>
      <c r="X293" s="14">
        <f t="shared" si="150"/>
        <v>89.895636268551058</v>
      </c>
      <c r="Y293" s="14">
        <f t="shared" si="151"/>
        <v>54.791465479480834</v>
      </c>
      <c r="Z293" s="14">
        <f t="shared" si="152"/>
        <v>-68.162621530399363</v>
      </c>
      <c r="AA293" s="14">
        <f t="shared" si="153"/>
        <v>-8.5897604532517988</v>
      </c>
      <c r="AB293" s="23">
        <f t="shared" si="169"/>
        <v>-68.266933079924868</v>
      </c>
      <c r="AC293" s="23">
        <f t="shared" si="170"/>
        <v>11.410253955898625</v>
      </c>
      <c r="AD293" s="14">
        <f t="shared" si="154"/>
        <v>63.393229518523583</v>
      </c>
      <c r="AE293" s="14">
        <f t="shared" si="155"/>
        <v>6.9770624711835447</v>
      </c>
      <c r="AF293" s="14">
        <f t="shared" si="156"/>
        <v>1.7152364075984652</v>
      </c>
      <c r="AG293" s="14">
        <f t="shared" si="157"/>
        <v>3.8927086381198646E-3</v>
      </c>
      <c r="AH293" s="14">
        <f t="shared" si="158"/>
        <v>-50.143154271259576</v>
      </c>
      <c r="AI293" s="14">
        <f t="shared" si="159"/>
        <v>-3.8645790237159372</v>
      </c>
      <c r="AJ293" s="23">
        <f t="shared" si="171"/>
        <v>14.965311654862475</v>
      </c>
      <c r="AK293" s="23">
        <f t="shared" si="172"/>
        <v>3.1163761561057277</v>
      </c>
      <c r="AL293" s="14">
        <f t="shared" si="160"/>
        <v>0</v>
      </c>
      <c r="AM293" s="14">
        <f t="shared" si="161"/>
        <v>0</v>
      </c>
      <c r="AN293" s="14">
        <f t="shared" si="162"/>
        <v>0</v>
      </c>
      <c r="AO293" s="14">
        <f t="shared" si="163"/>
        <v>0</v>
      </c>
      <c r="AP293" s="23">
        <f t="shared" si="173"/>
        <v>0</v>
      </c>
      <c r="AQ293" s="23">
        <f t="shared" si="174"/>
        <v>0</v>
      </c>
    </row>
    <row r="294" spans="8:43" x14ac:dyDescent="0.25">
      <c r="H294" s="14">
        <v>3.91</v>
      </c>
      <c r="I294" s="36">
        <f t="shared" si="164"/>
        <v>81283.05161641007</v>
      </c>
      <c r="J294" s="24">
        <f t="shared" si="165"/>
        <v>-80.930182749044093</v>
      </c>
      <c r="K294" s="24">
        <f t="shared" si="166"/>
        <v>-23.514772391359042</v>
      </c>
      <c r="L294" s="14">
        <f t="shared" si="140"/>
        <v>0.67018069634200106</v>
      </c>
      <c r="M294" s="14">
        <f t="shared" si="141"/>
        <v>-83.148638052031487</v>
      </c>
      <c r="N294" s="14">
        <f t="shared" si="142"/>
        <v>18.46762435800003</v>
      </c>
      <c r="O294" s="14">
        <f t="shared" si="143"/>
        <v>-89.843328054760121</v>
      </c>
      <c r="P294" s="14">
        <f t="shared" si="144"/>
        <v>-51.262638759248233</v>
      </c>
      <c r="Q294" s="14">
        <f t="shared" si="145"/>
        <v>-34.104146077133599</v>
      </c>
      <c r="R294" s="14">
        <f t="shared" si="146"/>
        <v>-1.6391859477580288</v>
      </c>
      <c r="S294" s="23">
        <f t="shared" si="167"/>
        <v>-207.09611218392521</v>
      </c>
      <c r="T294" s="23">
        <f t="shared" si="168"/>
        <v>-37.910362060844086</v>
      </c>
      <c r="U294" s="14">
        <f t="shared" si="147"/>
        <v>20000</v>
      </c>
      <c r="V294" s="14">
        <f t="shared" si="148"/>
        <v>-89.999949005882158</v>
      </c>
      <c r="W294" s="14">
        <f t="shared" si="149"/>
        <v>-121.0120509836099</v>
      </c>
      <c r="X294" s="14">
        <f t="shared" si="150"/>
        <v>89.898011872033734</v>
      </c>
      <c r="Y294" s="14">
        <f t="shared" si="151"/>
        <v>54.99146483096311</v>
      </c>
      <c r="Z294" s="14">
        <f t="shared" si="152"/>
        <v>-68.614355486186284</v>
      </c>
      <c r="AA294" s="14">
        <f t="shared" si="153"/>
        <v>-8.7626305581424795</v>
      </c>
      <c r="AB294" s="23">
        <f t="shared" si="169"/>
        <v>-68.716292620034707</v>
      </c>
      <c r="AC294" s="23">
        <f t="shared" si="170"/>
        <v>11.23738320249036</v>
      </c>
      <c r="AD294" s="14">
        <f t="shared" si="154"/>
        <v>63.917864013352293</v>
      </c>
      <c r="AE294" s="14">
        <f t="shared" si="155"/>
        <v>7.1376775589795196</v>
      </c>
      <c r="AF294" s="14">
        <f t="shared" si="156"/>
        <v>1.7551646901017566</v>
      </c>
      <c r="AG294" s="14">
        <f t="shared" si="157"/>
        <v>4.0760802782291473E-3</v>
      </c>
      <c r="AH294" s="14">
        <f t="shared" si="158"/>
        <v>-50.790806648538215</v>
      </c>
      <c r="AI294" s="14">
        <f t="shared" si="159"/>
        <v>-3.9835471722630644</v>
      </c>
      <c r="AJ294" s="23">
        <f t="shared" si="171"/>
        <v>14.882222054915836</v>
      </c>
      <c r="AK294" s="23">
        <f t="shared" si="172"/>
        <v>3.1582064669946841</v>
      </c>
      <c r="AL294" s="14">
        <f t="shared" si="160"/>
        <v>0</v>
      </c>
      <c r="AM294" s="14">
        <f t="shared" si="161"/>
        <v>0</v>
      </c>
      <c r="AN294" s="14">
        <f t="shared" si="162"/>
        <v>0</v>
      </c>
      <c r="AO294" s="14">
        <f t="shared" si="163"/>
        <v>0</v>
      </c>
      <c r="AP294" s="23">
        <f t="shared" si="173"/>
        <v>0</v>
      </c>
      <c r="AQ294" s="23">
        <f t="shared" si="174"/>
        <v>0</v>
      </c>
    </row>
    <row r="295" spans="8:43" x14ac:dyDescent="0.25">
      <c r="H295" s="14">
        <v>3.92</v>
      </c>
      <c r="I295" s="36">
        <f t="shared" si="164"/>
        <v>83176.377110267087</v>
      </c>
      <c r="J295" s="24">
        <f t="shared" si="165"/>
        <v>-82.231728858963649</v>
      </c>
      <c r="K295" s="24">
        <f t="shared" si="166"/>
        <v>-23.714295406021499</v>
      </c>
      <c r="L295" s="14">
        <f t="shared" si="140"/>
        <v>0.67018069634200106</v>
      </c>
      <c r="M295" s="14">
        <f t="shared" si="141"/>
        <v>-83.303161330800307</v>
      </c>
      <c r="N295" s="14">
        <f t="shared" si="142"/>
        <v>18.664841794677326</v>
      </c>
      <c r="O295" s="14">
        <f t="shared" si="143"/>
        <v>-89.846894326457274</v>
      </c>
      <c r="P295" s="14">
        <f t="shared" si="144"/>
        <v>-51.462637297728868</v>
      </c>
      <c r="Q295" s="14">
        <f t="shared" si="145"/>
        <v>-34.719227952605834</v>
      </c>
      <c r="R295" s="14">
        <f t="shared" si="146"/>
        <v>-1.7030608343684426</v>
      </c>
      <c r="S295" s="23">
        <f t="shared" si="167"/>
        <v>-207.86928360986343</v>
      </c>
      <c r="T295" s="23">
        <f t="shared" si="168"/>
        <v>-37.977018049257843</v>
      </c>
      <c r="U295" s="14">
        <f t="shared" si="147"/>
        <v>20000</v>
      </c>
      <c r="V295" s="14">
        <f t="shared" si="148"/>
        <v>-89.999950166650009</v>
      </c>
      <c r="W295" s="14">
        <f t="shared" si="149"/>
        <v>-121.21205098360971</v>
      </c>
      <c r="X295" s="14">
        <f t="shared" si="150"/>
        <v>89.900333400518079</v>
      </c>
      <c r="Y295" s="14">
        <f t="shared" si="151"/>
        <v>55.191464211633381</v>
      </c>
      <c r="Z295" s="14">
        <f t="shared" si="152"/>
        <v>-69.058518593733524</v>
      </c>
      <c r="AA295" s="14">
        <f t="shared" si="153"/>
        <v>-8.9365625369922057</v>
      </c>
      <c r="AB295" s="23">
        <f t="shared" si="169"/>
        <v>-69.158135359865454</v>
      </c>
      <c r="AC295" s="23">
        <f t="shared" si="170"/>
        <v>11.063450604311086</v>
      </c>
      <c r="AD295" s="14">
        <f t="shared" si="154"/>
        <v>64.435141232711928</v>
      </c>
      <c r="AE295" s="14">
        <f t="shared" si="155"/>
        <v>7.2997288795250466</v>
      </c>
      <c r="AF295" s="14">
        <f t="shared" si="156"/>
        <v>1.7960212562054001</v>
      </c>
      <c r="AG295" s="14">
        <f t="shared" si="157"/>
        <v>4.2680856594348483E-3</v>
      </c>
      <c r="AH295" s="14">
        <f t="shared" si="158"/>
        <v>-51.435472378152099</v>
      </c>
      <c r="AI295" s="14">
        <f t="shared" si="159"/>
        <v>-4.1047249262592214</v>
      </c>
      <c r="AJ295" s="23">
        <f t="shared" si="171"/>
        <v>14.795690110765236</v>
      </c>
      <c r="AK295" s="23">
        <f t="shared" si="172"/>
        <v>3.19927203892526</v>
      </c>
      <c r="AL295" s="14">
        <f t="shared" si="160"/>
        <v>0</v>
      </c>
      <c r="AM295" s="14">
        <f t="shared" si="161"/>
        <v>0</v>
      </c>
      <c r="AN295" s="14">
        <f t="shared" si="162"/>
        <v>0</v>
      </c>
      <c r="AO295" s="14">
        <f t="shared" si="163"/>
        <v>0</v>
      </c>
      <c r="AP295" s="23">
        <f t="shared" si="173"/>
        <v>0</v>
      </c>
      <c r="AQ295" s="23">
        <f t="shared" si="174"/>
        <v>0</v>
      </c>
    </row>
    <row r="296" spans="8:43" x14ac:dyDescent="0.25">
      <c r="H296" s="14">
        <v>3.93</v>
      </c>
      <c r="I296" s="36">
        <f t="shared" si="164"/>
        <v>85113.803820237779</v>
      </c>
      <c r="J296" s="24">
        <f t="shared" si="165"/>
        <v>-83.53044153645358</v>
      </c>
      <c r="K296" s="24">
        <f t="shared" si="166"/>
        <v>-23.917523015444672</v>
      </c>
      <c r="L296" s="14">
        <f t="shared" si="140"/>
        <v>0.67018069634200106</v>
      </c>
      <c r="M296" s="14">
        <f t="shared" si="141"/>
        <v>-83.454261854452668</v>
      </c>
      <c r="N296" s="14">
        <f t="shared" si="142"/>
        <v>18.862182802040014</v>
      </c>
      <c r="O296" s="14">
        <f t="shared" si="143"/>
        <v>-89.850379421046128</v>
      </c>
      <c r="P296" s="14">
        <f t="shared" si="144"/>
        <v>-51.662635901988281</v>
      </c>
      <c r="Q296" s="14">
        <f t="shared" si="145"/>
        <v>-35.339303570779897</v>
      </c>
      <c r="R296" s="14">
        <f t="shared" si="146"/>
        <v>-1.7689541680364085</v>
      </c>
      <c r="S296" s="23">
        <f t="shared" si="167"/>
        <v>-208.64394484627869</v>
      </c>
      <c r="T296" s="23">
        <f t="shared" si="168"/>
        <v>-38.045568979822534</v>
      </c>
      <c r="U296" s="14">
        <f t="shared" si="147"/>
        <v>20000</v>
      </c>
      <c r="V296" s="14">
        <f t="shared" si="148"/>
        <v>-89.999951300995534</v>
      </c>
      <c r="W296" s="14">
        <f t="shared" si="149"/>
        <v>-121.41205098360957</v>
      </c>
      <c r="X296" s="14">
        <f t="shared" si="150"/>
        <v>89.902602084878708</v>
      </c>
      <c r="Y296" s="14">
        <f t="shared" si="151"/>
        <v>55.391463620178023</v>
      </c>
      <c r="Z296" s="14">
        <f t="shared" si="152"/>
        <v>-69.495132759198626</v>
      </c>
      <c r="AA296" s="14">
        <f t="shared" si="153"/>
        <v>-9.1115208489806729</v>
      </c>
      <c r="AB296" s="23">
        <f t="shared" si="169"/>
        <v>-69.592481975315451</v>
      </c>
      <c r="AC296" s="23">
        <f t="shared" si="170"/>
        <v>10.8884917008674</v>
      </c>
      <c r="AD296" s="14">
        <f t="shared" si="154"/>
        <v>64.944998088792346</v>
      </c>
      <c r="AE296" s="14">
        <f t="shared" si="155"/>
        <v>7.4631759788271328</v>
      </c>
      <c r="AF296" s="14">
        <f t="shared" si="156"/>
        <v>1.8378276023067694</v>
      </c>
      <c r="AG296" s="14">
        <f t="shared" si="157"/>
        <v>4.4691308776458084E-3</v>
      </c>
      <c r="AH296" s="14">
        <f t="shared" si="158"/>
        <v>-52.076840405958563</v>
      </c>
      <c r="AI296" s="14">
        <f t="shared" si="159"/>
        <v>-4.2280908461943145</v>
      </c>
      <c r="AJ296" s="23">
        <f t="shared" si="171"/>
        <v>14.705985285140557</v>
      </c>
      <c r="AK296" s="23">
        <f t="shared" si="172"/>
        <v>3.2395542635104642</v>
      </c>
      <c r="AL296" s="14">
        <f t="shared" si="160"/>
        <v>0</v>
      </c>
      <c r="AM296" s="14">
        <f t="shared" si="161"/>
        <v>0</v>
      </c>
      <c r="AN296" s="14">
        <f t="shared" si="162"/>
        <v>0</v>
      </c>
      <c r="AO296" s="14">
        <f t="shared" si="163"/>
        <v>0</v>
      </c>
      <c r="AP296" s="23">
        <f t="shared" si="173"/>
        <v>0</v>
      </c>
      <c r="AQ296" s="23">
        <f t="shared" si="174"/>
        <v>0</v>
      </c>
    </row>
    <row r="297" spans="8:43" x14ac:dyDescent="0.25">
      <c r="H297" s="14">
        <v>3.94</v>
      </c>
      <c r="I297" s="36">
        <f t="shared" si="164"/>
        <v>87096.358995608185</v>
      </c>
      <c r="J297" s="24">
        <f t="shared" si="165"/>
        <v>-84.825897402518109</v>
      </c>
      <c r="K297" s="24">
        <f t="shared" si="166"/>
        <v>-24.124474108202833</v>
      </c>
      <c r="L297" s="14">
        <f t="shared" si="140"/>
        <v>0.67018069634200106</v>
      </c>
      <c r="M297" s="14">
        <f t="shared" si="141"/>
        <v>-83.602011326918344</v>
      </c>
      <c r="N297" s="14">
        <f t="shared" si="142"/>
        <v>19.059641963156714</v>
      </c>
      <c r="O297" s="14">
        <f t="shared" si="143"/>
        <v>-89.853785186266705</v>
      </c>
      <c r="P297" s="14">
        <f t="shared" si="144"/>
        <v>-51.862634569065939</v>
      </c>
      <c r="Q297" s="14">
        <f t="shared" si="145"/>
        <v>-35.964120707084462</v>
      </c>
      <c r="R297" s="14">
        <f t="shared" si="146"/>
        <v>-1.836897894647695</v>
      </c>
      <c r="S297" s="23">
        <f t="shared" si="167"/>
        <v>-209.4199172202695</v>
      </c>
      <c r="T297" s="23">
        <f t="shared" si="168"/>
        <v>-38.116052212394777</v>
      </c>
      <c r="U297" s="14">
        <f t="shared" si="147"/>
        <v>20000</v>
      </c>
      <c r="V297" s="14">
        <f t="shared" si="148"/>
        <v>-89.999952409520205</v>
      </c>
      <c r="W297" s="14">
        <f t="shared" si="149"/>
        <v>-121.61205098360944</v>
      </c>
      <c r="X297" s="14">
        <f t="shared" si="150"/>
        <v>89.904819127973624</v>
      </c>
      <c r="Y297" s="14">
        <f t="shared" si="151"/>
        <v>55.591463055342452</v>
      </c>
      <c r="Z297" s="14">
        <f t="shared" si="152"/>
        <v>-69.924226590790667</v>
      </c>
      <c r="AA297" s="14">
        <f t="shared" si="153"/>
        <v>-9.2874706740097004</v>
      </c>
      <c r="AB297" s="23">
        <f t="shared" si="169"/>
        <v>-70.019359872337247</v>
      </c>
      <c r="AC297" s="23">
        <f t="shared" si="170"/>
        <v>10.712541311002941</v>
      </c>
      <c r="AD297" s="14">
        <f t="shared" si="154"/>
        <v>65.447381866507982</v>
      </c>
      <c r="AE297" s="14">
        <f t="shared" si="155"/>
        <v>7.6279786706802248</v>
      </c>
      <c r="AF297" s="14">
        <f t="shared" si="156"/>
        <v>1.8806057165200629</v>
      </c>
      <c r="AG297" s="14">
        <f t="shared" si="157"/>
        <v>4.679641090435665E-3</v>
      </c>
      <c r="AH297" s="14">
        <f t="shared" si="158"/>
        <v>-52.714607892939412</v>
      </c>
      <c r="AI297" s="14">
        <f t="shared" si="159"/>
        <v>-4.3536215185816554</v>
      </c>
      <c r="AJ297" s="23">
        <f t="shared" si="171"/>
        <v>14.613379690088635</v>
      </c>
      <c r="AK297" s="23">
        <f t="shared" si="172"/>
        <v>3.2790367931890048</v>
      </c>
      <c r="AL297" s="14">
        <f t="shared" si="160"/>
        <v>0</v>
      </c>
      <c r="AM297" s="14">
        <f t="shared" si="161"/>
        <v>0</v>
      </c>
      <c r="AN297" s="14">
        <f t="shared" si="162"/>
        <v>0</v>
      </c>
      <c r="AO297" s="14">
        <f t="shared" si="163"/>
        <v>0</v>
      </c>
      <c r="AP297" s="23">
        <f t="shared" si="173"/>
        <v>0</v>
      </c>
      <c r="AQ297" s="23">
        <f t="shared" si="174"/>
        <v>0</v>
      </c>
    </row>
    <row r="298" spans="8:43" x14ac:dyDescent="0.25">
      <c r="H298" s="14">
        <v>3.95</v>
      </c>
      <c r="I298" s="36">
        <f t="shared" si="164"/>
        <v>89125.093813374682</v>
      </c>
      <c r="J298" s="24">
        <f t="shared" si="165"/>
        <v>-86.117665557041903</v>
      </c>
      <c r="K298" s="24">
        <f t="shared" si="166"/>
        <v>-24.335164387606977</v>
      </c>
      <c r="L298" s="14">
        <f t="shared" si="140"/>
        <v>0.67018069634200106</v>
      </c>
      <c r="M298" s="14">
        <f t="shared" si="141"/>
        <v>-83.746480222669433</v>
      </c>
      <c r="N298" s="14">
        <f t="shared" si="142"/>
        <v>19.257214092406542</v>
      </c>
      <c r="O298" s="14">
        <f t="shared" si="143"/>
        <v>-89.857113427804521</v>
      </c>
      <c r="P298" s="14">
        <f t="shared" si="144"/>
        <v>-52.062633296134599</v>
      </c>
      <c r="Q298" s="14">
        <f t="shared" si="145"/>
        <v>-36.593416226043793</v>
      </c>
      <c r="R298" s="14">
        <f t="shared" si="146"/>
        <v>-1.9069225002656143</v>
      </c>
      <c r="S298" s="23">
        <f t="shared" si="167"/>
        <v>-210.19700987651774</v>
      </c>
      <c r="T298" s="23">
        <f t="shared" si="168"/>
        <v>-38.188503415831526</v>
      </c>
      <c r="U298" s="14">
        <f t="shared" si="147"/>
        <v>20000</v>
      </c>
      <c r="V298" s="14">
        <f t="shared" si="148"/>
        <v>-89.999953492811784</v>
      </c>
      <c r="W298" s="14">
        <f t="shared" si="149"/>
        <v>-121.81205098360931</v>
      </c>
      <c r="X298" s="14">
        <f t="shared" si="150"/>
        <v>89.906985705281855</v>
      </c>
      <c r="Y298" s="14">
        <f t="shared" si="151"/>
        <v>55.7914625159286</v>
      </c>
      <c r="Z298" s="14">
        <f t="shared" si="152"/>
        <v>-70.345835011769267</v>
      </c>
      <c r="AA298" s="14">
        <f t="shared" si="153"/>
        <v>-9.4643779359564046</v>
      </c>
      <c r="AB298" s="23">
        <f t="shared" si="169"/>
        <v>-70.438802799299197</v>
      </c>
      <c r="AC298" s="23">
        <f t="shared" si="170"/>
        <v>10.53563350964251</v>
      </c>
      <c r="AD298" s="14">
        <f t="shared" si="154"/>
        <v>65.942249882643878</v>
      </c>
      <c r="AE298" s="14">
        <f t="shared" si="155"/>
        <v>7.7940971041997811</v>
      </c>
      <c r="AF298" s="14">
        <f t="shared" si="156"/>
        <v>1.9243780894888072</v>
      </c>
      <c r="AG298" s="14">
        <f t="shared" si="157"/>
        <v>4.9000614079814479E-3</v>
      </c>
      <c r="AH298" s="14">
        <f t="shared" si="158"/>
        <v>-53.348480853357657</v>
      </c>
      <c r="AI298" s="14">
        <f t="shared" si="159"/>
        <v>-4.4812916470257207</v>
      </c>
      <c r="AJ298" s="23">
        <f t="shared" si="171"/>
        <v>14.518147118775033</v>
      </c>
      <c r="AK298" s="23">
        <f t="shared" si="172"/>
        <v>3.3177055185820414</v>
      </c>
      <c r="AL298" s="14">
        <f t="shared" si="160"/>
        <v>0</v>
      </c>
      <c r="AM298" s="14">
        <f t="shared" si="161"/>
        <v>0</v>
      </c>
      <c r="AN298" s="14">
        <f t="shared" si="162"/>
        <v>0</v>
      </c>
      <c r="AO298" s="14">
        <f t="shared" si="163"/>
        <v>0</v>
      </c>
      <c r="AP298" s="23">
        <f t="shared" si="173"/>
        <v>0</v>
      </c>
      <c r="AQ298" s="23">
        <f t="shared" si="174"/>
        <v>0</v>
      </c>
    </row>
    <row r="299" spans="8:43" x14ac:dyDescent="0.25">
      <c r="H299" s="14">
        <v>3.96</v>
      </c>
      <c r="I299" s="36">
        <f t="shared" si="164"/>
        <v>91201.083935591087</v>
      </c>
      <c r="J299" s="24">
        <f t="shared" si="165"/>
        <v>-87.405308549216699</v>
      </c>
      <c r="K299" s="24">
        <f t="shared" si="166"/>
        <v>-24.549606324488117</v>
      </c>
      <c r="L299" s="14">
        <f t="shared" si="140"/>
        <v>0.67018069634200106</v>
      </c>
      <c r="M299" s="14">
        <f t="shared" si="141"/>
        <v>-83.8877377890622</v>
      </c>
      <c r="N299" s="14">
        <f t="shared" si="142"/>
        <v>19.454894226137334</v>
      </c>
      <c r="O299" s="14">
        <f t="shared" si="143"/>
        <v>-89.860365910247381</v>
      </c>
      <c r="P299" s="14">
        <f t="shared" si="144"/>
        <v>-52.262632080494257</v>
      </c>
      <c r="Q299" s="14">
        <f t="shared" si="145"/>
        <v>-37.226916498470352</v>
      </c>
      <c r="R299" s="14">
        <f t="shared" si="146"/>
        <v>-1.9790569018692499</v>
      </c>
      <c r="S299" s="23">
        <f t="shared" si="167"/>
        <v>-210.97502019777994</v>
      </c>
      <c r="T299" s="23">
        <f t="shared" si="168"/>
        <v>-38.262956468064026</v>
      </c>
      <c r="U299" s="14">
        <f t="shared" si="147"/>
        <v>20000</v>
      </c>
      <c r="V299" s="14">
        <f t="shared" si="148"/>
        <v>-89.999954551444645</v>
      </c>
      <c r="W299" s="14">
        <f t="shared" si="149"/>
        <v>-122.01205098360917</v>
      </c>
      <c r="X299" s="14">
        <f t="shared" si="150"/>
        <v>89.909102965526571</v>
      </c>
      <c r="Y299" s="14">
        <f t="shared" si="151"/>
        <v>55.991462000792311</v>
      </c>
      <c r="Z299" s="14">
        <f t="shared" si="152"/>
        <v>-70.759998878871741</v>
      </c>
      <c r="AA299" s="14">
        <f t="shared" si="153"/>
        <v>-9.642209322187</v>
      </c>
      <c r="AB299" s="23">
        <f t="shared" si="169"/>
        <v>-70.850850464789815</v>
      </c>
      <c r="AC299" s="23">
        <f t="shared" si="170"/>
        <v>10.357801608275764</v>
      </c>
      <c r="AD299" s="14">
        <f t="shared" si="154"/>
        <v>66.429569129703239</v>
      </c>
      <c r="AE299" s="14">
        <f t="shared" si="155"/>
        <v>7.9614918263897829</v>
      </c>
      <c r="AF299" s="14">
        <f t="shared" si="156"/>
        <v>1.9691677254046178</v>
      </c>
      <c r="AG299" s="14">
        <f t="shared" si="157"/>
        <v>5.1308578252724796E-3</v>
      </c>
      <c r="AH299" s="14">
        <f t="shared" si="158"/>
        <v>-53.978174741754792</v>
      </c>
      <c r="AI299" s="14">
        <f t="shared" si="159"/>
        <v>-4.6110741489149101</v>
      </c>
      <c r="AJ299" s="23">
        <f t="shared" si="171"/>
        <v>14.420562113353064</v>
      </c>
      <c r="AK299" s="23">
        <f t="shared" si="172"/>
        <v>3.3555485353001453</v>
      </c>
      <c r="AL299" s="14">
        <f t="shared" si="160"/>
        <v>0</v>
      </c>
      <c r="AM299" s="14">
        <f t="shared" si="161"/>
        <v>0</v>
      </c>
      <c r="AN299" s="14">
        <f t="shared" si="162"/>
        <v>0</v>
      </c>
      <c r="AO299" s="14">
        <f t="shared" si="163"/>
        <v>0</v>
      </c>
      <c r="AP299" s="23">
        <f t="shared" si="173"/>
        <v>0</v>
      </c>
      <c r="AQ299" s="23">
        <f t="shared" si="174"/>
        <v>0</v>
      </c>
    </row>
    <row r="300" spans="8:43" x14ac:dyDescent="0.25">
      <c r="H300" s="14">
        <v>3.97</v>
      </c>
      <c r="I300" s="36">
        <f t="shared" si="164"/>
        <v>93325.430079699217</v>
      </c>
      <c r="J300" s="24">
        <f t="shared" si="165"/>
        <v>-88.688383371370691</v>
      </c>
      <c r="K300" s="24">
        <f t="shared" si="166"/>
        <v>-24.767809119140978</v>
      </c>
      <c r="L300" s="14">
        <f t="shared" si="140"/>
        <v>0.67018069634200106</v>
      </c>
      <c r="M300" s="14">
        <f t="shared" si="141"/>
        <v>-84.025852050206581</v>
      </c>
      <c r="N300" s="14">
        <f t="shared" si="142"/>
        <v>19.652677613654145</v>
      </c>
      <c r="O300" s="14">
        <f t="shared" si="143"/>
        <v>-89.863544358020633</v>
      </c>
      <c r="P300" s="14">
        <f t="shared" si="144"/>
        <v>-52.462630919566436</v>
      </c>
      <c r="Q300" s="14">
        <f t="shared" si="145"/>
        <v>-37.864337874923606</v>
      </c>
      <c r="R300" s="14">
        <f t="shared" si="146"/>
        <v>-2.053328341347155</v>
      </c>
      <c r="S300" s="23">
        <f t="shared" si="167"/>
        <v>-211.75373428315083</v>
      </c>
      <c r="T300" s="23">
        <f t="shared" si="168"/>
        <v>-38.339443359097302</v>
      </c>
      <c r="U300" s="14">
        <f t="shared" si="147"/>
        <v>20000</v>
      </c>
      <c r="V300" s="14">
        <f t="shared" si="148"/>
        <v>-89.999955585980061</v>
      </c>
      <c r="W300" s="14">
        <f t="shared" si="149"/>
        <v>-122.21205098360905</v>
      </c>
      <c r="X300" s="14">
        <f t="shared" si="150"/>
        <v>89.911172031284039</v>
      </c>
      <c r="Y300" s="14">
        <f t="shared" si="151"/>
        <v>56.191461508840916</v>
      </c>
      <c r="Z300" s="14">
        <f t="shared" si="152"/>
        <v>-71.1667646074403</v>
      </c>
      <c r="AA300" s="14">
        <f t="shared" si="153"/>
        <v>-9.8209322995330055</v>
      </c>
      <c r="AB300" s="23">
        <f t="shared" si="169"/>
        <v>-71.255548162136321</v>
      </c>
      <c r="AC300" s="23">
        <f t="shared" si="170"/>
        <v>10.17907813897849</v>
      </c>
      <c r="AD300" s="14">
        <f t="shared" si="154"/>
        <v>66.909315907263817</v>
      </c>
      <c r="AE300" s="14">
        <f t="shared" si="155"/>
        <v>8.1301238397668936</v>
      </c>
      <c r="AF300" s="14">
        <f t="shared" si="156"/>
        <v>2.0149981532338721</v>
      </c>
      <c r="AG300" s="14">
        <f t="shared" si="157"/>
        <v>5.3725181974667718E-3</v>
      </c>
      <c r="AH300" s="14">
        <f t="shared" si="158"/>
        <v>-54.603414986581228</v>
      </c>
      <c r="AI300" s="14">
        <f t="shared" si="159"/>
        <v>-4.7429402569865244</v>
      </c>
      <c r="AJ300" s="23">
        <f t="shared" si="171"/>
        <v>14.320899073916465</v>
      </c>
      <c r="AK300" s="23">
        <f t="shared" si="172"/>
        <v>3.3925561009778358</v>
      </c>
      <c r="AL300" s="14">
        <f t="shared" si="160"/>
        <v>0</v>
      </c>
      <c r="AM300" s="14">
        <f t="shared" si="161"/>
        <v>0</v>
      </c>
      <c r="AN300" s="14">
        <f t="shared" si="162"/>
        <v>0</v>
      </c>
      <c r="AO300" s="14">
        <f t="shared" si="163"/>
        <v>0</v>
      </c>
      <c r="AP300" s="23">
        <f t="shared" si="173"/>
        <v>0</v>
      </c>
      <c r="AQ300" s="23">
        <f t="shared" si="174"/>
        <v>0</v>
      </c>
    </row>
    <row r="301" spans="8:43" x14ac:dyDescent="0.25">
      <c r="H301" s="14">
        <v>3.98</v>
      </c>
      <c r="I301" s="36">
        <f t="shared" si="164"/>
        <v>95499.258602143687</v>
      </c>
      <c r="J301" s="24">
        <f t="shared" si="165"/>
        <v>-89.966442471744642</v>
      </c>
      <c r="K301" s="24">
        <f t="shared" si="166"/>
        <v>-24.989778672589985</v>
      </c>
      <c r="L301" s="14">
        <f t="shared" si="140"/>
        <v>0.67018069634200106</v>
      </c>
      <c r="M301" s="14">
        <f t="shared" si="141"/>
        <v>-84.160889812236647</v>
      </c>
      <c r="N301" s="14">
        <f t="shared" si="142"/>
        <v>19.850559708530554</v>
      </c>
      <c r="O301" s="14">
        <f t="shared" si="143"/>
        <v>-89.866650456301073</v>
      </c>
      <c r="P301" s="14">
        <f t="shared" si="144"/>
        <v>-52.662629810888674</v>
      </c>
      <c r="Q301" s="14">
        <f t="shared" si="145"/>
        <v>-38.505387214338818</v>
      </c>
      <c r="R301" s="14">
        <f t="shared" si="146"/>
        <v>-2.1297622835226768</v>
      </c>
      <c r="S301" s="23">
        <f t="shared" si="167"/>
        <v>-212.53292748287654</v>
      </c>
      <c r="T301" s="23">
        <f t="shared" si="168"/>
        <v>-38.417994097718648</v>
      </c>
      <c r="U301" s="14">
        <f t="shared" si="147"/>
        <v>20000</v>
      </c>
      <c r="V301" s="14">
        <f t="shared" si="148"/>
        <v>-89.999956596966584</v>
      </c>
      <c r="W301" s="14">
        <f t="shared" si="149"/>
        <v>-122.41205098360894</v>
      </c>
      <c r="X301" s="14">
        <f t="shared" si="150"/>
        <v>89.913193999578709</v>
      </c>
      <c r="Y301" s="14">
        <f t="shared" si="151"/>
        <v>56.391461039030929</v>
      </c>
      <c r="Z301" s="14">
        <f t="shared" si="152"/>
        <v>-71.566183804365437</v>
      </c>
      <c r="AA301" s="14">
        <f t="shared" si="153"/>
        <v>-10.000515126934797</v>
      </c>
      <c r="AB301" s="23">
        <f t="shared" si="169"/>
        <v>-71.652946401753312</v>
      </c>
      <c r="AC301" s="23">
        <f t="shared" si="170"/>
        <v>9.9994948417668219</v>
      </c>
      <c r="AD301" s="14">
        <f t="shared" si="154"/>
        <v>67.381475443515171</v>
      </c>
      <c r="AE301" s="14">
        <f t="shared" si="155"/>
        <v>8.2999546550960499</v>
      </c>
      <c r="AF301" s="14">
        <f t="shared" si="156"/>
        <v>2.0618934381536631</v>
      </c>
      <c r="AG301" s="14">
        <f t="shared" si="157"/>
        <v>5.6255532603736733E-3</v>
      </c>
      <c r="AH301" s="14">
        <f t="shared" si="158"/>
        <v>-55.223937468783618</v>
      </c>
      <c r="AI301" s="14">
        <f t="shared" si="159"/>
        <v>-4.8768596249945819</v>
      </c>
      <c r="AJ301" s="23">
        <f t="shared" si="171"/>
        <v>14.219431412885214</v>
      </c>
      <c r="AK301" s="23">
        <f t="shared" si="172"/>
        <v>3.4287205833618408</v>
      </c>
      <c r="AL301" s="14">
        <f t="shared" si="160"/>
        <v>0</v>
      </c>
      <c r="AM301" s="14">
        <f t="shared" si="161"/>
        <v>0</v>
      </c>
      <c r="AN301" s="14">
        <f t="shared" si="162"/>
        <v>0</v>
      </c>
      <c r="AO301" s="14">
        <f t="shared" si="163"/>
        <v>0</v>
      </c>
      <c r="AP301" s="23">
        <f t="shared" si="173"/>
        <v>0</v>
      </c>
      <c r="AQ301" s="23">
        <f t="shared" si="174"/>
        <v>0</v>
      </c>
    </row>
    <row r="302" spans="8:43" x14ac:dyDescent="0.25">
      <c r="H302" s="14">
        <v>3.99</v>
      </c>
      <c r="I302" s="36">
        <f t="shared" si="164"/>
        <v>97723.722095581164</v>
      </c>
      <c r="J302" s="24">
        <f t="shared" si="165"/>
        <v>-91.239034781767458</v>
      </c>
      <c r="K302" s="24">
        <f t="shared" si="166"/>
        <v>-25.215517567301017</v>
      </c>
      <c r="L302" s="14">
        <f t="shared" si="140"/>
        <v>0.67018069634200106</v>
      </c>
      <c r="M302" s="14">
        <f t="shared" si="141"/>
        <v>-84.292916669863104</v>
      </c>
      <c r="N302" s="14">
        <f t="shared" si="142"/>
        <v>20.048536160235088</v>
      </c>
      <c r="O302" s="14">
        <f t="shared" si="143"/>
        <v>-89.869685851910035</v>
      </c>
      <c r="P302" s="14">
        <f t="shared" si="144"/>
        <v>-52.862628752109373</v>
      </c>
      <c r="Q302" s="14">
        <f t="shared" si="145"/>
        <v>-39.149762466199718</v>
      </c>
      <c r="R302" s="14">
        <f t="shared" si="146"/>
        <v>-2.2083823189812257</v>
      </c>
      <c r="S302" s="23">
        <f t="shared" si="167"/>
        <v>-213.31236498797284</v>
      </c>
      <c r="T302" s="23">
        <f t="shared" si="168"/>
        <v>-38.498636622693368</v>
      </c>
      <c r="U302" s="14">
        <f t="shared" si="147"/>
        <v>20000</v>
      </c>
      <c r="V302" s="14">
        <f t="shared" si="148"/>
        <v>-89.999957584940248</v>
      </c>
      <c r="W302" s="14">
        <f t="shared" si="149"/>
        <v>-122.61205098360882</v>
      </c>
      <c r="X302" s="14">
        <f t="shared" si="150"/>
        <v>89.915169942464772</v>
      </c>
      <c r="Y302" s="14">
        <f t="shared" si="151"/>
        <v>56.591460590365827</v>
      </c>
      <c r="Z302" s="14">
        <f t="shared" si="152"/>
        <v>-71.958312909816115</v>
      </c>
      <c r="AA302" s="14">
        <f t="shared" si="153"/>
        <v>-10.180926864959392</v>
      </c>
      <c r="AB302" s="23">
        <f t="shared" si="169"/>
        <v>-72.043100552291591</v>
      </c>
      <c r="AC302" s="23">
        <f t="shared" si="170"/>
        <v>9.819082655077235</v>
      </c>
      <c r="AD302" s="14">
        <f t="shared" si="154"/>
        <v>67.846041509504204</v>
      </c>
      <c r="AE302" s="14">
        <f t="shared" si="155"/>
        <v>8.4709463393215749</v>
      </c>
      <c r="AF302" s="14">
        <f t="shared" si="156"/>
        <v>2.1098781931982304</v>
      </c>
      <c r="AG302" s="14">
        <f t="shared" si="157"/>
        <v>5.8904976980711779E-3</v>
      </c>
      <c r="AH302" s="14">
        <f t="shared" si="158"/>
        <v>-55.839488944205463</v>
      </c>
      <c r="AI302" s="14">
        <f t="shared" si="159"/>
        <v>-5.0128004367045298</v>
      </c>
      <c r="AJ302" s="23">
        <f t="shared" si="171"/>
        <v>14.116430758496968</v>
      </c>
      <c r="AK302" s="23">
        <f t="shared" si="172"/>
        <v>3.4640364003151172</v>
      </c>
      <c r="AL302" s="14">
        <f t="shared" si="160"/>
        <v>0</v>
      </c>
      <c r="AM302" s="14">
        <f t="shared" si="161"/>
        <v>0</v>
      </c>
      <c r="AN302" s="14">
        <f t="shared" si="162"/>
        <v>0</v>
      </c>
      <c r="AO302" s="14">
        <f t="shared" si="163"/>
        <v>0</v>
      </c>
      <c r="AP302" s="23">
        <f t="shared" si="173"/>
        <v>0</v>
      </c>
      <c r="AQ302" s="23">
        <f t="shared" si="174"/>
        <v>0</v>
      </c>
    </row>
    <row r="303" spans="8:43" x14ac:dyDescent="0.25">
      <c r="H303" s="14">
        <v>4</v>
      </c>
      <c r="I303" s="36">
        <f t="shared" si="164"/>
        <v>100000</v>
      </c>
      <c r="J303" s="24">
        <f t="shared" si="165"/>
        <v>-92.505706753395657</v>
      </c>
      <c r="K303" s="24">
        <f t="shared" si="166"/>
        <v>-25.445025057421791</v>
      </c>
      <c r="L303" s="14">
        <f t="shared" si="140"/>
        <v>0.67018069634200106</v>
      </c>
      <c r="M303" s="14">
        <f t="shared" si="141"/>
        <v>-84.421997014096007</v>
      </c>
      <c r="N303" s="14">
        <f t="shared" si="142"/>
        <v>20.246602806064907</v>
      </c>
      <c r="O303" s="14">
        <f t="shared" si="143"/>
        <v>-89.87265215418627</v>
      </c>
      <c r="P303" s="14">
        <f t="shared" si="144"/>
        <v>-53.062627740982734</v>
      </c>
      <c r="Q303" s="14">
        <f t="shared" si="145"/>
        <v>-39.797153304094984</v>
      </c>
      <c r="R303" s="14">
        <f t="shared" si="146"/>
        <v>-2.2892100724543103</v>
      </c>
      <c r="S303" s="23">
        <f t="shared" si="167"/>
        <v>-214.09180247237725</v>
      </c>
      <c r="T303" s="23">
        <f t="shared" si="168"/>
        <v>-38.581396719209991</v>
      </c>
      <c r="U303" s="14">
        <f t="shared" si="147"/>
        <v>20000</v>
      </c>
      <c r="V303" s="14">
        <f t="shared" si="148"/>
        <v>-89.999958550424864</v>
      </c>
      <c r="W303" s="14">
        <f t="shared" si="149"/>
        <v>-122.8120509836087</v>
      </c>
      <c r="X303" s="14">
        <f t="shared" si="150"/>
        <v>89.917100907594502</v>
      </c>
      <c r="Y303" s="14">
        <f t="shared" si="151"/>
        <v>56.79146016189393</v>
      </c>
      <c r="Z303" s="14">
        <f t="shared" si="152"/>
        <v>-72.343212848587143</v>
      </c>
      <c r="AA303" s="14">
        <f t="shared" si="153"/>
        <v>-10.362137382398968</v>
      </c>
      <c r="AB303" s="23">
        <f t="shared" si="169"/>
        <v>-72.426070491417505</v>
      </c>
      <c r="AC303" s="23">
        <f t="shared" si="170"/>
        <v>9.6378717091658874</v>
      </c>
      <c r="AD303" s="14">
        <f t="shared" si="154"/>
        <v>68.30301602845995</v>
      </c>
      <c r="AE303" s="14">
        <f t="shared" si="155"/>
        <v>8.6430615588034012</v>
      </c>
      <c r="AF303" s="14">
        <f t="shared" si="156"/>
        <v>2.1589775911168214</v>
      </c>
      <c r="AG303" s="14">
        <f t="shared" si="157"/>
        <v>6.167911259832199E-3</v>
      </c>
      <c r="AH303" s="14">
        <f t="shared" si="158"/>
        <v>-56.449827409177672</v>
      </c>
      <c r="AI303" s="14">
        <f t="shared" si="159"/>
        <v>-5.1507295174409196</v>
      </c>
      <c r="AJ303" s="23">
        <f t="shared" si="171"/>
        <v>14.012166210399101</v>
      </c>
      <c r="AK303" s="23">
        <f t="shared" si="172"/>
        <v>3.4984999526223133</v>
      </c>
      <c r="AL303" s="14">
        <f t="shared" si="160"/>
        <v>0</v>
      </c>
      <c r="AM303" s="14">
        <f t="shared" si="161"/>
        <v>0</v>
      </c>
      <c r="AN303" s="14">
        <f t="shared" si="162"/>
        <v>0</v>
      </c>
      <c r="AO303" s="14">
        <f t="shared" si="163"/>
        <v>0</v>
      </c>
      <c r="AP303" s="23">
        <f t="shared" si="173"/>
        <v>0</v>
      </c>
      <c r="AQ303" s="23">
        <f t="shared" si="174"/>
        <v>0</v>
      </c>
    </row>
    <row r="304" spans="8:43" x14ac:dyDescent="0.25">
      <c r="H304" s="14">
        <v>4.01</v>
      </c>
      <c r="I304" s="36">
        <f t="shared" si="164"/>
        <v>102329.29922807548</v>
      </c>
      <c r="J304" s="24">
        <f>180+S304+AB304+AJ304+AP304</f>
        <v>-93.766003402093105</v>
      </c>
      <c r="K304" s="24">
        <f>T304+AC304+AK304+AQ304</f>
        <v>-25.678297068597384</v>
      </c>
      <c r="L304" s="14">
        <f t="shared" si="140"/>
        <v>0.67018069634200106</v>
      </c>
      <c r="M304" s="14">
        <f t="shared" si="141"/>
        <v>-84.548194041032957</v>
      </c>
      <c r="N304" s="14">
        <f t="shared" si="142"/>
        <v>20.444755663378785</v>
      </c>
      <c r="O304" s="14">
        <f t="shared" si="143"/>
        <v>-89.875550935838859</v>
      </c>
      <c r="P304" s="14">
        <f t="shared" si="144"/>
        <v>-53.26262677536409</v>
      </c>
      <c r="Q304" s="14">
        <f t="shared" si="145"/>
        <v>-40.447241807970208</v>
      </c>
      <c r="R304" s="14">
        <f t="shared" si="146"/>
        <v>-2.3722651174904246</v>
      </c>
      <c r="S304" s="23">
        <f>M304+O304+Q304</f>
        <v>-214.87098678484205</v>
      </c>
      <c r="T304" s="23">
        <f>20*LOG(L304)+N304+P304+R304</f>
        <v>-38.66629794131358</v>
      </c>
      <c r="U304" s="14">
        <f t="shared" si="147"/>
        <v>20000</v>
      </c>
      <c r="V304" s="14">
        <f t="shared" si="148"/>
        <v>-89.999959493932394</v>
      </c>
      <c r="W304" s="14">
        <f t="shared" si="149"/>
        <v>-123.0120509836086</v>
      </c>
      <c r="X304" s="14">
        <f t="shared" si="150"/>
        <v>89.918987918773595</v>
      </c>
      <c r="Y304" s="14">
        <f t="shared" si="151"/>
        <v>56.991459752706419</v>
      </c>
      <c r="Z304" s="14">
        <f t="shared" si="152"/>
        <v>-72.720948691763169</v>
      </c>
      <c r="AA304" s="14">
        <f t="shared" si="153"/>
        <v>-10.5441173601551</v>
      </c>
      <c r="AB304" s="23">
        <f>V304+X304+Z304</f>
        <v>-72.801920266921968</v>
      </c>
      <c r="AC304" s="23">
        <f>20*LOG(U304)+W304+Y304+AA304</f>
        <v>9.4558913222223406</v>
      </c>
      <c r="AD304" s="14">
        <f t="shared" si="154"/>
        <v>68.752408682408131</v>
      </c>
      <c r="AE304" s="14">
        <f t="shared" si="155"/>
        <v>8.8162636179904652</v>
      </c>
      <c r="AF304" s="14">
        <f t="shared" si="156"/>
        <v>2.2092173764436884</v>
      </c>
      <c r="AG304" s="14">
        <f t="shared" si="157"/>
        <v>6.4583799285411227E-3</v>
      </c>
      <c r="AH304" s="14">
        <f t="shared" si="158"/>
        <v>-57.054722409180904</v>
      </c>
      <c r="AI304" s="14">
        <f t="shared" si="159"/>
        <v>-5.2906124474251515</v>
      </c>
      <c r="AJ304" s="23">
        <f>AD304+AF304+AH304</f>
        <v>13.906903649670916</v>
      </c>
      <c r="AK304" s="23">
        <f>AE304+AG304+AI304</f>
        <v>3.5321095504938542</v>
      </c>
      <c r="AL304" s="14">
        <f t="shared" si="160"/>
        <v>0</v>
      </c>
      <c r="AM304" s="14">
        <f t="shared" si="161"/>
        <v>0</v>
      </c>
      <c r="AN304" s="14">
        <f t="shared" si="162"/>
        <v>0</v>
      </c>
      <c r="AO304" s="14">
        <f t="shared" si="163"/>
        <v>0</v>
      </c>
      <c r="AP304" s="23">
        <f>AL304+AN304</f>
        <v>0</v>
      </c>
      <c r="AQ304" s="23">
        <f>AM304+AO304</f>
        <v>0</v>
      </c>
    </row>
    <row r="305" spans="8:43" x14ac:dyDescent="0.25">
      <c r="H305" s="14">
        <v>4.0199999999999996</v>
      </c>
      <c r="I305" s="36">
        <f t="shared" si="164"/>
        <v>104712.85480509003</v>
      </c>
      <c r="J305" s="24">
        <f t="shared" ref="J305:J368" si="175">180+S305+AB305+AJ305+AP305</f>
        <v>-95.01946935104209</v>
      </c>
      <c r="K305" s="24">
        <f t="shared" ref="K305:K368" si="176">T305+AC305+AK305+AQ305</f>
        <v>-25.915326207367769</v>
      </c>
      <c r="L305" s="14">
        <f t="shared" si="140"/>
        <v>0.67018069634200106</v>
      </c>
      <c r="M305" s="14">
        <f t="shared" si="141"/>
        <v>-84.671569761614151</v>
      </c>
      <c r="N305" s="14">
        <f t="shared" si="142"/>
        <v>20.642990922121058</v>
      </c>
      <c r="O305" s="14">
        <f t="shared" si="143"/>
        <v>-89.878383733780822</v>
      </c>
      <c r="P305" s="14">
        <f t="shared" si="144"/>
        <v>-53.462625853205239</v>
      </c>
      <c r="Q305" s="14">
        <f t="shared" si="145"/>
        <v>-41.09970319187093</v>
      </c>
      <c r="R305" s="14">
        <f t="shared" si="146"/>
        <v>-2.4575648981081377</v>
      </c>
      <c r="S305" s="23">
        <f t="shared" ref="S305:S368" si="177">M305+O305+Q305</f>
        <v>-215.64965668726589</v>
      </c>
      <c r="T305" s="23">
        <f t="shared" ref="T305:T368" si="178">20*LOG(L305)+N305+P305+R305</f>
        <v>-38.753361541030173</v>
      </c>
      <c r="U305" s="14">
        <f t="shared" si="147"/>
        <v>20000</v>
      </c>
      <c r="V305" s="14">
        <f t="shared" si="148"/>
        <v>-89.999960415963059</v>
      </c>
      <c r="W305" s="14">
        <f t="shared" si="149"/>
        <v>-123.21205098360851</v>
      </c>
      <c r="X305" s="14">
        <f t="shared" si="150"/>
        <v>89.920831976503976</v>
      </c>
      <c r="Y305" s="14">
        <f t="shared" si="151"/>
        <v>57.191459361935337</v>
      </c>
      <c r="Z305" s="14">
        <f t="shared" si="152"/>
        <v>-73.091589329274399</v>
      </c>
      <c r="AA305" s="14">
        <f t="shared" si="153"/>
        <v>-10.726838292610243</v>
      </c>
      <c r="AB305" s="23">
        <f t="shared" ref="AB305:AB368" si="179">V305+X305+Z305</f>
        <v>-73.170717768733482</v>
      </c>
      <c r="AC305" s="23">
        <f t="shared" ref="AC305:AC368" si="180">20*LOG(U305)+W305+Y305+AA305</f>
        <v>9.2731699989962131</v>
      </c>
      <c r="AD305" s="14">
        <f t="shared" si="154"/>
        <v>69.194236518118217</v>
      </c>
      <c r="AE305" s="14">
        <f t="shared" si="155"/>
        <v>8.9905164936821329</v>
      </c>
      <c r="AF305" s="14">
        <f t="shared" si="156"/>
        <v>2.2606238777806258</v>
      </c>
      <c r="AG305" s="14">
        <f t="shared" si="157"/>
        <v>6.762517142965596E-3</v>
      </c>
      <c r="AH305" s="14">
        <f t="shared" si="158"/>
        <v>-57.653955290941575</v>
      </c>
      <c r="AI305" s="14">
        <f t="shared" si="159"/>
        <v>-5.4324136761589088</v>
      </c>
      <c r="AJ305" s="23">
        <f t="shared" ref="AJ305:AJ368" si="181">AD305+AF305+AH305</f>
        <v>13.800905104957273</v>
      </c>
      <c r="AK305" s="23">
        <f t="shared" ref="AK305:AK368" si="182">AE305+AG305+AI305</f>
        <v>3.5648653346661892</v>
      </c>
      <c r="AL305" s="14">
        <f t="shared" si="160"/>
        <v>0</v>
      </c>
      <c r="AM305" s="14">
        <f t="shared" si="161"/>
        <v>0</v>
      </c>
      <c r="AN305" s="14">
        <f t="shared" si="162"/>
        <v>0</v>
      </c>
      <c r="AO305" s="14">
        <f t="shared" si="163"/>
        <v>0</v>
      </c>
      <c r="AP305" s="23">
        <f t="shared" ref="AP305:AP368" si="183">AL305+AN305</f>
        <v>0</v>
      </c>
      <c r="AQ305" s="23">
        <f t="shared" ref="AQ305:AQ368" si="184">AM305+AO305</f>
        <v>0</v>
      </c>
    </row>
    <row r="306" spans="8:43" x14ac:dyDescent="0.25">
      <c r="H306" s="14">
        <v>4.03</v>
      </c>
      <c r="I306" s="36">
        <f t="shared" si="164"/>
        <v>107151.9305237607</v>
      </c>
      <c r="J306" s="24">
        <f t="shared" si="175"/>
        <v>-96.265649872198949</v>
      </c>
      <c r="K306" s="24">
        <f t="shared" si="176"/>
        <v>-26.156101780117702</v>
      </c>
      <c r="L306" s="14">
        <f t="shared" si="140"/>
        <v>0.67018069634200106</v>
      </c>
      <c r="M306" s="14">
        <f t="shared" si="141"/>
        <v>-84.792185012252901</v>
      </c>
      <c r="N306" s="14">
        <f t="shared" si="142"/>
        <v>20.841304937628653</v>
      </c>
      <c r="O306" s="14">
        <f t="shared" si="143"/>
        <v>-89.88115204994368</v>
      </c>
      <c r="P306" s="14">
        <f t="shared" si="144"/>
        <v>-53.662624972550191</v>
      </c>
      <c r="Q306" s="14">
        <f t="shared" si="145"/>
        <v>-41.754206573479976</v>
      </c>
      <c r="R306" s="14">
        <f t="shared" si="146"/>
        <v>-2.5451246580831</v>
      </c>
      <c r="S306" s="23">
        <f t="shared" si="177"/>
        <v>-216.42754363567656</v>
      </c>
      <c r="T306" s="23">
        <f t="shared" si="178"/>
        <v>-38.842606404842485</v>
      </c>
      <c r="U306" s="14">
        <f t="shared" si="147"/>
        <v>20000</v>
      </c>
      <c r="V306" s="14">
        <f t="shared" si="148"/>
        <v>-89.999961317005756</v>
      </c>
      <c r="W306" s="14">
        <f t="shared" si="149"/>
        <v>-123.41205098360842</v>
      </c>
      <c r="X306" s="14">
        <f t="shared" si="150"/>
        <v>89.922634058514205</v>
      </c>
      <c r="Y306" s="14">
        <f t="shared" si="151"/>
        <v>57.391458988751822</v>
      </c>
      <c r="Z306" s="14">
        <f t="shared" si="152"/>
        <v>-73.455207153805475</v>
      </c>
      <c r="AA306" s="14">
        <f t="shared" si="153"/>
        <v>-10.910272486684022</v>
      </c>
      <c r="AB306" s="23">
        <f t="shared" si="179"/>
        <v>-73.532534412297025</v>
      </c>
      <c r="AC306" s="23">
        <f t="shared" si="180"/>
        <v>9.0897354317390011</v>
      </c>
      <c r="AD306" s="14">
        <f t="shared" si="154"/>
        <v>69.628523554259417</v>
      </c>
      <c r="AE306" s="14">
        <f t="shared" si="155"/>
        <v>9.1657848650447935</v>
      </c>
      <c r="AF306" s="14">
        <f t="shared" si="156"/>
        <v>2.3132240202922141</v>
      </c>
      <c r="AG306" s="14">
        <f t="shared" si="157"/>
        <v>7.0809650762519698E-3</v>
      </c>
      <c r="AH306" s="14">
        <f t="shared" si="158"/>
        <v>-58.247319398776995</v>
      </c>
      <c r="AI306" s="14">
        <f t="shared" si="159"/>
        <v>-5.5760966371352652</v>
      </c>
      <c r="AJ306" s="23">
        <f t="shared" si="181"/>
        <v>13.694428175774632</v>
      </c>
      <c r="AK306" s="23">
        <f t="shared" si="182"/>
        <v>3.5967691929857804</v>
      </c>
      <c r="AL306" s="14">
        <f t="shared" si="160"/>
        <v>0</v>
      </c>
      <c r="AM306" s="14">
        <f t="shared" si="161"/>
        <v>0</v>
      </c>
      <c r="AN306" s="14">
        <f t="shared" si="162"/>
        <v>0</v>
      </c>
      <c r="AO306" s="14">
        <f t="shared" si="163"/>
        <v>0</v>
      </c>
      <c r="AP306" s="23">
        <f t="shared" si="183"/>
        <v>0</v>
      </c>
      <c r="AQ306" s="23">
        <f t="shared" si="184"/>
        <v>0</v>
      </c>
    </row>
    <row r="307" spans="8:43" x14ac:dyDescent="0.25">
      <c r="H307" s="14">
        <v>4.04</v>
      </c>
      <c r="I307" s="36">
        <f t="shared" si="164"/>
        <v>109647.81961431856</v>
      </c>
      <c r="J307" s="24">
        <f t="shared" si="175"/>
        <v>-97.504091919824461</v>
      </c>
      <c r="K307" s="24">
        <f t="shared" si="176"/>
        <v>-26.400609821509157</v>
      </c>
      <c r="L307" s="14">
        <f t="shared" si="140"/>
        <v>0.67018069634200106</v>
      </c>
      <c r="M307" s="14">
        <f t="shared" si="141"/>
        <v>-84.910099466254962</v>
      </c>
      <c r="N307" s="14">
        <f t="shared" si="142"/>
        <v>21.039694223712662</v>
      </c>
      <c r="O307" s="14">
        <f t="shared" si="143"/>
        <v>-89.883857352073576</v>
      </c>
      <c r="P307" s="14">
        <f t="shared" si="144"/>
        <v>-53.862624131530978</v>
      </c>
      <c r="Q307" s="14">
        <f t="shared" si="145"/>
        <v>-42.410415781287398</v>
      </c>
      <c r="R307" s="14">
        <f t="shared" si="146"/>
        <v>-2.6349573784673574</v>
      </c>
      <c r="S307" s="23">
        <f t="shared" si="177"/>
        <v>-217.20437259961591</v>
      </c>
      <c r="T307" s="23">
        <f t="shared" si="178"/>
        <v>-38.934048998123522</v>
      </c>
      <c r="U307" s="14">
        <f t="shared" si="147"/>
        <v>20000</v>
      </c>
      <c r="V307" s="14">
        <f t="shared" si="148"/>
        <v>-89.999962197538196</v>
      </c>
      <c r="W307" s="14">
        <f t="shared" si="149"/>
        <v>-123.61205098360833</v>
      </c>
      <c r="X307" s="14">
        <f t="shared" si="150"/>
        <v>89.924395120277723</v>
      </c>
      <c r="Y307" s="14">
        <f t="shared" si="151"/>
        <v>57.591458632364301</v>
      </c>
      <c r="Z307" s="14">
        <f t="shared" si="152"/>
        <v>-73.811877756411931</v>
      </c>
      <c r="AA307" s="14">
        <f t="shared" si="153"/>
        <v>-11.094393058766155</v>
      </c>
      <c r="AB307" s="23">
        <f t="shared" si="179"/>
        <v>-73.887444833672404</v>
      </c>
      <c r="AC307" s="23">
        <f t="shared" si="180"/>
        <v>8.9056145032694438</v>
      </c>
      <c r="AD307" s="14">
        <f t="shared" si="154"/>
        <v>70.055300391473068</v>
      </c>
      <c r="AE307" s="14">
        <f t="shared" si="155"/>
        <v>9.3420341395633102</v>
      </c>
      <c r="AF307" s="14">
        <f t="shared" si="156"/>
        <v>2.3670453384134946</v>
      </c>
      <c r="AG307" s="14">
        <f t="shared" si="157"/>
        <v>7.4143959732215449E-3</v>
      </c>
      <c r="AH307" s="14">
        <f t="shared" si="158"/>
        <v>-58.834620216422707</v>
      </c>
      <c r="AI307" s="14">
        <f t="shared" si="159"/>
        <v>-5.721623862191608</v>
      </c>
      <c r="AJ307" s="23">
        <f t="shared" si="181"/>
        <v>13.587725513463852</v>
      </c>
      <c r="AK307" s="23">
        <f t="shared" si="182"/>
        <v>3.6278246733449233</v>
      </c>
      <c r="AL307" s="14">
        <f t="shared" si="160"/>
        <v>0</v>
      </c>
      <c r="AM307" s="14">
        <f t="shared" si="161"/>
        <v>0</v>
      </c>
      <c r="AN307" s="14">
        <f t="shared" si="162"/>
        <v>0</v>
      </c>
      <c r="AO307" s="14">
        <f t="shared" si="163"/>
        <v>0</v>
      </c>
      <c r="AP307" s="23">
        <f t="shared" si="183"/>
        <v>0</v>
      </c>
      <c r="AQ307" s="23">
        <f t="shared" si="184"/>
        <v>0</v>
      </c>
    </row>
    <row r="308" spans="8:43" x14ac:dyDescent="0.25">
      <c r="H308" s="14">
        <v>4.05</v>
      </c>
      <c r="I308" s="36">
        <f t="shared" si="164"/>
        <v>112201.84543019639</v>
      </c>
      <c r="J308" s="24">
        <f t="shared" si="175"/>
        <v>-98.734345152155697</v>
      </c>
      <c r="K308" s="24">
        <f t="shared" si="176"/>
        <v>-26.648833132287194</v>
      </c>
      <c r="L308" s="14">
        <f t="shared" si="140"/>
        <v>0.67018069634200106</v>
      </c>
      <c r="M308" s="14">
        <f t="shared" si="141"/>
        <v>-85.025371645946549</v>
      </c>
      <c r="N308" s="14">
        <f t="shared" si="142"/>
        <v>21.238155446006385</v>
      </c>
      <c r="O308" s="14">
        <f t="shared" si="143"/>
        <v>-89.886501074509255</v>
      </c>
      <c r="P308" s="14">
        <f t="shared" si="144"/>
        <v>-54.062623328363713</v>
      </c>
      <c r="Q308" s="14">
        <f t="shared" si="145"/>
        <v>-43.06799019480686</v>
      </c>
      <c r="R308" s="14">
        <f t="shared" si="146"/>
        <v>-2.7270737238781138</v>
      </c>
      <c r="S308" s="23">
        <f t="shared" si="177"/>
        <v>-217.97986291526266</v>
      </c>
      <c r="T308" s="23">
        <f t="shared" si="178"/>
        <v>-39.0277033180733</v>
      </c>
      <c r="U308" s="14">
        <f t="shared" si="147"/>
        <v>20000</v>
      </c>
      <c r="V308" s="14">
        <f t="shared" si="148"/>
        <v>-89.999963058027291</v>
      </c>
      <c r="W308" s="14">
        <f t="shared" si="149"/>
        <v>-123.81205098360823</v>
      </c>
      <c r="X308" s="14">
        <f t="shared" si="150"/>
        <v>89.926116095519447</v>
      </c>
      <c r="Y308" s="14">
        <f t="shared" si="151"/>
        <v>57.791458292016827</v>
      </c>
      <c r="Z308" s="14">
        <f t="shared" si="152"/>
        <v>-74.161679634101162</v>
      </c>
      <c r="AA308" s="14">
        <f t="shared" si="153"/>
        <v>-11.279173929711803</v>
      </c>
      <c r="AB308" s="23">
        <f t="shared" si="179"/>
        <v>-74.235526596609006</v>
      </c>
      <c r="AC308" s="23">
        <f t="shared" si="180"/>
        <v>8.7208332919764189</v>
      </c>
      <c r="AD308" s="14">
        <f t="shared" si="154"/>
        <v>70.474603826903561</v>
      </c>
      <c r="AE308" s="14">
        <f t="shared" si="155"/>
        <v>9.5192304751174479</v>
      </c>
      <c r="AF308" s="14">
        <f t="shared" si="156"/>
        <v>2.4221159887695434</v>
      </c>
      <c r="AG308" s="14">
        <f t="shared" si="157"/>
        <v>7.7635135490443678E-3</v>
      </c>
      <c r="AH308" s="14">
        <f t="shared" si="158"/>
        <v>-59.41567545595715</v>
      </c>
      <c r="AI308" s="14">
        <f t="shared" si="159"/>
        <v>-5.8689570948568033</v>
      </c>
      <c r="AJ308" s="23">
        <f t="shared" si="181"/>
        <v>13.481044359715959</v>
      </c>
      <c r="AK308" s="23">
        <f t="shared" si="182"/>
        <v>3.6580368938096886</v>
      </c>
      <c r="AL308" s="14">
        <f t="shared" si="160"/>
        <v>0</v>
      </c>
      <c r="AM308" s="14">
        <f t="shared" si="161"/>
        <v>0</v>
      </c>
      <c r="AN308" s="14">
        <f t="shared" si="162"/>
        <v>0</v>
      </c>
      <c r="AO308" s="14">
        <f t="shared" si="163"/>
        <v>0</v>
      </c>
      <c r="AP308" s="23">
        <f t="shared" si="183"/>
        <v>0</v>
      </c>
      <c r="AQ308" s="23">
        <f t="shared" si="184"/>
        <v>0</v>
      </c>
    </row>
    <row r="309" spans="8:43" x14ac:dyDescent="0.25">
      <c r="H309" s="14">
        <v>4.0599999999999996</v>
      </c>
      <c r="I309" s="36">
        <f t="shared" si="164"/>
        <v>114815.36214968831</v>
      </c>
      <c r="J309" s="24">
        <f t="shared" si="175"/>
        <v>-99.955962936922234</v>
      </c>
      <c r="K309" s="24">
        <f t="shared" si="176"/>
        <v>-26.900751326308708</v>
      </c>
      <c r="L309" s="14">
        <f t="shared" si="140"/>
        <v>0.67018069634200106</v>
      </c>
      <c r="M309" s="14">
        <f t="shared" si="141"/>
        <v>-85.13805893543605</v>
      </c>
      <c r="N309" s="14">
        <f t="shared" si="142"/>
        <v>21.436685415571624</v>
      </c>
      <c r="O309" s="14">
        <f t="shared" si="143"/>
        <v>-89.889084618942263</v>
      </c>
      <c r="P309" s="14">
        <f t="shared" si="144"/>
        <v>-54.262622561344791</v>
      </c>
      <c r="Q309" s="14">
        <f t="shared" si="145"/>
        <v>-43.726585612872306</v>
      </c>
      <c r="R309" s="14">
        <f t="shared" si="146"/>
        <v>-2.8214819980235606</v>
      </c>
      <c r="S309" s="23">
        <f t="shared" si="177"/>
        <v>-218.75372916725061</v>
      </c>
      <c r="T309" s="23">
        <f t="shared" si="178"/>
        <v>-39.123580855634579</v>
      </c>
      <c r="U309" s="14">
        <f t="shared" si="147"/>
        <v>20000</v>
      </c>
      <c r="V309" s="14">
        <f t="shared" si="148"/>
        <v>-89.999963898929252</v>
      </c>
      <c r="W309" s="14">
        <f t="shared" si="149"/>
        <v>-124.01205098360816</v>
      </c>
      <c r="X309" s="14">
        <f t="shared" si="150"/>
        <v>89.927797896710857</v>
      </c>
      <c r="Y309" s="14">
        <f t="shared" si="151"/>
        <v>57.99145796698749</v>
      </c>
      <c r="Z309" s="14">
        <f t="shared" si="152"/>
        <v>-74.504693909546091</v>
      </c>
      <c r="AA309" s="14">
        <f t="shared" si="153"/>
        <v>-11.464589818078233</v>
      </c>
      <c r="AB309" s="23">
        <f t="shared" si="179"/>
        <v>-74.576859911764487</v>
      </c>
      <c r="AC309" s="23">
        <f t="shared" si="180"/>
        <v>8.5354170785807195</v>
      </c>
      <c r="AD309" s="14">
        <f t="shared" si="154"/>
        <v>70.886476474567573</v>
      </c>
      <c r="AE309" s="14">
        <f t="shared" si="155"/>
        <v>9.6973407983808837</v>
      </c>
      <c r="AF309" s="14">
        <f t="shared" si="156"/>
        <v>2.4784647633059356</v>
      </c>
      <c r="AG309" s="14">
        <f t="shared" si="157"/>
        <v>8.129054452054538E-3</v>
      </c>
      <c r="AH309" s="14">
        <f t="shared" si="158"/>
        <v>-59.990315095780645</v>
      </c>
      <c r="AI309" s="14">
        <f t="shared" si="159"/>
        <v>-6.0180574020877895</v>
      </c>
      <c r="AJ309" s="23">
        <f t="shared" si="181"/>
        <v>13.374626142092865</v>
      </c>
      <c r="AK309" s="23">
        <f t="shared" si="182"/>
        <v>3.687412450745148</v>
      </c>
      <c r="AL309" s="14">
        <f t="shared" si="160"/>
        <v>0</v>
      </c>
      <c r="AM309" s="14">
        <f t="shared" si="161"/>
        <v>0</v>
      </c>
      <c r="AN309" s="14">
        <f t="shared" si="162"/>
        <v>0</v>
      </c>
      <c r="AO309" s="14">
        <f t="shared" si="163"/>
        <v>0</v>
      </c>
      <c r="AP309" s="23">
        <f t="shared" si="183"/>
        <v>0</v>
      </c>
      <c r="AQ309" s="23">
        <f t="shared" si="184"/>
        <v>0</v>
      </c>
    </row>
    <row r="310" spans="8:43" x14ac:dyDescent="0.25">
      <c r="H310" s="14">
        <v>4.07</v>
      </c>
      <c r="I310" s="36">
        <f t="shared" si="164"/>
        <v>117489.75549395318</v>
      </c>
      <c r="J310" s="24">
        <f t="shared" si="175"/>
        <v>-101.16850333646762</v>
      </c>
      <c r="K310" s="24">
        <f t="shared" si="176"/>
        <v>-27.156340886601146</v>
      </c>
      <c r="L310" s="14">
        <f t="shared" si="140"/>
        <v>0.67018069634200106</v>
      </c>
      <c r="M310" s="14">
        <f t="shared" si="141"/>
        <v>-85.248217593938975</v>
      </c>
      <c r="N310" s="14">
        <f t="shared" si="142"/>
        <v>21.635281082755071</v>
      </c>
      <c r="O310" s="14">
        <f t="shared" si="143"/>
        <v>-89.891609355160014</v>
      </c>
      <c r="P310" s="14">
        <f t="shared" si="144"/>
        <v>-54.462621828847297</v>
      </c>
      <c r="Q310" s="14">
        <f t="shared" si="145"/>
        <v>-44.385855144722036</v>
      </c>
      <c r="R310" s="14">
        <f t="shared" si="146"/>
        <v>-2.9181881088572363</v>
      </c>
      <c r="S310" s="23">
        <f t="shared" si="177"/>
        <v>-219.52568209382102</v>
      </c>
      <c r="T310" s="23">
        <f t="shared" si="178"/>
        <v>-39.221690566787316</v>
      </c>
      <c r="U310" s="14">
        <f t="shared" si="147"/>
        <v>20000</v>
      </c>
      <c r="V310" s="14">
        <f t="shared" si="148"/>
        <v>-89.999964720689945</v>
      </c>
      <c r="W310" s="14">
        <f t="shared" si="149"/>
        <v>-124.21205098360809</v>
      </c>
      <c r="X310" s="14">
        <f t="shared" si="150"/>
        <v>89.929441415553541</v>
      </c>
      <c r="Y310" s="14">
        <f t="shared" si="151"/>
        <v>58.191457656586884</v>
      </c>
      <c r="Z310" s="14">
        <f t="shared" si="152"/>
        <v>-74.841004063018701</v>
      </c>
      <c r="AA310" s="14">
        <f t="shared" si="153"/>
        <v>-11.650616231774141</v>
      </c>
      <c r="AB310" s="23">
        <f t="shared" si="179"/>
        <v>-74.911527368155106</v>
      </c>
      <c r="AC310" s="23">
        <f t="shared" si="180"/>
        <v>8.3493903544842745</v>
      </c>
      <c r="AD310" s="14">
        <f t="shared" si="154"/>
        <v>71.290966392784213</v>
      </c>
      <c r="AE310" s="14">
        <f t="shared" si="155"/>
        <v>9.8763328197456222</v>
      </c>
      <c r="AF310" s="14">
        <f t="shared" si="156"/>
        <v>2.536121102628714</v>
      </c>
      <c r="AG310" s="14">
        <f t="shared" si="157"/>
        <v>8.5117897935780753E-3</v>
      </c>
      <c r="AH310" s="14">
        <f t="shared" si="158"/>
        <v>-60.558381369904424</v>
      </c>
      <c r="AI310" s="14">
        <f t="shared" si="159"/>
        <v>-6.1688852838373052</v>
      </c>
      <c r="AJ310" s="23">
        <f t="shared" si="181"/>
        <v>13.268706125508501</v>
      </c>
      <c r="AK310" s="23">
        <f t="shared" si="182"/>
        <v>3.7159593257018955</v>
      </c>
      <c r="AL310" s="14">
        <f t="shared" si="160"/>
        <v>0</v>
      </c>
      <c r="AM310" s="14">
        <f t="shared" si="161"/>
        <v>0</v>
      </c>
      <c r="AN310" s="14">
        <f t="shared" si="162"/>
        <v>0</v>
      </c>
      <c r="AO310" s="14">
        <f t="shared" si="163"/>
        <v>0</v>
      </c>
      <c r="AP310" s="23">
        <f t="shared" si="183"/>
        <v>0</v>
      </c>
      <c r="AQ310" s="23">
        <f t="shared" si="184"/>
        <v>0</v>
      </c>
    </row>
    <row r="311" spans="8:43" x14ac:dyDescent="0.25">
      <c r="H311" s="14">
        <v>4.08</v>
      </c>
      <c r="I311" s="36">
        <f t="shared" si="164"/>
        <v>120226.44346174151</v>
      </c>
      <c r="J311" s="24">
        <f t="shared" si="175"/>
        <v>-102.37153006830565</v>
      </c>
      <c r="K311" s="24">
        <f t="shared" si="176"/>
        <v>-27.415575230214557</v>
      </c>
      <c r="L311" s="14">
        <f t="shared" si="140"/>
        <v>0.67018069634200106</v>
      </c>
      <c r="M311" s="14">
        <f t="shared" si="141"/>
        <v>-85.355902769601286</v>
      </c>
      <c r="N311" s="14">
        <f t="shared" si="142"/>
        <v>21.833939531286639</v>
      </c>
      <c r="O311" s="14">
        <f t="shared" si="143"/>
        <v>-89.894076621771845</v>
      </c>
      <c r="P311" s="14">
        <f t="shared" si="144"/>
        <v>-54.662621129317486</v>
      </c>
      <c r="Q311" s="14">
        <f t="shared" si="145"/>
        <v>-45.045450118308295</v>
      </c>
      <c r="R311" s="14">
        <f t="shared" si="146"/>
        <v>-3.0171955436701738</v>
      </c>
      <c r="S311" s="23">
        <f t="shared" si="177"/>
        <v>-220.29542950968141</v>
      </c>
      <c r="T311" s="23">
        <f t="shared" si="178"/>
        <v>-39.322038853538878</v>
      </c>
      <c r="U311" s="14">
        <f t="shared" si="147"/>
        <v>20000</v>
      </c>
      <c r="V311" s="14">
        <f t="shared" si="148"/>
        <v>-89.99996552374509</v>
      </c>
      <c r="W311" s="14">
        <f t="shared" si="149"/>
        <v>-124.41205098360803</v>
      </c>
      <c r="X311" s="14">
        <f t="shared" si="150"/>
        <v>89.931047523452179</v>
      </c>
      <c r="Y311" s="14">
        <f t="shared" si="151"/>
        <v>58.391457360156558</v>
      </c>
      <c r="Z311" s="14">
        <f t="shared" si="152"/>
        <v>-75.170695676557528</v>
      </c>
      <c r="AA311" s="14">
        <f t="shared" si="153"/>
        <v>-11.837229458285085</v>
      </c>
      <c r="AB311" s="23">
        <f t="shared" si="179"/>
        <v>-75.239613676850439</v>
      </c>
      <c r="AC311" s="23">
        <f t="shared" si="180"/>
        <v>8.1627768315430718</v>
      </c>
      <c r="AD311" s="14">
        <f t="shared" si="154"/>
        <v>71.688126719736388</v>
      </c>
      <c r="AE311" s="14">
        <f t="shared" si="155"/>
        <v>10.056175044977536</v>
      </c>
      <c r="AF311" s="14">
        <f t="shared" si="156"/>
        <v>2.5951151095519411</v>
      </c>
      <c r="AG311" s="14">
        <f t="shared" si="157"/>
        <v>8.912526747684479E-3</v>
      </c>
      <c r="AH311" s="14">
        <f t="shared" si="158"/>
        <v>-61.11972871106213</v>
      </c>
      <c r="AI311" s="14">
        <f t="shared" si="159"/>
        <v>-6.3214007799439687</v>
      </c>
      <c r="AJ311" s="23">
        <f t="shared" si="181"/>
        <v>13.163513118226199</v>
      </c>
      <c r="AK311" s="23">
        <f t="shared" si="182"/>
        <v>3.7436867917812515</v>
      </c>
      <c r="AL311" s="14">
        <f t="shared" si="160"/>
        <v>0</v>
      </c>
      <c r="AM311" s="14">
        <f t="shared" si="161"/>
        <v>0</v>
      </c>
      <c r="AN311" s="14">
        <f t="shared" si="162"/>
        <v>0</v>
      </c>
      <c r="AO311" s="14">
        <f t="shared" si="163"/>
        <v>0</v>
      </c>
      <c r="AP311" s="23">
        <f t="shared" si="183"/>
        <v>0</v>
      </c>
      <c r="AQ311" s="23">
        <f t="shared" si="184"/>
        <v>0</v>
      </c>
    </row>
    <row r="312" spans="8:43" x14ac:dyDescent="0.25">
      <c r="H312" s="14">
        <v>4.09</v>
      </c>
      <c r="I312" s="36">
        <f t="shared" si="164"/>
        <v>123026.87708123817</v>
      </c>
      <c r="J312" s="24">
        <f t="shared" si="175"/>
        <v>-103.56461343703836</v>
      </c>
      <c r="K312" s="24">
        <f t="shared" si="176"/>
        <v>-27.678424781585409</v>
      </c>
      <c r="L312" s="14">
        <f t="shared" si="140"/>
        <v>0.67018069634200106</v>
      </c>
      <c r="M312" s="14">
        <f t="shared" si="141"/>
        <v>-85.461168513760271</v>
      </c>
      <c r="N312" s="14">
        <f t="shared" si="142"/>
        <v>22.032657972611975</v>
      </c>
      <c r="O312" s="14">
        <f t="shared" si="143"/>
        <v>-89.896487726918522</v>
      </c>
      <c r="P312" s="14">
        <f t="shared" si="144"/>
        <v>-54.862620461271597</v>
      </c>
      <c r="Q312" s="14">
        <f t="shared" si="145"/>
        <v>-45.705021000067504</v>
      </c>
      <c r="R312" s="14">
        <f t="shared" si="146"/>
        <v>-3.1185053543434273</v>
      </c>
      <c r="S312" s="23">
        <f t="shared" si="177"/>
        <v>-221.06267724074632</v>
      </c>
      <c r="T312" s="23">
        <f t="shared" si="178"/>
        <v>-39.424629554840905</v>
      </c>
      <c r="U312" s="14">
        <f t="shared" si="147"/>
        <v>20000</v>
      </c>
      <c r="V312" s="14">
        <f t="shared" si="148"/>
        <v>-89.999966308520456</v>
      </c>
      <c r="W312" s="14">
        <f t="shared" si="149"/>
        <v>-124.61205098360793</v>
      </c>
      <c r="X312" s="14">
        <f t="shared" si="150"/>
        <v>89.932617071976296</v>
      </c>
      <c r="Y312" s="14">
        <f t="shared" si="151"/>
        <v>58.591457077067766</v>
      </c>
      <c r="Z312" s="14">
        <f t="shared" si="152"/>
        <v>-75.493856190319349</v>
      </c>
      <c r="AA312" s="14">
        <f t="shared" si="153"/>
        <v>-12.024406553630593</v>
      </c>
      <c r="AB312" s="23">
        <f t="shared" si="179"/>
        <v>-75.561205426863509</v>
      </c>
      <c r="AC312" s="23">
        <f t="shared" si="180"/>
        <v>7.9755994531088685</v>
      </c>
      <c r="AD312" s="14">
        <f t="shared" si="154"/>
        <v>72.078015318090564</v>
      </c>
      <c r="AE312" s="14">
        <f t="shared" si="155"/>
        <v>10.236836783810169</v>
      </c>
      <c r="AF312" s="14">
        <f t="shared" si="156"/>
        <v>2.6554775628505052</v>
      </c>
      <c r="AG312" s="14">
        <f t="shared" si="157"/>
        <v>9.3321102240314195E-3</v>
      </c>
      <c r="AH312" s="14">
        <f t="shared" si="158"/>
        <v>-61.674223650369591</v>
      </c>
      <c r="AI312" s="14">
        <f t="shared" si="159"/>
        <v>-6.475563573887575</v>
      </c>
      <c r="AJ312" s="23">
        <f t="shared" si="181"/>
        <v>13.059269230571481</v>
      </c>
      <c r="AK312" s="23">
        <f t="shared" si="182"/>
        <v>3.7706053201466254</v>
      </c>
      <c r="AL312" s="14">
        <f t="shared" si="160"/>
        <v>0</v>
      </c>
      <c r="AM312" s="14">
        <f t="shared" si="161"/>
        <v>0</v>
      </c>
      <c r="AN312" s="14">
        <f t="shared" si="162"/>
        <v>0</v>
      </c>
      <c r="AO312" s="14">
        <f t="shared" si="163"/>
        <v>0</v>
      </c>
      <c r="AP312" s="23">
        <f t="shared" si="183"/>
        <v>0</v>
      </c>
      <c r="AQ312" s="23">
        <f t="shared" si="184"/>
        <v>0</v>
      </c>
    </row>
    <row r="313" spans="8:43" x14ac:dyDescent="0.25">
      <c r="H313" s="14">
        <v>4.0999999999999996</v>
      </c>
      <c r="I313" s="36">
        <f t="shared" si="164"/>
        <v>125892.54117941672</v>
      </c>
      <c r="J313" s="24">
        <f t="shared" si="175"/>
        <v>-104.74733123367506</v>
      </c>
      <c r="K313" s="24">
        <f t="shared" si="176"/>
        <v>-27.944857054085524</v>
      </c>
      <c r="L313" s="14">
        <f t="shared" si="140"/>
        <v>0.67018069634200106</v>
      </c>
      <c r="M313" s="14">
        <f t="shared" si="141"/>
        <v>-85.564067795586169</v>
      </c>
      <c r="N313" s="14">
        <f t="shared" si="142"/>
        <v>22.231433740451159</v>
      </c>
      <c r="O313" s="14">
        <f t="shared" si="143"/>
        <v>-89.898843948965762</v>
      </c>
      <c r="P313" s="14">
        <f t="shared" si="144"/>
        <v>-55.062619823292628</v>
      </c>
      <c r="Q313" s="14">
        <f t="shared" si="145"/>
        <v>-46.364218320247481</v>
      </c>
      <c r="R313" s="14">
        <f t="shared" si="146"/>
        <v>-3.2221161528931574</v>
      </c>
      <c r="S313" s="23">
        <f t="shared" si="177"/>
        <v>-221.82713006479943</v>
      </c>
      <c r="T313" s="23">
        <f t="shared" si="178"/>
        <v>-39.529463947572481</v>
      </c>
      <c r="U313" s="14">
        <f t="shared" si="147"/>
        <v>20000</v>
      </c>
      <c r="V313" s="14">
        <f t="shared" si="148"/>
        <v>-89.999967075432167</v>
      </c>
      <c r="W313" s="14">
        <f t="shared" si="149"/>
        <v>-124.81205098360786</v>
      </c>
      <c r="X313" s="14">
        <f t="shared" si="150"/>
        <v>89.93415089331188</v>
      </c>
      <c r="Y313" s="14">
        <f t="shared" si="151"/>
        <v>58.79145680672007</v>
      </c>
      <c r="Z313" s="14">
        <f t="shared" si="152"/>
        <v>-75.810574671006108</v>
      </c>
      <c r="AA313" s="14">
        <f t="shared" si="153"/>
        <v>-12.212125330199727</v>
      </c>
      <c r="AB313" s="23">
        <f t="shared" si="179"/>
        <v>-75.876390853126395</v>
      </c>
      <c r="AC313" s="23">
        <f t="shared" si="180"/>
        <v>7.787880406192107</v>
      </c>
      <c r="AD313" s="14">
        <f t="shared" si="154"/>
        <v>72.460694429463175</v>
      </c>
      <c r="AE313" s="14">
        <f t="shared" si="155"/>
        <v>10.41828815568277</v>
      </c>
      <c r="AF313" s="14">
        <f t="shared" si="156"/>
        <v>2.71723993121517</v>
      </c>
      <c r="AG313" s="14">
        <f t="shared" si="157"/>
        <v>9.7714246169570296E-3</v>
      </c>
      <c r="AH313" s="14">
        <f t="shared" si="158"/>
        <v>-62.221744676427569</v>
      </c>
      <c r="AI313" s="14">
        <f t="shared" si="159"/>
        <v>-6.6313330930048782</v>
      </c>
      <c r="AJ313" s="23">
        <f t="shared" si="181"/>
        <v>12.956189684250781</v>
      </c>
      <c r="AK313" s="23">
        <f t="shared" si="182"/>
        <v>3.7967264872948494</v>
      </c>
      <c r="AL313" s="14">
        <f t="shared" si="160"/>
        <v>0</v>
      </c>
      <c r="AM313" s="14">
        <f t="shared" si="161"/>
        <v>0</v>
      </c>
      <c r="AN313" s="14">
        <f t="shared" si="162"/>
        <v>0</v>
      </c>
      <c r="AO313" s="14">
        <f t="shared" si="163"/>
        <v>0</v>
      </c>
      <c r="AP313" s="23">
        <f t="shared" si="183"/>
        <v>0</v>
      </c>
      <c r="AQ313" s="23">
        <f t="shared" si="184"/>
        <v>0</v>
      </c>
    </row>
    <row r="314" spans="8:43" x14ac:dyDescent="0.25">
      <c r="H314" s="14">
        <v>4.1100000000000003</v>
      </c>
      <c r="I314" s="36">
        <f t="shared" si="164"/>
        <v>128824.9551693136</v>
      </c>
      <c r="J314" s="24">
        <f t="shared" si="175"/>
        <v>-105.91926959854032</v>
      </c>
      <c r="K314" s="24">
        <f t="shared" si="176"/>
        <v>-28.214836739383195</v>
      </c>
      <c r="L314" s="14">
        <f t="shared" si="140"/>
        <v>0.67018069634200106</v>
      </c>
      <c r="M314" s="14">
        <f t="shared" si="141"/>
        <v>-85.664652517052446</v>
      </c>
      <c r="N314" s="14">
        <f t="shared" si="142"/>
        <v>22.430264285575738</v>
      </c>
      <c r="O314" s="14">
        <f t="shared" si="143"/>
        <v>-89.901146537181774</v>
      </c>
      <c r="P314" s="14">
        <f t="shared" si="144"/>
        <v>-55.262619214027382</v>
      </c>
      <c r="Q314" s="14">
        <f t="shared" si="145"/>
        <v>-47.022693597822581</v>
      </c>
      <c r="R314" s="14">
        <f t="shared" si="146"/>
        <v>-3.3280241173483338</v>
      </c>
      <c r="S314" s="23">
        <f t="shared" si="177"/>
        <v>-222.5884926520568</v>
      </c>
      <c r="T314" s="23">
        <f t="shared" si="178"/>
        <v>-39.636540757637832</v>
      </c>
      <c r="U314" s="14">
        <f t="shared" si="147"/>
        <v>20000</v>
      </c>
      <c r="V314" s="14">
        <f t="shared" si="148"/>
        <v>-89.999967824886824</v>
      </c>
      <c r="W314" s="14">
        <f t="shared" si="149"/>
        <v>-125.01205098360782</v>
      </c>
      <c r="X314" s="14">
        <f t="shared" si="150"/>
        <v>89.935649800702521</v>
      </c>
      <c r="Y314" s="14">
        <f t="shared" si="151"/>
        <v>58.991456548540022</v>
      </c>
      <c r="Z314" s="14">
        <f t="shared" si="152"/>
        <v>-76.120941592208695</v>
      </c>
      <c r="AA314" s="14">
        <f t="shared" si="153"/>
        <v>-12.400364343603748</v>
      </c>
      <c r="AB314" s="23">
        <f t="shared" si="179"/>
        <v>-76.185259616392997</v>
      </c>
      <c r="AC314" s="23">
        <f t="shared" si="180"/>
        <v>7.5996411346080777</v>
      </c>
      <c r="AD314" s="14">
        <f t="shared" si="154"/>
        <v>72.836230339394078</v>
      </c>
      <c r="AE314" s="14">
        <f t="shared" si="155"/>
        <v>10.600500092826724</v>
      </c>
      <c r="AF314" s="14">
        <f t="shared" si="156"/>
        <v>2.7804343874063235</v>
      </c>
      <c r="AG314" s="14">
        <f t="shared" si="157"/>
        <v>1.0231395634207866E-2</v>
      </c>
      <c r="AH314" s="14">
        <f t="shared" si="158"/>
        <v>-62.762182056890914</v>
      </c>
      <c r="AI314" s="14">
        <f t="shared" si="159"/>
        <v>-6.7886686048143732</v>
      </c>
      <c r="AJ314" s="23">
        <f t="shared" si="181"/>
        <v>12.85448266990948</v>
      </c>
      <c r="AK314" s="23">
        <f t="shared" si="182"/>
        <v>3.8220628836465584</v>
      </c>
      <c r="AL314" s="14">
        <f t="shared" si="160"/>
        <v>0</v>
      </c>
      <c r="AM314" s="14">
        <f t="shared" si="161"/>
        <v>0</v>
      </c>
      <c r="AN314" s="14">
        <f t="shared" si="162"/>
        <v>0</v>
      </c>
      <c r="AO314" s="14">
        <f t="shared" si="163"/>
        <v>0</v>
      </c>
      <c r="AP314" s="23">
        <f t="shared" si="183"/>
        <v>0</v>
      </c>
      <c r="AQ314" s="23">
        <f t="shared" si="184"/>
        <v>0</v>
      </c>
    </row>
    <row r="315" spans="8:43" x14ac:dyDescent="0.25">
      <c r="H315" s="14">
        <v>4.12</v>
      </c>
      <c r="I315" s="36">
        <f t="shared" si="164"/>
        <v>131825.6738556409</v>
      </c>
      <c r="J315" s="24">
        <f t="shared" si="175"/>
        <v>-107.08002384413095</v>
      </c>
      <c r="K315" s="24">
        <f t="shared" si="176"/>
        <v>-28.488325804198844</v>
      </c>
      <c r="L315" s="14">
        <f t="shared" si="140"/>
        <v>0.67018069634200106</v>
      </c>
      <c r="M315" s="14">
        <f t="shared" si="141"/>
        <v>-85.762973528185569</v>
      </c>
      <c r="N315" s="14">
        <f t="shared" si="142"/>
        <v>22.629147170796763</v>
      </c>
      <c r="O315" s="14">
        <f t="shared" si="143"/>
        <v>-89.903396712399527</v>
      </c>
      <c r="P315" s="14">
        <f t="shared" si="144"/>
        <v>-55.462618632183485</v>
      </c>
      <c r="Q315" s="14">
        <f t="shared" si="145"/>
        <v>-47.680100259032706</v>
      </c>
      <c r="R315" s="14">
        <f t="shared" si="146"/>
        <v>-3.4362230079082705</v>
      </c>
      <c r="S315" s="23">
        <f t="shared" si="177"/>
        <v>-223.34647049961779</v>
      </c>
      <c r="T315" s="23">
        <f t="shared" si="178"/>
        <v>-39.745856181132844</v>
      </c>
      <c r="U315" s="14">
        <f t="shared" si="147"/>
        <v>20000</v>
      </c>
      <c r="V315" s="14">
        <f t="shared" si="148"/>
        <v>-89.999968557281818</v>
      </c>
      <c r="W315" s="14">
        <f t="shared" si="149"/>
        <v>-125.21205098360774</v>
      </c>
      <c r="X315" s="14">
        <f t="shared" si="150"/>
        <v>89.937114588880519</v>
      </c>
      <c r="Y315" s="14">
        <f t="shared" si="151"/>
        <v>59.191456301979954</v>
      </c>
      <c r="Z315" s="14">
        <f t="shared" si="152"/>
        <v>-76.425048626464545</v>
      </c>
      <c r="AA315" s="14">
        <f t="shared" si="153"/>
        <v>-12.589102878676069</v>
      </c>
      <c r="AB315" s="23">
        <f t="shared" si="179"/>
        <v>-76.487902594865844</v>
      </c>
      <c r="AC315" s="23">
        <f t="shared" si="180"/>
        <v>7.4109023529757714</v>
      </c>
      <c r="AD315" s="14">
        <f t="shared" si="154"/>
        <v>73.204693053366341</v>
      </c>
      <c r="AE315" s="14">
        <f t="shared" si="155"/>
        <v>10.783444340900781</v>
      </c>
      <c r="AF315" s="14">
        <f t="shared" si="156"/>
        <v>2.845093822602252</v>
      </c>
      <c r="AG315" s="14">
        <f t="shared" si="157"/>
        <v>1.0712992208777895E-2</v>
      </c>
      <c r="AH315" s="14">
        <f t="shared" si="158"/>
        <v>-63.295437625615911</v>
      </c>
      <c r="AI315" s="14">
        <f t="shared" si="159"/>
        <v>-6.9475293091513324</v>
      </c>
      <c r="AJ315" s="23">
        <f t="shared" si="181"/>
        <v>12.754349250352682</v>
      </c>
      <c r="AK315" s="23">
        <f t="shared" si="182"/>
        <v>3.8466280239582256</v>
      </c>
      <c r="AL315" s="14">
        <f t="shared" si="160"/>
        <v>0</v>
      </c>
      <c r="AM315" s="14">
        <f t="shared" si="161"/>
        <v>0</v>
      </c>
      <c r="AN315" s="14">
        <f t="shared" si="162"/>
        <v>0</v>
      </c>
      <c r="AO315" s="14">
        <f t="shared" si="163"/>
        <v>0</v>
      </c>
      <c r="AP315" s="23">
        <f t="shared" si="183"/>
        <v>0</v>
      </c>
      <c r="AQ315" s="23">
        <f t="shared" si="184"/>
        <v>0</v>
      </c>
    </row>
    <row r="316" spans="8:43" x14ac:dyDescent="0.25">
      <c r="H316" s="14">
        <v>4.13</v>
      </c>
      <c r="I316" s="36">
        <f t="shared" si="164"/>
        <v>134896.28825916557</v>
      </c>
      <c r="J316" s="24">
        <f t="shared" si="175"/>
        <v>-108.22919923448814</v>
      </c>
      <c r="K316" s="24">
        <f t="shared" si="176"/>
        <v>-28.765283593993527</v>
      </c>
      <c r="L316" s="14">
        <f t="shared" si="140"/>
        <v>0.67018069634200106</v>
      </c>
      <c r="M316" s="14">
        <f t="shared" si="141"/>
        <v>-85.8590806425496</v>
      </c>
      <c r="N316" s="14">
        <f t="shared" si="142"/>
        <v>22.828080066156403</v>
      </c>
      <c r="O316" s="14">
        <f t="shared" si="143"/>
        <v>-89.905595667663945</v>
      </c>
      <c r="P316" s="14">
        <f t="shared" si="144"/>
        <v>-55.662618076526812</v>
      </c>
      <c r="Q316" s="14">
        <f t="shared" si="145"/>
        <v>-48.336094543658241</v>
      </c>
      <c r="R316" s="14">
        <f t="shared" si="146"/>
        <v>-3.5467041932351728</v>
      </c>
      <c r="S316" s="23">
        <f t="shared" si="177"/>
        <v>-224.10077085387178</v>
      </c>
      <c r="T316" s="23">
        <f t="shared" si="178"/>
        <v>-39.857403915443435</v>
      </c>
      <c r="U316" s="14">
        <f t="shared" si="147"/>
        <v>20000</v>
      </c>
      <c r="V316" s="14">
        <f t="shared" si="148"/>
        <v>-89.999969273005462</v>
      </c>
      <c r="W316" s="14">
        <f t="shared" si="149"/>
        <v>-125.41205098360768</v>
      </c>
      <c r="X316" s="14">
        <f t="shared" si="150"/>
        <v>89.938546034488311</v>
      </c>
      <c r="Y316" s="14">
        <f t="shared" si="151"/>
        <v>59.391456066516916</v>
      </c>
      <c r="Z316" s="14">
        <f t="shared" si="152"/>
        <v>-76.722988448788669</v>
      </c>
      <c r="AA316" s="14">
        <f t="shared" si="153"/>
        <v>-12.77832093474133</v>
      </c>
      <c r="AB316" s="23">
        <f t="shared" si="179"/>
        <v>-76.78441168730582</v>
      </c>
      <c r="AC316" s="23">
        <f t="shared" si="180"/>
        <v>7.2216840614475259</v>
      </c>
      <c r="AD316" s="14">
        <f t="shared" si="154"/>
        <v>73.566155984299741</v>
      </c>
      <c r="AE316" s="14">
        <f t="shared" si="155"/>
        <v>10.967093457371075</v>
      </c>
      <c r="AF316" s="14">
        <f t="shared" si="156"/>
        <v>2.9112518609370426</v>
      </c>
      <c r="AG316" s="14">
        <f t="shared" si="157"/>
        <v>1.1217228497465157E-2</v>
      </c>
      <c r="AH316" s="14">
        <f t="shared" si="158"/>
        <v>-63.821424538547312</v>
      </c>
      <c r="AI316" s="14">
        <f t="shared" si="159"/>
        <v>-7.1078744258661573</v>
      </c>
      <c r="AJ316" s="23">
        <f t="shared" si="181"/>
        <v>12.655983306689471</v>
      </c>
      <c r="AK316" s="23">
        <f t="shared" si="182"/>
        <v>3.8704362600023821</v>
      </c>
      <c r="AL316" s="14">
        <f t="shared" si="160"/>
        <v>0</v>
      </c>
      <c r="AM316" s="14">
        <f t="shared" si="161"/>
        <v>0</v>
      </c>
      <c r="AN316" s="14">
        <f t="shared" si="162"/>
        <v>0</v>
      </c>
      <c r="AO316" s="14">
        <f t="shared" si="163"/>
        <v>0</v>
      </c>
      <c r="AP316" s="23">
        <f t="shared" si="183"/>
        <v>0</v>
      </c>
      <c r="AQ316" s="23">
        <f t="shared" si="184"/>
        <v>0</v>
      </c>
    </row>
    <row r="317" spans="8:43" x14ac:dyDescent="0.25">
      <c r="H317" s="14">
        <v>4.1399999999999997</v>
      </c>
      <c r="I317" s="36">
        <f t="shared" si="164"/>
        <v>138038.42646028841</v>
      </c>
      <c r="J317" s="24">
        <f t="shared" si="175"/>
        <v>-109.36641171788534</v>
      </c>
      <c r="K317" s="24">
        <f t="shared" si="176"/>
        <v>-29.045666943084587</v>
      </c>
      <c r="L317" s="14">
        <f t="shared" si="140"/>
        <v>0.67018069634200106</v>
      </c>
      <c r="M317" s="14">
        <f t="shared" si="141"/>
        <v>-85.953022652923352</v>
      </c>
      <c r="N317" s="14">
        <f t="shared" si="142"/>
        <v>23.027060744315506</v>
      </c>
      <c r="O317" s="14">
        <f t="shared" si="143"/>
        <v>-89.907744568864274</v>
      </c>
      <c r="P317" s="14">
        <f t="shared" si="144"/>
        <v>-55.862617545878727</v>
      </c>
      <c r="Q317" s="14">
        <f t="shared" si="145"/>
        <v>-48.990336393288594</v>
      </c>
      <c r="R317" s="14">
        <f t="shared" si="146"/>
        <v>-3.6594566866468452</v>
      </c>
      <c r="S317" s="23">
        <f t="shared" si="177"/>
        <v>-224.85110361507623</v>
      </c>
      <c r="T317" s="23">
        <f t="shared" si="178"/>
        <v>-39.971175200047924</v>
      </c>
      <c r="U317" s="14">
        <f t="shared" si="147"/>
        <v>20000</v>
      </c>
      <c r="V317" s="14">
        <f t="shared" si="148"/>
        <v>-89.999969972437256</v>
      </c>
      <c r="W317" s="14">
        <f t="shared" si="149"/>
        <v>-125.61205098360762</v>
      </c>
      <c r="X317" s="14">
        <f t="shared" si="150"/>
        <v>89.939944896490147</v>
      </c>
      <c r="Y317" s="14">
        <f t="shared" si="151"/>
        <v>59.591455841651424</v>
      </c>
      <c r="Z317" s="14">
        <f t="shared" si="152"/>
        <v>-77.014854551404312</v>
      </c>
      <c r="AA317" s="14">
        <f t="shared" si="153"/>
        <v>-12.967999210266854</v>
      </c>
      <c r="AB317" s="23">
        <f t="shared" si="179"/>
        <v>-77.074879627351422</v>
      </c>
      <c r="AC317" s="23">
        <f t="shared" si="180"/>
        <v>7.0320055610565788</v>
      </c>
      <c r="AD317" s="14">
        <f t="shared" si="154"/>
        <v>73.920695651840902</v>
      </c>
      <c r="AE317" s="14">
        <f t="shared" si="155"/>
        <v>11.151420807825756</v>
      </c>
      <c r="AF317" s="14">
        <f t="shared" si="156"/>
        <v>2.9789428742223705</v>
      </c>
      <c r="AG317" s="14">
        <f t="shared" si="157"/>
        <v>1.1745165969956846E-2</v>
      </c>
      <c r="AH317" s="14">
        <f t="shared" si="158"/>
        <v>-64.340067001520964</v>
      </c>
      <c r="AI317" s="14">
        <f t="shared" si="159"/>
        <v>-7.2696632778889558</v>
      </c>
      <c r="AJ317" s="23">
        <f t="shared" si="181"/>
        <v>12.559571524542307</v>
      </c>
      <c r="AK317" s="23">
        <f t="shared" si="182"/>
        <v>3.8935026959067578</v>
      </c>
      <c r="AL317" s="14">
        <f t="shared" si="160"/>
        <v>0</v>
      </c>
      <c r="AM317" s="14">
        <f t="shared" si="161"/>
        <v>0</v>
      </c>
      <c r="AN317" s="14">
        <f t="shared" si="162"/>
        <v>0</v>
      </c>
      <c r="AO317" s="14">
        <f t="shared" si="163"/>
        <v>0</v>
      </c>
      <c r="AP317" s="23">
        <f t="shared" si="183"/>
        <v>0</v>
      </c>
      <c r="AQ317" s="23">
        <f t="shared" si="184"/>
        <v>0</v>
      </c>
    </row>
    <row r="318" spans="8:43" x14ac:dyDescent="0.25">
      <c r="H318" s="14">
        <v>4.1500000000000004</v>
      </c>
      <c r="I318" s="36">
        <f t="shared" si="164"/>
        <v>141253.7544622756</v>
      </c>
      <c r="J318" s="24">
        <f t="shared" si="175"/>
        <v>-110.49128860990432</v>
      </c>
      <c r="K318" s="24">
        <f t="shared" si="176"/>
        <v>-29.3294302906449</v>
      </c>
      <c r="L318" s="14">
        <f t="shared" si="140"/>
        <v>0.67018069634200106</v>
      </c>
      <c r="M318" s="14">
        <f t="shared" si="141"/>
        <v>-86.044847347131579</v>
      </c>
      <c r="N318" s="14">
        <f t="shared" si="142"/>
        <v>23.226087076130565</v>
      </c>
      <c r="O318" s="14">
        <f t="shared" si="143"/>
        <v>-89.90984455535218</v>
      </c>
      <c r="P318" s="14">
        <f t="shared" si="144"/>
        <v>-56.062617039113704</v>
      </c>
      <c r="Q318" s="14">
        <f t="shared" si="145"/>
        <v>-49.642490316057369</v>
      </c>
      <c r="R318" s="14">
        <f t="shared" si="146"/>
        <v>-3.7744671918888524</v>
      </c>
      <c r="S318" s="23">
        <f t="shared" si="177"/>
        <v>-225.59718221854115</v>
      </c>
      <c r="T318" s="23">
        <f t="shared" si="178"/>
        <v>-40.087158866709849</v>
      </c>
      <c r="U318" s="14">
        <f t="shared" si="147"/>
        <v>20000</v>
      </c>
      <c r="V318" s="14">
        <f t="shared" si="148"/>
        <v>-89.999970655948019</v>
      </c>
      <c r="W318" s="14">
        <f t="shared" si="149"/>
        <v>-125.81205098360758</v>
      </c>
      <c r="X318" s="14">
        <f t="shared" si="150"/>
        <v>89.941311916574506</v>
      </c>
      <c r="Y318" s="14">
        <f t="shared" si="151"/>
        <v>59.791455626906568</v>
      </c>
      <c r="Z318" s="14">
        <f t="shared" si="152"/>
        <v>-77.300741069374212</v>
      </c>
      <c r="AA318" s="14">
        <f t="shared" si="153"/>
        <v>-13.158119087002301</v>
      </c>
      <c r="AB318" s="23">
        <f t="shared" si="179"/>
        <v>-77.359399808747725</v>
      </c>
      <c r="AC318" s="23">
        <f t="shared" si="180"/>
        <v>6.8418854695763152</v>
      </c>
      <c r="AD318" s="14">
        <f t="shared" si="154"/>
        <v>74.268391393679508</v>
      </c>
      <c r="AE318" s="14">
        <f t="shared" si="155"/>
        <v>11.33640056040824</v>
      </c>
      <c r="AF318" s="14">
        <f t="shared" si="156"/>
        <v>3.0482019968467915</v>
      </c>
      <c r="AG318" s="14">
        <f t="shared" si="157"/>
        <v>1.2297915592285645E-2</v>
      </c>
      <c r="AH318" s="14">
        <f t="shared" si="158"/>
        <v>-64.851299973141735</v>
      </c>
      <c r="AI318" s="14">
        <f t="shared" si="159"/>
        <v>-7.4328553695118931</v>
      </c>
      <c r="AJ318" s="23">
        <f t="shared" si="181"/>
        <v>12.465293417384558</v>
      </c>
      <c r="AK318" s="23">
        <f t="shared" si="182"/>
        <v>3.9158431064886319</v>
      </c>
      <c r="AL318" s="14">
        <f t="shared" si="160"/>
        <v>0</v>
      </c>
      <c r="AM318" s="14">
        <f t="shared" si="161"/>
        <v>0</v>
      </c>
      <c r="AN318" s="14">
        <f t="shared" si="162"/>
        <v>0</v>
      </c>
      <c r="AO318" s="14">
        <f t="shared" si="163"/>
        <v>0</v>
      </c>
      <c r="AP318" s="23">
        <f t="shared" si="183"/>
        <v>0</v>
      </c>
      <c r="AQ318" s="23">
        <f t="shared" si="184"/>
        <v>0</v>
      </c>
    </row>
    <row r="319" spans="8:43" x14ac:dyDescent="0.25">
      <c r="H319" s="14">
        <v>4.16</v>
      </c>
      <c r="I319" s="36">
        <f t="shared" si="164"/>
        <v>144543.9770745929</v>
      </c>
      <c r="J319" s="24">
        <f t="shared" si="175"/>
        <v>-111.6034692242644</v>
      </c>
      <c r="K319" s="24">
        <f t="shared" si="176"/>
        <v>-29.61652580200326</v>
      </c>
      <c r="L319" s="14">
        <f t="shared" si="140"/>
        <v>0.67018069634200106</v>
      </c>
      <c r="M319" s="14">
        <f t="shared" si="141"/>
        <v>-86.134601523994462</v>
      </c>
      <c r="N319" s="14">
        <f t="shared" si="142"/>
        <v>23.425157026412478</v>
      </c>
      <c r="O319" s="14">
        <f t="shared" si="143"/>
        <v>-89.911896740545728</v>
      </c>
      <c r="P319" s="14">
        <f t="shared" si="144"/>
        <v>-56.262616555156796</v>
      </c>
      <c r="Q319" s="14">
        <f t="shared" si="145"/>
        <v>-50.292226222591331</v>
      </c>
      <c r="R319" s="14">
        <f t="shared" si="146"/>
        <v>-3.8917201580835359</v>
      </c>
      <c r="S319" s="23">
        <f t="shared" si="177"/>
        <v>-226.33872448713151</v>
      </c>
      <c r="T319" s="23">
        <f t="shared" si="178"/>
        <v>-40.205341398665709</v>
      </c>
      <c r="U319" s="14">
        <f t="shared" si="147"/>
        <v>20000</v>
      </c>
      <c r="V319" s="14">
        <f t="shared" si="148"/>
        <v>-89.999971323900198</v>
      </c>
      <c r="W319" s="14">
        <f t="shared" si="149"/>
        <v>-126.01205098360752</v>
      </c>
      <c r="X319" s="14">
        <f t="shared" si="150"/>
        <v>89.942647819547304</v>
      </c>
      <c r="Y319" s="14">
        <f t="shared" si="151"/>
        <v>59.991455421826799</v>
      </c>
      <c r="Z319" s="14">
        <f t="shared" si="152"/>
        <v>-77.580742616809204</v>
      </c>
      <c r="AA319" s="14">
        <f t="shared" si="153"/>
        <v>-13.348662613704649</v>
      </c>
      <c r="AB319" s="23">
        <f t="shared" si="179"/>
        <v>-77.638066121162097</v>
      </c>
      <c r="AC319" s="23">
        <f t="shared" si="180"/>
        <v>6.6513417377942528</v>
      </c>
      <c r="AD319" s="14">
        <f t="shared" si="154"/>
        <v>74.609325089031756</v>
      </c>
      <c r="AE319" s="14">
        <f t="shared" si="155"/>
        <v>11.522007678545299</v>
      </c>
      <c r="AF319" s="14">
        <f t="shared" si="156"/>
        <v>3.1190651408449979</v>
      </c>
      <c r="AG319" s="14">
        <f t="shared" si="157"/>
        <v>1.2876640108806747E-2</v>
      </c>
      <c r="AH319" s="14">
        <f t="shared" si="158"/>
        <v>-65.355068845847541</v>
      </c>
      <c r="AI319" s="14">
        <f t="shared" si="159"/>
        <v>-7.5974104597859107</v>
      </c>
      <c r="AJ319" s="23">
        <f t="shared" si="181"/>
        <v>12.373321384029211</v>
      </c>
      <c r="AK319" s="23">
        <f t="shared" si="182"/>
        <v>3.937473858868195</v>
      </c>
      <c r="AL319" s="14">
        <f t="shared" si="160"/>
        <v>0</v>
      </c>
      <c r="AM319" s="14">
        <f t="shared" si="161"/>
        <v>0</v>
      </c>
      <c r="AN319" s="14">
        <f t="shared" si="162"/>
        <v>0</v>
      </c>
      <c r="AO319" s="14">
        <f t="shared" si="163"/>
        <v>0</v>
      </c>
      <c r="AP319" s="23">
        <f t="shared" si="183"/>
        <v>0</v>
      </c>
      <c r="AQ319" s="23">
        <f t="shared" si="184"/>
        <v>0</v>
      </c>
    </row>
    <row r="320" spans="8:43" x14ac:dyDescent="0.25">
      <c r="H320" s="14">
        <v>4.17</v>
      </c>
      <c r="I320" s="36">
        <f t="shared" si="164"/>
        <v>147910.83881682088</v>
      </c>
      <c r="J320" s="24">
        <f t="shared" si="175"/>
        <v>-112.70260544910334</v>
      </c>
      <c r="K320" s="24">
        <f t="shared" si="176"/>
        <v>-29.906903494632303</v>
      </c>
      <c r="L320" s="14">
        <f t="shared" si="140"/>
        <v>0.67018069634200106</v>
      </c>
      <c r="M320" s="14">
        <f t="shared" si="141"/>
        <v>-86.222331009362534</v>
      </c>
      <c r="N320" s="14">
        <f t="shared" si="142"/>
        <v>23.624268649861161</v>
      </c>
      <c r="O320" s="14">
        <f t="shared" si="143"/>
        <v>-89.913902212519588</v>
      </c>
      <c r="P320" s="14">
        <f t="shared" si="144"/>
        <v>-56.462616092981492</v>
      </c>
      <c r="Q320" s="14">
        <f t="shared" si="145"/>
        <v>-50.939220228258343</v>
      </c>
      <c r="R320" s="14">
        <f t="shared" si="146"/>
        <v>-4.011197843378592</v>
      </c>
      <c r="S320" s="23">
        <f t="shared" si="177"/>
        <v>-227.07545345014046</v>
      </c>
      <c r="T320" s="23">
        <f t="shared" si="178"/>
        <v>-40.325706998336777</v>
      </c>
      <c r="U320" s="14">
        <f t="shared" si="147"/>
        <v>20000</v>
      </c>
      <c r="V320" s="14">
        <f t="shared" si="148"/>
        <v>-89.999971976647927</v>
      </c>
      <c r="W320" s="14">
        <f t="shared" si="149"/>
        <v>-126.21205098360747</v>
      </c>
      <c r="X320" s="14">
        <f t="shared" si="150"/>
        <v>89.94395331371615</v>
      </c>
      <c r="Y320" s="14">
        <f t="shared" si="151"/>
        <v>60.191455225977123</v>
      </c>
      <c r="Z320" s="14">
        <f t="shared" si="152"/>
        <v>-77.854954133315616</v>
      </c>
      <c r="AA320" s="14">
        <f t="shared" si="153"/>
        <v>-13.539612489539126</v>
      </c>
      <c r="AB320" s="23">
        <f t="shared" si="179"/>
        <v>-77.910972796247393</v>
      </c>
      <c r="AC320" s="23">
        <f t="shared" si="180"/>
        <v>6.4603916661101533</v>
      </c>
      <c r="AD320" s="14">
        <f t="shared" si="154"/>
        <v>74.94358089435616</v>
      </c>
      <c r="AE320" s="14">
        <f t="shared" si="155"/>
        <v>11.708217912139467</v>
      </c>
      <c r="AF320" s="14">
        <f t="shared" si="156"/>
        <v>3.1915690111289239</v>
      </c>
      <c r="AG320" s="14">
        <f t="shared" si="157"/>
        <v>1.3482556426836559E-2</v>
      </c>
      <c r="AH320" s="14">
        <f t="shared" si="158"/>
        <v>-65.851329108200574</v>
      </c>
      <c r="AI320" s="14">
        <f t="shared" si="159"/>
        <v>-7.7632886309719833</v>
      </c>
      <c r="AJ320" s="23">
        <f t="shared" si="181"/>
        <v>12.283820797284505</v>
      </c>
      <c r="AK320" s="23">
        <f t="shared" si="182"/>
        <v>3.9584118375943209</v>
      </c>
      <c r="AL320" s="14">
        <f t="shared" si="160"/>
        <v>0</v>
      </c>
      <c r="AM320" s="14">
        <f t="shared" si="161"/>
        <v>0</v>
      </c>
      <c r="AN320" s="14">
        <f t="shared" si="162"/>
        <v>0</v>
      </c>
      <c r="AO320" s="14">
        <f t="shared" si="163"/>
        <v>0</v>
      </c>
      <c r="AP320" s="23">
        <f t="shared" si="183"/>
        <v>0</v>
      </c>
      <c r="AQ320" s="23">
        <f t="shared" si="184"/>
        <v>0</v>
      </c>
    </row>
    <row r="321" spans="8:43" x14ac:dyDescent="0.25">
      <c r="H321" s="14">
        <v>4.1800000000000104</v>
      </c>
      <c r="I321" s="36">
        <f t="shared" si="164"/>
        <v>151356.12484362445</v>
      </c>
      <c r="J321" s="24">
        <f t="shared" si="175"/>
        <v>-113.78836226675242</v>
      </c>
      <c r="K321" s="24">
        <f t="shared" si="176"/>
        <v>-30.20051136818109</v>
      </c>
      <c r="L321" s="14">
        <f t="shared" si="140"/>
        <v>0.67018069634200106</v>
      </c>
      <c r="M321" s="14">
        <f t="shared" si="141"/>
        <v>-86.308080672206472</v>
      </c>
      <c r="N321" s="14">
        <f t="shared" si="142"/>
        <v>23.823420087168877</v>
      </c>
      <c r="O321" s="14">
        <f t="shared" si="143"/>
        <v>-89.915862034581878</v>
      </c>
      <c r="P321" s="14">
        <f t="shared" si="144"/>
        <v>-56.662615651607652</v>
      </c>
      <c r="Q321" s="14">
        <f t="shared" si="145"/>
        <v>-51.583155417182731</v>
      </c>
      <c r="R321" s="14">
        <f t="shared" si="146"/>
        <v>-4.1328803867489796</v>
      </c>
      <c r="S321" s="23">
        <f t="shared" si="177"/>
        <v>-227.80709812397109</v>
      </c>
      <c r="T321" s="23">
        <f t="shared" si="178"/>
        <v>-40.448237663025608</v>
      </c>
      <c r="U321" s="14">
        <f t="shared" si="147"/>
        <v>20000</v>
      </c>
      <c r="V321" s="14">
        <f t="shared" si="148"/>
        <v>-89.999972614537285</v>
      </c>
      <c r="W321" s="14">
        <f t="shared" si="149"/>
        <v>-126.41205098360763</v>
      </c>
      <c r="X321" s="14">
        <f t="shared" si="150"/>
        <v>89.945229091265915</v>
      </c>
      <c r="Y321" s="14">
        <f t="shared" si="151"/>
        <v>60.39145503894234</v>
      </c>
      <c r="Z321" s="14">
        <f t="shared" si="152"/>
        <v>-78.123470740327278</v>
      </c>
      <c r="AA321" s="14">
        <f t="shared" si="153"/>
        <v>-13.730952047238503</v>
      </c>
      <c r="AB321" s="23">
        <f t="shared" si="179"/>
        <v>-78.178214263598647</v>
      </c>
      <c r="AC321" s="23">
        <f t="shared" si="180"/>
        <v>6.2690519213758336</v>
      </c>
      <c r="AD321" s="14">
        <f t="shared" si="154"/>
        <v>75.271244991294367</v>
      </c>
      <c r="AE321" s="14">
        <f t="shared" si="155"/>
        <v>11.895007787386508</v>
      </c>
      <c r="AF321" s="14">
        <f t="shared" si="156"/>
        <v>3.2657511208711942</v>
      </c>
      <c r="AG321" s="14">
        <f t="shared" si="157"/>
        <v>1.4116938108390483E-2</v>
      </c>
      <c r="AH321" s="14">
        <f t="shared" si="158"/>
        <v>-66.340045991348248</v>
      </c>
      <c r="AI321" s="14">
        <f t="shared" si="159"/>
        <v>-7.9304503520262148</v>
      </c>
      <c r="AJ321" s="23">
        <f t="shared" si="181"/>
        <v>12.19695012081732</v>
      </c>
      <c r="AK321" s="23">
        <f t="shared" si="182"/>
        <v>3.9786743734686834</v>
      </c>
      <c r="AL321" s="14">
        <f t="shared" si="160"/>
        <v>0</v>
      </c>
      <c r="AM321" s="14">
        <f t="shared" si="161"/>
        <v>0</v>
      </c>
      <c r="AN321" s="14">
        <f t="shared" si="162"/>
        <v>0</v>
      </c>
      <c r="AO321" s="14">
        <f t="shared" si="163"/>
        <v>0</v>
      </c>
      <c r="AP321" s="23">
        <f t="shared" si="183"/>
        <v>0</v>
      </c>
      <c r="AQ321" s="23">
        <f t="shared" si="184"/>
        <v>0</v>
      </c>
    </row>
    <row r="322" spans="8:43" x14ac:dyDescent="0.25">
      <c r="H322" s="14">
        <v>4.1900000000000004</v>
      </c>
      <c r="I322" s="36">
        <f t="shared" si="164"/>
        <v>154881.66189124854</v>
      </c>
      <c r="J322" s="24">
        <f t="shared" si="175"/>
        <v>-114.86041821541936</v>
      </c>
      <c r="K322" s="24">
        <f t="shared" si="176"/>
        <v>-30.49729553788514</v>
      </c>
      <c r="L322" s="14">
        <f t="shared" si="140"/>
        <v>0.67018069634200106</v>
      </c>
      <c r="M322" s="14">
        <f t="shared" si="141"/>
        <v>-86.391894440733438</v>
      </c>
      <c r="N322" s="14">
        <f t="shared" si="142"/>
        <v>24.022609561285009</v>
      </c>
      <c r="O322" s="14">
        <f t="shared" si="143"/>
        <v>-89.917777245837854</v>
      </c>
      <c r="P322" s="14">
        <f t="shared" si="144"/>
        <v>-56.862615230098484</v>
      </c>
      <c r="Q322" s="14">
        <f t="shared" si="145"/>
        <v>-52.223722563925399</v>
      </c>
      <c r="R322" s="14">
        <f t="shared" si="146"/>
        <v>-4.2567458873451649</v>
      </c>
      <c r="S322" s="23">
        <f t="shared" si="177"/>
        <v>-228.53339425049668</v>
      </c>
      <c r="T322" s="23">
        <f t="shared" si="178"/>
        <v>-40.572913267996498</v>
      </c>
      <c r="U322" s="14">
        <f t="shared" si="147"/>
        <v>20000</v>
      </c>
      <c r="V322" s="14">
        <f t="shared" si="148"/>
        <v>-89.999973237906531</v>
      </c>
      <c r="W322" s="14">
        <f t="shared" si="149"/>
        <v>-126.6120509836074</v>
      </c>
      <c r="X322" s="14">
        <f t="shared" si="150"/>
        <v>89.946475828625708</v>
      </c>
      <c r="Y322" s="14">
        <f t="shared" si="151"/>
        <v>60.591454860325122</v>
      </c>
      <c r="Z322" s="14">
        <f t="shared" si="152"/>
        <v>-78.386387606957186</v>
      </c>
      <c r="AA322" s="14">
        <f t="shared" si="153"/>
        <v>-13.922665236095355</v>
      </c>
      <c r="AB322" s="23">
        <f t="shared" si="179"/>
        <v>-78.439885016238009</v>
      </c>
      <c r="AC322" s="23">
        <f t="shared" si="180"/>
        <v>6.0773385539019884</v>
      </c>
      <c r="AD322" s="14">
        <f t="shared" si="154"/>
        <v>75.592405346766384</v>
      </c>
      <c r="AE322" s="14">
        <f t="shared" si="155"/>
        <v>12.082354595369685</v>
      </c>
      <c r="AF322" s="14">
        <f t="shared" si="156"/>
        <v>3.341649807030052</v>
      </c>
      <c r="AG322" s="14">
        <f t="shared" si="157"/>
        <v>1.4781117973526513E-2</v>
      </c>
      <c r="AH322" s="14">
        <f t="shared" si="158"/>
        <v>-66.821194102481101</v>
      </c>
      <c r="AI322" s="14">
        <f t="shared" si="159"/>
        <v>-8.0988565371338428</v>
      </c>
      <c r="AJ322" s="23">
        <f t="shared" si="181"/>
        <v>12.112861051315335</v>
      </c>
      <c r="AK322" s="23">
        <f t="shared" si="182"/>
        <v>3.998279176209369</v>
      </c>
      <c r="AL322" s="14">
        <f t="shared" si="160"/>
        <v>0</v>
      </c>
      <c r="AM322" s="14">
        <f t="shared" si="161"/>
        <v>0</v>
      </c>
      <c r="AN322" s="14">
        <f t="shared" si="162"/>
        <v>0</v>
      </c>
      <c r="AO322" s="14">
        <f t="shared" si="163"/>
        <v>0</v>
      </c>
      <c r="AP322" s="23">
        <f t="shared" si="183"/>
        <v>0</v>
      </c>
      <c r="AQ322" s="23">
        <f t="shared" si="184"/>
        <v>0</v>
      </c>
    </row>
    <row r="323" spans="8:43" x14ac:dyDescent="0.25">
      <c r="H323" s="14">
        <v>4.2</v>
      </c>
      <c r="I323" s="36">
        <f t="shared" si="164"/>
        <v>158489.31924611147</v>
      </c>
      <c r="J323" s="24">
        <f t="shared" si="175"/>
        <v>-115.91846579160708</v>
      </c>
      <c r="K323" s="24">
        <f t="shared" si="176"/>
        <v>-30.797200370676855</v>
      </c>
      <c r="L323" s="14">
        <f t="shared" ref="L323:L386" si="185">A_PS</f>
        <v>0.67018069634200106</v>
      </c>
      <c r="M323" s="14">
        <f t="shared" ref="M323:M386" si="186">-180/PI()*ATAN($I323/z_RHP/1000)</f>
        <v>-86.473815318505999</v>
      </c>
      <c r="N323" s="14">
        <f t="shared" ref="N323:N386" si="187">20*LOG(SQRT(($I323/z_RHP/1000)^2+1))</f>
        <v>24.221835373840015</v>
      </c>
      <c r="O323" s="14">
        <f t="shared" ref="O323:O386" si="188">-180/PI()*ATAN($I323/p_small)</f>
        <v>-89.919648861740725</v>
      </c>
      <c r="P323" s="14">
        <f t="shared" ref="P323:P386" si="189">-20*LOG(SQRT(($I323/p_small)^2+1))</f>
        <v>-57.062614827560488</v>
      </c>
      <c r="Q323" s="14">
        <f t="shared" ref="Q323:Q386" si="190">-180/PI()*ATAN($I323/p_large/1000)</f>
        <v>-52.860620809210431</v>
      </c>
      <c r="R323" s="14">
        <f t="shared" ref="R323:R386" si="191">-20*LOG(SQRT(($I323/p_large/1000)^2+1))</f>
        <v>-4.3827704907319722</v>
      </c>
      <c r="S323" s="23">
        <f t="shared" si="177"/>
        <v>-229.25408498945717</v>
      </c>
      <c r="T323" s="23">
        <f t="shared" si="178"/>
        <v>-40.699711656290297</v>
      </c>
      <c r="U323" s="14">
        <f t="shared" ref="U323:U386" si="192">A_EA</f>
        <v>20000</v>
      </c>
      <c r="V323" s="14">
        <f t="shared" ref="V323:V386" si="193">-180/PI()*ATAN($I323/p_EA)</f>
        <v>-89.999973847086153</v>
      </c>
      <c r="W323" s="14">
        <f t="shared" ref="W323:W386" si="194">-20*LOG(SQRT(($I323/p_EA)^2+1))</f>
        <v>-126.81205098360734</v>
      </c>
      <c r="X323" s="14">
        <f t="shared" ref="X323:X386" si="195">180/PI()*ATAN($I323/z_comp)</f>
        <v>89.94769418682742</v>
      </c>
      <c r="Y323" s="14">
        <f t="shared" ref="Y323:Y386" si="196">20*LOG(SQRT(($I323/z_comp)^2+1))</f>
        <v>60.791454689747155</v>
      </c>
      <c r="Z323" s="14">
        <f t="shared" ref="Z323:Z386" si="197">IF(p_comp="",0,-180/PI()*ATAN($I323/p_comp/1000))</f>
        <v>-78.643799825003867</v>
      </c>
      <c r="AA323" s="14">
        <f t="shared" ref="AA323:AA386" si="198">IF(p_comp="",0,-20*LOG(SQRT(($I323/p_comp/1000)^2+1)))</f>
        <v>-14.114736604860363</v>
      </c>
      <c r="AB323" s="23">
        <f t="shared" si="179"/>
        <v>-78.696079485262601</v>
      </c>
      <c r="AC323" s="23">
        <f t="shared" si="180"/>
        <v>5.8852670145590817</v>
      </c>
      <c r="AD323" s="14">
        <f t="shared" ref="AD323:AD386" si="199">IF(z_esr_1="",0,180/PI()*ATAN($I323/z_esr_1/1000))</f>
        <v>75.907151485102219</v>
      </c>
      <c r="AE323" s="14">
        <f t="shared" ref="AE323:AE386" si="200">IF(z_esr_1="",0,20*LOG(SQRT(($I323/z_esr_1/1000)^2+1)))</f>
        <v>12.270236379579075</v>
      </c>
      <c r="AF323" s="14">
        <f t="shared" ref="AF323:AF386" si="201">180/PI()*ATAN($I323/z_esr_2/1000)</f>
        <v>3.4193042460055927</v>
      </c>
      <c r="AG323" s="14">
        <f t="shared" ref="AG323:AG386" si="202">20*LOG(SQRT(($I323/z_esr_2/1000)^2+1))</f>
        <v>1.547649082002467E-2</v>
      </c>
      <c r="AH323" s="14">
        <f t="shared" ref="AH323:AH386" si="203">IF(p_esr="",0,-180/PI()*ATAN($I323/p_esr/1000))</f>
        <v>-67.29475704799512</v>
      </c>
      <c r="AI323" s="14">
        <f t="shared" ref="AI323:AI386" si="204">IF(p_esr="",0,-20*LOG(SQRT(($I323/p_esr/1000)^2+1)))</f>
        <v>-8.2684685993447395</v>
      </c>
      <c r="AJ323" s="23">
        <f t="shared" si="181"/>
        <v>12.031698683112694</v>
      </c>
      <c r="AK323" s="23">
        <f t="shared" si="182"/>
        <v>4.0172442710543592</v>
      </c>
      <c r="AL323" s="14">
        <f t="shared" ref="AL323:AL386" si="205">IF(z_ff="",0,180/PI()*ATAN($I323/z_ff/1000))</f>
        <v>0</v>
      </c>
      <c r="AM323" s="14">
        <f t="shared" ref="AM323:AM386" si="206">IF(z_ff="",0,20*LOG(SQRT(($I323/z_ff/1000)^2+1)))</f>
        <v>0</v>
      </c>
      <c r="AN323" s="14">
        <f t="shared" ref="AN323:AN386" si="207">IF(p_ff="",0,-180/PI()*ATAN($I323/p_ff/1000))</f>
        <v>0</v>
      </c>
      <c r="AO323" s="14">
        <f t="shared" ref="AO323:AO386" si="208">IF(p_ff="",0,-20*LOG(SQRT(($I323/p_ff/1000)^2+1)))</f>
        <v>0</v>
      </c>
      <c r="AP323" s="23">
        <f t="shared" si="183"/>
        <v>0</v>
      </c>
      <c r="AQ323" s="23">
        <f t="shared" si="184"/>
        <v>0</v>
      </c>
    </row>
    <row r="324" spans="8:43" x14ac:dyDescent="0.25">
      <c r="H324" s="14">
        <v>4.2100000000000097</v>
      </c>
      <c r="I324" s="36">
        <f t="shared" ref="I324:I387" si="209">10*10^H324</f>
        <v>162181.00973589683</v>
      </c>
      <c r="J324" s="24">
        <f t="shared" si="175"/>
        <v>-116.96221179244323</v>
      </c>
      <c r="K324" s="24">
        <f t="shared" si="176"/>
        <v>-31.100168623293065</v>
      </c>
      <c r="L324" s="14">
        <f t="shared" si="185"/>
        <v>0.67018069634200106</v>
      </c>
      <c r="M324" s="14">
        <f t="shared" si="186"/>
        <v>-86.553885400537297</v>
      </c>
      <c r="N324" s="14">
        <f t="shared" si="187"/>
        <v>24.421095901715994</v>
      </c>
      <c r="O324" s="14">
        <f t="shared" si="188"/>
        <v>-89.921477874630057</v>
      </c>
      <c r="P324" s="14">
        <f t="shared" si="189"/>
        <v>-57.262614443139853</v>
      </c>
      <c r="Q324" s="14">
        <f t="shared" si="190"/>
        <v>-53.493558286543418</v>
      </c>
      <c r="R324" s="14">
        <f t="shared" si="191"/>
        <v>-4.5109284813132966</v>
      </c>
      <c r="S324" s="23">
        <f t="shared" si="177"/>
        <v>-229.96892156171077</v>
      </c>
      <c r="T324" s="23">
        <f t="shared" si="178"/>
        <v>-40.828608734575013</v>
      </c>
      <c r="U324" s="14">
        <f t="shared" si="192"/>
        <v>20000</v>
      </c>
      <c r="V324" s="14">
        <f t="shared" si="193"/>
        <v>-89.99997444239915</v>
      </c>
      <c r="W324" s="14">
        <f t="shared" si="194"/>
        <v>-127.01205098360751</v>
      </c>
      <c r="X324" s="14">
        <f t="shared" si="195"/>
        <v>89.948884811856288</v>
      </c>
      <c r="Y324" s="14">
        <f t="shared" si="196"/>
        <v>60.991454526846667</v>
      </c>
      <c r="Z324" s="14">
        <f t="shared" si="197"/>
        <v>-78.89580229272967</v>
      </c>
      <c r="AA324" s="14">
        <f t="shared" si="198"/>
        <v>-14.307151284602986</v>
      </c>
      <c r="AB324" s="23">
        <f t="shared" si="179"/>
        <v>-78.946891923272531</v>
      </c>
      <c r="AC324" s="23">
        <f t="shared" si="180"/>
        <v>5.6928521719157974</v>
      </c>
      <c r="AD324" s="14">
        <f t="shared" si="199"/>
        <v>76.215574272025975</v>
      </c>
      <c r="AE324" s="14">
        <f t="shared" si="200"/>
        <v>12.458631922485679</v>
      </c>
      <c r="AF324" s="14">
        <f t="shared" si="201"/>
        <v>3.4987544694119337</v>
      </c>
      <c r="AG324" s="14">
        <f t="shared" si="202"/>
        <v>1.6204516264270451E-2</v>
      </c>
      <c r="AH324" s="14">
        <f t="shared" si="203"/>
        <v>-67.760727048897849</v>
      </c>
      <c r="AI324" s="14">
        <f t="shared" si="204"/>
        <v>-8.4392484993837993</v>
      </c>
      <c r="AJ324" s="23">
        <f t="shared" si="181"/>
        <v>11.953601692540062</v>
      </c>
      <c r="AK324" s="23">
        <f t="shared" si="182"/>
        <v>4.0355879393661507</v>
      </c>
      <c r="AL324" s="14">
        <f t="shared" si="205"/>
        <v>0</v>
      </c>
      <c r="AM324" s="14">
        <f t="shared" si="206"/>
        <v>0</v>
      </c>
      <c r="AN324" s="14">
        <f t="shared" si="207"/>
        <v>0</v>
      </c>
      <c r="AO324" s="14">
        <f t="shared" si="208"/>
        <v>0</v>
      </c>
      <c r="AP324" s="23">
        <f t="shared" si="183"/>
        <v>0</v>
      </c>
      <c r="AQ324" s="23">
        <f t="shared" si="184"/>
        <v>0</v>
      </c>
    </row>
    <row r="325" spans="8:43" x14ac:dyDescent="0.25">
      <c r="H325" s="14">
        <v>4.2200000000000104</v>
      </c>
      <c r="I325" s="36">
        <f t="shared" si="209"/>
        <v>165958.69074376026</v>
      </c>
      <c r="J325" s="24">
        <f t="shared" si="175"/>
        <v>-117.99137759756582</v>
      </c>
      <c r="K325" s="24">
        <f t="shared" si="176"/>
        <v>-31.406141581688136</v>
      </c>
      <c r="L325" s="14">
        <f t="shared" si="185"/>
        <v>0.67018069634200106</v>
      </c>
      <c r="M325" s="14">
        <f t="shared" si="186"/>
        <v>-86.632145889343107</v>
      </c>
      <c r="N325" s="14">
        <f t="shared" si="187"/>
        <v>24.620389593763438</v>
      </c>
      <c r="O325" s="14">
        <f t="shared" si="188"/>
        <v>-89.923265254257743</v>
      </c>
      <c r="P325" s="14">
        <f t="shared" si="189"/>
        <v>-57.462614076020806</v>
      </c>
      <c r="Q325" s="14">
        <f t="shared" si="190"/>
        <v>-54.12225269712215</v>
      </c>
      <c r="R325" s="14">
        <f t="shared" si="191"/>
        <v>-4.6411923802118773</v>
      </c>
      <c r="S325" s="23">
        <f t="shared" si="177"/>
        <v>-230.677663840723</v>
      </c>
      <c r="T325" s="23">
        <f t="shared" si="178"/>
        <v>-40.959578574307102</v>
      </c>
      <c r="U325" s="14">
        <f t="shared" si="192"/>
        <v>20000</v>
      </c>
      <c r="V325" s="14">
        <f t="shared" si="193"/>
        <v>-89.999975024161174</v>
      </c>
      <c r="W325" s="14">
        <f t="shared" si="194"/>
        <v>-127.21205098360747</v>
      </c>
      <c r="X325" s="14">
        <f t="shared" si="195"/>
        <v>89.950048334993369</v>
      </c>
      <c r="Y325" s="14">
        <f t="shared" si="196"/>
        <v>61.191454371277729</v>
      </c>
      <c r="Z325" s="14">
        <f t="shared" si="197"/>
        <v>-79.142489607042421</v>
      </c>
      <c r="AA325" s="14">
        <f t="shared" si="198"/>
        <v>-14.499894971596447</v>
      </c>
      <c r="AB325" s="23">
        <f t="shared" si="179"/>
        <v>-79.192416296210226</v>
      </c>
      <c r="AC325" s="23">
        <f t="shared" si="180"/>
        <v>5.5001083293534379</v>
      </c>
      <c r="AD325" s="14">
        <f t="shared" si="199"/>
        <v>76.517765710286298</v>
      </c>
      <c r="AE325" s="14">
        <f t="shared" si="200"/>
        <v>12.647520731303011</v>
      </c>
      <c r="AF325" s="14">
        <f t="shared" si="201"/>
        <v>3.5800413799529398</v>
      </c>
      <c r="AG325" s="14">
        <f t="shared" si="202"/>
        <v>1.6966721708386055E-2</v>
      </c>
      <c r="AH325" s="14">
        <f t="shared" si="203"/>
        <v>-68.219104550871847</v>
      </c>
      <c r="AI325" s="14">
        <f t="shared" si="204"/>
        <v>-8.6111587897458683</v>
      </c>
      <c r="AJ325" s="23">
        <f t="shared" si="181"/>
        <v>11.878702539367396</v>
      </c>
      <c r="AK325" s="23">
        <f t="shared" si="182"/>
        <v>4.0533286632655283</v>
      </c>
      <c r="AL325" s="14">
        <f t="shared" si="205"/>
        <v>0</v>
      </c>
      <c r="AM325" s="14">
        <f t="shared" si="206"/>
        <v>0</v>
      </c>
      <c r="AN325" s="14">
        <f t="shared" si="207"/>
        <v>0</v>
      </c>
      <c r="AO325" s="14">
        <f t="shared" si="208"/>
        <v>0</v>
      </c>
      <c r="AP325" s="23">
        <f t="shared" si="183"/>
        <v>0</v>
      </c>
      <c r="AQ325" s="23">
        <f t="shared" si="184"/>
        <v>0</v>
      </c>
    </row>
    <row r="326" spans="8:43" x14ac:dyDescent="0.25">
      <c r="H326" s="14">
        <v>4.2300000000000102</v>
      </c>
      <c r="I326" s="36">
        <f t="shared" si="209"/>
        <v>169824.36524617841</v>
      </c>
      <c r="J326" s="24">
        <f t="shared" si="175"/>
        <v>-119.00569939058701</v>
      </c>
      <c r="K326" s="24">
        <f t="shared" si="176"/>
        <v>-31.71505920105502</v>
      </c>
      <c r="L326" s="14">
        <f t="shared" si="185"/>
        <v>0.67018069634200106</v>
      </c>
      <c r="M326" s="14">
        <f t="shared" si="186"/>
        <v>-86.708637110930965</v>
      </c>
      <c r="N326" s="14">
        <f t="shared" si="187"/>
        <v>24.819714967657692</v>
      </c>
      <c r="O326" s="14">
        <f t="shared" si="188"/>
        <v>-89.925011948302213</v>
      </c>
      <c r="P326" s="14">
        <f t="shared" si="189"/>
        <v>-57.662613725424769</v>
      </c>
      <c r="Q326" s="14">
        <f t="shared" si="190"/>
        <v>-54.746431830950613</v>
      </c>
      <c r="R326" s="14">
        <f t="shared" si="191"/>
        <v>-4.7735330478461488</v>
      </c>
      <c r="S326" s="23">
        <f t="shared" si="177"/>
        <v>-231.38008089018376</v>
      </c>
      <c r="T326" s="23">
        <f t="shared" si="178"/>
        <v>-41.092593517451085</v>
      </c>
      <c r="U326" s="14">
        <f t="shared" si="192"/>
        <v>20000</v>
      </c>
      <c r="V326" s="14">
        <f t="shared" si="193"/>
        <v>-89.99997559268067</v>
      </c>
      <c r="W326" s="14">
        <f t="shared" si="194"/>
        <v>-127.41205098360743</v>
      </c>
      <c r="X326" s="14">
        <f t="shared" si="195"/>
        <v>89.951185373150182</v>
      </c>
      <c r="Y326" s="14">
        <f t="shared" si="196"/>
        <v>61.391454222710507</v>
      </c>
      <c r="Z326" s="14">
        <f t="shared" si="197"/>
        <v>-79.383955963704722</v>
      </c>
      <c r="AA326" s="14">
        <f t="shared" si="198"/>
        <v>-14.692953910277325</v>
      </c>
      <c r="AB326" s="23">
        <f t="shared" si="179"/>
        <v>-79.43274618323521</v>
      </c>
      <c r="AC326" s="23">
        <f t="shared" si="180"/>
        <v>5.3070492421053785</v>
      </c>
      <c r="AD326" s="14">
        <f t="shared" si="199"/>
        <v>76.813818746680042</v>
      </c>
      <c r="AE326" s="14">
        <f t="shared" si="200"/>
        <v>12.836883023054471</v>
      </c>
      <c r="AF326" s="14">
        <f t="shared" si="201"/>
        <v>3.6632067673854913</v>
      </c>
      <c r="AG326" s="14">
        <f t="shared" si="202"/>
        <v>1.7764705438862403E-2</v>
      </c>
      <c r="AH326" s="14">
        <f t="shared" si="203"/>
        <v>-68.669897831233556</v>
      </c>
      <c r="AI326" s="14">
        <f t="shared" si="204"/>
        <v>-8.7841626542026479</v>
      </c>
      <c r="AJ326" s="23">
        <f t="shared" si="181"/>
        <v>11.807127682831975</v>
      </c>
      <c r="AK326" s="23">
        <f t="shared" si="182"/>
        <v>4.0704850742906853</v>
      </c>
      <c r="AL326" s="14">
        <f t="shared" si="205"/>
        <v>0</v>
      </c>
      <c r="AM326" s="14">
        <f t="shared" si="206"/>
        <v>0</v>
      </c>
      <c r="AN326" s="14">
        <f t="shared" si="207"/>
        <v>0</v>
      </c>
      <c r="AO326" s="14">
        <f t="shared" si="208"/>
        <v>0</v>
      </c>
      <c r="AP326" s="23">
        <f t="shared" si="183"/>
        <v>0</v>
      </c>
      <c r="AQ326" s="23">
        <f t="shared" si="184"/>
        <v>0</v>
      </c>
    </row>
    <row r="327" spans="8:43" x14ac:dyDescent="0.25">
      <c r="H327" s="14">
        <v>4.24000000000001</v>
      </c>
      <c r="I327" s="36">
        <f t="shared" si="209"/>
        <v>173780.08287494161</v>
      </c>
      <c r="J327" s="24">
        <f t="shared" si="175"/>
        <v>-120.00492832055326</v>
      </c>
      <c r="K327" s="24">
        <f t="shared" si="176"/>
        <v>-32.026860245760588</v>
      </c>
      <c r="L327" s="14">
        <f t="shared" si="185"/>
        <v>0.67018069634200106</v>
      </c>
      <c r="M327" s="14">
        <f t="shared" si="186"/>
        <v>-86.783398530706975</v>
      </c>
      <c r="N327" s="14">
        <f t="shared" si="187"/>
        <v>25.019070606887009</v>
      </c>
      <c r="O327" s="14">
        <f t="shared" si="188"/>
        <v>-89.926718882870773</v>
      </c>
      <c r="P327" s="14">
        <f t="shared" si="189"/>
        <v>-57.862613390608139</v>
      </c>
      <c r="Q327" s="14">
        <f t="shared" si="190"/>
        <v>-55.365834032595316</v>
      </c>
      <c r="R327" s="14">
        <f t="shared" si="191"/>
        <v>-4.9079197904309009</v>
      </c>
      <c r="S327" s="23">
        <f t="shared" si="177"/>
        <v>-232.07595144617306</v>
      </c>
      <c r="T327" s="23">
        <f t="shared" si="178"/>
        <v>-41.227624285989883</v>
      </c>
      <c r="U327" s="14">
        <f t="shared" si="192"/>
        <v>20000</v>
      </c>
      <c r="V327" s="14">
        <f t="shared" si="193"/>
        <v>-89.999976148259094</v>
      </c>
      <c r="W327" s="14">
        <f t="shared" si="194"/>
        <v>-127.61205098360739</v>
      </c>
      <c r="X327" s="14">
        <f t="shared" si="195"/>
        <v>89.952296529195806</v>
      </c>
      <c r="Y327" s="14">
        <f t="shared" si="196"/>
        <v>61.591454080829926</v>
      </c>
      <c r="Z327" s="14">
        <f t="shared" si="197"/>
        <v>-79.620295065196203</v>
      </c>
      <c r="AA327" s="14">
        <f t="shared" si="198"/>
        <v>-14.886314876322986</v>
      </c>
      <c r="AB327" s="23">
        <f t="shared" si="179"/>
        <v>-79.667974684259491</v>
      </c>
      <c r="AC327" s="23">
        <f t="shared" si="180"/>
        <v>5.113688134179176</v>
      </c>
      <c r="AD327" s="14">
        <f t="shared" si="199"/>
        <v>77.10382709018333</v>
      </c>
      <c r="AE327" s="14">
        <f t="shared" si="200"/>
        <v>13.026699709055187</v>
      </c>
      <c r="AF327" s="14">
        <f t="shared" si="201"/>
        <v>3.7482933245518528</v>
      </c>
      <c r="AG327" s="14">
        <f t="shared" si="202"/>
        <v>1.8600139862075125E-2</v>
      </c>
      <c r="AH327" s="14">
        <f t="shared" si="203"/>
        <v>-69.113122604855889</v>
      </c>
      <c r="AI327" s="14">
        <f t="shared" si="204"/>
        <v>-8.9582239428671446</v>
      </c>
      <c r="AJ327" s="23">
        <f t="shared" si="181"/>
        <v>11.738997809879294</v>
      </c>
      <c r="AK327" s="23">
        <f t="shared" si="182"/>
        <v>4.0870759060501172</v>
      </c>
      <c r="AL327" s="14">
        <f t="shared" si="205"/>
        <v>0</v>
      </c>
      <c r="AM327" s="14">
        <f t="shared" si="206"/>
        <v>0</v>
      </c>
      <c r="AN327" s="14">
        <f t="shared" si="207"/>
        <v>0</v>
      </c>
      <c r="AO327" s="14">
        <f t="shared" si="208"/>
        <v>0</v>
      </c>
      <c r="AP327" s="23">
        <f t="shared" si="183"/>
        <v>0</v>
      </c>
      <c r="AQ327" s="23">
        <f t="shared" si="184"/>
        <v>0</v>
      </c>
    </row>
    <row r="328" spans="8:43" x14ac:dyDescent="0.25">
      <c r="H328" s="14">
        <v>4.2500000000000098</v>
      </c>
      <c r="I328" s="36">
        <f t="shared" si="209"/>
        <v>177827.94100389644</v>
      </c>
      <c r="J328" s="24">
        <f t="shared" si="175"/>
        <v>-120.98883060424068</v>
      </c>
      <c r="K328" s="24">
        <f t="shared" si="176"/>
        <v>-32.341482428524735</v>
      </c>
      <c r="L328" s="14">
        <f t="shared" si="185"/>
        <v>0.67018069634200106</v>
      </c>
      <c r="M328" s="14">
        <f t="shared" si="186"/>
        <v>-86.856468769285399</v>
      </c>
      <c r="N328" s="14">
        <f t="shared" si="187"/>
        <v>25.218455157869386</v>
      </c>
      <c r="O328" s="14">
        <f t="shared" si="188"/>
        <v>-89.928386962990601</v>
      </c>
      <c r="P328" s="14">
        <f t="shared" si="189"/>
        <v>-58.062613070860721</v>
      </c>
      <c r="Q328" s="14">
        <f t="shared" si="190"/>
        <v>-55.980208610568077</v>
      </c>
      <c r="R328" s="14">
        <f t="shared" si="191"/>
        <v>-5.0443204696268493</v>
      </c>
      <c r="S328" s="23">
        <f t="shared" si="177"/>
        <v>-232.76506434284408</v>
      </c>
      <c r="T328" s="23">
        <f t="shared" si="178"/>
        <v>-41.364640094456036</v>
      </c>
      <c r="U328" s="14">
        <f t="shared" si="192"/>
        <v>20000</v>
      </c>
      <c r="V328" s="14">
        <f t="shared" si="193"/>
        <v>-89.999976691190994</v>
      </c>
      <c r="W328" s="14">
        <f t="shared" si="194"/>
        <v>-127.81205098360735</v>
      </c>
      <c r="X328" s="14">
        <f t="shared" si="195"/>
        <v>89.953382392276552</v>
      </c>
      <c r="Y328" s="14">
        <f t="shared" si="196"/>
        <v>61.791453945335022</v>
      </c>
      <c r="Z328" s="14">
        <f t="shared" si="197"/>
        <v>-79.851600035864394</v>
      </c>
      <c r="AA328" s="14">
        <f t="shared" si="198"/>
        <v>-15.079965159889955</v>
      </c>
      <c r="AB328" s="23">
        <f t="shared" si="179"/>
        <v>-79.898194334778836</v>
      </c>
      <c r="AC328" s="23">
        <f t="shared" si="180"/>
        <v>4.920037715117342</v>
      </c>
      <c r="AD328" s="14">
        <f t="shared" si="199"/>
        <v>77.387885040886502</v>
      </c>
      <c r="AE328" s="14">
        <f t="shared" si="200"/>
        <v>13.216952378913483</v>
      </c>
      <c r="AF328" s="14">
        <f t="shared" si="201"/>
        <v>3.8353446634629802</v>
      </c>
      <c r="AG328" s="14">
        <f t="shared" si="202"/>
        <v>1.9474774882276558E-2</v>
      </c>
      <c r="AH328" s="14">
        <f t="shared" si="203"/>
        <v>-69.548801630967219</v>
      </c>
      <c r="AI328" s="14">
        <f t="shared" si="204"/>
        <v>-9.1333072029818041</v>
      </c>
      <c r="AJ328" s="23">
        <f t="shared" si="181"/>
        <v>11.674428073382259</v>
      </c>
      <c r="AK328" s="23">
        <f t="shared" si="182"/>
        <v>4.1031199508139551</v>
      </c>
      <c r="AL328" s="14">
        <f t="shared" si="205"/>
        <v>0</v>
      </c>
      <c r="AM328" s="14">
        <f t="shared" si="206"/>
        <v>0</v>
      </c>
      <c r="AN328" s="14">
        <f t="shared" si="207"/>
        <v>0</v>
      </c>
      <c r="AO328" s="14">
        <f t="shared" si="208"/>
        <v>0</v>
      </c>
      <c r="AP328" s="23">
        <f t="shared" si="183"/>
        <v>0</v>
      </c>
      <c r="AQ328" s="23">
        <f t="shared" si="184"/>
        <v>0</v>
      </c>
    </row>
    <row r="329" spans="8:43" x14ac:dyDescent="0.25">
      <c r="H329" s="14">
        <v>4.2600000000000096</v>
      </c>
      <c r="I329" s="36">
        <f t="shared" si="209"/>
        <v>181970.08586100259</v>
      </c>
      <c r="J329" s="24">
        <f t="shared" si="175"/>
        <v>-121.95718757048915</v>
      </c>
      <c r="K329" s="24">
        <f t="shared" si="176"/>
        <v>-32.658862548187557</v>
      </c>
      <c r="L329" s="14">
        <f t="shared" si="185"/>
        <v>0.67018069634200106</v>
      </c>
      <c r="M329" s="14">
        <f t="shared" si="186"/>
        <v>-86.927885618185542</v>
      </c>
      <c r="N329" s="14">
        <f t="shared" si="187"/>
        <v>25.417867327192315</v>
      </c>
      <c r="O329" s="14">
        <f t="shared" si="188"/>
        <v>-89.93001707308855</v>
      </c>
      <c r="P329" s="14">
        <f t="shared" si="189"/>
        <v>-58.262612765504286</v>
      </c>
      <c r="Q329" s="14">
        <f t="shared" si="190"/>
        <v>-56.589316189827933</v>
      </c>
      <c r="R329" s="14">
        <f t="shared" si="191"/>
        <v>-5.1827016145666862</v>
      </c>
      <c r="S329" s="23">
        <f t="shared" si="177"/>
        <v>-233.44721888110203</v>
      </c>
      <c r="T329" s="23">
        <f t="shared" si="178"/>
        <v>-41.50360876471651</v>
      </c>
      <c r="U329" s="14">
        <f t="shared" si="192"/>
        <v>20000</v>
      </c>
      <c r="V329" s="14">
        <f t="shared" si="193"/>
        <v>-89.999977221764269</v>
      </c>
      <c r="W329" s="14">
        <f t="shared" si="194"/>
        <v>-128.01205098360731</v>
      </c>
      <c r="X329" s="14">
        <f t="shared" si="195"/>
        <v>89.954443538128288</v>
      </c>
      <c r="Y329" s="14">
        <f t="shared" si="196"/>
        <v>61.991453815938385</v>
      </c>
      <c r="Z329" s="14">
        <f t="shared" si="197"/>
        <v>-80.077963344002882</v>
      </c>
      <c r="AA329" s="14">
        <f t="shared" si="198"/>
        <v>-15.273892549048679</v>
      </c>
      <c r="AB329" s="23">
        <f t="shared" si="179"/>
        <v>-80.123497027638862</v>
      </c>
      <c r="AC329" s="23">
        <f t="shared" si="180"/>
        <v>4.726110196562022</v>
      </c>
      <c r="AD329" s="14">
        <f t="shared" si="199"/>
        <v>77.666087329403823</v>
      </c>
      <c r="AE329" s="14">
        <f t="shared" si="200"/>
        <v>13.407623284146602</v>
      </c>
      <c r="AF329" s="14">
        <f t="shared" si="201"/>
        <v>3.9244053314116152</v>
      </c>
      <c r="AG329" s="14">
        <f t="shared" si="202"/>
        <v>2.0390441427850382E-2</v>
      </c>
      <c r="AH329" s="14">
        <f t="shared" si="203"/>
        <v>-69.976964322563688</v>
      </c>
      <c r="AI329" s="14">
        <f t="shared" si="204"/>
        <v>-9.3093777056075275</v>
      </c>
      <c r="AJ329" s="23">
        <f t="shared" si="181"/>
        <v>11.613528338251754</v>
      </c>
      <c r="AK329" s="23">
        <f t="shared" si="182"/>
        <v>4.1186360199669245</v>
      </c>
      <c r="AL329" s="14">
        <f t="shared" si="205"/>
        <v>0</v>
      </c>
      <c r="AM329" s="14">
        <f t="shared" si="206"/>
        <v>0</v>
      </c>
      <c r="AN329" s="14">
        <f t="shared" si="207"/>
        <v>0</v>
      </c>
      <c r="AO329" s="14">
        <f t="shared" si="208"/>
        <v>0</v>
      </c>
      <c r="AP329" s="23">
        <f t="shared" si="183"/>
        <v>0</v>
      </c>
      <c r="AQ329" s="23">
        <f t="shared" si="184"/>
        <v>0</v>
      </c>
    </row>
    <row r="330" spans="8:43" x14ac:dyDescent="0.25">
      <c r="H330" s="14">
        <v>4.2700000000000102</v>
      </c>
      <c r="I330" s="36">
        <f t="shared" si="209"/>
        <v>186208.71366629141</v>
      </c>
      <c r="J330" s="24">
        <f t="shared" si="175"/>
        <v>-122.90979564814182</v>
      </c>
      <c r="K330" s="24">
        <f t="shared" si="176"/>
        <v>-32.97893662543693</v>
      </c>
      <c r="L330" s="14">
        <f t="shared" si="185"/>
        <v>0.67018069634200106</v>
      </c>
      <c r="M330" s="14">
        <f t="shared" si="186"/>
        <v>-86.997686055402681</v>
      </c>
      <c r="N330" s="14">
        <f t="shared" si="187"/>
        <v>25.617305878970392</v>
      </c>
      <c r="O330" s="14">
        <f t="shared" si="188"/>
        <v>-89.931610077459979</v>
      </c>
      <c r="P330" s="14">
        <f t="shared" si="189"/>
        <v>-58.462612473891149</v>
      </c>
      <c r="Q330" s="14">
        <f t="shared" si="190"/>
        <v>-57.192929007396046</v>
      </c>
      <c r="R330" s="14">
        <f t="shared" si="191"/>
        <v>-5.3230285354981177</v>
      </c>
      <c r="S330" s="23">
        <f t="shared" si="177"/>
        <v>-234.12222514025871</v>
      </c>
      <c r="T330" s="23">
        <f t="shared" si="178"/>
        <v>-41.644496842256729</v>
      </c>
      <c r="U330" s="14">
        <f t="shared" si="192"/>
        <v>20000</v>
      </c>
      <c r="V330" s="14">
        <f t="shared" si="193"/>
        <v>-89.999977740260221</v>
      </c>
      <c r="W330" s="14">
        <f t="shared" si="194"/>
        <v>-128.2120509836073</v>
      </c>
      <c r="X330" s="14">
        <f t="shared" si="195"/>
        <v>89.95548052938166</v>
      </c>
      <c r="Y330" s="14">
        <f t="shared" si="196"/>
        <v>62.19145369236557</v>
      </c>
      <c r="Z330" s="14">
        <f t="shared" si="197"/>
        <v>-80.299476730502946</v>
      </c>
      <c r="AA330" s="14">
        <f t="shared" si="198"/>
        <v>-15.468085313446387</v>
      </c>
      <c r="AB330" s="23">
        <f t="shared" si="179"/>
        <v>-80.343973941381506</v>
      </c>
      <c r="AC330" s="23">
        <f t="shared" si="180"/>
        <v>4.5319173085915097</v>
      </c>
      <c r="AD330" s="14">
        <f t="shared" si="199"/>
        <v>77.938528966413159</v>
      </c>
      <c r="AE330" s="14">
        <f t="shared" si="200"/>
        <v>13.598695321498347</v>
      </c>
      <c r="AF330" s="14">
        <f t="shared" si="201"/>
        <v>4.0155208270922715</v>
      </c>
      <c r="AG330" s="14">
        <f t="shared" si="202"/>
        <v>2.1349055131758259E-2</v>
      </c>
      <c r="AH330" s="14">
        <f t="shared" si="203"/>
        <v>-70.397646360007045</v>
      </c>
      <c r="AI330" s="14">
        <f t="shared" si="204"/>
        <v>-9.4864014684018141</v>
      </c>
      <c r="AJ330" s="23">
        <f t="shared" si="181"/>
        <v>11.556403433498389</v>
      </c>
      <c r="AK330" s="23">
        <f t="shared" si="182"/>
        <v>4.1336429082282908</v>
      </c>
      <c r="AL330" s="14">
        <f t="shared" si="205"/>
        <v>0</v>
      </c>
      <c r="AM330" s="14">
        <f t="shared" si="206"/>
        <v>0</v>
      </c>
      <c r="AN330" s="14">
        <f t="shared" si="207"/>
        <v>0</v>
      </c>
      <c r="AO330" s="14">
        <f t="shared" si="208"/>
        <v>0</v>
      </c>
      <c r="AP330" s="23">
        <f t="shared" si="183"/>
        <v>0</v>
      </c>
      <c r="AQ330" s="23">
        <f t="shared" si="184"/>
        <v>0</v>
      </c>
    </row>
    <row r="331" spans="8:43" x14ac:dyDescent="0.25">
      <c r="H331" s="14">
        <v>4.28000000000001</v>
      </c>
      <c r="I331" s="36">
        <f t="shared" si="209"/>
        <v>190546.07179632946</v>
      </c>
      <c r="J331" s="24">
        <f t="shared" si="175"/>
        <v>-123.84646629949336</v>
      </c>
      <c r="K331" s="24">
        <f t="shared" si="176"/>
        <v>-33.30164003589951</v>
      </c>
      <c r="L331" s="14">
        <f t="shared" si="185"/>
        <v>0.67018069634200106</v>
      </c>
      <c r="M331" s="14">
        <f t="shared" si="186"/>
        <v>-87.065906260840976</v>
      </c>
      <c r="N331" s="14">
        <f t="shared" si="187"/>
        <v>25.816769632316124</v>
      </c>
      <c r="O331" s="14">
        <f t="shared" si="188"/>
        <v>-89.933166820727067</v>
      </c>
      <c r="P331" s="14">
        <f t="shared" si="189"/>
        <v>-58.66261219540273</v>
      </c>
      <c r="Q331" s="14">
        <f t="shared" si="190"/>
        <v>-57.790831151552794</v>
      </c>
      <c r="R331" s="14">
        <f t="shared" si="191"/>
        <v>-5.4652654383050585</v>
      </c>
      <c r="S331" s="23">
        <f t="shared" si="177"/>
        <v>-234.78990423312084</v>
      </c>
      <c r="T331" s="23">
        <f t="shared" si="178"/>
        <v>-41.78726971322952</v>
      </c>
      <c r="U331" s="14">
        <f t="shared" si="192"/>
        <v>20000</v>
      </c>
      <c r="V331" s="14">
        <f t="shared" si="193"/>
        <v>-89.999978246953745</v>
      </c>
      <c r="W331" s="14">
        <f t="shared" si="194"/>
        <v>-128.41205098360726</v>
      </c>
      <c r="X331" s="14">
        <f t="shared" si="195"/>
        <v>89.956493915860449</v>
      </c>
      <c r="Y331" s="14">
        <f t="shared" si="196"/>
        <v>62.391453574354429</v>
      </c>
      <c r="Z331" s="14">
        <f t="shared" si="197"/>
        <v>-80.516231143733535</v>
      </c>
      <c r="AA331" s="14">
        <f t="shared" si="198"/>
        <v>-15.662532188225825</v>
      </c>
      <c r="AB331" s="23">
        <f t="shared" si="179"/>
        <v>-80.559715474826831</v>
      </c>
      <c r="AC331" s="23">
        <f t="shared" si="180"/>
        <v>4.3374703158009709</v>
      </c>
      <c r="AD331" s="14">
        <f t="shared" si="199"/>
        <v>78.20530510196896</v>
      </c>
      <c r="AE331" s="14">
        <f t="shared" si="200"/>
        <v>13.790152016039112</v>
      </c>
      <c r="AF331" s="14">
        <f t="shared" si="201"/>
        <v>4.1087376167031699</v>
      </c>
      <c r="AG331" s="14">
        <f t="shared" si="202"/>
        <v>2.235262017233533E-2</v>
      </c>
      <c r="AH331" s="14">
        <f t="shared" si="203"/>
        <v>-70.810889310217803</v>
      </c>
      <c r="AI331" s="14">
        <f t="shared" si="204"/>
        <v>-9.6643452746824092</v>
      </c>
      <c r="AJ331" s="23">
        <f t="shared" si="181"/>
        <v>11.503153408454324</v>
      </c>
      <c r="AK331" s="23">
        <f t="shared" si="182"/>
        <v>4.1481593615290375</v>
      </c>
      <c r="AL331" s="14">
        <f t="shared" si="205"/>
        <v>0</v>
      </c>
      <c r="AM331" s="14">
        <f t="shared" si="206"/>
        <v>0</v>
      </c>
      <c r="AN331" s="14">
        <f t="shared" si="207"/>
        <v>0</v>
      </c>
      <c r="AO331" s="14">
        <f t="shared" si="208"/>
        <v>0</v>
      </c>
      <c r="AP331" s="23">
        <f t="shared" si="183"/>
        <v>0</v>
      </c>
      <c r="AQ331" s="23">
        <f t="shared" si="184"/>
        <v>0</v>
      </c>
    </row>
    <row r="332" spans="8:43" x14ac:dyDescent="0.25">
      <c r="H332" s="14">
        <v>4.2900000000000098</v>
      </c>
      <c r="I332" s="36">
        <f t="shared" si="209"/>
        <v>194984.459975809</v>
      </c>
      <c r="J332" s="24">
        <f t="shared" si="175"/>
        <v>-124.76702590145955</v>
      </c>
      <c r="K332" s="24">
        <f t="shared" si="176"/>
        <v>-33.626907640035391</v>
      </c>
      <c r="L332" s="14">
        <f t="shared" si="185"/>
        <v>0.67018069634200106</v>
      </c>
      <c r="M332" s="14">
        <f t="shared" si="186"/>
        <v>-87.132581631597375</v>
      </c>
      <c r="N332" s="14">
        <f t="shared" si="187"/>
        <v>26.016257458919423</v>
      </c>
      <c r="O332" s="14">
        <f t="shared" si="188"/>
        <v>-89.934688128286481</v>
      </c>
      <c r="P332" s="14">
        <f t="shared" si="189"/>
        <v>-58.86261192944832</v>
      </c>
      <c r="Q332" s="14">
        <f t="shared" si="190"/>
        <v>-58.382818745531758</v>
      </c>
      <c r="R332" s="14">
        <f t="shared" si="191"/>
        <v>-5.60937553919584</v>
      </c>
      <c r="S332" s="23">
        <f t="shared" si="177"/>
        <v>-235.45008850541561</v>
      </c>
      <c r="T332" s="23">
        <f t="shared" si="178"/>
        <v>-41.931891721562593</v>
      </c>
      <c r="U332" s="14">
        <f t="shared" si="192"/>
        <v>20000</v>
      </c>
      <c r="V332" s="14">
        <f t="shared" si="193"/>
        <v>-89.999978742113527</v>
      </c>
      <c r="W332" s="14">
        <f t="shared" si="194"/>
        <v>-128.61205098360722</v>
      </c>
      <c r="X332" s="14">
        <f t="shared" si="195"/>
        <v>89.957484234873021</v>
      </c>
      <c r="Y332" s="14">
        <f t="shared" si="196"/>
        <v>62.591453461654645</v>
      </c>
      <c r="Z332" s="14">
        <f t="shared" si="197"/>
        <v>-80.728316680314364</v>
      </c>
      <c r="AA332" s="14">
        <f t="shared" si="198"/>
        <v>-15.857222358224108</v>
      </c>
      <c r="AB332" s="23">
        <f t="shared" si="179"/>
        <v>-80.77081118755487</v>
      </c>
      <c r="AC332" s="23">
        <f t="shared" si="180"/>
        <v>4.1427800331029427</v>
      </c>
      <c r="AD332" s="14">
        <f t="shared" si="199"/>
        <v>78.466510894222736</v>
      </c>
      <c r="AE332" s="14">
        <f t="shared" si="200"/>
        <v>13.981977504122211</v>
      </c>
      <c r="AF332" s="14">
        <f t="shared" si="201"/>
        <v>4.2041031500030739</v>
      </c>
      <c r="AG332" s="14">
        <f t="shared" si="202"/>
        <v>2.3403233280744649E-2</v>
      </c>
      <c r="AH332" s="14">
        <f t="shared" si="203"/>
        <v>-71.216740252714885</v>
      </c>
      <c r="AI332" s="14">
        <f t="shared" si="204"/>
        <v>-9.8431766889786978</v>
      </c>
      <c r="AJ332" s="23">
        <f t="shared" si="181"/>
        <v>11.453873791510929</v>
      </c>
      <c r="AK332" s="23">
        <f t="shared" si="182"/>
        <v>4.1622040484242575</v>
      </c>
      <c r="AL332" s="14">
        <f t="shared" si="205"/>
        <v>0</v>
      </c>
      <c r="AM332" s="14">
        <f t="shared" si="206"/>
        <v>0</v>
      </c>
      <c r="AN332" s="14">
        <f t="shared" si="207"/>
        <v>0</v>
      </c>
      <c r="AO332" s="14">
        <f t="shared" si="208"/>
        <v>0</v>
      </c>
      <c r="AP332" s="23">
        <f t="shared" si="183"/>
        <v>0</v>
      </c>
      <c r="AQ332" s="23">
        <f t="shared" si="184"/>
        <v>0</v>
      </c>
    </row>
    <row r="333" spans="8:43" x14ac:dyDescent="0.25">
      <c r="H333" s="14">
        <v>4.3000000000000096</v>
      </c>
      <c r="I333" s="36">
        <f t="shared" si="209"/>
        <v>199526.23149689252</v>
      </c>
      <c r="J333" s="24">
        <f t="shared" si="175"/>
        <v>-125.6713155769567</v>
      </c>
      <c r="K333" s="24">
        <f t="shared" si="176"/>
        <v>-33.954673909314899</v>
      </c>
      <c r="L333" s="14">
        <f t="shared" si="185"/>
        <v>0.67018069634200106</v>
      </c>
      <c r="M333" s="14">
        <f t="shared" si="186"/>
        <v>-87.197746797086978</v>
      </c>
      <c r="N333" s="14">
        <f t="shared" si="187"/>
        <v>26.215768280731218</v>
      </c>
      <c r="O333" s="14">
        <f t="shared" si="188"/>
        <v>-89.936174806747047</v>
      </c>
      <c r="P333" s="14">
        <f t="shared" si="189"/>
        <v>-59.062611675463828</v>
      </c>
      <c r="Q333" s="14">
        <f t="shared" si="190"/>
        <v>-58.968700077034583</v>
      </c>
      <c r="R333" s="14">
        <f t="shared" si="191"/>
        <v>-5.7553211788808625</v>
      </c>
      <c r="S333" s="23">
        <f t="shared" si="177"/>
        <v>-236.10262168086862</v>
      </c>
      <c r="T333" s="23">
        <f t="shared" si="178"/>
        <v>-42.078326285451325</v>
      </c>
      <c r="U333" s="14">
        <f t="shared" si="192"/>
        <v>20000</v>
      </c>
      <c r="V333" s="14">
        <f t="shared" si="193"/>
        <v>-89.999979226002111</v>
      </c>
      <c r="W333" s="14">
        <f t="shared" si="194"/>
        <v>-128.81205098360721</v>
      </c>
      <c r="X333" s="14">
        <f t="shared" si="195"/>
        <v>89.9584520114973</v>
      </c>
      <c r="Y333" s="14">
        <f t="shared" si="196"/>
        <v>62.791453354027205</v>
      </c>
      <c r="Z333" s="14">
        <f t="shared" si="197"/>
        <v>-80.935822531455585</v>
      </c>
      <c r="AA333" s="14">
        <f t="shared" si="198"/>
        <v>-16.052145442472103</v>
      </c>
      <c r="AB333" s="23">
        <f t="shared" si="179"/>
        <v>-80.977349745960396</v>
      </c>
      <c r="AC333" s="23">
        <f t="shared" si="180"/>
        <v>3.9478568412275195</v>
      </c>
      <c r="AD333" s="14">
        <f t="shared" si="199"/>
        <v>78.722241387178897</v>
      </c>
      <c r="AE333" s="14">
        <f t="shared" si="200"/>
        <v>14.174156516263336</v>
      </c>
      <c r="AF333" s="14">
        <f t="shared" si="201"/>
        <v>4.3016658762933728</v>
      </c>
      <c r="AG333" s="14">
        <f t="shared" si="202"/>
        <v>2.4503087921613657E-2</v>
      </c>
      <c r="AH333" s="14">
        <f t="shared" si="203"/>
        <v>-71.61525141359995</v>
      </c>
      <c r="AI333" s="14">
        <f t="shared" si="204"/>
        <v>-10.022864069276043</v>
      </c>
      <c r="AJ333" s="23">
        <f t="shared" si="181"/>
        <v>11.408655849872318</v>
      </c>
      <c r="AK333" s="23">
        <f t="shared" si="182"/>
        <v>4.1757955349089073</v>
      </c>
      <c r="AL333" s="14">
        <f t="shared" si="205"/>
        <v>0</v>
      </c>
      <c r="AM333" s="14">
        <f t="shared" si="206"/>
        <v>0</v>
      </c>
      <c r="AN333" s="14">
        <f t="shared" si="207"/>
        <v>0</v>
      </c>
      <c r="AO333" s="14">
        <f t="shared" si="208"/>
        <v>0</v>
      </c>
      <c r="AP333" s="23">
        <f t="shared" si="183"/>
        <v>0</v>
      </c>
      <c r="AQ333" s="23">
        <f t="shared" si="184"/>
        <v>0</v>
      </c>
    </row>
    <row r="334" spans="8:43" x14ac:dyDescent="0.25">
      <c r="H334" s="14">
        <v>4.3100000000000103</v>
      </c>
      <c r="I334" s="36">
        <f t="shared" si="209"/>
        <v>204173.79446695794</v>
      </c>
      <c r="J334" s="24">
        <f t="shared" si="175"/>
        <v>-126.55919097922279</v>
      </c>
      <c r="K334" s="24">
        <f t="shared" si="176"/>
        <v>-34.284873048200993</v>
      </c>
      <c r="L334" s="14">
        <f t="shared" si="185"/>
        <v>0.67018069634200106</v>
      </c>
      <c r="M334" s="14">
        <f t="shared" si="186"/>
        <v>-87.261435634000904</v>
      </c>
      <c r="N334" s="14">
        <f t="shared" si="187"/>
        <v>26.415301067746896</v>
      </c>
      <c r="O334" s="14">
        <f t="shared" si="188"/>
        <v>-89.937627644357349</v>
      </c>
      <c r="P334" s="14">
        <f t="shared" si="189"/>
        <v>-59.262611432910532</v>
      </c>
      <c r="Q334" s="14">
        <f t="shared" si="190"/>
        <v>-59.548295675263944</v>
      </c>
      <c r="R334" s="14">
        <f t="shared" si="191"/>
        <v>-5.903063935601514</v>
      </c>
      <c r="S334" s="23">
        <f t="shared" si="177"/>
        <v>-236.74735895362221</v>
      </c>
      <c r="T334" s="23">
        <f t="shared" si="178"/>
        <v>-42.226536012603006</v>
      </c>
      <c r="U334" s="14">
        <f t="shared" si="192"/>
        <v>20000</v>
      </c>
      <c r="V334" s="14">
        <f t="shared" si="193"/>
        <v>-89.999979698876032</v>
      </c>
      <c r="W334" s="14">
        <f t="shared" si="194"/>
        <v>-129.01205098360717</v>
      </c>
      <c r="X334" s="14">
        <f t="shared" si="195"/>
        <v>89.959397758859012</v>
      </c>
      <c r="Y334" s="14">
        <f t="shared" si="196"/>
        <v>62.991453251243797</v>
      </c>
      <c r="Z334" s="14">
        <f t="shared" si="197"/>
        <v>-81.138836934549303</v>
      </c>
      <c r="AA334" s="14">
        <f t="shared" si="198"/>
        <v>-16.247291479011789</v>
      </c>
      <c r="AB334" s="23">
        <f t="shared" si="179"/>
        <v>-81.179418874566323</v>
      </c>
      <c r="AC334" s="23">
        <f t="shared" si="180"/>
        <v>3.7527107019044657</v>
      </c>
      <c r="AD334" s="14">
        <f t="shared" si="199"/>
        <v>78.972591397111103</v>
      </c>
      <c r="AE334" s="14">
        <f t="shared" si="200"/>
        <v>14.366674360003975</v>
      </c>
      <c r="AF334" s="14">
        <f t="shared" si="201"/>
        <v>4.4014752602933696</v>
      </c>
      <c r="AG334" s="14">
        <f t="shared" si="202"/>
        <v>2.5654478653511503E-2</v>
      </c>
      <c r="AH334" s="14">
        <f t="shared" si="203"/>
        <v>-72.006479808438726</v>
      </c>
      <c r="AI334" s="14">
        <f t="shared" si="204"/>
        <v>-10.203376576159931</v>
      </c>
      <c r="AJ334" s="23">
        <f t="shared" si="181"/>
        <v>11.367586848965743</v>
      </c>
      <c r="AK334" s="23">
        <f t="shared" si="182"/>
        <v>4.1889522624975548</v>
      </c>
      <c r="AL334" s="14">
        <f t="shared" si="205"/>
        <v>0</v>
      </c>
      <c r="AM334" s="14">
        <f t="shared" si="206"/>
        <v>0</v>
      </c>
      <c r="AN334" s="14">
        <f t="shared" si="207"/>
        <v>0</v>
      </c>
      <c r="AO334" s="14">
        <f t="shared" si="208"/>
        <v>0</v>
      </c>
      <c r="AP334" s="23">
        <f t="shared" si="183"/>
        <v>0</v>
      </c>
      <c r="AQ334" s="23">
        <f t="shared" si="184"/>
        <v>0</v>
      </c>
    </row>
    <row r="335" spans="8:43" x14ac:dyDescent="0.25">
      <c r="H335" s="14">
        <v>4.3200000000000101</v>
      </c>
      <c r="I335" s="36">
        <f t="shared" si="209"/>
        <v>208929.61308540907</v>
      </c>
      <c r="J335" s="24">
        <f t="shared" si="175"/>
        <v>-127.43052203202335</v>
      </c>
      <c r="K335" s="24">
        <f t="shared" si="176"/>
        <v>-34.617439111506044</v>
      </c>
      <c r="L335" s="14">
        <f t="shared" si="185"/>
        <v>0.67018069634200106</v>
      </c>
      <c r="M335" s="14">
        <f t="shared" si="186"/>
        <v>-87.323681281089293</v>
      </c>
      <c r="N335" s="14">
        <f t="shared" si="187"/>
        <v>26.614854835885581</v>
      </c>
      <c r="O335" s="14">
        <f t="shared" si="188"/>
        <v>-89.939047411423644</v>
      </c>
      <c r="P335" s="14">
        <f t="shared" si="189"/>
        <v>-59.462611201273894</v>
      </c>
      <c r="Q335" s="14">
        <f t="shared" si="190"/>
        <v>-60.121438337504429</v>
      </c>
      <c r="R335" s="14">
        <f t="shared" si="191"/>
        <v>-6.0525647364159996</v>
      </c>
      <c r="S335" s="23">
        <f t="shared" si="177"/>
        <v>-237.38416703001738</v>
      </c>
      <c r="T335" s="23">
        <f t="shared" si="178"/>
        <v>-42.37648281364217</v>
      </c>
      <c r="U335" s="14">
        <f t="shared" si="192"/>
        <v>20000</v>
      </c>
      <c r="V335" s="14">
        <f t="shared" si="193"/>
        <v>-89.999980160986041</v>
      </c>
      <c r="W335" s="14">
        <f t="shared" si="194"/>
        <v>-129.21205098360716</v>
      </c>
      <c r="X335" s="14">
        <f t="shared" si="195"/>
        <v>89.960321978403869</v>
      </c>
      <c r="Y335" s="14">
        <f t="shared" si="196"/>
        <v>63.1914531530864</v>
      </c>
      <c r="Z335" s="14">
        <f t="shared" si="197"/>
        <v>-81.337447129708139</v>
      </c>
      <c r="AA335" s="14">
        <f t="shared" si="198"/>
        <v>-16.442650910046329</v>
      </c>
      <c r="AB335" s="23">
        <f t="shared" si="179"/>
        <v>-81.377105312290311</v>
      </c>
      <c r="AC335" s="23">
        <f t="shared" si="180"/>
        <v>3.55735117271254</v>
      </c>
      <c r="AD335" s="14">
        <f t="shared" si="199"/>
        <v>79.217655407263933</v>
      </c>
      <c r="AE335" s="14">
        <f t="shared" si="200"/>
        <v>14.559516902813925</v>
      </c>
      <c r="AF335" s="14">
        <f t="shared" si="201"/>
        <v>4.5035817978740251</v>
      </c>
      <c r="AG335" s="14">
        <f t="shared" si="202"/>
        <v>2.6859805676179037E-2</v>
      </c>
      <c r="AH335" s="14">
        <f t="shared" si="203"/>
        <v>-72.390486894853623</v>
      </c>
      <c r="AI335" s="14">
        <f t="shared" si="204"/>
        <v>-10.384684179066522</v>
      </c>
      <c r="AJ335" s="23">
        <f t="shared" si="181"/>
        <v>11.33075031028433</v>
      </c>
      <c r="AK335" s="23">
        <f t="shared" si="182"/>
        <v>4.2016925294235818</v>
      </c>
      <c r="AL335" s="14">
        <f t="shared" si="205"/>
        <v>0</v>
      </c>
      <c r="AM335" s="14">
        <f t="shared" si="206"/>
        <v>0</v>
      </c>
      <c r="AN335" s="14">
        <f t="shared" si="207"/>
        <v>0</v>
      </c>
      <c r="AO335" s="14">
        <f t="shared" si="208"/>
        <v>0</v>
      </c>
      <c r="AP335" s="23">
        <f t="shared" si="183"/>
        <v>0</v>
      </c>
      <c r="AQ335" s="23">
        <f t="shared" si="184"/>
        <v>0</v>
      </c>
    </row>
    <row r="336" spans="8:43" x14ac:dyDescent="0.25">
      <c r="H336" s="14">
        <v>4.3300000000000098</v>
      </c>
      <c r="I336" s="36">
        <f t="shared" si="209"/>
        <v>213796.20895022844</v>
      </c>
      <c r="J336" s="24">
        <f t="shared" si="175"/>
        <v>-128.28519262885456</v>
      </c>
      <c r="K336" s="24">
        <f t="shared" si="176"/>
        <v>-34.952306116739969</v>
      </c>
      <c r="L336" s="14">
        <f t="shared" si="185"/>
        <v>0.67018069634200106</v>
      </c>
      <c r="M336" s="14">
        <f t="shared" si="186"/>
        <v>-87.384516153762306</v>
      </c>
      <c r="N336" s="14">
        <f t="shared" si="187"/>
        <v>26.814428644961303</v>
      </c>
      <c r="O336" s="14">
        <f t="shared" si="188"/>
        <v>-89.940434860718256</v>
      </c>
      <c r="P336" s="14">
        <f t="shared" si="189"/>
        <v>-59.662610980062624</v>
      </c>
      <c r="Q336" s="14">
        <f t="shared" si="190"/>
        <v>-60.68797310756986</v>
      </c>
      <c r="R336" s="14">
        <f t="shared" si="191"/>
        <v>-6.2037839661950471</v>
      </c>
      <c r="S336" s="23">
        <f t="shared" si="177"/>
        <v>-238.01292412205044</v>
      </c>
      <c r="T336" s="23">
        <f t="shared" si="178"/>
        <v>-42.528128013134221</v>
      </c>
      <c r="U336" s="14">
        <f t="shared" si="192"/>
        <v>20000</v>
      </c>
      <c r="V336" s="14">
        <f t="shared" si="193"/>
        <v>-89.999980612577133</v>
      </c>
      <c r="W336" s="14">
        <f t="shared" si="194"/>
        <v>-129.41205098360714</v>
      </c>
      <c r="X336" s="14">
        <f t="shared" si="195"/>
        <v>89.961225160163394</v>
      </c>
      <c r="Y336" s="14">
        <f t="shared" si="196"/>
        <v>63.391453059346802</v>
      </c>
      <c r="Z336" s="14">
        <f t="shared" si="197"/>
        <v>-81.531739320958039</v>
      </c>
      <c r="AA336" s="14">
        <f t="shared" si="198"/>
        <v>-16.638214567434609</v>
      </c>
      <c r="AB336" s="23">
        <f t="shared" si="179"/>
        <v>-81.570494773371777</v>
      </c>
      <c r="AC336" s="23">
        <f t="shared" si="180"/>
        <v>3.3617874215846726</v>
      </c>
      <c r="AD336" s="14">
        <f t="shared" si="199"/>
        <v>79.457527470465863</v>
      </c>
      <c r="AE336" s="14">
        <f t="shared" si="200"/>
        <v>14.752670555082242</v>
      </c>
      <c r="AF336" s="14">
        <f t="shared" si="201"/>
        <v>4.608037031612513</v>
      </c>
      <c r="AG336" s="14">
        <f t="shared" si="202"/>
        <v>2.8121579571493395E-2</v>
      </c>
      <c r="AH336" s="14">
        <f t="shared" si="203"/>
        <v>-72.767338235510735</v>
      </c>
      <c r="AI336" s="14">
        <f t="shared" si="204"/>
        <v>-10.566757659844153</v>
      </c>
      <c r="AJ336" s="23">
        <f t="shared" si="181"/>
        <v>11.298226266567639</v>
      </c>
      <c r="AK336" s="23">
        <f t="shared" si="182"/>
        <v>4.2140344748095817</v>
      </c>
      <c r="AL336" s="14">
        <f t="shared" si="205"/>
        <v>0</v>
      </c>
      <c r="AM336" s="14">
        <f t="shared" si="206"/>
        <v>0</v>
      </c>
      <c r="AN336" s="14">
        <f t="shared" si="207"/>
        <v>0</v>
      </c>
      <c r="AO336" s="14">
        <f t="shared" si="208"/>
        <v>0</v>
      </c>
      <c r="AP336" s="23">
        <f t="shared" si="183"/>
        <v>0</v>
      </c>
      <c r="AQ336" s="23">
        <f t="shared" si="184"/>
        <v>0</v>
      </c>
    </row>
    <row r="337" spans="8:43" x14ac:dyDescent="0.25">
      <c r="H337" s="14">
        <v>4.3400000000000096</v>
      </c>
      <c r="I337" s="36">
        <f t="shared" si="209"/>
        <v>218776.16239496018</v>
      </c>
      <c r="J337" s="24">
        <f t="shared" si="175"/>
        <v>-129.12310029439331</v>
      </c>
      <c r="K337" s="24">
        <f t="shared" si="176"/>
        <v>-35.289408151115182</v>
      </c>
      <c r="L337" s="14">
        <f t="shared" si="185"/>
        <v>0.67018069634200106</v>
      </c>
      <c r="M337" s="14">
        <f t="shared" si="186"/>
        <v>-87.443971958503553</v>
      </c>
      <c r="N337" s="14">
        <f t="shared" si="187"/>
        <v>27.014021596742012</v>
      </c>
      <c r="O337" s="14">
        <f t="shared" si="188"/>
        <v>-89.941790727878626</v>
      </c>
      <c r="P337" s="14">
        <f t="shared" si="189"/>
        <v>-59.862610768807457</v>
      </c>
      <c r="Q337" s="14">
        <f t="shared" si="190"/>
        <v>-61.247757208681882</v>
      </c>
      <c r="R337" s="14">
        <f t="shared" si="191"/>
        <v>-6.3566815738301417</v>
      </c>
      <c r="S337" s="23">
        <f t="shared" si="177"/>
        <v>-238.63351989506407</v>
      </c>
      <c r="T337" s="23">
        <f t="shared" si="178"/>
        <v>-42.681432457733443</v>
      </c>
      <c r="U337" s="14">
        <f t="shared" si="192"/>
        <v>20000</v>
      </c>
      <c r="V337" s="14">
        <f t="shared" si="193"/>
        <v>-89.999981053888746</v>
      </c>
      <c r="W337" s="14">
        <f t="shared" si="194"/>
        <v>-129.61205098360711</v>
      </c>
      <c r="X337" s="14">
        <f t="shared" si="195"/>
        <v>89.962107783014716</v>
      </c>
      <c r="Y337" s="14">
        <f t="shared" si="196"/>
        <v>63.591452969826172</v>
      </c>
      <c r="Z337" s="14">
        <f t="shared" si="197"/>
        <v>-81.72179864180309</v>
      </c>
      <c r="AA337" s="14">
        <f t="shared" si="198"/>
        <v>-16.833973658539712</v>
      </c>
      <c r="AB337" s="23">
        <f t="shared" si="179"/>
        <v>-81.759671912677121</v>
      </c>
      <c r="AC337" s="23">
        <f t="shared" si="180"/>
        <v>3.1660282409589797</v>
      </c>
      <c r="AD337" s="14">
        <f t="shared" si="199"/>
        <v>79.692301119283087</v>
      </c>
      <c r="AE337" s="14">
        <f t="shared" si="200"/>
        <v>14.946122253240624</v>
      </c>
      <c r="AF337" s="14">
        <f t="shared" si="201"/>
        <v>4.7148935661267526</v>
      </c>
      <c r="AG337" s="14">
        <f t="shared" si="202"/>
        <v>2.9442426245440339E-2</v>
      </c>
      <c r="AH337" s="14">
        <f t="shared" si="203"/>
        <v>-73.13710317206197</v>
      </c>
      <c r="AI337" s="14">
        <f t="shared" si="204"/>
        <v>-10.749568613826781</v>
      </c>
      <c r="AJ337" s="23">
        <f t="shared" si="181"/>
        <v>11.270091513347865</v>
      </c>
      <c r="AK337" s="23">
        <f t="shared" si="182"/>
        <v>4.2259960656592828</v>
      </c>
      <c r="AL337" s="14">
        <f t="shared" si="205"/>
        <v>0</v>
      </c>
      <c r="AM337" s="14">
        <f t="shared" si="206"/>
        <v>0</v>
      </c>
      <c r="AN337" s="14">
        <f t="shared" si="207"/>
        <v>0</v>
      </c>
      <c r="AO337" s="14">
        <f t="shared" si="208"/>
        <v>0</v>
      </c>
      <c r="AP337" s="23">
        <f t="shared" si="183"/>
        <v>0</v>
      </c>
      <c r="AQ337" s="23">
        <f t="shared" si="184"/>
        <v>0</v>
      </c>
    </row>
    <row r="338" spans="8:43" x14ac:dyDescent="0.25">
      <c r="H338" s="14">
        <v>4.3500000000000103</v>
      </c>
      <c r="I338" s="36">
        <f t="shared" si="209"/>
        <v>223872.11385683939</v>
      </c>
      <c r="J338" s="24">
        <f t="shared" si="175"/>
        <v>-129.94415581154442</v>
      </c>
      <c r="K338" s="24">
        <f t="shared" si="176"/>
        <v>-35.628679472925228</v>
      </c>
      <c r="L338" s="14">
        <f t="shared" si="185"/>
        <v>0.67018069634200106</v>
      </c>
      <c r="M338" s="14">
        <f t="shared" si="186"/>
        <v>-87.502079707090445</v>
      </c>
      <c r="N338" s="14">
        <f t="shared" si="187"/>
        <v>27.213632833093087</v>
      </c>
      <c r="O338" s="14">
        <f t="shared" si="188"/>
        <v>-89.94311573179742</v>
      </c>
      <c r="P338" s="14">
        <f t="shared" si="189"/>
        <v>-60.062610567060375</v>
      </c>
      <c r="Q338" s="14">
        <f t="shared" si="190"/>
        <v>-61.800659933548722</v>
      </c>
      <c r="R338" s="14">
        <f t="shared" si="191"/>
        <v>-6.5112171752094099</v>
      </c>
      <c r="S338" s="23">
        <f t="shared" si="177"/>
        <v>-239.24585537243661</v>
      </c>
      <c r="T338" s="23">
        <f t="shared" si="178"/>
        <v>-42.836356621014552</v>
      </c>
      <c r="U338" s="14">
        <f t="shared" si="192"/>
        <v>20000</v>
      </c>
      <c r="V338" s="14">
        <f t="shared" si="193"/>
        <v>-89.99998148515489</v>
      </c>
      <c r="W338" s="14">
        <f t="shared" si="194"/>
        <v>-129.81205098360709</v>
      </c>
      <c r="X338" s="14">
        <f t="shared" si="195"/>
        <v>89.962970314934466</v>
      </c>
      <c r="Y338" s="14">
        <f t="shared" si="196"/>
        <v>63.79145288433466</v>
      </c>
      <c r="Z338" s="14">
        <f t="shared" si="197"/>
        <v>-81.907709124892563</v>
      </c>
      <c r="AA338" s="14">
        <f t="shared" si="198"/>
        <v>-17.029919752438694</v>
      </c>
      <c r="AB338" s="23">
        <f t="shared" si="179"/>
        <v>-81.944720295112987</v>
      </c>
      <c r="AC338" s="23">
        <f t="shared" si="180"/>
        <v>2.9700820615684975</v>
      </c>
      <c r="AD338" s="14">
        <f t="shared" si="199"/>
        <v>79.922069283349202</v>
      </c>
      <c r="AE338" s="14">
        <f t="shared" si="200"/>
        <v>15.139859443058869</v>
      </c>
      <c r="AF338" s="14">
        <f t="shared" si="201"/>
        <v>4.8242050831460226</v>
      </c>
      <c r="AG338" s="14">
        <f t="shared" si="202"/>
        <v>3.0825092078421535E-2</v>
      </c>
      <c r="AH338" s="14">
        <f t="shared" si="203"/>
        <v>-73.499854510490053</v>
      </c>
      <c r="AI338" s="14">
        <f t="shared" si="204"/>
        <v>-10.933089448616464</v>
      </c>
      <c r="AJ338" s="23">
        <f t="shared" si="181"/>
        <v>11.246419856005176</v>
      </c>
      <c r="AK338" s="23">
        <f t="shared" si="182"/>
        <v>4.2375950865208267</v>
      </c>
      <c r="AL338" s="14">
        <f t="shared" si="205"/>
        <v>0</v>
      </c>
      <c r="AM338" s="14">
        <f t="shared" si="206"/>
        <v>0</v>
      </c>
      <c r="AN338" s="14">
        <f t="shared" si="207"/>
        <v>0</v>
      </c>
      <c r="AO338" s="14">
        <f t="shared" si="208"/>
        <v>0</v>
      </c>
      <c r="AP338" s="23">
        <f t="shared" si="183"/>
        <v>0</v>
      </c>
      <c r="AQ338" s="23">
        <f t="shared" si="184"/>
        <v>0</v>
      </c>
    </row>
    <row r="339" spans="8:43" x14ac:dyDescent="0.25">
      <c r="H339" s="14">
        <v>4.3600000000000101</v>
      </c>
      <c r="I339" s="36">
        <f t="shared" si="209"/>
        <v>229086.76527678283</v>
      </c>
      <c r="J339" s="24">
        <f t="shared" si="175"/>
        <v>-130.74828281749615</v>
      </c>
      <c r="K339" s="24">
        <f t="shared" si="176"/>
        <v>-35.970054607060973</v>
      </c>
      <c r="L339" s="14">
        <f t="shared" si="185"/>
        <v>0.67018069634200106</v>
      </c>
      <c r="M339" s="14">
        <f t="shared" si="186"/>
        <v>-87.558869730617246</v>
      </c>
      <c r="N339" s="14">
        <f t="shared" si="187"/>
        <v>27.413261534201368</v>
      </c>
      <c r="O339" s="14">
        <f t="shared" si="188"/>
        <v>-89.944410575003559</v>
      </c>
      <c r="P339" s="14">
        <f t="shared" si="189"/>
        <v>-60.262610374393375</v>
      </c>
      <c r="Q339" s="14">
        <f t="shared" si="190"/>
        <v>-62.346562494571259</v>
      </c>
      <c r="R339" s="14">
        <f t="shared" si="191"/>
        <v>-6.6673501525683339</v>
      </c>
      <c r="S339" s="23">
        <f t="shared" si="177"/>
        <v>-239.84984280019208</v>
      </c>
      <c r="T339" s="23">
        <f t="shared" si="178"/>
        <v>-42.992860704598193</v>
      </c>
      <c r="U339" s="14">
        <f t="shared" si="192"/>
        <v>20000</v>
      </c>
      <c r="V339" s="14">
        <f t="shared" si="193"/>
        <v>-89.999981906604219</v>
      </c>
      <c r="W339" s="14">
        <f t="shared" si="194"/>
        <v>-130.01205098360708</v>
      </c>
      <c r="X339" s="14">
        <f t="shared" si="195"/>
        <v>89.963813213246922</v>
      </c>
      <c r="Y339" s="14">
        <f t="shared" si="196"/>
        <v>63.99145280269088</v>
      </c>
      <c r="Z339" s="14">
        <f t="shared" si="197"/>
        <v>-82.089553675530723</v>
      </c>
      <c r="AA339" s="14">
        <f t="shared" si="198"/>
        <v>-17.226044766498696</v>
      </c>
      <c r="AB339" s="23">
        <f t="shared" si="179"/>
        <v>-82.12572236888802</v>
      </c>
      <c r="AC339" s="23">
        <f t="shared" si="180"/>
        <v>2.773956965864727</v>
      </c>
      <c r="AD339" s="14">
        <f t="shared" si="199"/>
        <v>80.14692421351161</v>
      </c>
      <c r="AE339" s="14">
        <f t="shared" si="200"/>
        <v>15.333870063146707</v>
      </c>
      <c r="AF339" s="14">
        <f t="shared" si="201"/>
        <v>4.9360263562699833</v>
      </c>
      <c r="AG339" s="14">
        <f t="shared" si="202"/>
        <v>3.2272449291456326E-2</v>
      </c>
      <c r="AH339" s="14">
        <f t="shared" si="203"/>
        <v>-73.855668218197636</v>
      </c>
      <c r="AI339" s="14">
        <f t="shared" si="204"/>
        <v>-11.117293380765673</v>
      </c>
      <c r="AJ339" s="23">
        <f t="shared" si="181"/>
        <v>11.227282351583952</v>
      </c>
      <c r="AK339" s="23">
        <f t="shared" si="182"/>
        <v>4.2488491316724897</v>
      </c>
      <c r="AL339" s="14">
        <f t="shared" si="205"/>
        <v>0</v>
      </c>
      <c r="AM339" s="14">
        <f t="shared" si="206"/>
        <v>0</v>
      </c>
      <c r="AN339" s="14">
        <f t="shared" si="207"/>
        <v>0</v>
      </c>
      <c r="AO339" s="14">
        <f t="shared" si="208"/>
        <v>0</v>
      </c>
      <c r="AP339" s="23">
        <f t="shared" si="183"/>
        <v>0</v>
      </c>
      <c r="AQ339" s="23">
        <f t="shared" si="184"/>
        <v>0</v>
      </c>
    </row>
    <row r="340" spans="8:43" x14ac:dyDescent="0.25">
      <c r="H340" s="14">
        <v>4.3700000000000099</v>
      </c>
      <c r="I340" s="36">
        <f t="shared" si="209"/>
        <v>234422.88153199785</v>
      </c>
      <c r="J340" s="24">
        <f t="shared" si="175"/>
        <v>-131.53541737223117</v>
      </c>
      <c r="K340" s="24">
        <f t="shared" si="176"/>
        <v>-36.313468434480129</v>
      </c>
      <c r="L340" s="14">
        <f t="shared" si="185"/>
        <v>0.67018069634200106</v>
      </c>
      <c r="M340" s="14">
        <f t="shared" si="186"/>
        <v>-87.614371693316954</v>
      </c>
      <c r="N340" s="14">
        <f t="shared" si="187"/>
        <v>27.612906916876959</v>
      </c>
      <c r="O340" s="14">
        <f t="shared" si="188"/>
        <v>-89.945675944034775</v>
      </c>
      <c r="P340" s="14">
        <f t="shared" si="189"/>
        <v>-60.462610190397818</v>
      </c>
      <c r="Q340" s="14">
        <f t="shared" si="190"/>
        <v>-62.885357837225293</v>
      </c>
      <c r="R340" s="14">
        <f t="shared" si="191"/>
        <v>-6.8250397498765034</v>
      </c>
      <c r="S340" s="23">
        <f t="shared" si="177"/>
        <v>-240.445405474577</v>
      </c>
      <c r="T340" s="23">
        <f t="shared" si="178"/>
        <v>-43.150904735235216</v>
      </c>
      <c r="U340" s="14">
        <f t="shared" si="192"/>
        <v>20000</v>
      </c>
      <c r="V340" s="14">
        <f t="shared" si="193"/>
        <v>-89.999982318460198</v>
      </c>
      <c r="W340" s="14">
        <f t="shared" si="194"/>
        <v>-130.21205098360704</v>
      </c>
      <c r="X340" s="14">
        <f t="shared" si="195"/>
        <v>89.964636924866483</v>
      </c>
      <c r="Y340" s="14">
        <f t="shared" si="196"/>
        <v>64.191452724721671</v>
      </c>
      <c r="Z340" s="14">
        <f t="shared" si="197"/>
        <v>-82.267414048782882</v>
      </c>
      <c r="AA340" s="14">
        <f t="shared" si="198"/>
        <v>-17.422340953323271</v>
      </c>
      <c r="AB340" s="23">
        <f t="shared" si="179"/>
        <v>-82.302759442376598</v>
      </c>
      <c r="AC340" s="23">
        <f t="shared" si="180"/>
        <v>2.5776607010709824</v>
      </c>
      <c r="AD340" s="14">
        <f t="shared" si="199"/>
        <v>80.36695741244435</v>
      </c>
      <c r="AE340" s="14">
        <f t="shared" si="200"/>
        <v>15.528142528693103</v>
      </c>
      <c r="AF340" s="14">
        <f t="shared" si="201"/>
        <v>5.0504132653652061</v>
      </c>
      <c r="AG340" s="14">
        <f t="shared" si="202"/>
        <v>3.3787501535947659E-2</v>
      </c>
      <c r="AH340" s="14">
        <f t="shared" si="203"/>
        <v>-74.204623133087125</v>
      </c>
      <c r="AI340" s="14">
        <f t="shared" si="204"/>
        <v>-11.302154430544944</v>
      </c>
      <c r="AJ340" s="23">
        <f t="shared" si="181"/>
        <v>11.212747544722433</v>
      </c>
      <c r="AK340" s="23">
        <f t="shared" si="182"/>
        <v>4.2597755996841062</v>
      </c>
      <c r="AL340" s="14">
        <f t="shared" si="205"/>
        <v>0</v>
      </c>
      <c r="AM340" s="14">
        <f t="shared" si="206"/>
        <v>0</v>
      </c>
      <c r="AN340" s="14">
        <f t="shared" si="207"/>
        <v>0</v>
      </c>
      <c r="AO340" s="14">
        <f t="shared" si="208"/>
        <v>0</v>
      </c>
      <c r="AP340" s="23">
        <f t="shared" si="183"/>
        <v>0</v>
      </c>
      <c r="AQ340" s="23">
        <f t="shared" si="184"/>
        <v>0</v>
      </c>
    </row>
    <row r="341" spans="8:43" x14ac:dyDescent="0.25">
      <c r="H341" s="14">
        <v>4.3800000000000097</v>
      </c>
      <c r="I341" s="36">
        <f t="shared" si="209"/>
        <v>239883.29190195477</v>
      </c>
      <c r="J341" s="24">
        <f t="shared" si="175"/>
        <v>-132.30550750293179</v>
      </c>
      <c r="K341" s="24">
        <f t="shared" si="176"/>
        <v>-36.658856275490933</v>
      </c>
      <c r="L341" s="14">
        <f t="shared" si="185"/>
        <v>0.67018069634200106</v>
      </c>
      <c r="M341" s="14">
        <f t="shared" si="186"/>
        <v>-87.668614606179034</v>
      </c>
      <c r="N341" s="14">
        <f t="shared" si="187"/>
        <v>27.812568232928836</v>
      </c>
      <c r="O341" s="14">
        <f t="shared" si="188"/>
        <v>-89.946912509801521</v>
      </c>
      <c r="P341" s="14">
        <f t="shared" si="189"/>
        <v>-60.662610014683416</v>
      </c>
      <c r="Q341" s="14">
        <f t="shared" si="190"/>
        <v>-63.416950419744275</v>
      </c>
      <c r="R341" s="14">
        <f t="shared" si="191"/>
        <v>-6.9842451639730472</v>
      </c>
      <c r="S341" s="23">
        <f t="shared" si="177"/>
        <v>-241.03247753572484</v>
      </c>
      <c r="T341" s="23">
        <f t="shared" si="178"/>
        <v>-43.31044865756548</v>
      </c>
      <c r="U341" s="14">
        <f t="shared" si="192"/>
        <v>20000</v>
      </c>
      <c r="V341" s="14">
        <f t="shared" si="193"/>
        <v>-89.999982720941162</v>
      </c>
      <c r="W341" s="14">
        <f t="shared" si="194"/>
        <v>-130.41205098360703</v>
      </c>
      <c r="X341" s="14">
        <f t="shared" si="195"/>
        <v>89.965441886534578</v>
      </c>
      <c r="Y341" s="14">
        <f t="shared" si="196"/>
        <v>64.39145265026167</v>
      </c>
      <c r="Z341" s="14">
        <f t="shared" si="197"/>
        <v>-82.441370829940738</v>
      </c>
      <c r="AA341" s="14">
        <f t="shared" si="198"/>
        <v>-17.618800888070375</v>
      </c>
      <c r="AB341" s="23">
        <f t="shared" si="179"/>
        <v>-82.475911664347322</v>
      </c>
      <c r="AC341" s="23">
        <f t="shared" si="180"/>
        <v>2.3812006918638886</v>
      </c>
      <c r="AD341" s="14">
        <f t="shared" si="199"/>
        <v>80.582259571384398</v>
      </c>
      <c r="AE341" s="14">
        <f t="shared" si="200"/>
        <v>15.7226657154691</v>
      </c>
      <c r="AF341" s="14">
        <f t="shared" si="201"/>
        <v>5.1674228105437807</v>
      </c>
      <c r="AG341" s="14">
        <f t="shared" si="202"/>
        <v>3.5373389714807732E-2</v>
      </c>
      <c r="AH341" s="14">
        <f t="shared" si="203"/>
        <v>-74.546800684787812</v>
      </c>
      <c r="AI341" s="14">
        <f t="shared" si="204"/>
        <v>-11.487647414973246</v>
      </c>
      <c r="AJ341" s="23">
        <f t="shared" si="181"/>
        <v>11.20288169714037</v>
      </c>
      <c r="AK341" s="23">
        <f t="shared" si="182"/>
        <v>4.270391690210662</v>
      </c>
      <c r="AL341" s="14">
        <f t="shared" si="205"/>
        <v>0</v>
      </c>
      <c r="AM341" s="14">
        <f t="shared" si="206"/>
        <v>0</v>
      </c>
      <c r="AN341" s="14">
        <f t="shared" si="207"/>
        <v>0</v>
      </c>
      <c r="AO341" s="14">
        <f t="shared" si="208"/>
        <v>0</v>
      </c>
      <c r="AP341" s="23">
        <f t="shared" si="183"/>
        <v>0</v>
      </c>
      <c r="AQ341" s="23">
        <f t="shared" si="184"/>
        <v>0</v>
      </c>
    </row>
    <row r="342" spans="8:43" x14ac:dyDescent="0.25">
      <c r="H342" s="14">
        <v>4.3900000000000103</v>
      </c>
      <c r="I342" s="36">
        <f t="shared" si="209"/>
        <v>245470.89156850934</v>
      </c>
      <c r="J342" s="24">
        <f t="shared" si="175"/>
        <v>-133.05851272769181</v>
      </c>
      <c r="K342" s="24">
        <f t="shared" si="176"/>
        <v>-37.006153966758163</v>
      </c>
      <c r="L342" s="14">
        <f t="shared" si="185"/>
        <v>0.67018069634200106</v>
      </c>
      <c r="M342" s="14">
        <f t="shared" si="186"/>
        <v>-87.72162684036013</v>
      </c>
      <c r="N342" s="14">
        <f t="shared" si="187"/>
        <v>28.012244767611676</v>
      </c>
      <c r="O342" s="14">
        <f t="shared" si="188"/>
        <v>-89.948120927942739</v>
      </c>
      <c r="P342" s="14">
        <f t="shared" si="189"/>
        <v>-60.862609846877476</v>
      </c>
      <c r="Q342" s="14">
        <f t="shared" si="190"/>
        <v>-63.941255962272102</v>
      </c>
      <c r="R342" s="14">
        <f t="shared" si="191"/>
        <v>-7.1449256312158562</v>
      </c>
      <c r="S342" s="23">
        <f t="shared" si="177"/>
        <v>-241.61100373057496</v>
      </c>
      <c r="T342" s="23">
        <f t="shared" si="178"/>
        <v>-43.471452422319508</v>
      </c>
      <c r="U342" s="14">
        <f t="shared" si="192"/>
        <v>20000</v>
      </c>
      <c r="V342" s="14">
        <f t="shared" si="193"/>
        <v>-89.999983114260573</v>
      </c>
      <c r="W342" s="14">
        <f t="shared" si="194"/>
        <v>-130.61205098360702</v>
      </c>
      <c r="X342" s="14">
        <f t="shared" si="195"/>
        <v>89.96622852505125</v>
      </c>
      <c r="Y342" s="14">
        <f t="shared" si="196"/>
        <v>64.591452579152929</v>
      </c>
      <c r="Z342" s="14">
        <f t="shared" si="197"/>
        <v>-82.61150341812295</v>
      </c>
      <c r="AA342" s="14">
        <f t="shared" si="198"/>
        <v>-17.815417456142647</v>
      </c>
      <c r="AB342" s="23">
        <f t="shared" si="179"/>
        <v>-82.645258007332274</v>
      </c>
      <c r="AC342" s="23">
        <f t="shared" si="180"/>
        <v>2.1845840526828866</v>
      </c>
      <c r="AD342" s="14">
        <f t="shared" si="199"/>
        <v>80.792920512659066</v>
      </c>
      <c r="AE342" s="14">
        <f t="shared" si="200"/>
        <v>15.917428944117455</v>
      </c>
      <c r="AF342" s="14">
        <f t="shared" si="201"/>
        <v>5.2871131256649102</v>
      </c>
      <c r="AG342" s="14">
        <f t="shared" si="202"/>
        <v>3.7033398042897125E-2</v>
      </c>
      <c r="AH342" s="14">
        <f t="shared" si="203"/>
        <v>-74.88228462810855</v>
      </c>
      <c r="AI342" s="14">
        <f t="shared" si="204"/>
        <v>-11.673747939281892</v>
      </c>
      <c r="AJ342" s="23">
        <f t="shared" si="181"/>
        <v>11.197749010215432</v>
      </c>
      <c r="AK342" s="23">
        <f t="shared" si="182"/>
        <v>4.2807144028784609</v>
      </c>
      <c r="AL342" s="14">
        <f t="shared" si="205"/>
        <v>0</v>
      </c>
      <c r="AM342" s="14">
        <f t="shared" si="206"/>
        <v>0</v>
      </c>
      <c r="AN342" s="14">
        <f t="shared" si="207"/>
        <v>0</v>
      </c>
      <c r="AO342" s="14">
        <f t="shared" si="208"/>
        <v>0</v>
      </c>
      <c r="AP342" s="23">
        <f t="shared" si="183"/>
        <v>0</v>
      </c>
      <c r="AQ342" s="23">
        <f t="shared" si="184"/>
        <v>0</v>
      </c>
    </row>
    <row r="343" spans="8:43" x14ac:dyDescent="0.25">
      <c r="H343" s="14">
        <v>4.4000000000000101</v>
      </c>
      <c r="I343" s="36">
        <f t="shared" si="209"/>
        <v>251188.643150964</v>
      </c>
      <c r="J343" s="24">
        <f t="shared" si="175"/>
        <v>-133.79440356188508</v>
      </c>
      <c r="K343" s="24">
        <f t="shared" si="176"/>
        <v>-37.355297931982619</v>
      </c>
      <c r="L343" s="14">
        <f t="shared" si="185"/>
        <v>0.67018069634200106</v>
      </c>
      <c r="M343" s="14">
        <f t="shared" si="186"/>
        <v>-87.773436140385954</v>
      </c>
      <c r="N343" s="14">
        <f t="shared" si="187"/>
        <v>28.211935838140462</v>
      </c>
      <c r="O343" s="14">
        <f t="shared" si="188"/>
        <v>-89.949301839173415</v>
      </c>
      <c r="P343" s="14">
        <f t="shared" si="189"/>
        <v>-61.062609686624</v>
      </c>
      <c r="Q343" s="14">
        <f t="shared" si="190"/>
        <v>-64.458201168659656</v>
      </c>
      <c r="R343" s="14">
        <f t="shared" si="191"/>
        <v>-7.3070405094586421</v>
      </c>
      <c r="S343" s="23">
        <f t="shared" si="177"/>
        <v>-242.18093914821904</v>
      </c>
      <c r="T343" s="23">
        <f t="shared" si="178"/>
        <v>-43.633876069780037</v>
      </c>
      <c r="U343" s="14">
        <f t="shared" si="192"/>
        <v>20000</v>
      </c>
      <c r="V343" s="14">
        <f t="shared" si="193"/>
        <v>-89.999983498626932</v>
      </c>
      <c r="W343" s="14">
        <f t="shared" si="194"/>
        <v>-130.81205098360701</v>
      </c>
      <c r="X343" s="14">
        <f t="shared" si="195"/>
        <v>89.96699725750149</v>
      </c>
      <c r="Y343" s="14">
        <f t="shared" si="196"/>
        <v>64.791452511244557</v>
      </c>
      <c r="Z343" s="14">
        <f t="shared" si="197"/>
        <v>-82.777890012796263</v>
      </c>
      <c r="AA343" s="14">
        <f t="shared" si="198"/>
        <v>-18.012183841248849</v>
      </c>
      <c r="AB343" s="23">
        <f t="shared" si="179"/>
        <v>-82.810876253921705</v>
      </c>
      <c r="AC343" s="23">
        <f t="shared" si="180"/>
        <v>1.9878175996683254</v>
      </c>
      <c r="AD343" s="14">
        <f t="shared" si="199"/>
        <v>80.999029137681617</v>
      </c>
      <c r="AE343" s="14">
        <f t="shared" si="200"/>
        <v>16.112421964748513</v>
      </c>
      <c r="AF343" s="14">
        <f t="shared" si="201"/>
        <v>5.4095434912956613</v>
      </c>
      <c r="AG343" s="14">
        <f t="shared" si="202"/>
        <v>3.8770960354800266E-2</v>
      </c>
      <c r="AH343" s="14">
        <f t="shared" si="203"/>
        <v>-75.211160788721642</v>
      </c>
      <c r="AI343" s="14">
        <f t="shared" si="204"/>
        <v>-11.860432386974221</v>
      </c>
      <c r="AJ343" s="23">
        <f t="shared" si="181"/>
        <v>11.19741184025564</v>
      </c>
      <c r="AK343" s="23">
        <f t="shared" si="182"/>
        <v>4.2907605381290921</v>
      </c>
      <c r="AL343" s="14">
        <f t="shared" si="205"/>
        <v>0</v>
      </c>
      <c r="AM343" s="14">
        <f t="shared" si="206"/>
        <v>0</v>
      </c>
      <c r="AN343" s="14">
        <f t="shared" si="207"/>
        <v>0</v>
      </c>
      <c r="AO343" s="14">
        <f t="shared" si="208"/>
        <v>0</v>
      </c>
      <c r="AP343" s="23">
        <f t="shared" si="183"/>
        <v>0</v>
      </c>
      <c r="AQ343" s="23">
        <f t="shared" si="184"/>
        <v>0</v>
      </c>
    </row>
    <row r="344" spans="8:43" x14ac:dyDescent="0.25">
      <c r="H344" s="14">
        <v>4.4100000000000099</v>
      </c>
      <c r="I344" s="36">
        <f t="shared" si="209"/>
        <v>257039.57827689245</v>
      </c>
      <c r="J344" s="24">
        <f t="shared" si="175"/>
        <v>-134.51316101046095</v>
      </c>
      <c r="K344" s="24">
        <f t="shared" si="176"/>
        <v>-37.706225246246987</v>
      </c>
      <c r="L344" s="14">
        <f t="shared" si="185"/>
        <v>0.67018069634200106</v>
      </c>
      <c r="M344" s="14">
        <f t="shared" si="186"/>
        <v>-87.824069637142713</v>
      </c>
      <c r="N344" s="14">
        <f t="shared" si="187"/>
        <v>28.411640792270489</v>
      </c>
      <c r="O344" s="14">
        <f t="shared" si="188"/>
        <v>-89.950455869624292</v>
      </c>
      <c r="P344" s="14">
        <f t="shared" si="189"/>
        <v>-61.262609533583131</v>
      </c>
      <c r="Q344" s="14">
        <f t="shared" si="190"/>
        <v>-64.967723424057439</v>
      </c>
      <c r="R344" s="14">
        <f t="shared" si="191"/>
        <v>-7.4705493552182753</v>
      </c>
      <c r="S344" s="23">
        <f t="shared" si="177"/>
        <v>-242.74224893082447</v>
      </c>
      <c r="T344" s="23">
        <f t="shared" si="178"/>
        <v>-43.79767980836877</v>
      </c>
      <c r="U344" s="14">
        <f t="shared" si="192"/>
        <v>20000</v>
      </c>
      <c r="V344" s="14">
        <f t="shared" si="193"/>
        <v>-89.999983874244037</v>
      </c>
      <c r="W344" s="14">
        <f t="shared" si="194"/>
        <v>-131.01205098360697</v>
      </c>
      <c r="X344" s="14">
        <f t="shared" si="195"/>
        <v>89.9677484914763</v>
      </c>
      <c r="Y344" s="14">
        <f t="shared" si="196"/>
        <v>64.9914524463926</v>
      </c>
      <c r="Z344" s="14">
        <f t="shared" si="197"/>
        <v>-82.94060760301474</v>
      </c>
      <c r="AA344" s="14">
        <f t="shared" si="198"/>
        <v>-18.209093513834887</v>
      </c>
      <c r="AB344" s="23">
        <f t="shared" si="179"/>
        <v>-82.972842985782478</v>
      </c>
      <c r="AC344" s="23">
        <f t="shared" si="180"/>
        <v>1.7909078622303696</v>
      </c>
      <c r="AD344" s="14">
        <f t="shared" si="199"/>
        <v>81.200673380103595</v>
      </c>
      <c r="AE344" s="14">
        <f t="shared" si="200"/>
        <v>16.307634941859114</v>
      </c>
      <c r="AF344" s="14">
        <f t="shared" si="201"/>
        <v>5.5347743470626822</v>
      </c>
      <c r="AG344" s="14">
        <f t="shared" si="202"/>
        <v>4.0589666668055982E-2</v>
      </c>
      <c r="AH344" s="14">
        <f t="shared" si="203"/>
        <v>-75.533516821020271</v>
      </c>
      <c r="AI344" s="14">
        <f t="shared" si="204"/>
        <v>-12.047677908635759</v>
      </c>
      <c r="AJ344" s="23">
        <f t="shared" si="181"/>
        <v>11.201930906146004</v>
      </c>
      <c r="AK344" s="23">
        <f t="shared" si="182"/>
        <v>4.3005466998914095</v>
      </c>
      <c r="AL344" s="14">
        <f t="shared" si="205"/>
        <v>0</v>
      </c>
      <c r="AM344" s="14">
        <f t="shared" si="206"/>
        <v>0</v>
      </c>
      <c r="AN344" s="14">
        <f t="shared" si="207"/>
        <v>0</v>
      </c>
      <c r="AO344" s="14">
        <f t="shared" si="208"/>
        <v>0</v>
      </c>
      <c r="AP344" s="23">
        <f t="shared" si="183"/>
        <v>0</v>
      </c>
      <c r="AQ344" s="23">
        <f t="shared" si="184"/>
        <v>0</v>
      </c>
    </row>
    <row r="345" spans="8:43" x14ac:dyDescent="0.25">
      <c r="H345" s="14">
        <v>4.4200000000000097</v>
      </c>
      <c r="I345" s="36">
        <f t="shared" si="209"/>
        <v>263026.79918954434</v>
      </c>
      <c r="J345" s="24">
        <f t="shared" si="175"/>
        <v>-135.21477604932682</v>
      </c>
      <c r="K345" s="24">
        <f t="shared" si="176"/>
        <v>-38.058873694058512</v>
      </c>
      <c r="L345" s="14">
        <f t="shared" si="185"/>
        <v>0.67018069634200106</v>
      </c>
      <c r="M345" s="14">
        <f t="shared" si="186"/>
        <v>-87.873553860656926</v>
      </c>
      <c r="N345" s="14">
        <f t="shared" si="187"/>
        <v>28.611359006939338</v>
      </c>
      <c r="O345" s="14">
        <f t="shared" si="188"/>
        <v>-89.951583631173847</v>
      </c>
      <c r="P345" s="14">
        <f t="shared" si="189"/>
        <v>-61.462609387430234</v>
      </c>
      <c r="Q345" s="14">
        <f t="shared" si="190"/>
        <v>-65.469770471399613</v>
      </c>
      <c r="R345" s="14">
        <f t="shared" si="191"/>
        <v>-7.6354119959388331</v>
      </c>
      <c r="S345" s="23">
        <f t="shared" si="177"/>
        <v>-243.2949079632304</v>
      </c>
      <c r="T345" s="23">
        <f t="shared" si="178"/>
        <v>-43.962824088267581</v>
      </c>
      <c r="U345" s="14">
        <f t="shared" si="192"/>
        <v>20000</v>
      </c>
      <c r="V345" s="14">
        <f t="shared" si="193"/>
        <v>-89.999984241311068</v>
      </c>
      <c r="W345" s="14">
        <f t="shared" si="194"/>
        <v>-131.21205098360696</v>
      </c>
      <c r="X345" s="14">
        <f t="shared" si="195"/>
        <v>89.968482625288843</v>
      </c>
      <c r="Y345" s="14">
        <f t="shared" si="196"/>
        <v>65.191452384459453</v>
      </c>
      <c r="Z345" s="14">
        <f t="shared" si="197"/>
        <v>-83.099731959183345</v>
      </c>
      <c r="AA345" s="14">
        <f t="shared" si="198"/>
        <v>-18.406140219880591</v>
      </c>
      <c r="AB345" s="23">
        <f t="shared" si="179"/>
        <v>-83.13123357520557</v>
      </c>
      <c r="AC345" s="23">
        <f t="shared" si="180"/>
        <v>1.5938610942515297</v>
      </c>
      <c r="AD345" s="14">
        <f t="shared" si="199"/>
        <v>81.397940163822085</v>
      </c>
      <c r="AE345" s="14">
        <f t="shared" si="200"/>
        <v>16.503058439587807</v>
      </c>
      <c r="AF345" s="14">
        <f t="shared" si="201"/>
        <v>5.6628673033212085</v>
      </c>
      <c r="AG345" s="14">
        <f t="shared" si="202"/>
        <v>4.2493270010032114E-2</v>
      </c>
      <c r="AH345" s="14">
        <f t="shared" si="203"/>
        <v>-75.849441978034164</v>
      </c>
      <c r="AI345" s="14">
        <f t="shared" si="204"/>
        <v>-12.235462409640299</v>
      </c>
      <c r="AJ345" s="23">
        <f t="shared" si="181"/>
        <v>11.211365489109127</v>
      </c>
      <c r="AK345" s="23">
        <f t="shared" si="182"/>
        <v>4.3100892999575393</v>
      </c>
      <c r="AL345" s="14">
        <f t="shared" si="205"/>
        <v>0</v>
      </c>
      <c r="AM345" s="14">
        <f t="shared" si="206"/>
        <v>0</v>
      </c>
      <c r="AN345" s="14">
        <f t="shared" si="207"/>
        <v>0</v>
      </c>
      <c r="AO345" s="14">
        <f t="shared" si="208"/>
        <v>0</v>
      </c>
      <c r="AP345" s="23">
        <f t="shared" si="183"/>
        <v>0</v>
      </c>
      <c r="AQ345" s="23">
        <f t="shared" si="184"/>
        <v>0</v>
      </c>
    </row>
    <row r="346" spans="8:43" x14ac:dyDescent="0.25">
      <c r="H346" s="14">
        <v>4.4300000000000104</v>
      </c>
      <c r="I346" s="36">
        <f t="shared" si="209"/>
        <v>269153.48039269837</v>
      </c>
      <c r="J346" s="24">
        <f t="shared" si="175"/>
        <v>-135.89924909886062</v>
      </c>
      <c r="K346" s="24">
        <f t="shared" si="176"/>
        <v>-38.413181821154403</v>
      </c>
      <c r="L346" s="14">
        <f t="shared" si="185"/>
        <v>0.67018069634200106</v>
      </c>
      <c r="M346" s="14">
        <f t="shared" si="186"/>
        <v>-87.921914752662886</v>
      </c>
      <c r="N346" s="14">
        <f t="shared" si="187"/>
        <v>28.811089886968773</v>
      </c>
      <c r="O346" s="14">
        <f t="shared" si="188"/>
        <v>-89.952685721772696</v>
      </c>
      <c r="P346" s="14">
        <f t="shared" si="189"/>
        <v>-61.662609247855322</v>
      </c>
      <c r="Q346" s="14">
        <f t="shared" si="190"/>
        <v>-65.964300069800998</v>
      </c>
      <c r="R346" s="14">
        <f t="shared" si="191"/>
        <v>-7.8015885973020946</v>
      </c>
      <c r="S346" s="23">
        <f t="shared" si="177"/>
        <v>-243.83890054423657</v>
      </c>
      <c r="T346" s="23">
        <f t="shared" si="178"/>
        <v>-44.129269670026495</v>
      </c>
      <c r="U346" s="14">
        <f t="shared" si="192"/>
        <v>20000</v>
      </c>
      <c r="V346" s="14">
        <f t="shared" si="193"/>
        <v>-89.999984600022614</v>
      </c>
      <c r="W346" s="14">
        <f t="shared" si="194"/>
        <v>-131.41205098360697</v>
      </c>
      <c r="X346" s="14">
        <f t="shared" si="195"/>
        <v>89.969200048185627</v>
      </c>
      <c r="Y346" s="14">
        <f t="shared" si="196"/>
        <v>65.391452325313779</v>
      </c>
      <c r="Z346" s="14">
        <f t="shared" si="197"/>
        <v>-83.25533762716411</v>
      </c>
      <c r="AA346" s="14">
        <f t="shared" si="198"/>
        <v>-18.603317970058967</v>
      </c>
      <c r="AB346" s="23">
        <f t="shared" si="179"/>
        <v>-83.286122179001097</v>
      </c>
      <c r="AC346" s="23">
        <f t="shared" si="180"/>
        <v>1.3966832849274624</v>
      </c>
      <c r="AD346" s="14">
        <f t="shared" si="199"/>
        <v>81.590915365553158</v>
      </c>
      <c r="AE346" s="14">
        <f t="shared" si="200"/>
        <v>16.698683407317901</v>
      </c>
      <c r="AF346" s="14">
        <f t="shared" si="201"/>
        <v>5.7938851520631323</v>
      </c>
      <c r="AG346" s="14">
        <f t="shared" si="202"/>
        <v>4.4485693516670394E-2</v>
      </c>
      <c r="AH346" s="14">
        <f t="shared" si="203"/>
        <v>-76.159026893239243</v>
      </c>
      <c r="AI346" s="14">
        <f t="shared" si="204"/>
        <v>-12.423764536889939</v>
      </c>
      <c r="AJ346" s="23">
        <f t="shared" si="181"/>
        <v>11.225773624377041</v>
      </c>
      <c r="AK346" s="23">
        <f t="shared" si="182"/>
        <v>4.3194045639446319</v>
      </c>
      <c r="AL346" s="14">
        <f t="shared" si="205"/>
        <v>0</v>
      </c>
      <c r="AM346" s="14">
        <f t="shared" si="206"/>
        <v>0</v>
      </c>
      <c r="AN346" s="14">
        <f t="shared" si="207"/>
        <v>0</v>
      </c>
      <c r="AO346" s="14">
        <f t="shared" si="208"/>
        <v>0</v>
      </c>
      <c r="AP346" s="23">
        <f t="shared" si="183"/>
        <v>0</v>
      </c>
      <c r="AQ346" s="23">
        <f t="shared" si="184"/>
        <v>0</v>
      </c>
    </row>
    <row r="347" spans="8:43" x14ac:dyDescent="0.25">
      <c r="H347" s="14">
        <v>4.4400000000000102</v>
      </c>
      <c r="I347" s="36">
        <f t="shared" si="209"/>
        <v>275422.87033382355</v>
      </c>
      <c r="J347" s="24">
        <f t="shared" si="175"/>
        <v>-136.56658949245025</v>
      </c>
      <c r="K347" s="24">
        <f t="shared" si="176"/>
        <v>-38.769088980168384</v>
      </c>
      <c r="L347" s="14">
        <f t="shared" si="185"/>
        <v>0.67018069634200106</v>
      </c>
      <c r="M347" s="14">
        <f t="shared" si="186"/>
        <v>-87.969177678957564</v>
      </c>
      <c r="N347" s="14">
        <f t="shared" si="187"/>
        <v>29.010832863823552</v>
      </c>
      <c r="O347" s="14">
        <f t="shared" si="188"/>
        <v>-89.953762725760583</v>
      </c>
      <c r="P347" s="14">
        <f t="shared" si="189"/>
        <v>-61.862609114562289</v>
      </c>
      <c r="Q347" s="14">
        <f t="shared" si="190"/>
        <v>-66.451279637784125</v>
      </c>
      <c r="R347" s="14">
        <f t="shared" si="191"/>
        <v>-7.9690397255722676</v>
      </c>
      <c r="S347" s="23">
        <f t="shared" si="177"/>
        <v>-244.37422004250226</v>
      </c>
      <c r="T347" s="23">
        <f t="shared" si="178"/>
        <v>-44.296977688148857</v>
      </c>
      <c r="U347" s="14">
        <f t="shared" si="192"/>
        <v>20000</v>
      </c>
      <c r="V347" s="14">
        <f t="shared" si="193"/>
        <v>-89.999984950568887</v>
      </c>
      <c r="W347" s="14">
        <f t="shared" si="194"/>
        <v>-131.61205098360693</v>
      </c>
      <c r="X347" s="14">
        <f t="shared" si="195"/>
        <v>89.969901140552864</v>
      </c>
      <c r="Y347" s="14">
        <f t="shared" si="196"/>
        <v>65.591452268830068</v>
      </c>
      <c r="Z347" s="14">
        <f t="shared" si="197"/>
        <v>-83.407497924551109</v>
      </c>
      <c r="AA347" s="14">
        <f t="shared" si="198"/>
        <v>-18.800621029252678</v>
      </c>
      <c r="AB347" s="23">
        <f t="shared" si="179"/>
        <v>-83.437581734567132</v>
      </c>
      <c r="AC347" s="23">
        <f t="shared" si="180"/>
        <v>1.1993801692500803</v>
      </c>
      <c r="AD347" s="14">
        <f t="shared" si="199"/>
        <v>81.779683781692484</v>
      </c>
      <c r="AE347" s="14">
        <f t="shared" si="200"/>
        <v>16.894501165636843</v>
      </c>
      <c r="AF347" s="14">
        <f t="shared" si="201"/>
        <v>5.9278918769797375</v>
      </c>
      <c r="AG347" s="14">
        <f t="shared" si="202"/>
        <v>4.6571037811337514E-2</v>
      </c>
      <c r="AH347" s="14">
        <f t="shared" si="203"/>
        <v>-76.462363374053098</v>
      </c>
      <c r="AI347" s="14">
        <f t="shared" si="204"/>
        <v>-12.612563664717785</v>
      </c>
      <c r="AJ347" s="23">
        <f t="shared" si="181"/>
        <v>11.245212284619129</v>
      </c>
      <c r="AK347" s="23">
        <f t="shared" si="182"/>
        <v>4.3285085387303948</v>
      </c>
      <c r="AL347" s="14">
        <f t="shared" si="205"/>
        <v>0</v>
      </c>
      <c r="AM347" s="14">
        <f t="shared" si="206"/>
        <v>0</v>
      </c>
      <c r="AN347" s="14">
        <f t="shared" si="207"/>
        <v>0</v>
      </c>
      <c r="AO347" s="14">
        <f t="shared" si="208"/>
        <v>0</v>
      </c>
      <c r="AP347" s="23">
        <f t="shared" si="183"/>
        <v>0</v>
      </c>
      <c r="AQ347" s="23">
        <f t="shared" si="184"/>
        <v>0</v>
      </c>
    </row>
    <row r="348" spans="8:43" x14ac:dyDescent="0.25">
      <c r="H348" s="14">
        <v>4.4500000000000099</v>
      </c>
      <c r="I348" s="36">
        <f t="shared" si="209"/>
        <v>281838.29312645196</v>
      </c>
      <c r="J348" s="24">
        <f t="shared" si="175"/>
        <v>-137.21681494281216</v>
      </c>
      <c r="K348" s="24">
        <f t="shared" si="176"/>
        <v>-39.126535370285495</v>
      </c>
      <c r="L348" s="14">
        <f t="shared" si="185"/>
        <v>0.67018069634200106</v>
      </c>
      <c r="M348" s="14">
        <f t="shared" si="186"/>
        <v>-88.01536744154285</v>
      </c>
      <c r="N348" s="14">
        <f t="shared" si="187"/>
        <v>29.210587394425019</v>
      </c>
      <c r="O348" s="14">
        <f t="shared" si="188"/>
        <v>-89.95481521417625</v>
      </c>
      <c r="P348" s="14">
        <f t="shared" si="189"/>
        <v>-62.062608987268405</v>
      </c>
      <c r="Q348" s="14">
        <f t="shared" si="190"/>
        <v>-66.930685884138668</v>
      </c>
      <c r="R348" s="14">
        <f t="shared" si="191"/>
        <v>-8.1377264049992295</v>
      </c>
      <c r="S348" s="23">
        <f t="shared" si="177"/>
        <v>-244.90086853985775</v>
      </c>
      <c r="T348" s="23">
        <f t="shared" si="178"/>
        <v>-44.465909709680467</v>
      </c>
      <c r="U348" s="14">
        <f t="shared" si="192"/>
        <v>20000</v>
      </c>
      <c r="V348" s="14">
        <f t="shared" si="193"/>
        <v>-89.999985293135779</v>
      </c>
      <c r="W348" s="14">
        <f t="shared" si="194"/>
        <v>-131.81205098360692</v>
      </c>
      <c r="X348" s="14">
        <f t="shared" si="195"/>
        <v>89.970586274118176</v>
      </c>
      <c r="Y348" s="14">
        <f t="shared" si="196"/>
        <v>65.791452214888551</v>
      </c>
      <c r="Z348" s="14">
        <f t="shared" si="197"/>
        <v>-83.556284938951507</v>
      </c>
      <c r="AA348" s="14">
        <f t="shared" si="198"/>
        <v>-18.998043906422662</v>
      </c>
      <c r="AB348" s="23">
        <f t="shared" si="179"/>
        <v>-83.58568395796911</v>
      </c>
      <c r="AC348" s="23">
        <f t="shared" si="180"/>
        <v>1.0019572381385906</v>
      </c>
      <c r="AD348" s="14">
        <f t="shared" si="199"/>
        <v>81.964329099196974</v>
      </c>
      <c r="AE348" s="14">
        <f t="shared" si="200"/>
        <v>17.090503392658782</v>
      </c>
      <c r="AF348" s="14">
        <f t="shared" si="201"/>
        <v>6.0649526625894099</v>
      </c>
      <c r="AG348" s="14">
        <f t="shared" si="202"/>
        <v>4.8753588671989236E-2</v>
      </c>
      <c r="AH348" s="14">
        <f t="shared" si="203"/>
        <v>-76.759544206771665</v>
      </c>
      <c r="AI348" s="14">
        <f t="shared" si="204"/>
        <v>-12.801839880074393</v>
      </c>
      <c r="AJ348" s="23">
        <f t="shared" si="181"/>
        <v>11.269737555014714</v>
      </c>
      <c r="AK348" s="23">
        <f t="shared" si="182"/>
        <v>4.3374171012563778</v>
      </c>
      <c r="AL348" s="14">
        <f t="shared" si="205"/>
        <v>0</v>
      </c>
      <c r="AM348" s="14">
        <f t="shared" si="206"/>
        <v>0</v>
      </c>
      <c r="AN348" s="14">
        <f t="shared" si="207"/>
        <v>0</v>
      </c>
      <c r="AO348" s="14">
        <f t="shared" si="208"/>
        <v>0</v>
      </c>
      <c r="AP348" s="23">
        <f t="shared" si="183"/>
        <v>0</v>
      </c>
      <c r="AQ348" s="23">
        <f t="shared" si="184"/>
        <v>0</v>
      </c>
    </row>
    <row r="349" spans="8:43" x14ac:dyDescent="0.25">
      <c r="H349" s="14">
        <v>4.4600000000000097</v>
      </c>
      <c r="I349" s="36">
        <f t="shared" si="209"/>
        <v>288403.15031266725</v>
      </c>
      <c r="J349" s="24">
        <f t="shared" si="175"/>
        <v>-137.84995100867269</v>
      </c>
      <c r="K349" s="24">
        <f t="shared" si="176"/>
        <v>-39.48546207103648</v>
      </c>
      <c r="L349" s="14">
        <f t="shared" si="185"/>
        <v>0.67018069634200106</v>
      </c>
      <c r="M349" s="14">
        <f t="shared" si="186"/>
        <v>-88.060508290555461</v>
      </c>
      <c r="N349" s="14">
        <f t="shared" si="187"/>
        <v>29.410352960016972</v>
      </c>
      <c r="O349" s="14">
        <f t="shared" si="188"/>
        <v>-89.955843745060108</v>
      </c>
      <c r="P349" s="14">
        <f t="shared" si="189"/>
        <v>-62.262608865703712</v>
      </c>
      <c r="Q349" s="14">
        <f t="shared" si="190"/>
        <v>-67.402504429077979</v>
      </c>
      <c r="R349" s="14">
        <f t="shared" si="191"/>
        <v>-8.3076101703363179</v>
      </c>
      <c r="S349" s="23">
        <f t="shared" si="177"/>
        <v>-245.41885646469353</v>
      </c>
      <c r="T349" s="23">
        <f t="shared" si="178"/>
        <v>-44.636027787860911</v>
      </c>
      <c r="U349" s="14">
        <f t="shared" si="192"/>
        <v>20000</v>
      </c>
      <c r="V349" s="14">
        <f t="shared" si="193"/>
        <v>-89.999985627904863</v>
      </c>
      <c r="W349" s="14">
        <f t="shared" si="194"/>
        <v>-132.01205098360691</v>
      </c>
      <c r="X349" s="14">
        <f t="shared" si="195"/>
        <v>89.971255812147632</v>
      </c>
      <c r="Y349" s="14">
        <f t="shared" si="196"/>
        <v>65.991452163374788</v>
      </c>
      <c r="Z349" s="14">
        <f t="shared" si="197"/>
        <v>-83.70176952811795</v>
      </c>
      <c r="AA349" s="14">
        <f t="shared" si="198"/>
        <v>-19.195581344822578</v>
      </c>
      <c r="AB349" s="23">
        <f t="shared" si="179"/>
        <v>-83.730499343875181</v>
      </c>
      <c r="AC349" s="23">
        <f t="shared" si="180"/>
        <v>0.80441974822492313</v>
      </c>
      <c r="AD349" s="14">
        <f t="shared" si="199"/>
        <v>82.144933870231696</v>
      </c>
      <c r="AE349" s="14">
        <f t="shared" si="200"/>
        <v>17.28668211071485</v>
      </c>
      <c r="AF349" s="14">
        <f t="shared" si="201"/>
        <v>6.2051339023340093</v>
      </c>
      <c r="AG349" s="14">
        <f t="shared" si="202"/>
        <v>5.1037824994834551E-2</v>
      </c>
      <c r="AH349" s="14">
        <f t="shared" si="203"/>
        <v>-77.050662972669699</v>
      </c>
      <c r="AI349" s="14">
        <f t="shared" si="204"/>
        <v>-12.991573967110179</v>
      </c>
      <c r="AJ349" s="23">
        <f t="shared" si="181"/>
        <v>11.29940479989601</v>
      </c>
      <c r="AK349" s="23">
        <f t="shared" si="182"/>
        <v>4.3461459685995063</v>
      </c>
      <c r="AL349" s="14">
        <f t="shared" si="205"/>
        <v>0</v>
      </c>
      <c r="AM349" s="14">
        <f t="shared" si="206"/>
        <v>0</v>
      </c>
      <c r="AN349" s="14">
        <f t="shared" si="207"/>
        <v>0</v>
      </c>
      <c r="AO349" s="14">
        <f t="shared" si="208"/>
        <v>0</v>
      </c>
      <c r="AP349" s="23">
        <f t="shared" si="183"/>
        <v>0</v>
      </c>
      <c r="AQ349" s="23">
        <f t="shared" si="184"/>
        <v>0</v>
      </c>
    </row>
    <row r="350" spans="8:43" x14ac:dyDescent="0.25">
      <c r="H350" s="14">
        <v>4.4700000000000104</v>
      </c>
      <c r="I350" s="36">
        <f t="shared" si="209"/>
        <v>295120.9226666459</v>
      </c>
      <c r="J350" s="24">
        <f t="shared" si="175"/>
        <v>-138.46603056423396</v>
      </c>
      <c r="K350" s="24">
        <f t="shared" si="176"/>
        <v>-39.84581107040681</v>
      </c>
      <c r="L350" s="14">
        <f t="shared" si="185"/>
        <v>0.67018069634200106</v>
      </c>
      <c r="M350" s="14">
        <f t="shared" si="186"/>
        <v>-88.10462393598516</v>
      </c>
      <c r="N350" s="14">
        <f t="shared" si="187"/>
        <v>29.610129065081413</v>
      </c>
      <c r="O350" s="14">
        <f t="shared" si="188"/>
        <v>-89.956848863750224</v>
      </c>
      <c r="P350" s="14">
        <f t="shared" si="189"/>
        <v>-62.462608749610325</v>
      </c>
      <c r="Q350" s="14">
        <f t="shared" si="190"/>
        <v>-67.866729418213865</v>
      </c>
      <c r="R350" s="14">
        <f t="shared" si="191"/>
        <v>-8.4786531145579822</v>
      </c>
      <c r="S350" s="23">
        <f t="shared" si="177"/>
        <v>-245.92820221794926</v>
      </c>
      <c r="T350" s="23">
        <f t="shared" si="178"/>
        <v>-44.807294510924748</v>
      </c>
      <c r="U350" s="14">
        <f t="shared" si="192"/>
        <v>20000</v>
      </c>
      <c r="V350" s="14">
        <f t="shared" si="193"/>
        <v>-89.999985955053688</v>
      </c>
      <c r="W350" s="14">
        <f t="shared" si="194"/>
        <v>-132.2120509836069</v>
      </c>
      <c r="X350" s="14">
        <f t="shared" si="195"/>
        <v>89.971910109638443</v>
      </c>
      <c r="Y350" s="14">
        <f t="shared" si="196"/>
        <v>66.191452114179555</v>
      </c>
      <c r="Z350" s="14">
        <f t="shared" si="197"/>
        <v>-83.844021321786727</v>
      </c>
      <c r="AA350" s="14">
        <f t="shared" si="198"/>
        <v>-19.393228312552612</v>
      </c>
      <c r="AB350" s="23">
        <f t="shared" si="179"/>
        <v>-83.872097167201972</v>
      </c>
      <c r="AC350" s="23">
        <f t="shared" si="180"/>
        <v>0.60677273129966736</v>
      </c>
      <c r="AD350" s="14">
        <f t="shared" si="199"/>
        <v>82.321579490338578</v>
      </c>
      <c r="AE350" s="14">
        <f t="shared" si="200"/>
        <v>17.483029673414052</v>
      </c>
      <c r="AF350" s="14">
        <f t="shared" si="201"/>
        <v>6.3485032055414088</v>
      </c>
      <c r="AG350" s="14">
        <f t="shared" si="202"/>
        <v>5.3428427062531945E-2</v>
      </c>
      <c r="AH350" s="14">
        <f t="shared" si="203"/>
        <v>-77.335813874962724</v>
      </c>
      <c r="AI350" s="14">
        <f t="shared" si="204"/>
        <v>-13.181747391258316</v>
      </c>
      <c r="AJ350" s="23">
        <f t="shared" si="181"/>
        <v>11.334268820917259</v>
      </c>
      <c r="AK350" s="23">
        <f t="shared" si="182"/>
        <v>4.3547107092182671</v>
      </c>
      <c r="AL350" s="14">
        <f t="shared" si="205"/>
        <v>0</v>
      </c>
      <c r="AM350" s="14">
        <f t="shared" si="206"/>
        <v>0</v>
      </c>
      <c r="AN350" s="14">
        <f t="shared" si="207"/>
        <v>0</v>
      </c>
      <c r="AO350" s="14">
        <f t="shared" si="208"/>
        <v>0</v>
      </c>
      <c r="AP350" s="23">
        <f t="shared" si="183"/>
        <v>0</v>
      </c>
      <c r="AQ350" s="23">
        <f t="shared" si="184"/>
        <v>0</v>
      </c>
    </row>
    <row r="351" spans="8:43" x14ac:dyDescent="0.25">
      <c r="H351" s="14">
        <v>4.4800000000000102</v>
      </c>
      <c r="I351" s="36">
        <f t="shared" si="209"/>
        <v>301995.17204020906</v>
      </c>
      <c r="J351" s="24">
        <f t="shared" si="175"/>
        <v>-139.06509327366689</v>
      </c>
      <c r="K351" s="24">
        <f t="shared" si="176"/>
        <v>-40.207525287453848</v>
      </c>
      <c r="L351" s="14">
        <f t="shared" si="185"/>
        <v>0.67018069634200106</v>
      </c>
      <c r="M351" s="14">
        <f t="shared" si="186"/>
        <v>-88.147737559182104</v>
      </c>
      <c r="N351" s="14">
        <f t="shared" si="187"/>
        <v>29.809915236302299</v>
      </c>
      <c r="O351" s="14">
        <f t="shared" si="188"/>
        <v>-89.957831103171358</v>
      </c>
      <c r="P351" s="14">
        <f t="shared" si="189"/>
        <v>-62.662608638742</v>
      </c>
      <c r="Q351" s="14">
        <f t="shared" si="190"/>
        <v>-68.323363131713478</v>
      </c>
      <c r="R351" s="14">
        <f t="shared" si="191"/>
        <v>-8.6508179318880956</v>
      </c>
      <c r="S351" s="23">
        <f t="shared" si="177"/>
        <v>-246.42893179406693</v>
      </c>
      <c r="T351" s="23">
        <f t="shared" si="178"/>
        <v>-44.979673046165658</v>
      </c>
      <c r="U351" s="14">
        <f t="shared" si="192"/>
        <v>20000</v>
      </c>
      <c r="V351" s="14">
        <f t="shared" si="193"/>
        <v>-89.999986274755713</v>
      </c>
      <c r="W351" s="14">
        <f t="shared" si="194"/>
        <v>-132.41205098360689</v>
      </c>
      <c r="X351" s="14">
        <f t="shared" si="195"/>
        <v>89.972549513507147</v>
      </c>
      <c r="Y351" s="14">
        <f t="shared" si="196"/>
        <v>66.391452067198458</v>
      </c>
      <c r="Z351" s="14">
        <f t="shared" si="197"/>
        <v>-83.983108725084762</v>
      </c>
      <c r="AA351" s="14">
        <f t="shared" si="198"/>
        <v>-19.590979993445746</v>
      </c>
      <c r="AB351" s="23">
        <f t="shared" si="179"/>
        <v>-84.010545486333328</v>
      </c>
      <c r="AC351" s="23">
        <f t="shared" si="180"/>
        <v>0.40902100342544756</v>
      </c>
      <c r="AD351" s="14">
        <f t="shared" si="199"/>
        <v>82.494346179893952</v>
      </c>
      <c r="AE351" s="14">
        <f t="shared" si="200"/>
        <v>17.679538753076368</v>
      </c>
      <c r="AF351" s="14">
        <f t="shared" si="201"/>
        <v>6.4951294031448512</v>
      </c>
      <c r="AG351" s="14">
        <f t="shared" si="202"/>
        <v>5.5930285124880651E-2</v>
      </c>
      <c r="AH351" s="14">
        <f t="shared" si="203"/>
        <v>-77.615091576305431</v>
      </c>
      <c r="AI351" s="14">
        <f t="shared" si="204"/>
        <v>-13.372342282914889</v>
      </c>
      <c r="AJ351" s="23">
        <f t="shared" si="181"/>
        <v>11.374384006733365</v>
      </c>
      <c r="AK351" s="23">
        <f t="shared" si="182"/>
        <v>4.3631267552863591</v>
      </c>
      <c r="AL351" s="14">
        <f t="shared" si="205"/>
        <v>0</v>
      </c>
      <c r="AM351" s="14">
        <f t="shared" si="206"/>
        <v>0</v>
      </c>
      <c r="AN351" s="14">
        <f t="shared" si="207"/>
        <v>0</v>
      </c>
      <c r="AO351" s="14">
        <f t="shared" si="208"/>
        <v>0</v>
      </c>
      <c r="AP351" s="23">
        <f t="shared" si="183"/>
        <v>0</v>
      </c>
      <c r="AQ351" s="23">
        <f t="shared" si="184"/>
        <v>0</v>
      </c>
    </row>
    <row r="352" spans="8:43" x14ac:dyDescent="0.25">
      <c r="H352" s="14">
        <v>4.49000000000001</v>
      </c>
      <c r="I352" s="36">
        <f t="shared" si="209"/>
        <v>309029.54325136665</v>
      </c>
      <c r="J352" s="24">
        <f t="shared" si="175"/>
        <v>-139.6471850727055</v>
      </c>
      <c r="K352" s="24">
        <f t="shared" si="176"/>
        <v>-40.570548589640545</v>
      </c>
      <c r="L352" s="14">
        <f t="shared" si="185"/>
        <v>0.67018069634200106</v>
      </c>
      <c r="M352" s="14">
        <f t="shared" si="186"/>
        <v>-88.189871824154665</v>
      </c>
      <c r="N352" s="14">
        <f t="shared" si="187"/>
        <v>30.009711021575143</v>
      </c>
      <c r="O352" s="14">
        <f t="shared" si="188"/>
        <v>-89.958790984117528</v>
      </c>
      <c r="P352" s="14">
        <f t="shared" si="189"/>
        <v>-62.862608532863568</v>
      </c>
      <c r="Q352" s="14">
        <f t="shared" si="190"/>
        <v>-68.772415590841362</v>
      </c>
      <c r="R352" s="14">
        <f t="shared" si="191"/>
        <v>-8.8240679562718487</v>
      </c>
      <c r="S352" s="23">
        <f t="shared" si="177"/>
        <v>-246.92107839911358</v>
      </c>
      <c r="T352" s="23">
        <f t="shared" si="178"/>
        <v>-45.153127179398126</v>
      </c>
      <c r="U352" s="14">
        <f t="shared" si="192"/>
        <v>20000</v>
      </c>
      <c r="V352" s="14">
        <f t="shared" si="193"/>
        <v>-89.999986587180416</v>
      </c>
      <c r="W352" s="14">
        <f t="shared" si="194"/>
        <v>-132.61205098360688</v>
      </c>
      <c r="X352" s="14">
        <f t="shared" si="195"/>
        <v>89.973174362773463</v>
      </c>
      <c r="Y352" s="14">
        <f t="shared" si="196"/>
        <v>66.59145202233185</v>
      </c>
      <c r="Z352" s="14">
        <f t="shared" si="197"/>
        <v>-84.119098923376342</v>
      </c>
      <c r="AA352" s="14">
        <f t="shared" si="198"/>
        <v>-19.788831778279285</v>
      </c>
      <c r="AB352" s="23">
        <f t="shared" si="179"/>
        <v>-84.145911147783295</v>
      </c>
      <c r="AC352" s="23">
        <f t="shared" si="180"/>
        <v>0.21116917372531319</v>
      </c>
      <c r="AD352" s="14">
        <f t="shared" si="199"/>
        <v>82.663312968634131</v>
      </c>
      <c r="AE352" s="14">
        <f t="shared" si="200"/>
        <v>17.876202328537943</v>
      </c>
      <c r="AF352" s="14">
        <f t="shared" si="201"/>
        <v>6.6450825520426893</v>
      </c>
      <c r="AG352" s="14">
        <f t="shared" si="202"/>
        <v>5.8548508299722385E-2</v>
      </c>
      <c r="AH352" s="14">
        <f t="shared" si="203"/>
        <v>-77.888591046485431</v>
      </c>
      <c r="AI352" s="14">
        <f t="shared" si="204"/>
        <v>-13.563341420805395</v>
      </c>
      <c r="AJ352" s="23">
        <f t="shared" si="181"/>
        <v>11.419804474191395</v>
      </c>
      <c r="AK352" s="23">
        <f t="shared" si="182"/>
        <v>4.3714094160322698</v>
      </c>
      <c r="AL352" s="14">
        <f t="shared" si="205"/>
        <v>0</v>
      </c>
      <c r="AM352" s="14">
        <f t="shared" si="206"/>
        <v>0</v>
      </c>
      <c r="AN352" s="14">
        <f t="shared" si="207"/>
        <v>0</v>
      </c>
      <c r="AO352" s="14">
        <f t="shared" si="208"/>
        <v>0</v>
      </c>
      <c r="AP352" s="23">
        <f t="shared" si="183"/>
        <v>0</v>
      </c>
      <c r="AQ352" s="23">
        <f t="shared" si="184"/>
        <v>0</v>
      </c>
    </row>
    <row r="353" spans="8:43" x14ac:dyDescent="0.25">
      <c r="H353" s="14">
        <v>4.5000000000000098</v>
      </c>
      <c r="I353" s="36">
        <f t="shared" si="209"/>
        <v>316227.76601684513</v>
      </c>
      <c r="J353" s="24">
        <f t="shared" si="175"/>
        <v>-140.21235765923484</v>
      </c>
      <c r="K353" s="24">
        <f t="shared" si="176"/>
        <v>-40.934825805107977</v>
      </c>
      <c r="L353" s="14">
        <f t="shared" si="185"/>
        <v>0.67018069634200106</v>
      </c>
      <c r="M353" s="14">
        <f t="shared" si="186"/>
        <v>-88.231048888658577</v>
      </c>
      <c r="N353" s="14">
        <f t="shared" si="187"/>
        <v>30.209515989060264</v>
      </c>
      <c r="O353" s="14">
        <f t="shared" si="188"/>
        <v>-89.959729015528154</v>
      </c>
      <c r="P353" s="14">
        <f t="shared" si="189"/>
        <v>-63.062608431750427</v>
      </c>
      <c r="Q353" s="14">
        <f t="shared" si="190"/>
        <v>-69.213904163921882</v>
      </c>
      <c r="R353" s="14">
        <f t="shared" si="191"/>
        <v>-8.9983671954428157</v>
      </c>
      <c r="S353" s="23">
        <f t="shared" si="177"/>
        <v>-247.40468206810863</v>
      </c>
      <c r="T353" s="23">
        <f t="shared" si="178"/>
        <v>-45.327621349970833</v>
      </c>
      <c r="U353" s="14">
        <f t="shared" si="192"/>
        <v>20000</v>
      </c>
      <c r="V353" s="14">
        <f t="shared" si="193"/>
        <v>-89.999986892493453</v>
      </c>
      <c r="W353" s="14">
        <f t="shared" si="194"/>
        <v>-132.81205098360684</v>
      </c>
      <c r="X353" s="14">
        <f t="shared" si="195"/>
        <v>89.97378498874015</v>
      </c>
      <c r="Y353" s="14">
        <f t="shared" si="196"/>
        <v>66.791451979484563</v>
      </c>
      <c r="Z353" s="14">
        <f t="shared" si="197"/>
        <v>-84.252057888428041</v>
      </c>
      <c r="AA353" s="14">
        <f t="shared" si="198"/>
        <v>-19.986779256303738</v>
      </c>
      <c r="AB353" s="23">
        <f t="shared" si="179"/>
        <v>-84.278259792181345</v>
      </c>
      <c r="AC353" s="23">
        <f t="shared" si="180"/>
        <v>1.3221652853612653E-2</v>
      </c>
      <c r="AD353" s="14">
        <f t="shared" si="199"/>
        <v>82.828557683037417</v>
      </c>
      <c r="AE353" s="14">
        <f t="shared" si="200"/>
        <v>18.073013673326944</v>
      </c>
      <c r="AF353" s="14">
        <f t="shared" si="201"/>
        <v>6.7984339379742798</v>
      </c>
      <c r="AG353" s="14">
        <f t="shared" si="202"/>
        <v>6.1288433801564998E-2</v>
      </c>
      <c r="AH353" s="14">
        <f t="shared" si="203"/>
        <v>-78.156407419956537</v>
      </c>
      <c r="AI353" s="14">
        <f t="shared" si="204"/>
        <v>-13.754728215119263</v>
      </c>
      <c r="AJ353" s="23">
        <f t="shared" si="181"/>
        <v>11.470584201055161</v>
      </c>
      <c r="AK353" s="23">
        <f t="shared" si="182"/>
        <v>4.3795738920092457</v>
      </c>
      <c r="AL353" s="14">
        <f t="shared" si="205"/>
        <v>0</v>
      </c>
      <c r="AM353" s="14">
        <f t="shared" si="206"/>
        <v>0</v>
      </c>
      <c r="AN353" s="14">
        <f t="shared" si="207"/>
        <v>0</v>
      </c>
      <c r="AO353" s="14">
        <f t="shared" si="208"/>
        <v>0</v>
      </c>
      <c r="AP353" s="23">
        <f t="shared" si="183"/>
        <v>0</v>
      </c>
      <c r="AQ353" s="23">
        <f t="shared" si="184"/>
        <v>0</v>
      </c>
    </row>
    <row r="354" spans="8:43" x14ac:dyDescent="0.25">
      <c r="H354" s="14">
        <v>4.5100000000000096</v>
      </c>
      <c r="I354" s="36">
        <f t="shared" si="209"/>
        <v>323593.65692963556</v>
      </c>
      <c r="J354" s="24">
        <f t="shared" si="175"/>
        <v>-140.76066799459841</v>
      </c>
      <c r="K354" s="24">
        <f t="shared" si="176"/>
        <v>-41.300302730118467</v>
      </c>
      <c r="L354" s="14">
        <f t="shared" si="185"/>
        <v>0.67018069634200106</v>
      </c>
      <c r="M354" s="14">
        <f t="shared" si="186"/>
        <v>-88.271290415079406</v>
      </c>
      <c r="N354" s="14">
        <f t="shared" si="187"/>
        <v>30.409329726278109</v>
      </c>
      <c r="O354" s="14">
        <f t="shared" si="188"/>
        <v>-89.960645694757901</v>
      </c>
      <c r="P354" s="14">
        <f t="shared" si="189"/>
        <v>-63.262608335188133</v>
      </c>
      <c r="Q354" s="14">
        <f t="shared" si="190"/>
        <v>-69.647853173590804</v>
      </c>
      <c r="R354" s="14">
        <f t="shared" si="191"/>
        <v>-9.1736803607530408</v>
      </c>
      <c r="S354" s="23">
        <f t="shared" si="177"/>
        <v>-247.87978928342812</v>
      </c>
      <c r="T354" s="23">
        <f t="shared" si="178"/>
        <v>-45.503120681500917</v>
      </c>
      <c r="U354" s="14">
        <f t="shared" si="192"/>
        <v>20000</v>
      </c>
      <c r="V354" s="14">
        <f t="shared" si="193"/>
        <v>-89.999987190856743</v>
      </c>
      <c r="W354" s="14">
        <f t="shared" si="194"/>
        <v>-133.01205098360685</v>
      </c>
      <c r="X354" s="14">
        <f t="shared" si="195"/>
        <v>89.974381715168647</v>
      </c>
      <c r="Y354" s="14">
        <f t="shared" si="196"/>
        <v>66.991451938565746</v>
      </c>
      <c r="Z354" s="14">
        <f t="shared" si="197"/>
        <v>-84.382050385778101</v>
      </c>
      <c r="AA354" s="14">
        <f t="shared" si="198"/>
        <v>-20.184818207081634</v>
      </c>
      <c r="AB354" s="23">
        <f t="shared" si="179"/>
        <v>-84.407655861466196</v>
      </c>
      <c r="AC354" s="23">
        <f t="shared" si="180"/>
        <v>-0.1848173388431178</v>
      </c>
      <c r="AD354" s="14">
        <f t="shared" si="199"/>
        <v>82.990156936363562</v>
      </c>
      <c r="AE354" s="14">
        <f t="shared" si="200"/>
        <v>18.269966344207976</v>
      </c>
      <c r="AF354" s="14">
        <f t="shared" si="201"/>
        <v>6.955256076780449</v>
      </c>
      <c r="AG354" s="14">
        <f t="shared" si="202"/>
        <v>6.4155636505093733E-2</v>
      </c>
      <c r="AH354" s="14">
        <f t="shared" si="203"/>
        <v>-78.418635862848092</v>
      </c>
      <c r="AI354" s="14">
        <f t="shared" si="204"/>
        <v>-13.946486690487506</v>
      </c>
      <c r="AJ354" s="23">
        <f t="shared" si="181"/>
        <v>11.526777150295914</v>
      </c>
      <c r="AK354" s="23">
        <f t="shared" si="182"/>
        <v>4.3876352902255658</v>
      </c>
      <c r="AL354" s="14">
        <f t="shared" si="205"/>
        <v>0</v>
      </c>
      <c r="AM354" s="14">
        <f t="shared" si="206"/>
        <v>0</v>
      </c>
      <c r="AN354" s="14">
        <f t="shared" si="207"/>
        <v>0</v>
      </c>
      <c r="AO354" s="14">
        <f t="shared" si="208"/>
        <v>0</v>
      </c>
      <c r="AP354" s="23">
        <f t="shared" si="183"/>
        <v>0</v>
      </c>
      <c r="AQ354" s="23">
        <f t="shared" si="184"/>
        <v>0</v>
      </c>
    </row>
    <row r="355" spans="8:43" x14ac:dyDescent="0.25">
      <c r="H355" s="14">
        <v>4.5200000000000102</v>
      </c>
      <c r="I355" s="36">
        <f t="shared" si="209"/>
        <v>331131.12148259912</v>
      </c>
      <c r="J355" s="24">
        <f t="shared" si="175"/>
        <v>-141.29217781717676</v>
      </c>
      <c r="K355" s="24">
        <f t="shared" si="176"/>
        <v>-41.666926131907822</v>
      </c>
      <c r="L355" s="14">
        <f t="shared" si="185"/>
        <v>0.67018069634200106</v>
      </c>
      <c r="M355" s="14">
        <f t="shared" si="186"/>
        <v>-88.310617581109909</v>
      </c>
      <c r="N355" s="14">
        <f t="shared" si="187"/>
        <v>30.609151839244483</v>
      </c>
      <c r="O355" s="14">
        <f t="shared" si="188"/>
        <v>-89.961541507840366</v>
      </c>
      <c r="P355" s="14">
        <f t="shared" si="189"/>
        <v>-63.462608242971889</v>
      </c>
      <c r="Q355" s="14">
        <f t="shared" si="190"/>
        <v>-70.074293507035989</v>
      </c>
      <c r="R355" s="14">
        <f t="shared" si="191"/>
        <v>-9.3499728929462407</v>
      </c>
      <c r="S355" s="23">
        <f t="shared" si="177"/>
        <v>-248.34645259598625</v>
      </c>
      <c r="T355" s="23">
        <f t="shared" si="178"/>
        <v>-45.679591008511501</v>
      </c>
      <c r="U355" s="14">
        <f t="shared" si="192"/>
        <v>20000</v>
      </c>
      <c r="V355" s="14">
        <f t="shared" si="193"/>
        <v>-89.999987482428423</v>
      </c>
      <c r="W355" s="14">
        <f t="shared" si="194"/>
        <v>-133.21205098360684</v>
      </c>
      <c r="X355" s="14">
        <f t="shared" si="195"/>
        <v>89.974964858450662</v>
      </c>
      <c r="Y355" s="14">
        <f t="shared" si="196"/>
        <v>67.191451899488584</v>
      </c>
      <c r="Z355" s="14">
        <f t="shared" si="197"/>
        <v>-84.509139983202942</v>
      </c>
      <c r="AA355" s="14">
        <f t="shared" si="198"/>
        <v>-20.382944592627886</v>
      </c>
      <c r="AB355" s="23">
        <f t="shared" si="179"/>
        <v>-84.534162607180704</v>
      </c>
      <c r="AC355" s="23">
        <f t="shared" si="180"/>
        <v>-0.38294376346652115</v>
      </c>
      <c r="AD355" s="14">
        <f t="shared" si="199"/>
        <v>83.148186121160251</v>
      </c>
      <c r="AE355" s="14">
        <f t="shared" si="200"/>
        <v>18.467054170091323</v>
      </c>
      <c r="AF355" s="14">
        <f t="shared" si="201"/>
        <v>7.1156227139082873</v>
      </c>
      <c r="AG355" s="14">
        <f t="shared" si="202"/>
        <v>6.7155938850421745E-2</v>
      </c>
      <c r="AH355" s="14">
        <f t="shared" si="203"/>
        <v>-78.675371449078369</v>
      </c>
      <c r="AI355" s="14">
        <f t="shared" si="204"/>
        <v>-14.138601468871547</v>
      </c>
      <c r="AJ355" s="23">
        <f t="shared" si="181"/>
        <v>11.588437385990176</v>
      </c>
      <c r="AK355" s="23">
        <f t="shared" si="182"/>
        <v>4.3956086400701988</v>
      </c>
      <c r="AL355" s="14">
        <f t="shared" si="205"/>
        <v>0</v>
      </c>
      <c r="AM355" s="14">
        <f t="shared" si="206"/>
        <v>0</v>
      </c>
      <c r="AN355" s="14">
        <f t="shared" si="207"/>
        <v>0</v>
      </c>
      <c r="AO355" s="14">
        <f t="shared" si="208"/>
        <v>0</v>
      </c>
      <c r="AP355" s="23">
        <f t="shared" si="183"/>
        <v>0</v>
      </c>
      <c r="AQ355" s="23">
        <f t="shared" si="184"/>
        <v>0</v>
      </c>
    </row>
    <row r="356" spans="8:43" x14ac:dyDescent="0.25">
      <c r="H356" s="14">
        <v>4.53000000000001</v>
      </c>
      <c r="I356" s="36">
        <f t="shared" si="209"/>
        <v>338844.15613921074</v>
      </c>
      <c r="J356" s="24">
        <f t="shared" si="175"/>
        <v>-141.80695316962897</v>
      </c>
      <c r="K356" s="24">
        <f t="shared" si="176"/>
        <v>-42.034643747191275</v>
      </c>
      <c r="L356" s="14">
        <f t="shared" si="185"/>
        <v>0.67018069634200106</v>
      </c>
      <c r="M356" s="14">
        <f t="shared" si="186"/>
        <v>-88.34905109022381</v>
      </c>
      <c r="N356" s="14">
        <f t="shared" si="187"/>
        <v>30.808981951644196</v>
      </c>
      <c r="O356" s="14">
        <f t="shared" si="188"/>
        <v>-89.962416929745729</v>
      </c>
      <c r="P356" s="14">
        <f t="shared" si="189"/>
        <v>-63.662608154906025</v>
      </c>
      <c r="Q356" s="14">
        <f t="shared" si="190"/>
        <v>-70.493262230762184</v>
      </c>
      <c r="R356" s="14">
        <f t="shared" si="191"/>
        <v>-9.5272109840647872</v>
      </c>
      <c r="S356" s="23">
        <f t="shared" si="177"/>
        <v>-248.80473025073172</v>
      </c>
      <c r="T356" s="23">
        <f t="shared" si="178"/>
        <v>-45.856998899164473</v>
      </c>
      <c r="U356" s="14">
        <f t="shared" si="192"/>
        <v>20000</v>
      </c>
      <c r="V356" s="14">
        <f t="shared" si="193"/>
        <v>-89.999987767363152</v>
      </c>
      <c r="W356" s="14">
        <f t="shared" si="194"/>
        <v>-133.41205098360683</v>
      </c>
      <c r="X356" s="14">
        <f t="shared" si="195"/>
        <v>89.975534727776008</v>
      </c>
      <c r="Y356" s="14">
        <f t="shared" si="196"/>
        <v>67.391451862170172</v>
      </c>
      <c r="Z356" s="14">
        <f t="shared" si="197"/>
        <v>-84.633389060181059</v>
      </c>
      <c r="AA356" s="14">
        <f t="shared" si="198"/>
        <v>-20.581154549843951</v>
      </c>
      <c r="AB356" s="23">
        <f t="shared" si="179"/>
        <v>-84.657842099768203</v>
      </c>
      <c r="AC356" s="23">
        <f t="shared" si="180"/>
        <v>-0.5811537580009869</v>
      </c>
      <c r="AD356" s="14">
        <f t="shared" si="199"/>
        <v>83.30271940405737</v>
      </c>
      <c r="AE356" s="14">
        <f t="shared" si="200"/>
        <v>18.664271241303116</v>
      </c>
      <c r="AF356" s="14">
        <f t="shared" si="201"/>
        <v>7.2796088220118236</v>
      </c>
      <c r="AG356" s="14">
        <f t="shared" si="202"/>
        <v>7.0295421096416871E-2</v>
      </c>
      <c r="AH356" s="14">
        <f t="shared" si="203"/>
        <v>-78.926709045198237</v>
      </c>
      <c r="AI356" s="14">
        <f t="shared" si="204"/>
        <v>-14.331057752425346</v>
      </c>
      <c r="AJ356" s="23">
        <f t="shared" si="181"/>
        <v>11.655619180870957</v>
      </c>
      <c r="AK356" s="23">
        <f t="shared" si="182"/>
        <v>4.4035089099741871</v>
      </c>
      <c r="AL356" s="14">
        <f t="shared" si="205"/>
        <v>0</v>
      </c>
      <c r="AM356" s="14">
        <f t="shared" si="206"/>
        <v>0</v>
      </c>
      <c r="AN356" s="14">
        <f t="shared" si="207"/>
        <v>0</v>
      </c>
      <c r="AO356" s="14">
        <f t="shared" si="208"/>
        <v>0</v>
      </c>
      <c r="AP356" s="23">
        <f t="shared" si="183"/>
        <v>0</v>
      </c>
      <c r="AQ356" s="23">
        <f t="shared" si="184"/>
        <v>0</v>
      </c>
    </row>
    <row r="357" spans="8:43" x14ac:dyDescent="0.25">
      <c r="H357" s="14">
        <v>4.5400000000000098</v>
      </c>
      <c r="I357" s="36">
        <f t="shared" si="209"/>
        <v>346736.85045254003</v>
      </c>
      <c r="J357" s="24">
        <f t="shared" si="175"/>
        <v>-142.30506394102821</v>
      </c>
      <c r="K357" s="24">
        <f t="shared" si="176"/>
        <v>-42.403404276569383</v>
      </c>
      <c r="L357" s="14">
        <f t="shared" si="185"/>
        <v>0.67018069634200106</v>
      </c>
      <c r="M357" s="14">
        <f t="shared" si="186"/>
        <v>-88.386611181948595</v>
      </c>
      <c r="N357" s="14">
        <f t="shared" si="187"/>
        <v>31.008819704041493</v>
      </c>
      <c r="O357" s="14">
        <f t="shared" si="188"/>
        <v>-89.963272424632649</v>
      </c>
      <c r="P357" s="14">
        <f t="shared" si="189"/>
        <v>-63.862608070803795</v>
      </c>
      <c r="Q357" s="14">
        <f t="shared" si="190"/>
        <v>-70.904802211252445</v>
      </c>
      <c r="R357" s="14">
        <f t="shared" si="191"/>
        <v>-9.7053615956883377</v>
      </c>
      <c r="S357" s="23">
        <f t="shared" si="177"/>
        <v>-249.25468581783369</v>
      </c>
      <c r="T357" s="23">
        <f t="shared" si="178"/>
        <v>-46.035311674288494</v>
      </c>
      <c r="U357" s="14">
        <f t="shared" si="192"/>
        <v>20000</v>
      </c>
      <c r="V357" s="14">
        <f t="shared" si="193"/>
        <v>-89.999988045811961</v>
      </c>
      <c r="W357" s="14">
        <f t="shared" si="194"/>
        <v>-133.61205098360682</v>
      </c>
      <c r="X357" s="14">
        <f t="shared" si="195"/>
        <v>89.976091625296505</v>
      </c>
      <c r="Y357" s="14">
        <f t="shared" si="196"/>
        <v>67.591451826531355</v>
      </c>
      <c r="Z357" s="14">
        <f t="shared" si="197"/>
        <v>-84.754858818259891</v>
      </c>
      <c r="AA357" s="14">
        <f t="shared" si="198"/>
        <v>-20.779444383237461</v>
      </c>
      <c r="AB357" s="23">
        <f t="shared" si="179"/>
        <v>-84.778755238775346</v>
      </c>
      <c r="AC357" s="23">
        <f t="shared" si="180"/>
        <v>-0.77944362703330228</v>
      </c>
      <c r="AD357" s="14">
        <f t="shared" si="199"/>
        <v>83.453829722678989</v>
      </c>
      <c r="AE357" s="14">
        <f t="shared" si="200"/>
        <v>18.861611899211315</v>
      </c>
      <c r="AF357" s="14">
        <f t="shared" si="201"/>
        <v>7.4472905964911877</v>
      </c>
      <c r="AG357" s="14">
        <f t="shared" si="202"/>
        <v>7.3580431927975004E-2</v>
      </c>
      <c r="AH357" s="14">
        <f t="shared" si="203"/>
        <v>-79.172743203589363</v>
      </c>
      <c r="AI357" s="14">
        <f t="shared" si="204"/>
        <v>-14.523841306386876</v>
      </c>
      <c r="AJ357" s="23">
        <f t="shared" si="181"/>
        <v>11.728377115580813</v>
      </c>
      <c r="AK357" s="23">
        <f t="shared" si="182"/>
        <v>4.411351024752415</v>
      </c>
      <c r="AL357" s="14">
        <f t="shared" si="205"/>
        <v>0</v>
      </c>
      <c r="AM357" s="14">
        <f t="shared" si="206"/>
        <v>0</v>
      </c>
      <c r="AN357" s="14">
        <f t="shared" si="207"/>
        <v>0</v>
      </c>
      <c r="AO357" s="14">
        <f t="shared" si="208"/>
        <v>0</v>
      </c>
      <c r="AP357" s="23">
        <f t="shared" si="183"/>
        <v>0</v>
      </c>
      <c r="AQ357" s="23">
        <f t="shared" si="184"/>
        <v>0</v>
      </c>
    </row>
    <row r="358" spans="8:43" x14ac:dyDescent="0.25">
      <c r="H358" s="14">
        <v>4.5500000000000096</v>
      </c>
      <c r="I358" s="36">
        <f t="shared" si="209"/>
        <v>354813.38923358335</v>
      </c>
      <c r="J358" s="24">
        <f t="shared" si="175"/>
        <v>-142.78658342497579</v>
      </c>
      <c r="K358" s="24">
        <f t="shared" si="176"/>
        <v>-42.7731573750808</v>
      </c>
      <c r="L358" s="14">
        <f t="shared" si="185"/>
        <v>0.67018069634200106</v>
      </c>
      <c r="M358" s="14">
        <f t="shared" si="186"/>
        <v>-88.423317641938894</v>
      </c>
      <c r="N358" s="14">
        <f t="shared" si="187"/>
        <v>31.208664753125266</v>
      </c>
      <c r="O358" s="14">
        <f t="shared" si="188"/>
        <v>-89.964108446094301</v>
      </c>
      <c r="P358" s="14">
        <f t="shared" si="189"/>
        <v>-64.062607990486754</v>
      </c>
      <c r="Q358" s="14">
        <f t="shared" si="190"/>
        <v>-71.308961742741431</v>
      </c>
      <c r="R358" s="14">
        <f t="shared" si="191"/>
        <v>-9.8843924737069084</v>
      </c>
      <c r="S358" s="23">
        <f t="shared" si="177"/>
        <v>-249.6963878307746</v>
      </c>
      <c r="T358" s="23">
        <f t="shared" si="178"/>
        <v>-46.214497422906248</v>
      </c>
      <c r="U358" s="14">
        <f t="shared" si="192"/>
        <v>20000</v>
      </c>
      <c r="V358" s="14">
        <f t="shared" si="193"/>
        <v>-89.999988317922501</v>
      </c>
      <c r="W358" s="14">
        <f t="shared" si="194"/>
        <v>-133.81205098360678</v>
      </c>
      <c r="X358" s="14">
        <f t="shared" si="195"/>
        <v>89.976635846286158</v>
      </c>
      <c r="Y358" s="14">
        <f t="shared" si="196"/>
        <v>67.791451792496545</v>
      </c>
      <c r="Z358" s="14">
        <f t="shared" si="197"/>
        <v>-84.873609292238029</v>
      </c>
      <c r="AA358" s="14">
        <f t="shared" si="198"/>
        <v>-20.977810557919003</v>
      </c>
      <c r="AB358" s="23">
        <f t="shared" si="179"/>
        <v>-84.896961763874373</v>
      </c>
      <c r="AC358" s="23">
        <f t="shared" si="180"/>
        <v>-0.97780983574961411</v>
      </c>
      <c r="AD358" s="14">
        <f t="shared" si="199"/>
        <v>83.601588784512444</v>
      </c>
      <c r="AE358" s="14">
        <f t="shared" si="200"/>
        <v>19.059070726201728</v>
      </c>
      <c r="AF358" s="14">
        <f t="shared" si="201"/>
        <v>7.6187454488033186</v>
      </c>
      <c r="AG358" s="14">
        <f t="shared" si="202"/>
        <v>7.701759942243161E-2</v>
      </c>
      <c r="AH358" s="14">
        <f t="shared" si="203"/>
        <v>-79.413568063642586</v>
      </c>
      <c r="AI358" s="14">
        <f t="shared" si="204"/>
        <v>-14.716938442049106</v>
      </c>
      <c r="AJ358" s="23">
        <f t="shared" si="181"/>
        <v>11.806766169673182</v>
      </c>
      <c r="AK358" s="23">
        <f t="shared" si="182"/>
        <v>4.4191498835750558</v>
      </c>
      <c r="AL358" s="14">
        <f t="shared" si="205"/>
        <v>0</v>
      </c>
      <c r="AM358" s="14">
        <f t="shared" si="206"/>
        <v>0</v>
      </c>
      <c r="AN358" s="14">
        <f t="shared" si="207"/>
        <v>0</v>
      </c>
      <c r="AO358" s="14">
        <f t="shared" si="208"/>
        <v>0</v>
      </c>
      <c r="AP358" s="23">
        <f t="shared" si="183"/>
        <v>0</v>
      </c>
      <c r="AQ358" s="23">
        <f t="shared" si="184"/>
        <v>0</v>
      </c>
    </row>
    <row r="359" spans="8:43" x14ac:dyDescent="0.25">
      <c r="H359" s="14">
        <v>4.5600000000000103</v>
      </c>
      <c r="I359" s="36">
        <f t="shared" si="209"/>
        <v>363078.05477011006</v>
      </c>
      <c r="J359" s="24">
        <f t="shared" si="175"/>
        <v>-143.25158789463319</v>
      </c>
      <c r="K359" s="24">
        <f t="shared" si="176"/>
        <v>-43.143853639148737</v>
      </c>
      <c r="L359" s="14">
        <f t="shared" si="185"/>
        <v>0.67018069634200106</v>
      </c>
      <c r="M359" s="14">
        <f t="shared" si="186"/>
        <v>-88.459189811853008</v>
      </c>
      <c r="N359" s="14">
        <f t="shared" si="187"/>
        <v>31.408516770988101</v>
      </c>
      <c r="O359" s="14">
        <f t="shared" si="188"/>
        <v>-89.964925437398918</v>
      </c>
      <c r="P359" s="14">
        <f t="shared" si="189"/>
        <v>-64.26260791378462</v>
      </c>
      <c r="Q359" s="14">
        <f t="shared" si="190"/>
        <v>-71.705794183165253</v>
      </c>
      <c r="R359" s="14">
        <f t="shared" si="191"/>
        <v>-10.06427215983461</v>
      </c>
      <c r="S359" s="23">
        <f t="shared" si="177"/>
        <v>-250.12990943241721</v>
      </c>
      <c r="T359" s="23">
        <f t="shared" si="178"/>
        <v>-46.394525014468982</v>
      </c>
      <c r="U359" s="14">
        <f t="shared" si="192"/>
        <v>20000</v>
      </c>
      <c r="V359" s="14">
        <f t="shared" si="193"/>
        <v>-89.999988583839041</v>
      </c>
      <c r="W359" s="14">
        <f t="shared" si="194"/>
        <v>-134.0120509836068</v>
      </c>
      <c r="X359" s="14">
        <f t="shared" si="195"/>
        <v>89.977167679297736</v>
      </c>
      <c r="Y359" s="14">
        <f t="shared" si="196"/>
        <v>67.991451759993581</v>
      </c>
      <c r="Z359" s="14">
        <f t="shared" si="197"/>
        <v>-84.989699362080529</v>
      </c>
      <c r="AA359" s="14">
        <f t="shared" si="198"/>
        <v>-21.176249692868019</v>
      </c>
      <c r="AB359" s="23">
        <f t="shared" si="179"/>
        <v>-85.012520266621834</v>
      </c>
      <c r="AC359" s="23">
        <f t="shared" si="180"/>
        <v>-1.1762490032016117</v>
      </c>
      <c r="AD359" s="14">
        <f t="shared" si="199"/>
        <v>83.746067067582985</v>
      </c>
      <c r="AE359" s="14">
        <f t="shared" si="200"/>
        <v>19.256642535998164</v>
      </c>
      <c r="AF359" s="14">
        <f t="shared" si="201"/>
        <v>7.7940519973682152</v>
      </c>
      <c r="AG359" s="14">
        <f t="shared" si="202"/>
        <v>8.0613842379653605E-2</v>
      </c>
      <c r="AH359" s="14">
        <f t="shared" si="203"/>
        <v>-79.649277260545347</v>
      </c>
      <c r="AI359" s="14">
        <f t="shared" si="204"/>
        <v>-14.91033599985596</v>
      </c>
      <c r="AJ359" s="23">
        <f t="shared" si="181"/>
        <v>11.890841804405852</v>
      </c>
      <c r="AK359" s="23">
        <f t="shared" si="182"/>
        <v>4.4269203785218565</v>
      </c>
      <c r="AL359" s="14">
        <f t="shared" si="205"/>
        <v>0</v>
      </c>
      <c r="AM359" s="14">
        <f t="shared" si="206"/>
        <v>0</v>
      </c>
      <c r="AN359" s="14">
        <f t="shared" si="207"/>
        <v>0</v>
      </c>
      <c r="AO359" s="14">
        <f t="shared" si="208"/>
        <v>0</v>
      </c>
      <c r="AP359" s="23">
        <f t="shared" si="183"/>
        <v>0</v>
      </c>
      <c r="AQ359" s="23">
        <f t="shared" si="184"/>
        <v>0</v>
      </c>
    </row>
    <row r="360" spans="8:43" x14ac:dyDescent="0.25">
      <c r="H360" s="14">
        <v>4.5700000000000101</v>
      </c>
      <c r="I360" s="36">
        <f t="shared" si="209"/>
        <v>371535.22909718135</v>
      </c>
      <c r="J360" s="24">
        <f t="shared" si="175"/>
        <v>-143.70015619548076</v>
      </c>
      <c r="K360" s="24">
        <f t="shared" si="176"/>
        <v>-43.5154445901629</v>
      </c>
      <c r="L360" s="14">
        <f t="shared" si="185"/>
        <v>0.67018069634200106</v>
      </c>
      <c r="M360" s="14">
        <f t="shared" si="186"/>
        <v>-88.494246599034923</v>
      </c>
      <c r="N360" s="14">
        <f t="shared" si="187"/>
        <v>31.608375444437016</v>
      </c>
      <c r="O360" s="14">
        <f t="shared" si="188"/>
        <v>-89.965723831724773</v>
      </c>
      <c r="P360" s="14">
        <f t="shared" si="189"/>
        <v>-64.462607840534616</v>
      </c>
      <c r="Q360" s="14">
        <f t="shared" si="190"/>
        <v>-72.095357599206906</v>
      </c>
      <c r="R360" s="14">
        <f t="shared" si="191"/>
        <v>-10.244970000070541</v>
      </c>
      <c r="S360" s="23">
        <f t="shared" si="177"/>
        <v>-250.55532802996663</v>
      </c>
      <c r="T360" s="23">
        <f t="shared" si="178"/>
        <v>-46.575364108005999</v>
      </c>
      <c r="U360" s="14">
        <f t="shared" si="192"/>
        <v>20000</v>
      </c>
      <c r="V360" s="14">
        <f t="shared" si="193"/>
        <v>-89.999988843702596</v>
      </c>
      <c r="W360" s="14">
        <f t="shared" si="194"/>
        <v>-134.21205098360679</v>
      </c>
      <c r="X360" s="14">
        <f t="shared" si="195"/>
        <v>89.977687406315795</v>
      </c>
      <c r="Y360" s="14">
        <f t="shared" si="196"/>
        <v>68.191451728953453</v>
      </c>
      <c r="Z360" s="14">
        <f t="shared" si="197"/>
        <v>-85.103186765490634</v>
      </c>
      <c r="AA360" s="14">
        <f t="shared" si="198"/>
        <v>-21.374758554459294</v>
      </c>
      <c r="AB360" s="23">
        <f t="shared" si="179"/>
        <v>-85.125488202877435</v>
      </c>
      <c r="AC360" s="23">
        <f t="shared" si="180"/>
        <v>-1.3747578958330031</v>
      </c>
      <c r="AD360" s="14">
        <f t="shared" si="199"/>
        <v>83.887333822790879</v>
      </c>
      <c r="AE360" s="14">
        <f t="shared" si="200"/>
        <v>19.454322364319609</v>
      </c>
      <c r="AF360" s="14">
        <f t="shared" si="201"/>
        <v>7.9732900558841706</v>
      </c>
      <c r="AG360" s="14">
        <f t="shared" si="202"/>
        <v>8.437638201945738E-2</v>
      </c>
      <c r="AH360" s="14">
        <f t="shared" si="203"/>
        <v>-79.879963841311778</v>
      </c>
      <c r="AI360" s="14">
        <f t="shared" si="204"/>
        <v>-15.104021332662965</v>
      </c>
      <c r="AJ360" s="23">
        <f t="shared" si="181"/>
        <v>11.980660037363279</v>
      </c>
      <c r="AK360" s="23">
        <f t="shared" si="182"/>
        <v>4.4346774136761002</v>
      </c>
      <c r="AL360" s="14">
        <f t="shared" si="205"/>
        <v>0</v>
      </c>
      <c r="AM360" s="14">
        <f t="shared" si="206"/>
        <v>0</v>
      </c>
      <c r="AN360" s="14">
        <f t="shared" si="207"/>
        <v>0</v>
      </c>
      <c r="AO360" s="14">
        <f t="shared" si="208"/>
        <v>0</v>
      </c>
      <c r="AP360" s="23">
        <f t="shared" si="183"/>
        <v>0</v>
      </c>
      <c r="AQ360" s="23">
        <f t="shared" si="184"/>
        <v>0</v>
      </c>
    </row>
    <row r="361" spans="8:43" x14ac:dyDescent="0.25">
      <c r="H361" s="14">
        <v>4.5800000000000098</v>
      </c>
      <c r="I361" s="36">
        <f t="shared" si="209"/>
        <v>380189.39632057026</v>
      </c>
      <c r="J361" s="24">
        <f t="shared" si="175"/>
        <v>-144.13236935648968</v>
      </c>
      <c r="K361" s="24">
        <f t="shared" si="176"/>
        <v>-43.887882654938458</v>
      </c>
      <c r="L361" s="14">
        <f t="shared" si="185"/>
        <v>0.67018069634200106</v>
      </c>
      <c r="M361" s="14">
        <f t="shared" si="186"/>
        <v>-88.528506486003891</v>
      </c>
      <c r="N361" s="14">
        <f t="shared" si="187"/>
        <v>31.808240474335214</v>
      </c>
      <c r="O361" s="14">
        <f t="shared" si="188"/>
        <v>-89.96650405238988</v>
      </c>
      <c r="P361" s="14">
        <f t="shared" si="189"/>
        <v>-64.662607770581417</v>
      </c>
      <c r="Q361" s="14">
        <f t="shared" si="190"/>
        <v>-72.477714421221862</v>
      </c>
      <c r="R361" s="14">
        <f t="shared" si="191"/>
        <v>-10.426456150313545</v>
      </c>
      <c r="S361" s="23">
        <f t="shared" si="177"/>
        <v>-250.97272495961565</v>
      </c>
      <c r="T361" s="23">
        <f t="shared" si="178"/>
        <v>-46.756985158397598</v>
      </c>
      <c r="U361" s="14">
        <f t="shared" si="192"/>
        <v>20000</v>
      </c>
      <c r="V361" s="14">
        <f t="shared" si="193"/>
        <v>-89.999989097650925</v>
      </c>
      <c r="W361" s="14">
        <f t="shared" si="194"/>
        <v>-134.4120509836068</v>
      </c>
      <c r="X361" s="14">
        <f t="shared" si="195"/>
        <v>89.978195302906116</v>
      </c>
      <c r="Y361" s="14">
        <f t="shared" si="196"/>
        <v>68.391451699310394</v>
      </c>
      <c r="Z361" s="14">
        <f t="shared" si="197"/>
        <v>-85.214128111066373</v>
      </c>
      <c r="AA361" s="14">
        <f t="shared" si="198"/>
        <v>-21.573334050242327</v>
      </c>
      <c r="AB361" s="23">
        <f t="shared" si="179"/>
        <v>-85.235921905811182</v>
      </c>
      <c r="AC361" s="23">
        <f t="shared" si="180"/>
        <v>-1.573333421259111</v>
      </c>
      <c r="AD361" s="14">
        <f t="shared" si="199"/>
        <v>84.025457077776906</v>
      </c>
      <c r="AE361" s="14">
        <f t="shared" si="200"/>
        <v>19.652105459867919</v>
      </c>
      <c r="AF361" s="14">
        <f t="shared" si="201"/>
        <v>8.1565406188560718</v>
      </c>
      <c r="AG361" s="14">
        <f t="shared" si="202"/>
        <v>8.8312754049127473E-2</v>
      </c>
      <c r="AH361" s="14">
        <f t="shared" si="203"/>
        <v>-80.105720187695837</v>
      </c>
      <c r="AI361" s="14">
        <f t="shared" si="204"/>
        <v>-15.297982289198798</v>
      </c>
      <c r="AJ361" s="23">
        <f t="shared" si="181"/>
        <v>12.076277508937139</v>
      </c>
      <c r="AK361" s="23">
        <f t="shared" si="182"/>
        <v>4.4424359247182483</v>
      </c>
      <c r="AL361" s="14">
        <f t="shared" si="205"/>
        <v>0</v>
      </c>
      <c r="AM361" s="14">
        <f t="shared" si="206"/>
        <v>0</v>
      </c>
      <c r="AN361" s="14">
        <f t="shared" si="207"/>
        <v>0</v>
      </c>
      <c r="AO361" s="14">
        <f t="shared" si="208"/>
        <v>0</v>
      </c>
      <c r="AP361" s="23">
        <f t="shared" si="183"/>
        <v>0</v>
      </c>
      <c r="AQ361" s="23">
        <f t="shared" si="184"/>
        <v>0</v>
      </c>
    </row>
    <row r="362" spans="8:43" x14ac:dyDescent="0.25">
      <c r="H362" s="14">
        <v>4.5900000000000096</v>
      </c>
      <c r="I362" s="36">
        <f t="shared" si="209"/>
        <v>389045.14499428979</v>
      </c>
      <c r="J362" s="24">
        <f t="shared" si="175"/>
        <v>-144.54831022027645</v>
      </c>
      <c r="K362" s="24">
        <f t="shared" si="176"/>
        <v>-44.261121143284093</v>
      </c>
      <c r="L362" s="14">
        <f t="shared" si="185"/>
        <v>0.67018069634200106</v>
      </c>
      <c r="M362" s="14">
        <f t="shared" si="186"/>
        <v>-88.561987539754682</v>
      </c>
      <c r="N362" s="14">
        <f t="shared" si="187"/>
        <v>32.008111574972872</v>
      </c>
      <c r="O362" s="14">
        <f t="shared" si="188"/>
        <v>-89.967266513076368</v>
      </c>
      <c r="P362" s="14">
        <f t="shared" si="189"/>
        <v>-64.862607703776632</v>
      </c>
      <c r="Q362" s="14">
        <f t="shared" si="190"/>
        <v>-72.852931108696836</v>
      </c>
      <c r="R362" s="14">
        <f t="shared" si="191"/>
        <v>-10.608701579334216</v>
      </c>
      <c r="S362" s="23">
        <f t="shared" si="177"/>
        <v>-251.3821851615279</v>
      </c>
      <c r="T362" s="23">
        <f t="shared" si="178"/>
        <v>-46.93935941997583</v>
      </c>
      <c r="U362" s="14">
        <f t="shared" si="192"/>
        <v>20000</v>
      </c>
      <c r="V362" s="14">
        <f t="shared" si="193"/>
        <v>-89.99998934581869</v>
      </c>
      <c r="W362" s="14">
        <f t="shared" si="194"/>
        <v>-134.61205098360676</v>
      </c>
      <c r="X362" s="14">
        <f t="shared" si="195"/>
        <v>89.978691638361894</v>
      </c>
      <c r="Y362" s="14">
        <f t="shared" si="196"/>
        <v>68.591451671001479</v>
      </c>
      <c r="Z362" s="14">
        <f t="shared" si="197"/>
        <v>-85.322578891975198</v>
      </c>
      <c r="AA362" s="14">
        <f t="shared" si="198"/>
        <v>-21.771973222965038</v>
      </c>
      <c r="AB362" s="23">
        <f t="shared" si="179"/>
        <v>-85.343876599431994</v>
      </c>
      <c r="AC362" s="23">
        <f t="shared" si="180"/>
        <v>-1.7719726222906971</v>
      </c>
      <c r="AD362" s="14">
        <f t="shared" si="199"/>
        <v>84.160503642188729</v>
      </c>
      <c r="AE362" s="14">
        <f t="shared" si="200"/>
        <v>19.849987275638121</v>
      </c>
      <c r="AF362" s="14">
        <f t="shared" si="201"/>
        <v>8.3438858441293036</v>
      </c>
      <c r="AG362" s="14">
        <f t="shared" si="202"/>
        <v>9.2430821102694571E-2</v>
      </c>
      <c r="AH362" s="14">
        <f t="shared" si="203"/>
        <v>-80.326637945634587</v>
      </c>
      <c r="AI362" s="14">
        <f t="shared" si="204"/>
        <v>-15.492207197758383</v>
      </c>
      <c r="AJ362" s="23">
        <f t="shared" si="181"/>
        <v>12.177751540683445</v>
      </c>
      <c r="AK362" s="23">
        <f t="shared" si="182"/>
        <v>4.4502108989824336</v>
      </c>
      <c r="AL362" s="14">
        <f t="shared" si="205"/>
        <v>0</v>
      </c>
      <c r="AM362" s="14">
        <f t="shared" si="206"/>
        <v>0</v>
      </c>
      <c r="AN362" s="14">
        <f t="shared" si="207"/>
        <v>0</v>
      </c>
      <c r="AO362" s="14">
        <f t="shared" si="208"/>
        <v>0</v>
      </c>
      <c r="AP362" s="23">
        <f t="shared" si="183"/>
        <v>0</v>
      </c>
      <c r="AQ362" s="23">
        <f t="shared" si="184"/>
        <v>0</v>
      </c>
    </row>
    <row r="363" spans="8:43" x14ac:dyDescent="0.25">
      <c r="H363" s="14">
        <v>4.6000000000000103</v>
      </c>
      <c r="I363" s="36">
        <f t="shared" si="209"/>
        <v>398107.17055350728</v>
      </c>
      <c r="J363" s="24">
        <f t="shared" si="175"/>
        <v>-144.94806309270848</v>
      </c>
      <c r="K363" s="24">
        <f t="shared" si="176"/>
        <v>-44.635114222908442</v>
      </c>
      <c r="L363" s="14">
        <f t="shared" si="185"/>
        <v>0.67018069634200106</v>
      </c>
      <c r="M363" s="14">
        <f t="shared" si="186"/>
        <v>-88.594707420870492</v>
      </c>
      <c r="N363" s="14">
        <f t="shared" si="187"/>
        <v>32.20798847346606</v>
      </c>
      <c r="O363" s="14">
        <f t="shared" si="188"/>
        <v>-89.968011618049914</v>
      </c>
      <c r="P363" s="14">
        <f t="shared" si="189"/>
        <v>-65.062607639978566</v>
      </c>
      <c r="Q363" s="14">
        <f t="shared" si="190"/>
        <v>-73.221077826776678</v>
      </c>
      <c r="R363" s="14">
        <f t="shared" si="191"/>
        <v>-10.791678069304737</v>
      </c>
      <c r="S363" s="23">
        <f t="shared" si="177"/>
        <v>-251.7837968656971</v>
      </c>
      <c r="T363" s="23">
        <f t="shared" si="178"/>
        <v>-47.122458947655097</v>
      </c>
      <c r="U363" s="14">
        <f t="shared" si="192"/>
        <v>20000</v>
      </c>
      <c r="V363" s="14">
        <f t="shared" si="193"/>
        <v>-89.999989588337471</v>
      </c>
      <c r="W363" s="14">
        <f t="shared" si="194"/>
        <v>-134.81205098360678</v>
      </c>
      <c r="X363" s="14">
        <f t="shared" si="195"/>
        <v>89.979176675846446</v>
      </c>
      <c r="Y363" s="14">
        <f t="shared" si="196"/>
        <v>68.791451643966695</v>
      </c>
      <c r="Z363" s="14">
        <f t="shared" si="197"/>
        <v>-85.428593500084574</v>
      </c>
      <c r="AA363" s="14">
        <f t="shared" si="198"/>
        <v>-21.970673244834099</v>
      </c>
      <c r="AB363" s="23">
        <f t="shared" si="179"/>
        <v>-85.449406412575598</v>
      </c>
      <c r="AC363" s="23">
        <f t="shared" si="180"/>
        <v>-1.9706726711945599</v>
      </c>
      <c r="AD363" s="14">
        <f t="shared" si="199"/>
        <v>84.292539114230081</v>
      </c>
      <c r="AE363" s="14">
        <f t="shared" si="200"/>
        <v>20.047963460544</v>
      </c>
      <c r="AF363" s="14">
        <f t="shared" si="201"/>
        <v>8.5354090322119056</v>
      </c>
      <c r="AG363" s="14">
        <f t="shared" si="202"/>
        <v>9.6738785552448386E-2</v>
      </c>
      <c r="AH363" s="14">
        <f t="shared" si="203"/>
        <v>-80.542807960877781</v>
      </c>
      <c r="AI363" s="14">
        <f t="shared" si="204"/>
        <v>-15.686684850155242</v>
      </c>
      <c r="AJ363" s="23">
        <f t="shared" si="181"/>
        <v>12.285140185564202</v>
      </c>
      <c r="AK363" s="23">
        <f t="shared" si="182"/>
        <v>4.4580173959412086</v>
      </c>
      <c r="AL363" s="14">
        <f t="shared" si="205"/>
        <v>0</v>
      </c>
      <c r="AM363" s="14">
        <f t="shared" si="206"/>
        <v>0</v>
      </c>
      <c r="AN363" s="14">
        <f t="shared" si="207"/>
        <v>0</v>
      </c>
      <c r="AO363" s="14">
        <f t="shared" si="208"/>
        <v>0</v>
      </c>
      <c r="AP363" s="23">
        <f t="shared" si="183"/>
        <v>0</v>
      </c>
      <c r="AQ363" s="23">
        <f t="shared" si="184"/>
        <v>0</v>
      </c>
    </row>
    <row r="364" spans="8:43" x14ac:dyDescent="0.25">
      <c r="H364" s="14">
        <v>4.6100000000000199</v>
      </c>
      <c r="I364" s="36">
        <f t="shared" si="209"/>
        <v>407380.27780413168</v>
      </c>
      <c r="J364" s="24">
        <f t="shared" si="175"/>
        <v>-145.33171341233395</v>
      </c>
      <c r="K364" s="24">
        <f t="shared" si="176"/>
        <v>-45.009816891885919</v>
      </c>
      <c r="L364" s="14">
        <f t="shared" si="185"/>
        <v>0.67018069634200106</v>
      </c>
      <c r="M364" s="14">
        <f t="shared" si="186"/>
        <v>-88.626683392451497</v>
      </c>
      <c r="N364" s="14">
        <f t="shared" si="187"/>
        <v>32.407870909182506</v>
      </c>
      <c r="O364" s="14">
        <f t="shared" si="188"/>
        <v>-89.968739762374042</v>
      </c>
      <c r="P364" s="14">
        <f t="shared" si="189"/>
        <v>-65.262607579052059</v>
      </c>
      <c r="Q364" s="14">
        <f t="shared" si="190"/>
        <v>-73.582228134281578</v>
      </c>
      <c r="R364" s="14">
        <f t="shared" si="191"/>
        <v>-10.97535821408214</v>
      </c>
      <c r="S364" s="23">
        <f t="shared" si="177"/>
        <v>-252.17765128910713</v>
      </c>
      <c r="T364" s="23">
        <f t="shared" si="178"/>
        <v>-47.306256595789549</v>
      </c>
      <c r="U364" s="14">
        <f t="shared" si="192"/>
        <v>20000</v>
      </c>
      <c r="V364" s="14">
        <f t="shared" si="193"/>
        <v>-89.999989825335845</v>
      </c>
      <c r="W364" s="14">
        <f t="shared" si="194"/>
        <v>-135.01205098360697</v>
      </c>
      <c r="X364" s="14">
        <f t="shared" si="195"/>
        <v>89.979650672532799</v>
      </c>
      <c r="Y364" s="14">
        <f t="shared" si="196"/>
        <v>68.991451618148844</v>
      </c>
      <c r="Z364" s="14">
        <f t="shared" si="197"/>
        <v>-85.532225240490732</v>
      </c>
      <c r="AA364" s="14">
        <f t="shared" si="198"/>
        <v>-22.169431412004016</v>
      </c>
      <c r="AB364" s="23">
        <f t="shared" si="179"/>
        <v>-85.552564393293778</v>
      </c>
      <c r="AC364" s="23">
        <f t="shared" si="180"/>
        <v>-2.169430864182516</v>
      </c>
      <c r="AD364" s="14">
        <f t="shared" si="199"/>
        <v>84.421627888380158</v>
      </c>
      <c r="AE364" s="14">
        <f t="shared" si="200"/>
        <v>20.246029851350997</v>
      </c>
      <c r="AF364" s="14">
        <f t="shared" si="201"/>
        <v>8.7311946021561582</v>
      </c>
      <c r="AG364" s="14">
        <f t="shared" si="202"/>
        <v>0.10124520269180362</v>
      </c>
      <c r="AH364" s="14">
        <f t="shared" si="203"/>
        <v>-80.754320220469367</v>
      </c>
      <c r="AI364" s="14">
        <f t="shared" si="204"/>
        <v>-15.881404485956658</v>
      </c>
      <c r="AJ364" s="23">
        <f t="shared" si="181"/>
        <v>12.398502270066956</v>
      </c>
      <c r="AK364" s="23">
        <f t="shared" si="182"/>
        <v>4.4658705680861424</v>
      </c>
      <c r="AL364" s="14">
        <f t="shared" si="205"/>
        <v>0</v>
      </c>
      <c r="AM364" s="14">
        <f t="shared" si="206"/>
        <v>0</v>
      </c>
      <c r="AN364" s="14">
        <f t="shared" si="207"/>
        <v>0</v>
      </c>
      <c r="AO364" s="14">
        <f t="shared" si="208"/>
        <v>0</v>
      </c>
      <c r="AP364" s="23">
        <f t="shared" si="183"/>
        <v>0</v>
      </c>
      <c r="AQ364" s="23">
        <f t="shared" si="184"/>
        <v>0</v>
      </c>
    </row>
    <row r="365" spans="8:43" x14ac:dyDescent="0.25">
      <c r="H365" s="14">
        <v>4.6200000000000196</v>
      </c>
      <c r="I365" s="36">
        <f t="shared" si="209"/>
        <v>416869.38347035483</v>
      </c>
      <c r="J365" s="24">
        <f t="shared" si="175"/>
        <v>-145.69934743992246</v>
      </c>
      <c r="K365" s="24">
        <f t="shared" si="176"/>
        <v>-45.385184948894128</v>
      </c>
      <c r="L365" s="14">
        <f t="shared" si="185"/>
        <v>0.67018069634200106</v>
      </c>
      <c r="M365" s="14">
        <f t="shared" si="186"/>
        <v>-88.65793232886152</v>
      </c>
      <c r="N365" s="14">
        <f t="shared" si="187"/>
        <v>32.607758633192219</v>
      </c>
      <c r="O365" s="14">
        <f t="shared" si="188"/>
        <v>-89.969451332119561</v>
      </c>
      <c r="P365" s="14">
        <f t="shared" si="189"/>
        <v>-65.462607520867508</v>
      </c>
      <c r="Q365" s="14">
        <f t="shared" si="190"/>
        <v>-73.936458683532095</v>
      </c>
      <c r="R365" s="14">
        <f t="shared" si="191"/>
        <v>-11.159715415433997</v>
      </c>
      <c r="S365" s="23">
        <f t="shared" si="177"/>
        <v>-252.56384234451318</v>
      </c>
      <c r="T365" s="23">
        <f t="shared" si="178"/>
        <v>-47.490726014947143</v>
      </c>
      <c r="U365" s="14">
        <f t="shared" si="192"/>
        <v>20000</v>
      </c>
      <c r="V365" s="14">
        <f t="shared" si="193"/>
        <v>-89.999990056939467</v>
      </c>
      <c r="W365" s="14">
        <f t="shared" si="194"/>
        <v>-135.21205098360696</v>
      </c>
      <c r="X365" s="14">
        <f t="shared" si="195"/>
        <v>89.980113879740003</v>
      </c>
      <c r="Y365" s="14">
        <f t="shared" si="196"/>
        <v>69.191451593492815</v>
      </c>
      <c r="Z365" s="14">
        <f t="shared" si="197"/>
        <v>-85.633526346391605</v>
      </c>
      <c r="AA365" s="14">
        <f t="shared" si="198"/>
        <v>-22.368245139286252</v>
      </c>
      <c r="AB365" s="23">
        <f t="shared" si="179"/>
        <v>-85.653402523591069</v>
      </c>
      <c r="AC365" s="23">
        <f t="shared" si="180"/>
        <v>-2.3682446161207693</v>
      </c>
      <c r="AD365" s="14">
        <f t="shared" si="199"/>
        <v>84.547833164178456</v>
      </c>
      <c r="AE365" s="14">
        <f t="shared" si="200"/>
        <v>20.444182464907669</v>
      </c>
      <c r="AF365" s="14">
        <f t="shared" si="201"/>
        <v>8.931328063758821</v>
      </c>
      <c r="AG365" s="14">
        <f t="shared" si="202"/>
        <v>0.1059589942871212</v>
      </c>
      <c r="AH365" s="14">
        <f t="shared" si="203"/>
        <v>-80.9612637997555</v>
      </c>
      <c r="AI365" s="14">
        <f t="shared" si="204"/>
        <v>-16.076355777021007</v>
      </c>
      <c r="AJ365" s="23">
        <f t="shared" si="181"/>
        <v>12.517897428181783</v>
      </c>
      <c r="AK365" s="23">
        <f t="shared" si="182"/>
        <v>4.4737856821737836</v>
      </c>
      <c r="AL365" s="14">
        <f t="shared" si="205"/>
        <v>0</v>
      </c>
      <c r="AM365" s="14">
        <f t="shared" si="206"/>
        <v>0</v>
      </c>
      <c r="AN365" s="14">
        <f t="shared" si="207"/>
        <v>0</v>
      </c>
      <c r="AO365" s="14">
        <f t="shared" si="208"/>
        <v>0</v>
      </c>
      <c r="AP365" s="23">
        <f t="shared" si="183"/>
        <v>0</v>
      </c>
      <c r="AQ365" s="23">
        <f t="shared" si="184"/>
        <v>0</v>
      </c>
    </row>
    <row r="366" spans="8:43" x14ac:dyDescent="0.25">
      <c r="H366" s="14">
        <v>4.6300000000000097</v>
      </c>
      <c r="I366" s="36">
        <f t="shared" si="209"/>
        <v>426579.51880160259</v>
      </c>
      <c r="J366" s="24">
        <f t="shared" si="175"/>
        <v>-146.0510519683337</v>
      </c>
      <c r="K366" s="24">
        <f t="shared" si="176"/>
        <v>-45.761174961433809</v>
      </c>
      <c r="L366" s="14">
        <f t="shared" si="185"/>
        <v>0.67018069634200106</v>
      </c>
      <c r="M366" s="14">
        <f t="shared" si="186"/>
        <v>-88.688470724295726</v>
      </c>
      <c r="N366" s="14">
        <f t="shared" si="187"/>
        <v>32.807651407744046</v>
      </c>
      <c r="O366" s="14">
        <f t="shared" si="188"/>
        <v>-89.970146704569302</v>
      </c>
      <c r="P366" s="14">
        <f t="shared" si="189"/>
        <v>-65.662607465301505</v>
      </c>
      <c r="Q366" s="14">
        <f t="shared" si="190"/>
        <v>-74.28384893221083</v>
      </c>
      <c r="R366" s="14">
        <f t="shared" si="191"/>
        <v>-11.344723877392068</v>
      </c>
      <c r="S366" s="23">
        <f t="shared" si="177"/>
        <v>-252.94246636107584</v>
      </c>
      <c r="T366" s="23">
        <f t="shared" si="178"/>
        <v>-47.675841646787383</v>
      </c>
      <c r="U366" s="14">
        <f t="shared" si="192"/>
        <v>20000</v>
      </c>
      <c r="V366" s="14">
        <f t="shared" si="193"/>
        <v>-89.99999028327116</v>
      </c>
      <c r="W366" s="14">
        <f t="shared" si="194"/>
        <v>-135.41205098360675</v>
      </c>
      <c r="X366" s="14">
        <f t="shared" si="195"/>
        <v>89.980566543066402</v>
      </c>
      <c r="Y366" s="14">
        <f t="shared" si="196"/>
        <v>69.39145156994627</v>
      </c>
      <c r="Z366" s="14">
        <f t="shared" si="197"/>
        <v>-85.732547994254787</v>
      </c>
      <c r="AA366" s="14">
        <f t="shared" si="198"/>
        <v>-22.567111955073173</v>
      </c>
      <c r="AB366" s="23">
        <f t="shared" si="179"/>
        <v>-85.751971734459545</v>
      </c>
      <c r="AC366" s="23">
        <f t="shared" si="180"/>
        <v>-2.5671114554540253</v>
      </c>
      <c r="AD366" s="14">
        <f t="shared" si="199"/>
        <v>84.671216955977897</v>
      </c>
      <c r="AE366" s="14">
        <f t="shared" si="200"/>
        <v>20.642417490669729</v>
      </c>
      <c r="AF366" s="14">
        <f t="shared" si="201"/>
        <v>9.1358959858309134</v>
      </c>
      <c r="AG366" s="14">
        <f t="shared" si="202"/>
        <v>0.11088946249443775</v>
      </c>
      <c r="AH366" s="14">
        <f t="shared" si="203"/>
        <v>-81.163726814607131</v>
      </c>
      <c r="AI366" s="14">
        <f t="shared" si="204"/>
        <v>-16.271528812356564</v>
      </c>
      <c r="AJ366" s="23">
        <f t="shared" si="181"/>
        <v>12.64338612720168</v>
      </c>
      <c r="AK366" s="23">
        <f t="shared" si="182"/>
        <v>4.4817781408076023</v>
      </c>
      <c r="AL366" s="14">
        <f t="shared" si="205"/>
        <v>0</v>
      </c>
      <c r="AM366" s="14">
        <f t="shared" si="206"/>
        <v>0</v>
      </c>
      <c r="AN366" s="14">
        <f t="shared" si="207"/>
        <v>0</v>
      </c>
      <c r="AO366" s="14">
        <f t="shared" si="208"/>
        <v>0</v>
      </c>
      <c r="AP366" s="23">
        <f t="shared" si="183"/>
        <v>0</v>
      </c>
      <c r="AQ366" s="23">
        <f t="shared" si="184"/>
        <v>0</v>
      </c>
    </row>
    <row r="367" spans="8:43" x14ac:dyDescent="0.25">
      <c r="H367" s="14">
        <v>4.6400000000000103</v>
      </c>
      <c r="I367" s="36">
        <f t="shared" si="209"/>
        <v>436515.83224017685</v>
      </c>
      <c r="J367" s="24">
        <f t="shared" si="175"/>
        <v>-146.38691405285709</v>
      </c>
      <c r="K367" s="24">
        <f t="shared" si="176"/>
        <v>-46.137744232224421</v>
      </c>
      <c r="L367" s="14">
        <f t="shared" si="185"/>
        <v>0.67018069634200106</v>
      </c>
      <c r="M367" s="14">
        <f t="shared" si="186"/>
        <v>-88.718314701172105</v>
      </c>
      <c r="N367" s="14">
        <f t="shared" si="187"/>
        <v>33.007549005764844</v>
      </c>
      <c r="O367" s="14">
        <f t="shared" si="188"/>
        <v>-89.970826248418106</v>
      </c>
      <c r="P367" s="14">
        <f t="shared" si="189"/>
        <v>-65.862607412236585</v>
      </c>
      <c r="Q367" s="14">
        <f t="shared" si="190"/>
        <v>-74.62448086739488</v>
      </c>
      <c r="R367" s="14">
        <f t="shared" si="191"/>
        <v>-11.530358598908068</v>
      </c>
      <c r="S367" s="23">
        <f t="shared" si="177"/>
        <v>-253.31362181698509</v>
      </c>
      <c r="T367" s="23">
        <f t="shared" si="178"/>
        <v>-47.861578717217661</v>
      </c>
      <c r="U367" s="14">
        <f t="shared" si="192"/>
        <v>20000</v>
      </c>
      <c r="V367" s="14">
        <f t="shared" si="193"/>
        <v>-89.999990504450921</v>
      </c>
      <c r="W367" s="14">
        <f t="shared" si="194"/>
        <v>-135.61205098360676</v>
      </c>
      <c r="X367" s="14">
        <f t="shared" si="195"/>
        <v>89.981008902519875</v>
      </c>
      <c r="Y367" s="14">
        <f t="shared" si="196"/>
        <v>69.591451547459712</v>
      </c>
      <c r="Z367" s="14">
        <f t="shared" si="197"/>
        <v>-85.829340319233623</v>
      </c>
      <c r="AA367" s="14">
        <f t="shared" si="198"/>
        <v>-22.766029496466945</v>
      </c>
      <c r="AB367" s="23">
        <f t="shared" si="179"/>
        <v>-85.848321921164668</v>
      </c>
      <c r="AC367" s="23">
        <f t="shared" si="180"/>
        <v>-2.766029019334372</v>
      </c>
      <c r="AD367" s="14">
        <f t="shared" si="199"/>
        <v>84.791840103572753</v>
      </c>
      <c r="AE367" s="14">
        <f t="shared" si="200"/>
        <v>20.840731283506287</v>
      </c>
      <c r="AF367" s="14">
        <f t="shared" si="201"/>
        <v>9.3449859602720782</v>
      </c>
      <c r="AG367" s="14">
        <f t="shared" si="202"/>
        <v>0.11604630413512682</v>
      </c>
      <c r="AH367" s="14">
        <f t="shared" si="203"/>
        <v>-81.361796378552171</v>
      </c>
      <c r="AI367" s="14">
        <f t="shared" si="204"/>
        <v>-16.466914083313803</v>
      </c>
      <c r="AJ367" s="23">
        <f t="shared" si="181"/>
        <v>12.775029685292665</v>
      </c>
      <c r="AK367" s="23">
        <f t="shared" si="182"/>
        <v>4.4898635043276123</v>
      </c>
      <c r="AL367" s="14">
        <f t="shared" si="205"/>
        <v>0</v>
      </c>
      <c r="AM367" s="14">
        <f t="shared" si="206"/>
        <v>0</v>
      </c>
      <c r="AN367" s="14">
        <f t="shared" si="207"/>
        <v>0</v>
      </c>
      <c r="AO367" s="14">
        <f t="shared" si="208"/>
        <v>0</v>
      </c>
      <c r="AP367" s="23">
        <f t="shared" si="183"/>
        <v>0</v>
      </c>
      <c r="AQ367" s="23">
        <f t="shared" si="184"/>
        <v>0</v>
      </c>
    </row>
    <row r="368" spans="8:43" x14ac:dyDescent="0.25">
      <c r="H368" s="14">
        <v>4.6500000000000101</v>
      </c>
      <c r="I368" s="36">
        <f t="shared" si="209"/>
        <v>446683.5921509742</v>
      </c>
      <c r="J368" s="24">
        <f t="shared" si="175"/>
        <v>-146.7070207621104</v>
      </c>
      <c r="K368" s="24">
        <f t="shared" si="176"/>
        <v>-46.514850763965676</v>
      </c>
      <c r="L368" s="14">
        <f t="shared" si="185"/>
        <v>0.67018069634200106</v>
      </c>
      <c r="M368" s="14">
        <f t="shared" si="186"/>
        <v>-88.747480018348952</v>
      </c>
      <c r="N368" s="14">
        <f t="shared" si="187"/>
        <v>33.20745121037988</v>
      </c>
      <c r="O368" s="14">
        <f t="shared" si="188"/>
        <v>-89.971490323968368</v>
      </c>
      <c r="P368" s="14">
        <f t="shared" si="189"/>
        <v>-66.062607361559969</v>
      </c>
      <c r="Q368" s="14">
        <f t="shared" si="190"/>
        <v>-74.958438741819108</v>
      </c>
      <c r="R368" s="14">
        <f t="shared" si="191"/>
        <v>-11.716595364979776</v>
      </c>
      <c r="S368" s="23">
        <f t="shared" si="177"/>
        <v>-253.67740908413646</v>
      </c>
      <c r="T368" s="23">
        <f t="shared" si="178"/>
        <v>-48.047913227997718</v>
      </c>
      <c r="U368" s="14">
        <f t="shared" si="192"/>
        <v>20000</v>
      </c>
      <c r="V368" s="14">
        <f t="shared" si="193"/>
        <v>-89.999990720596003</v>
      </c>
      <c r="W368" s="14">
        <f t="shared" si="194"/>
        <v>-135.81205098360675</v>
      </c>
      <c r="X368" s="14">
        <f t="shared" si="195"/>
        <v>89.981441192645022</v>
      </c>
      <c r="Y368" s="14">
        <f t="shared" si="196"/>
        <v>69.79145152598521</v>
      </c>
      <c r="Z368" s="14">
        <f t="shared" si="197"/>
        <v>-85.923952430788006</v>
      </c>
      <c r="AA368" s="14">
        <f t="shared" si="198"/>
        <v>-22.964995504605771</v>
      </c>
      <c r="AB368" s="23">
        <f t="shared" si="179"/>
        <v>-85.942501958738987</v>
      </c>
      <c r="AC368" s="23">
        <f t="shared" si="180"/>
        <v>-2.9649950489476886</v>
      </c>
      <c r="AD368" s="14">
        <f t="shared" si="199"/>
        <v>84.909762283615322</v>
      </c>
      <c r="AE368" s="14">
        <f t="shared" si="200"/>
        <v>21.039120356779598</v>
      </c>
      <c r="AF368" s="14">
        <f t="shared" si="201"/>
        <v>9.5586865616746284</v>
      </c>
      <c r="AG368" s="14">
        <f t="shared" si="202"/>
        <v>0.12143962532246456</v>
      </c>
      <c r="AH368" s="14">
        <f t="shared" si="203"/>
        <v>-81.555558564524901</v>
      </c>
      <c r="AI368" s="14">
        <f t="shared" si="204"/>
        <v>-16.66250246912233</v>
      </c>
      <c r="AJ368" s="23">
        <f t="shared" si="181"/>
        <v>12.912890280765055</v>
      </c>
      <c r="AK368" s="23">
        <f t="shared" si="182"/>
        <v>4.4980575129797344</v>
      </c>
      <c r="AL368" s="14">
        <f t="shared" si="205"/>
        <v>0</v>
      </c>
      <c r="AM368" s="14">
        <f t="shared" si="206"/>
        <v>0</v>
      </c>
      <c r="AN368" s="14">
        <f t="shared" si="207"/>
        <v>0</v>
      </c>
      <c r="AO368" s="14">
        <f t="shared" si="208"/>
        <v>0</v>
      </c>
      <c r="AP368" s="23">
        <f t="shared" si="183"/>
        <v>0</v>
      </c>
      <c r="AQ368" s="23">
        <f t="shared" si="184"/>
        <v>0</v>
      </c>
    </row>
    <row r="369" spans="8:43" x14ac:dyDescent="0.25">
      <c r="H369" s="14">
        <v>4.6600000000000197</v>
      </c>
      <c r="I369" s="36">
        <f t="shared" si="209"/>
        <v>457088.18961489608</v>
      </c>
      <c r="J369" s="24">
        <f t="shared" ref="J369:J403" si="210">180+S369+AB369+AJ369+AP369</f>
        <v>-147.0114589495432</v>
      </c>
      <c r="K369" s="24">
        <f t="shared" ref="K369:K403" si="211">T369+AC369+AK369+AQ369</f>
        <v>-46.892453222652819</v>
      </c>
      <c r="L369" s="14">
        <f t="shared" si="185"/>
        <v>0.67018069634200106</v>
      </c>
      <c r="M369" s="14">
        <f t="shared" si="186"/>
        <v>-88.775982079172095</v>
      </c>
      <c r="N369" s="14">
        <f t="shared" si="187"/>
        <v>33.407357814456695</v>
      </c>
      <c r="O369" s="14">
        <f t="shared" si="188"/>
        <v>-89.972139283321013</v>
      </c>
      <c r="P369" s="14">
        <f t="shared" si="189"/>
        <v>-66.262607313164352</v>
      </c>
      <c r="Q369" s="14">
        <f t="shared" si="190"/>
        <v>-75.28580882236669</v>
      </c>
      <c r="R369" s="14">
        <f t="shared" si="191"/>
        <v>-11.903410736411287</v>
      </c>
      <c r="S369" s="23">
        <f t="shared" ref="S369:S403" si="212">M369+O369+Q369</f>
        <v>-254.0339301848598</v>
      </c>
      <c r="T369" s="23">
        <f t="shared" ref="T369:T403" si="213">20*LOG(L369)+N369+P369+R369</f>
        <v>-48.234821946956799</v>
      </c>
      <c r="U369" s="14">
        <f t="shared" si="192"/>
        <v>20000</v>
      </c>
      <c r="V369" s="14">
        <f t="shared" si="193"/>
        <v>-89.999990931821017</v>
      </c>
      <c r="W369" s="14">
        <f t="shared" si="194"/>
        <v>-136.01205098360694</v>
      </c>
      <c r="X369" s="14">
        <f t="shared" si="195"/>
        <v>89.981863642647625</v>
      </c>
      <c r="Y369" s="14">
        <f t="shared" si="196"/>
        <v>69.9914515054774</v>
      </c>
      <c r="Z369" s="14">
        <f t="shared" si="197"/>
        <v>-86.016432428472072</v>
      </c>
      <c r="AA369" s="14">
        <f t="shared" si="198"/>
        <v>-23.164007820183489</v>
      </c>
      <c r="AB369" s="23">
        <f t="shared" ref="AB369:AB403" si="214">V369+X369+Z369</f>
        <v>-86.034559717645465</v>
      </c>
      <c r="AC369" s="23">
        <f t="shared" ref="AC369:AC403" si="215">20*LOG(U369)+W369+Y369+AA369</f>
        <v>-3.1640073850334041</v>
      </c>
      <c r="AD369" s="14">
        <f t="shared" si="199"/>
        <v>85.025042021742578</v>
      </c>
      <c r="AE369" s="14">
        <f t="shared" si="200"/>
        <v>21.237581375693427</v>
      </c>
      <c r="AF369" s="14">
        <f t="shared" si="201"/>
        <v>9.7770873021750617</v>
      </c>
      <c r="AG369" s="14">
        <f t="shared" si="202"/>
        <v>0.12707995642886905</v>
      </c>
      <c r="AH369" s="14">
        <f t="shared" si="203"/>
        <v>-81.745098370955574</v>
      </c>
      <c r="AI369" s="14">
        <f t="shared" si="204"/>
        <v>-16.858285222784911</v>
      </c>
      <c r="AJ369" s="23">
        <f t="shared" ref="AJ369:AJ403" si="216">AD369+AF369+AH369</f>
        <v>13.057030952962066</v>
      </c>
      <c r="AK369" s="23">
        <f t="shared" ref="AK369:AK403" si="217">AE369+AG369+AI369</f>
        <v>4.5063761093373849</v>
      </c>
      <c r="AL369" s="14">
        <f t="shared" si="205"/>
        <v>0</v>
      </c>
      <c r="AM369" s="14">
        <f t="shared" si="206"/>
        <v>0</v>
      </c>
      <c r="AN369" s="14">
        <f t="shared" si="207"/>
        <v>0</v>
      </c>
      <c r="AO369" s="14">
        <f t="shared" si="208"/>
        <v>0</v>
      </c>
      <c r="AP369" s="23">
        <f t="shared" ref="AP369:AP403" si="218">AL369+AN369</f>
        <v>0</v>
      </c>
      <c r="AQ369" s="23">
        <f t="shared" ref="AQ369:AQ403" si="219">AM369+AO369</f>
        <v>0</v>
      </c>
    </row>
    <row r="370" spans="8:43" x14ac:dyDescent="0.25">
      <c r="H370" s="14">
        <v>4.6700000000000204</v>
      </c>
      <c r="I370" s="36">
        <f t="shared" si="209"/>
        <v>467735.14128722053</v>
      </c>
      <c r="J370" s="24">
        <f t="shared" si="210"/>
        <v>-147.30031504553585</v>
      </c>
      <c r="K370" s="24">
        <f t="shared" si="211"/>
        <v>-47.270510899612418</v>
      </c>
      <c r="L370" s="14">
        <f t="shared" si="185"/>
        <v>0.67018069634200106</v>
      </c>
      <c r="M370" s="14">
        <f t="shared" si="186"/>
        <v>-88.803835939353817</v>
      </c>
      <c r="N370" s="14">
        <f t="shared" si="187"/>
        <v>33.607268620167353</v>
      </c>
      <c r="O370" s="14">
        <f t="shared" si="188"/>
        <v>-89.972773470562203</v>
      </c>
      <c r="P370" s="14">
        <f t="shared" si="189"/>
        <v>-66.462607266946748</v>
      </c>
      <c r="Q370" s="14">
        <f t="shared" si="190"/>
        <v>-75.60667915070772</v>
      </c>
      <c r="R370" s="14">
        <f t="shared" si="191"/>
        <v>-12.090782038355833</v>
      </c>
      <c r="S370" s="23">
        <f t="shared" si="212"/>
        <v>-254.38328856062375</v>
      </c>
      <c r="T370" s="23">
        <f t="shared" si="213"/>
        <v>-48.422282396973081</v>
      </c>
      <c r="U370" s="14">
        <f t="shared" si="192"/>
        <v>20000</v>
      </c>
      <c r="V370" s="14">
        <f t="shared" si="193"/>
        <v>-89.999991138237974</v>
      </c>
      <c r="W370" s="14">
        <f t="shared" si="194"/>
        <v>-136.21205098360696</v>
      </c>
      <c r="X370" s="14">
        <f t="shared" si="195"/>
        <v>89.982276476516063</v>
      </c>
      <c r="Y370" s="14">
        <f t="shared" si="196"/>
        <v>70.191451485892429</v>
      </c>
      <c r="Z370" s="14">
        <f t="shared" si="197"/>
        <v>-86.106827417849999</v>
      </c>
      <c r="AA370" s="14">
        <f t="shared" si="198"/>
        <v>-23.36306437915152</v>
      </c>
      <c r="AB370" s="23">
        <f t="shared" si="214"/>
        <v>-86.12454207957191</v>
      </c>
      <c r="AC370" s="23">
        <f t="shared" si="215"/>
        <v>-3.3630639635864235</v>
      </c>
      <c r="AD370" s="14">
        <f t="shared" si="199"/>
        <v>85.137736705335556</v>
      </c>
      <c r="AE370" s="14">
        <f t="shared" si="200"/>
        <v>21.436111150897595</v>
      </c>
      <c r="AF370" s="14">
        <f t="shared" si="201"/>
        <v>10.000278581251418</v>
      </c>
      <c r="AG370" s="14">
        <f t="shared" si="202"/>
        <v>0.1329782673809603</v>
      </c>
      <c r="AH370" s="14">
        <f t="shared" si="203"/>
        <v>-81.930499691927182</v>
      </c>
      <c r="AI370" s="14">
        <f t="shared" si="204"/>
        <v>-17.054253957331472</v>
      </c>
      <c r="AJ370" s="23">
        <f t="shared" si="216"/>
        <v>13.207515594659796</v>
      </c>
      <c r="AK370" s="23">
        <f t="shared" si="217"/>
        <v>4.5148354609470829</v>
      </c>
      <c r="AL370" s="14">
        <f t="shared" si="205"/>
        <v>0</v>
      </c>
      <c r="AM370" s="14">
        <f t="shared" si="206"/>
        <v>0</v>
      </c>
      <c r="AN370" s="14">
        <f t="shared" si="207"/>
        <v>0</v>
      </c>
      <c r="AO370" s="14">
        <f t="shared" si="208"/>
        <v>0</v>
      </c>
      <c r="AP370" s="23">
        <f t="shared" si="218"/>
        <v>0</v>
      </c>
      <c r="AQ370" s="23">
        <f t="shared" si="219"/>
        <v>0</v>
      </c>
    </row>
    <row r="371" spans="8:43" x14ac:dyDescent="0.25">
      <c r="H371" s="14">
        <v>4.6800000000000201</v>
      </c>
      <c r="I371" s="36">
        <f t="shared" si="209"/>
        <v>478630.09232266113</v>
      </c>
      <c r="J371" s="24">
        <f t="shared" si="210"/>
        <v>-147.57367487006289</v>
      </c>
      <c r="K371" s="24">
        <f t="shared" si="211"/>
        <v>-47.648983672433175</v>
      </c>
      <c r="L371" s="14">
        <f t="shared" si="185"/>
        <v>0.67018069634200106</v>
      </c>
      <c r="M371" s="14">
        <f t="shared" si="186"/>
        <v>-88.831056314686862</v>
      </c>
      <c r="N371" s="14">
        <f t="shared" si="187"/>
        <v>33.807183438572231</v>
      </c>
      <c r="O371" s="14">
        <f t="shared" si="188"/>
        <v>-89.973393221945798</v>
      </c>
      <c r="P371" s="14">
        <f t="shared" si="189"/>
        <v>-66.662607222809257</v>
      </c>
      <c r="Q371" s="14">
        <f t="shared" si="190"/>
        <v>-75.92113931596603</v>
      </c>
      <c r="R371" s="14">
        <f t="shared" si="191"/>
        <v>-12.278687347789104</v>
      </c>
      <c r="S371" s="23">
        <f t="shared" si="212"/>
        <v>-254.72558885259869</v>
      </c>
      <c r="T371" s="23">
        <f t="shared" si="213"/>
        <v>-48.610272843863982</v>
      </c>
      <c r="U371" s="14">
        <f t="shared" si="192"/>
        <v>20000</v>
      </c>
      <c r="V371" s="14">
        <f t="shared" si="193"/>
        <v>-89.99999133995631</v>
      </c>
      <c r="W371" s="14">
        <f t="shared" si="194"/>
        <v>-136.41205098360695</v>
      </c>
      <c r="X371" s="14">
        <f t="shared" si="195"/>
        <v>89.982679913140146</v>
      </c>
      <c r="Y371" s="14">
        <f t="shared" si="196"/>
        <v>70.391451467188915</v>
      </c>
      <c r="Z371" s="14">
        <f t="shared" si="197"/>
        <v>-86.195183526508131</v>
      </c>
      <c r="AA371" s="14">
        <f t="shared" si="198"/>
        <v>-23.562163208600332</v>
      </c>
      <c r="AB371" s="23">
        <f t="shared" si="214"/>
        <v>-86.212494953324295</v>
      </c>
      <c r="AC371" s="23">
        <f t="shared" si="215"/>
        <v>-3.5621628117387374</v>
      </c>
      <c r="AD371" s="14">
        <f t="shared" si="199"/>
        <v>85.247902596843446</v>
      </c>
      <c r="AE371" s="14">
        <f t="shared" si="200"/>
        <v>21.634706632344734</v>
      </c>
      <c r="AF371" s="14">
        <f t="shared" si="201"/>
        <v>10.228351630162756</v>
      </c>
      <c r="AG371" s="14">
        <f t="shared" si="202"/>
        <v>0.13914598326697628</v>
      </c>
      <c r="AH371" s="14">
        <f t="shared" si="203"/>
        <v>-82.111845291146096</v>
      </c>
      <c r="AI371" s="14">
        <f t="shared" si="204"/>
        <v>-17.250400632442165</v>
      </c>
      <c r="AJ371" s="23">
        <f t="shared" si="216"/>
        <v>13.364408935860098</v>
      </c>
      <c r="AK371" s="23">
        <f t="shared" si="217"/>
        <v>4.5234519831695437</v>
      </c>
      <c r="AL371" s="14">
        <f t="shared" si="205"/>
        <v>0</v>
      </c>
      <c r="AM371" s="14">
        <f t="shared" si="206"/>
        <v>0</v>
      </c>
      <c r="AN371" s="14">
        <f t="shared" si="207"/>
        <v>0</v>
      </c>
      <c r="AO371" s="14">
        <f t="shared" si="208"/>
        <v>0</v>
      </c>
      <c r="AP371" s="23">
        <f t="shared" si="218"/>
        <v>0</v>
      </c>
      <c r="AQ371" s="23">
        <f t="shared" si="219"/>
        <v>0</v>
      </c>
    </row>
    <row r="372" spans="8:43" x14ac:dyDescent="0.25">
      <c r="H372" s="14">
        <v>4.6900000000000199</v>
      </c>
      <c r="I372" s="36">
        <f t="shared" si="209"/>
        <v>489778.81936846947</v>
      </c>
      <c r="J372" s="24">
        <f t="shared" si="210"/>
        <v>-147.83162346585073</v>
      </c>
      <c r="K372" s="24">
        <f t="shared" si="211"/>
        <v>-48.027831964944347</v>
      </c>
      <c r="L372" s="14">
        <f t="shared" si="185"/>
        <v>0.67018069634200106</v>
      </c>
      <c r="M372" s="14">
        <f t="shared" si="186"/>
        <v>-88.85765758859597</v>
      </c>
      <c r="N372" s="14">
        <f t="shared" si="187"/>
        <v>34.007102089220766</v>
      </c>
      <c r="O372" s="14">
        <f t="shared" si="188"/>
        <v>-89.973998866071597</v>
      </c>
      <c r="P372" s="14">
        <f t="shared" si="189"/>
        <v>-66.862607180658273</v>
      </c>
      <c r="Q372" s="14">
        <f t="shared" si="190"/>
        <v>-76.229280239232935</v>
      </c>
      <c r="R372" s="14">
        <f t="shared" si="191"/>
        <v>-12.46710548004511</v>
      </c>
      <c r="S372" s="23">
        <f t="shared" si="212"/>
        <v>-255.06093669390049</v>
      </c>
      <c r="T372" s="23">
        <f t="shared" si="213"/>
        <v>-48.798772283320474</v>
      </c>
      <c r="U372" s="14">
        <f t="shared" si="192"/>
        <v>20000</v>
      </c>
      <c r="V372" s="14">
        <f t="shared" si="193"/>
        <v>-89.999991537082963</v>
      </c>
      <c r="W372" s="14">
        <f t="shared" si="194"/>
        <v>-136.61205098360693</v>
      </c>
      <c r="X372" s="14">
        <f t="shared" si="195"/>
        <v>89.983074166427159</v>
      </c>
      <c r="Y372" s="14">
        <f t="shared" si="196"/>
        <v>70.591451449327195</v>
      </c>
      <c r="Z372" s="14">
        <f t="shared" si="197"/>
        <v>-86.281545920130384</v>
      </c>
      <c r="AA372" s="14">
        <f t="shared" si="198"/>
        <v>-23.761302422810033</v>
      </c>
      <c r="AB372" s="23">
        <f t="shared" si="214"/>
        <v>-86.298463290786188</v>
      </c>
      <c r="AC372" s="23">
        <f t="shared" si="215"/>
        <v>-3.7613020438101472</v>
      </c>
      <c r="AD372" s="14">
        <f t="shared" si="199"/>
        <v>85.355594847605218</v>
      </c>
      <c r="AE372" s="14">
        <f t="shared" si="200"/>
        <v>21.83336490338732</v>
      </c>
      <c r="AF372" s="14">
        <f t="shared" si="201"/>
        <v>10.461398450707579</v>
      </c>
      <c r="AG372" s="14">
        <f t="shared" si="202"/>
        <v>0.14559500023794827</v>
      </c>
      <c r="AH372" s="14">
        <f t="shared" si="203"/>
        <v>-82.289216779476845</v>
      </c>
      <c r="AI372" s="14">
        <f t="shared" si="204"/>
        <v>-17.446717541438993</v>
      </c>
      <c r="AJ372" s="23">
        <f t="shared" si="216"/>
        <v>13.52777651883595</v>
      </c>
      <c r="AK372" s="23">
        <f t="shared" si="217"/>
        <v>4.532242362186274</v>
      </c>
      <c r="AL372" s="14">
        <f t="shared" si="205"/>
        <v>0</v>
      </c>
      <c r="AM372" s="14">
        <f t="shared" si="206"/>
        <v>0</v>
      </c>
      <c r="AN372" s="14">
        <f t="shared" si="207"/>
        <v>0</v>
      </c>
      <c r="AO372" s="14">
        <f t="shared" si="208"/>
        <v>0</v>
      </c>
      <c r="AP372" s="23">
        <f t="shared" si="218"/>
        <v>0</v>
      </c>
      <c r="AQ372" s="23">
        <f t="shared" si="219"/>
        <v>0</v>
      </c>
    </row>
    <row r="373" spans="8:43" x14ac:dyDescent="0.25">
      <c r="H373" s="14">
        <v>4.7000000000000197</v>
      </c>
      <c r="I373" s="36">
        <f t="shared" si="209"/>
        <v>501187.23362729524</v>
      </c>
      <c r="J373" s="24">
        <f t="shared" si="210"/>
        <v>-148.07424495194624</v>
      </c>
      <c r="K373" s="24">
        <f t="shared" si="211"/>
        <v>-48.407016706399439</v>
      </c>
      <c r="L373" s="14">
        <f t="shared" si="185"/>
        <v>0.67018069634200106</v>
      </c>
      <c r="M373" s="14">
        <f t="shared" si="186"/>
        <v>-88.883653819529911</v>
      </c>
      <c r="N373" s="14">
        <f t="shared" si="187"/>
        <v>34.207024399770731</v>
      </c>
      <c r="O373" s="14">
        <f t="shared" si="188"/>
        <v>-89.974590724059624</v>
      </c>
      <c r="P373" s="14">
        <f t="shared" si="189"/>
        <v>-67.062607140404381</v>
      </c>
      <c r="Q373" s="14">
        <f t="shared" si="190"/>
        <v>-76.531193969714877</v>
      </c>
      <c r="R373" s="14">
        <f t="shared" si="191"/>
        <v>-12.656015974544045</v>
      </c>
      <c r="S373" s="23">
        <f t="shared" si="212"/>
        <v>-255.38943851330441</v>
      </c>
      <c r="T373" s="23">
        <f t="shared" si="213"/>
        <v>-48.987760427015552</v>
      </c>
      <c r="U373" s="14">
        <f t="shared" si="192"/>
        <v>20000</v>
      </c>
      <c r="V373" s="14">
        <f t="shared" si="193"/>
        <v>-89.999991729722481</v>
      </c>
      <c r="W373" s="14">
        <f t="shared" si="194"/>
        <v>-136.81205098360692</v>
      </c>
      <c r="X373" s="14">
        <f t="shared" si="195"/>
        <v>89.983459445415264</v>
      </c>
      <c r="Y373" s="14">
        <f t="shared" si="196"/>
        <v>70.791451432269369</v>
      </c>
      <c r="Z373" s="14">
        <f t="shared" si="197"/>
        <v>-86.365958818609528</v>
      </c>
      <c r="AA373" s="14">
        <f t="shared" si="198"/>
        <v>-23.96048021946627</v>
      </c>
      <c r="AB373" s="23">
        <f t="shared" si="214"/>
        <v>-86.382491102916745</v>
      </c>
      <c r="AC373" s="23">
        <f t="shared" si="215"/>
        <v>-3.9604798575241986</v>
      </c>
      <c r="AD373" s="14">
        <f t="shared" si="199"/>
        <v>85.460867512109274</v>
      </c>
      <c r="AE373" s="14">
        <f t="shared" si="200"/>
        <v>22.032083175109591</v>
      </c>
      <c r="AF373" s="14">
        <f t="shared" si="201"/>
        <v>10.699511747974505</v>
      </c>
      <c r="AG373" s="14">
        <f t="shared" si="202"/>
        <v>0.15233770168091254</v>
      </c>
      <c r="AH373" s="14">
        <f t="shared" si="203"/>
        <v>-82.462694595808856</v>
      </c>
      <c r="AI373" s="14">
        <f t="shared" si="204"/>
        <v>-17.643197298650193</v>
      </c>
      <c r="AJ373" s="23">
        <f t="shared" si="216"/>
        <v>13.697684664274917</v>
      </c>
      <c r="AK373" s="23">
        <f t="shared" si="217"/>
        <v>4.5412235781403112</v>
      </c>
      <c r="AL373" s="14">
        <f t="shared" si="205"/>
        <v>0</v>
      </c>
      <c r="AM373" s="14">
        <f t="shared" si="206"/>
        <v>0</v>
      </c>
      <c r="AN373" s="14">
        <f t="shared" si="207"/>
        <v>0</v>
      </c>
      <c r="AO373" s="14">
        <f t="shared" si="208"/>
        <v>0</v>
      </c>
      <c r="AP373" s="23">
        <f t="shared" si="218"/>
        <v>0</v>
      </c>
      <c r="AQ373" s="23">
        <f t="shared" si="219"/>
        <v>0</v>
      </c>
    </row>
    <row r="374" spans="8:43" x14ac:dyDescent="0.25">
      <c r="H374" s="14">
        <v>4.7100000000000204</v>
      </c>
      <c r="I374" s="36">
        <f t="shared" si="209"/>
        <v>512861.38399138919</v>
      </c>
      <c r="J374" s="24">
        <f t="shared" si="210"/>
        <v>-148.30162239758977</v>
      </c>
      <c r="K374" s="24">
        <f t="shared" si="211"/>
        <v>-48.786499290010212</v>
      </c>
      <c r="L374" s="14">
        <f t="shared" si="185"/>
        <v>0.67018069634200106</v>
      </c>
      <c r="M374" s="14">
        <f t="shared" si="186"/>
        <v>-88.909058748196827</v>
      </c>
      <c r="N374" s="14">
        <f t="shared" si="187"/>
        <v>34.406950205624611</v>
      </c>
      <c r="O374" s="14">
        <f t="shared" si="188"/>
        <v>-89.975169109720255</v>
      </c>
      <c r="P374" s="14">
        <f t="shared" si="189"/>
        <v>-67.26260710196226</v>
      </c>
      <c r="Q374" s="14">
        <f t="shared" si="190"/>
        <v>-76.826973492261004</v>
      </c>
      <c r="R374" s="14">
        <f t="shared" si="191"/>
        <v>-12.84539907983029</v>
      </c>
      <c r="S374" s="23">
        <f t="shared" si="212"/>
        <v>-255.7112013501781</v>
      </c>
      <c r="T374" s="23">
        <f t="shared" si="213"/>
        <v>-49.177217688005797</v>
      </c>
      <c r="U374" s="14">
        <f t="shared" si="192"/>
        <v>20000</v>
      </c>
      <c r="V374" s="14">
        <f t="shared" si="193"/>
        <v>-89.999991917976985</v>
      </c>
      <c r="W374" s="14">
        <f t="shared" si="194"/>
        <v>-137.01205098360691</v>
      </c>
      <c r="X374" s="14">
        <f t="shared" si="195"/>
        <v>89.983835954384332</v>
      </c>
      <c r="Y374" s="14">
        <f t="shared" si="196"/>
        <v>70.991451415979313</v>
      </c>
      <c r="Z374" s="14">
        <f t="shared" si="197"/>
        <v>-86.448465512167544</v>
      </c>
      <c r="AA374" s="14">
        <f t="shared" si="198"/>
        <v>-24.159694876034198</v>
      </c>
      <c r="AB374" s="23">
        <f t="shared" si="214"/>
        <v>-86.464621475760197</v>
      </c>
      <c r="AC374" s="23">
        <f t="shared" si="215"/>
        <v>-4.159694530382172</v>
      </c>
      <c r="AD374" s="14">
        <f t="shared" si="199"/>
        <v>85.563773562634168</v>
      </c>
      <c r="AE374" s="14">
        <f t="shared" si="200"/>
        <v>22.230858780885629</v>
      </c>
      <c r="AF374" s="14">
        <f t="shared" si="201"/>
        <v>10.942784856745336</v>
      </c>
      <c r="AG374" s="14">
        <f t="shared" si="202"/>
        <v>0.15938697463883281</v>
      </c>
      <c r="AH374" s="14">
        <f t="shared" si="203"/>
        <v>-82.632357991030958</v>
      </c>
      <c r="AI374" s="14">
        <f t="shared" si="204"/>
        <v>-17.839832827146708</v>
      </c>
      <c r="AJ374" s="23">
        <f t="shared" si="216"/>
        <v>13.874200428348544</v>
      </c>
      <c r="AK374" s="23">
        <f t="shared" si="217"/>
        <v>4.550412928377753</v>
      </c>
      <c r="AL374" s="14">
        <f t="shared" si="205"/>
        <v>0</v>
      </c>
      <c r="AM374" s="14">
        <f t="shared" si="206"/>
        <v>0</v>
      </c>
      <c r="AN374" s="14">
        <f t="shared" si="207"/>
        <v>0</v>
      </c>
      <c r="AO374" s="14">
        <f t="shared" si="208"/>
        <v>0</v>
      </c>
      <c r="AP374" s="23">
        <f t="shared" si="218"/>
        <v>0</v>
      </c>
      <c r="AQ374" s="23">
        <f t="shared" si="219"/>
        <v>0</v>
      </c>
    </row>
    <row r="375" spans="8:43" x14ac:dyDescent="0.25">
      <c r="H375" s="14">
        <v>4.7200000000000202</v>
      </c>
      <c r="I375" s="36">
        <f t="shared" si="209"/>
        <v>524807.46024979744</v>
      </c>
      <c r="J375" s="24">
        <f t="shared" si="210"/>
        <v>-148.51383771627698</v>
      </c>
      <c r="K375" s="24">
        <f t="shared" si="211"/>
        <v>-49.166241530972229</v>
      </c>
      <c r="L375" s="14">
        <f t="shared" si="185"/>
        <v>0.67018069634200106</v>
      </c>
      <c r="M375" s="14">
        <f t="shared" si="186"/>
        <v>-88.933885804645769</v>
      </c>
      <c r="N375" s="14">
        <f t="shared" si="187"/>
        <v>34.606879349581867</v>
      </c>
      <c r="O375" s="14">
        <f t="shared" si="188"/>
        <v>-89.975734329720794</v>
      </c>
      <c r="P375" s="14">
        <f t="shared" si="189"/>
        <v>-67.462607065250282</v>
      </c>
      <c r="Q375" s="14">
        <f t="shared" si="190"/>
        <v>-77.116712545987042</v>
      </c>
      <c r="R375" s="14">
        <f t="shared" si="191"/>
        <v>-13.035235738030966</v>
      </c>
      <c r="S375" s="23">
        <f t="shared" si="212"/>
        <v>-256.02633268035356</v>
      </c>
      <c r="T375" s="23">
        <f t="shared" si="213"/>
        <v>-49.367125165537232</v>
      </c>
      <c r="U375" s="14">
        <f t="shared" si="192"/>
        <v>20000</v>
      </c>
      <c r="V375" s="14">
        <f t="shared" si="193"/>
        <v>-89.99999210194629</v>
      </c>
      <c r="W375" s="14">
        <f t="shared" si="194"/>
        <v>-137.2120509836069</v>
      </c>
      <c r="X375" s="14">
        <f t="shared" si="195"/>
        <v>89.984203892964274</v>
      </c>
      <c r="Y375" s="14">
        <f t="shared" si="196"/>
        <v>71.191451400422395</v>
      </c>
      <c r="Z375" s="14">
        <f t="shared" si="197"/>
        <v>-86.529108377460688</v>
      </c>
      <c r="AA375" s="14">
        <f t="shared" si="198"/>
        <v>-24.358944746284354</v>
      </c>
      <c r="AB375" s="23">
        <f t="shared" si="214"/>
        <v>-86.544896586442704</v>
      </c>
      <c r="AC375" s="23">
        <f t="shared" si="215"/>
        <v>-4.3589444161892352</v>
      </c>
      <c r="AD375" s="14">
        <f t="shared" si="199"/>
        <v>85.664364904217905</v>
      </c>
      <c r="AE375" s="14">
        <f t="shared" si="200"/>
        <v>22.42968917115574</v>
      </c>
      <c r="AF375" s="14">
        <f t="shared" si="201"/>
        <v>11.191311661202068</v>
      </c>
      <c r="AG375" s="14">
        <f t="shared" si="202"/>
        <v>0.16675622644808125</v>
      </c>
      <c r="AH375" s="14">
        <f t="shared" si="203"/>
        <v>-82.798285014900699</v>
      </c>
      <c r="AI375" s="14">
        <f t="shared" si="204"/>
        <v>-18.036617346849585</v>
      </c>
      <c r="AJ375" s="23">
        <f t="shared" si="216"/>
        <v>14.05739155051927</v>
      </c>
      <c r="AK375" s="23">
        <f t="shared" si="217"/>
        <v>4.5598280507542377</v>
      </c>
      <c r="AL375" s="14">
        <f t="shared" si="205"/>
        <v>0</v>
      </c>
      <c r="AM375" s="14">
        <f t="shared" si="206"/>
        <v>0</v>
      </c>
      <c r="AN375" s="14">
        <f t="shared" si="207"/>
        <v>0</v>
      </c>
      <c r="AO375" s="14">
        <f t="shared" si="208"/>
        <v>0</v>
      </c>
      <c r="AP375" s="23">
        <f t="shared" si="218"/>
        <v>0</v>
      </c>
      <c r="AQ375" s="23">
        <f t="shared" si="219"/>
        <v>0</v>
      </c>
    </row>
    <row r="376" spans="8:43" x14ac:dyDescent="0.25">
      <c r="H376" s="14">
        <v>4.73000000000002</v>
      </c>
      <c r="I376" s="36">
        <f t="shared" si="209"/>
        <v>537031.79637027811</v>
      </c>
      <c r="J376" s="24">
        <f t="shared" si="210"/>
        <v>-148.71097157988498</v>
      </c>
      <c r="K376" s="24">
        <f t="shared" si="211"/>
        <v>-49.546205624118478</v>
      </c>
      <c r="L376" s="14">
        <f t="shared" si="185"/>
        <v>0.67018069634200106</v>
      </c>
      <c r="M376" s="14">
        <f t="shared" si="186"/>
        <v>-88.958148115196863</v>
      </c>
      <c r="N376" s="14">
        <f t="shared" si="187"/>
        <v>34.806811681507199</v>
      </c>
      <c r="O376" s="14">
        <f t="shared" si="188"/>
        <v>-89.976286683747901</v>
      </c>
      <c r="P376" s="14">
        <f t="shared" si="189"/>
        <v>-67.662607030190628</v>
      </c>
      <c r="Q376" s="14">
        <f t="shared" si="190"/>
        <v>-77.400505453688041</v>
      </c>
      <c r="R376" s="14">
        <f t="shared" si="191"/>
        <v>-13.225507568838186</v>
      </c>
      <c r="S376" s="23">
        <f t="shared" si="212"/>
        <v>-256.3349402526328</v>
      </c>
      <c r="T376" s="23">
        <f t="shared" si="213"/>
        <v>-49.557464629359472</v>
      </c>
      <c r="U376" s="14">
        <f t="shared" si="192"/>
        <v>20000</v>
      </c>
      <c r="V376" s="14">
        <f t="shared" si="193"/>
        <v>-89.999992281727941</v>
      </c>
      <c r="W376" s="14">
        <f t="shared" si="194"/>
        <v>-137.41205098360692</v>
      </c>
      <c r="X376" s="14">
        <f t="shared" si="195"/>
        <v>89.984563456240892</v>
      </c>
      <c r="Y376" s="14">
        <f t="shared" si="196"/>
        <v>71.391451385565659</v>
      </c>
      <c r="Z376" s="14">
        <f t="shared" si="197"/>
        <v>-86.607928893647511</v>
      </c>
      <c r="AA376" s="14">
        <f t="shared" si="198"/>
        <v>-24.558228256965066</v>
      </c>
      <c r="AB376" s="23">
        <f t="shared" si="214"/>
        <v>-86.62335771913456</v>
      </c>
      <c r="AC376" s="23">
        <f t="shared" si="215"/>
        <v>-4.5582279417266989</v>
      </c>
      <c r="AD376" s="14">
        <f t="shared" si="199"/>
        <v>85.762692389907087</v>
      </c>
      <c r="AE376" s="14">
        <f t="shared" si="200"/>
        <v>22.628571908414031</v>
      </c>
      <c r="AF376" s="14">
        <f t="shared" si="201"/>
        <v>11.44518650758236</v>
      </c>
      <c r="AG376" s="14">
        <f t="shared" si="202"/>
        <v>0.17445940156022563</v>
      </c>
      <c r="AH376" s="14">
        <f t="shared" si="203"/>
        <v>-82.960552505607083</v>
      </c>
      <c r="AI376" s="14">
        <f t="shared" si="204"/>
        <v>-18.233544363006562</v>
      </c>
      <c r="AJ376" s="23">
        <f t="shared" si="216"/>
        <v>14.247326391882368</v>
      </c>
      <c r="AK376" s="23">
        <f t="shared" si="217"/>
        <v>4.5694869469676931</v>
      </c>
      <c r="AL376" s="14">
        <f t="shared" si="205"/>
        <v>0</v>
      </c>
      <c r="AM376" s="14">
        <f t="shared" si="206"/>
        <v>0</v>
      </c>
      <c r="AN376" s="14">
        <f t="shared" si="207"/>
        <v>0</v>
      </c>
      <c r="AO376" s="14">
        <f t="shared" si="208"/>
        <v>0</v>
      </c>
      <c r="AP376" s="23">
        <f t="shared" si="218"/>
        <v>0</v>
      </c>
      <c r="AQ376" s="23">
        <f t="shared" si="219"/>
        <v>0</v>
      </c>
    </row>
    <row r="377" spans="8:43" x14ac:dyDescent="0.25">
      <c r="H377" s="14">
        <v>4.7400000000000198</v>
      </c>
      <c r="I377" s="36">
        <f t="shared" si="209"/>
        <v>549540.87385765044</v>
      </c>
      <c r="J377" s="24">
        <f t="shared" si="210"/>
        <v>-148.89310335273183</v>
      </c>
      <c r="K377" s="24">
        <f t="shared" si="211"/>
        <v>-49.92635410133218</v>
      </c>
      <c r="L377" s="14">
        <f t="shared" si="185"/>
        <v>0.67018069634200106</v>
      </c>
      <c r="M377" s="14">
        <f t="shared" si="186"/>
        <v>-88.981858509223372</v>
      </c>
      <c r="N377" s="14">
        <f t="shared" si="187"/>
        <v>35.006747058013339</v>
      </c>
      <c r="O377" s="14">
        <f t="shared" si="188"/>
        <v>-89.976826464666601</v>
      </c>
      <c r="P377" s="14">
        <f t="shared" si="189"/>
        <v>-67.862606996708919</v>
      </c>
      <c r="Q377" s="14">
        <f t="shared" si="190"/>
        <v>-77.678446961710193</v>
      </c>
      <c r="R377" s="14">
        <f t="shared" si="191"/>
        <v>-13.416196853109437</v>
      </c>
      <c r="S377" s="23">
        <f t="shared" si="212"/>
        <v>-256.63713193560017</v>
      </c>
      <c r="T377" s="23">
        <f t="shared" si="213"/>
        <v>-49.748218503642875</v>
      </c>
      <c r="U377" s="14">
        <f t="shared" si="192"/>
        <v>20000</v>
      </c>
      <c r="V377" s="14">
        <f t="shared" si="193"/>
        <v>-89.99999245741725</v>
      </c>
      <c r="W377" s="14">
        <f t="shared" si="194"/>
        <v>-137.61205098360691</v>
      </c>
      <c r="X377" s="14">
        <f t="shared" si="195"/>
        <v>89.984914834859254</v>
      </c>
      <c r="Y377" s="14">
        <f t="shared" si="196"/>
        <v>71.591451371377588</v>
      </c>
      <c r="Z377" s="14">
        <f t="shared" si="197"/>
        <v>-86.684967658399302</v>
      </c>
      <c r="AA377" s="14">
        <f t="shared" si="198"/>
        <v>-24.757543904615137</v>
      </c>
      <c r="AB377" s="23">
        <f t="shared" si="214"/>
        <v>-86.700045280957298</v>
      </c>
      <c r="AC377" s="23">
        <f t="shared" si="215"/>
        <v>-4.7575436035648302</v>
      </c>
      <c r="AD377" s="14">
        <f t="shared" si="199"/>
        <v>85.858805836240833</v>
      </c>
      <c r="AE377" s="14">
        <f t="shared" si="200"/>
        <v>22.827504662399253</v>
      </c>
      <c r="AF377" s="14">
        <f t="shared" si="201"/>
        <v>11.704504109419672</v>
      </c>
      <c r="AG377" s="14">
        <f t="shared" si="202"/>
        <v>0.18251099851041142</v>
      </c>
      <c r="AH377" s="14">
        <f t="shared" si="203"/>
        <v>-83.119236081834885</v>
      </c>
      <c r="AI377" s="14">
        <f t="shared" si="204"/>
        <v>-18.430607655034148</v>
      </c>
      <c r="AJ377" s="23">
        <f t="shared" si="216"/>
        <v>14.444073863825622</v>
      </c>
      <c r="AK377" s="23">
        <f t="shared" si="217"/>
        <v>4.5794080058755178</v>
      </c>
      <c r="AL377" s="14">
        <f t="shared" si="205"/>
        <v>0</v>
      </c>
      <c r="AM377" s="14">
        <f t="shared" si="206"/>
        <v>0</v>
      </c>
      <c r="AN377" s="14">
        <f t="shared" si="207"/>
        <v>0</v>
      </c>
      <c r="AO377" s="14">
        <f t="shared" si="208"/>
        <v>0</v>
      </c>
      <c r="AP377" s="23">
        <f t="shared" si="218"/>
        <v>0</v>
      </c>
      <c r="AQ377" s="23">
        <f t="shared" si="219"/>
        <v>0</v>
      </c>
    </row>
    <row r="378" spans="8:43" x14ac:dyDescent="0.25">
      <c r="H378" s="14">
        <v>4.7500000000000204</v>
      </c>
      <c r="I378" s="36">
        <f t="shared" si="209"/>
        <v>562341.32519037649</v>
      </c>
      <c r="J378" s="24">
        <f t="shared" si="210"/>
        <v>-149.06031104544002</v>
      </c>
      <c r="K378" s="24">
        <f t="shared" si="211"/>
        <v>-50.306649788848006</v>
      </c>
      <c r="L378" s="14">
        <f t="shared" si="185"/>
        <v>0.67018069634200106</v>
      </c>
      <c r="M378" s="14">
        <f t="shared" si="186"/>
        <v>-89.005029525788089</v>
      </c>
      <c r="N378" s="14">
        <f t="shared" si="187"/>
        <v>35.206685342158153</v>
      </c>
      <c r="O378" s="14">
        <f t="shared" si="188"/>
        <v>-89.977353958675494</v>
      </c>
      <c r="P378" s="14">
        <f t="shared" si="189"/>
        <v>-68.062606964734144</v>
      </c>
      <c r="Q378" s="14">
        <f t="shared" si="190"/>
        <v>-77.950632089937514</v>
      </c>
      <c r="R378" s="14">
        <f t="shared" si="191"/>
        <v>-13.607286516173776</v>
      </c>
      <c r="S378" s="23">
        <f t="shared" si="212"/>
        <v>-256.93301557440111</v>
      </c>
      <c r="T378" s="23">
        <f t="shared" si="213"/>
        <v>-49.939369850587624</v>
      </c>
      <c r="U378" s="14">
        <f t="shared" si="192"/>
        <v>20000</v>
      </c>
      <c r="V378" s="14">
        <f t="shared" si="193"/>
        <v>-89.999992629107396</v>
      </c>
      <c r="W378" s="14">
        <f t="shared" si="194"/>
        <v>-137.81205098360692</v>
      </c>
      <c r="X378" s="14">
        <f t="shared" si="195"/>
        <v>89.985258215124873</v>
      </c>
      <c r="Y378" s="14">
        <f t="shared" si="196"/>
        <v>71.791451357828109</v>
      </c>
      <c r="Z378" s="14">
        <f t="shared" si="197"/>
        <v>-86.760264403834455</v>
      </c>
      <c r="AA378" s="14">
        <f t="shared" si="198"/>
        <v>-24.956890252511606</v>
      </c>
      <c r="AB378" s="23">
        <f t="shared" si="214"/>
        <v>-86.774998817816979</v>
      </c>
      <c r="AC378" s="23">
        <f t="shared" si="215"/>
        <v>-4.9568899650107952</v>
      </c>
      <c r="AD378" s="14">
        <f t="shared" si="199"/>
        <v>85.952754038927381</v>
      </c>
      <c r="AE378" s="14">
        <f t="shared" si="200"/>
        <v>23.026485205481997</v>
      </c>
      <c r="AF378" s="14">
        <f t="shared" si="201"/>
        <v>11.969359444999709</v>
      </c>
      <c r="AG378" s="14">
        <f t="shared" si="202"/>
        <v>0.19092608698985292</v>
      </c>
      <c r="AH378" s="14">
        <f t="shared" si="203"/>
        <v>-83.27441013714899</v>
      </c>
      <c r="AI378" s="14">
        <f t="shared" si="204"/>
        <v>-18.627801265721441</v>
      </c>
      <c r="AJ378" s="23">
        <f t="shared" si="216"/>
        <v>14.647703346778101</v>
      </c>
      <c r="AK378" s="23">
        <f t="shared" si="217"/>
        <v>4.5896100267504103</v>
      </c>
      <c r="AL378" s="14">
        <f t="shared" si="205"/>
        <v>0</v>
      </c>
      <c r="AM378" s="14">
        <f t="shared" si="206"/>
        <v>0</v>
      </c>
      <c r="AN378" s="14">
        <f t="shared" si="207"/>
        <v>0</v>
      </c>
      <c r="AO378" s="14">
        <f t="shared" si="208"/>
        <v>0</v>
      </c>
      <c r="AP378" s="23">
        <f t="shared" si="218"/>
        <v>0</v>
      </c>
      <c r="AQ378" s="23">
        <f t="shared" si="219"/>
        <v>0</v>
      </c>
    </row>
    <row r="379" spans="8:43" x14ac:dyDescent="0.25">
      <c r="H379" s="14">
        <v>4.7600000000000202</v>
      </c>
      <c r="I379" s="36">
        <f t="shared" si="209"/>
        <v>575439.93733718398</v>
      </c>
      <c r="J379" s="24">
        <f t="shared" si="210"/>
        <v>-149.21267128846958</v>
      </c>
      <c r="K379" s="24">
        <f t="shared" si="211"/>
        <v>-50.68705576456577</v>
      </c>
      <c r="L379" s="14">
        <f t="shared" si="185"/>
        <v>0.67018069634200106</v>
      </c>
      <c r="M379" s="14">
        <f t="shared" si="186"/>
        <v>-89.027673420136722</v>
      </c>
      <c r="N379" s="14">
        <f t="shared" si="187"/>
        <v>35.406626403155272</v>
      </c>
      <c r="O379" s="14">
        <f t="shared" si="188"/>
        <v>-89.977869445458509</v>
      </c>
      <c r="P379" s="14">
        <f t="shared" si="189"/>
        <v>-68.262606934198431</v>
      </c>
      <c r="Q379" s="14">
        <f t="shared" si="190"/>
        <v>-78.217155991535051</v>
      </c>
      <c r="R379" s="14">
        <f t="shared" si="191"/>
        <v>-13.79876011092389</v>
      </c>
      <c r="S379" s="23">
        <f t="shared" si="212"/>
        <v>-257.2226988571303</v>
      </c>
      <c r="T379" s="23">
        <f t="shared" si="213"/>
        <v>-50.130902353804899</v>
      </c>
      <c r="U379" s="14">
        <f t="shared" si="192"/>
        <v>20000</v>
      </c>
      <c r="V379" s="14">
        <f t="shared" si="193"/>
        <v>-89.999992796889401</v>
      </c>
      <c r="W379" s="14">
        <f t="shared" si="194"/>
        <v>-138.01205098360691</v>
      </c>
      <c r="X379" s="14">
        <f t="shared" si="195"/>
        <v>89.985593779102388</v>
      </c>
      <c r="Y379" s="14">
        <f t="shared" si="196"/>
        <v>71.991451344888432</v>
      </c>
      <c r="Z379" s="14">
        <f t="shared" si="197"/>
        <v>-86.833858012360039</v>
      </c>
      <c r="AA379" s="14">
        <f t="shared" si="198"/>
        <v>-25.156265927747093</v>
      </c>
      <c r="AB379" s="23">
        <f t="shared" si="214"/>
        <v>-86.848257030147053</v>
      </c>
      <c r="AC379" s="23">
        <f t="shared" si="215"/>
        <v>-5.1562656531859474</v>
      </c>
      <c r="AD379" s="14">
        <f t="shared" si="199"/>
        <v>86.044584788674925</v>
      </c>
      <c r="AE379" s="14">
        <f t="shared" si="200"/>
        <v>23.225511408240855</v>
      </c>
      <c r="AF379" s="14">
        <f t="shared" si="201"/>
        <v>12.239847646660053</v>
      </c>
      <c r="AG379" s="14">
        <f t="shared" si="202"/>
        <v>0.19972032497486042</v>
      </c>
      <c r="AH379" s="14">
        <f t="shared" si="203"/>
        <v>-83.426147836527193</v>
      </c>
      <c r="AI379" s="14">
        <f t="shared" si="204"/>
        <v>-18.825119490790637</v>
      </c>
      <c r="AJ379" s="23">
        <f t="shared" si="216"/>
        <v>14.858284598807785</v>
      </c>
      <c r="AK379" s="23">
        <f t="shared" si="217"/>
        <v>4.6001122424250767</v>
      </c>
      <c r="AL379" s="14">
        <f t="shared" si="205"/>
        <v>0</v>
      </c>
      <c r="AM379" s="14">
        <f t="shared" si="206"/>
        <v>0</v>
      </c>
      <c r="AN379" s="14">
        <f t="shared" si="207"/>
        <v>0</v>
      </c>
      <c r="AO379" s="14">
        <f t="shared" si="208"/>
        <v>0</v>
      </c>
      <c r="AP379" s="23">
        <f t="shared" si="218"/>
        <v>0</v>
      </c>
      <c r="AQ379" s="23">
        <f t="shared" si="219"/>
        <v>0</v>
      </c>
    </row>
    <row r="380" spans="8:43" x14ac:dyDescent="0.25">
      <c r="H380" s="14">
        <v>4.77000000000002</v>
      </c>
      <c r="I380" s="36">
        <f t="shared" si="209"/>
        <v>588843.65535561647</v>
      </c>
      <c r="J380" s="24">
        <f t="shared" si="210"/>
        <v>-149.35025932519341</v>
      </c>
      <c r="K380" s="24">
        <f t="shared" si="211"/>
        <v>-51.067535315501182</v>
      </c>
      <c r="L380" s="14">
        <f t="shared" si="185"/>
        <v>0.67018069634200106</v>
      </c>
      <c r="M380" s="14">
        <f t="shared" si="186"/>
        <v>-89.049802170051308</v>
      </c>
      <c r="N380" s="14">
        <f t="shared" si="187"/>
        <v>35.606570116097814</v>
      </c>
      <c r="O380" s="14">
        <f t="shared" si="188"/>
        <v>-89.978373198333259</v>
      </c>
      <c r="P380" s="14">
        <f t="shared" si="189"/>
        <v>-68.462606905037092</v>
      </c>
      <c r="Q380" s="14">
        <f t="shared" si="190"/>
        <v>-78.47811382208333</v>
      </c>
      <c r="R380" s="14">
        <f t="shared" si="191"/>
        <v>-13.99060180076763</v>
      </c>
      <c r="S380" s="23">
        <f t="shared" si="212"/>
        <v>-257.5062891904679</v>
      </c>
      <c r="T380" s="23">
        <f t="shared" si="213"/>
        <v>-50.32280030154476</v>
      </c>
      <c r="U380" s="14">
        <f t="shared" si="192"/>
        <v>20000</v>
      </c>
      <c r="V380" s="14">
        <f t="shared" si="193"/>
        <v>-89.999992960852211</v>
      </c>
      <c r="W380" s="14">
        <f t="shared" si="194"/>
        <v>-138.2120509836069</v>
      </c>
      <c r="X380" s="14">
        <f t="shared" si="195"/>
        <v>89.985921704712197</v>
      </c>
      <c r="Y380" s="14">
        <f t="shared" si="196"/>
        <v>72.19145133253113</v>
      </c>
      <c r="Z380" s="14">
        <f t="shared" si="197"/>
        <v>-86.905786532405415</v>
      </c>
      <c r="AA380" s="14">
        <f t="shared" si="198"/>
        <v>-25.355669618431811</v>
      </c>
      <c r="AB380" s="23">
        <f t="shared" si="214"/>
        <v>-86.919857788545428</v>
      </c>
      <c r="AC380" s="23">
        <f t="shared" si="215"/>
        <v>-5.3556693562279563</v>
      </c>
      <c r="AD380" s="14">
        <f t="shared" si="199"/>
        <v>86.134344887140941</v>
      </c>
      <c r="AE380" s="14">
        <f t="shared" si="200"/>
        <v>23.424581235221048</v>
      </c>
      <c r="AF380" s="14">
        <f t="shared" si="201"/>
        <v>12.516063881558251</v>
      </c>
      <c r="AG380" s="14">
        <f t="shared" si="202"/>
        <v>0.2089099758594257</v>
      </c>
      <c r="AH380" s="14">
        <f t="shared" si="203"/>
        <v>-83.574521114879275</v>
      </c>
      <c r="AI380" s="14">
        <f t="shared" si="204"/>
        <v>-19.022556868808941</v>
      </c>
      <c r="AJ380" s="23">
        <f t="shared" si="216"/>
        <v>15.075887653819919</v>
      </c>
      <c r="AK380" s="23">
        <f t="shared" si="217"/>
        <v>4.6109343422715341</v>
      </c>
      <c r="AL380" s="14">
        <f t="shared" si="205"/>
        <v>0</v>
      </c>
      <c r="AM380" s="14">
        <f t="shared" si="206"/>
        <v>0</v>
      </c>
      <c r="AN380" s="14">
        <f t="shared" si="207"/>
        <v>0</v>
      </c>
      <c r="AO380" s="14">
        <f t="shared" si="208"/>
        <v>0</v>
      </c>
      <c r="AP380" s="23">
        <f t="shared" si="218"/>
        <v>0</v>
      </c>
      <c r="AQ380" s="23">
        <f t="shared" si="219"/>
        <v>0</v>
      </c>
    </row>
    <row r="381" spans="8:43" x14ac:dyDescent="0.25">
      <c r="H381" s="14">
        <v>4.7800000000000198</v>
      </c>
      <c r="I381" s="36">
        <f t="shared" si="209"/>
        <v>602559.58607438591</v>
      </c>
      <c r="J381" s="24">
        <f t="shared" si="210"/>
        <v>-149.47314902438461</v>
      </c>
      <c r="K381" s="24">
        <f t="shared" si="211"/>
        <v>-51.44805189549389</v>
      </c>
      <c r="L381" s="14">
        <f t="shared" si="185"/>
        <v>0.67018069634200106</v>
      </c>
      <c r="M381" s="14">
        <f t="shared" si="186"/>
        <v>-89.071427482066042</v>
      </c>
      <c r="N381" s="14">
        <f t="shared" si="187"/>
        <v>35.80651636169425</v>
      </c>
      <c r="O381" s="14">
        <f t="shared" si="188"/>
        <v>-89.978865484395868</v>
      </c>
      <c r="P381" s="14">
        <f t="shared" si="189"/>
        <v>-68.662606877188196</v>
      </c>
      <c r="Q381" s="14">
        <f t="shared" si="190"/>
        <v>-78.733600617731128</v>
      </c>
      <c r="R381" s="14">
        <f t="shared" si="191"/>
        <v>-14.182796342505364</v>
      </c>
      <c r="S381" s="23">
        <f t="shared" si="212"/>
        <v>-257.78389358419304</v>
      </c>
      <c r="T381" s="23">
        <f t="shared" si="213"/>
        <v>-50.515048569837163</v>
      </c>
      <c r="U381" s="14">
        <f t="shared" si="192"/>
        <v>20000</v>
      </c>
      <c r="V381" s="14">
        <f t="shared" si="193"/>
        <v>-89.999993121082781</v>
      </c>
      <c r="W381" s="14">
        <f t="shared" si="194"/>
        <v>-138.41205098360689</v>
      </c>
      <c r="X381" s="14">
        <f t="shared" si="195"/>
        <v>89.986242165824692</v>
      </c>
      <c r="Y381" s="14">
        <f t="shared" si="196"/>
        <v>72.391451320730013</v>
      </c>
      <c r="Z381" s="14">
        <f t="shared" si="197"/>
        <v>-86.976087194033781</v>
      </c>
      <c r="AA381" s="14">
        <f t="shared" si="198"/>
        <v>-25.555100071014785</v>
      </c>
      <c r="AB381" s="23">
        <f t="shared" si="214"/>
        <v>-86.98983814929187</v>
      </c>
      <c r="AC381" s="23">
        <f t="shared" si="215"/>
        <v>-5.5550998206120354</v>
      </c>
      <c r="AD381" s="14">
        <f t="shared" si="199"/>
        <v>86.222080162966648</v>
      </c>
      <c r="AE381" s="14">
        <f t="shared" si="200"/>
        <v>23.623692740868179</v>
      </c>
      <c r="AF381" s="14">
        <f t="shared" si="201"/>
        <v>12.798103223532372</v>
      </c>
      <c r="AG381" s="14">
        <f t="shared" si="202"/>
        <v>0.21851192553253618</v>
      </c>
      <c r="AH381" s="14">
        <f t="shared" si="203"/>
        <v>-83.719600677398702</v>
      </c>
      <c r="AI381" s="14">
        <f t="shared" si="204"/>
        <v>-19.220108171445411</v>
      </c>
      <c r="AJ381" s="23">
        <f t="shared" si="216"/>
        <v>15.300582709100311</v>
      </c>
      <c r="AK381" s="23">
        <f t="shared" si="217"/>
        <v>4.6220964949553043</v>
      </c>
      <c r="AL381" s="14">
        <f t="shared" si="205"/>
        <v>0</v>
      </c>
      <c r="AM381" s="14">
        <f t="shared" si="206"/>
        <v>0</v>
      </c>
      <c r="AN381" s="14">
        <f t="shared" si="207"/>
        <v>0</v>
      </c>
      <c r="AO381" s="14">
        <f t="shared" si="208"/>
        <v>0</v>
      </c>
      <c r="AP381" s="23">
        <f t="shared" si="218"/>
        <v>0</v>
      </c>
      <c r="AQ381" s="23">
        <f t="shared" si="219"/>
        <v>0</v>
      </c>
    </row>
    <row r="382" spans="8:43" x14ac:dyDescent="0.25">
      <c r="H382" s="14">
        <v>4.7900000000000196</v>
      </c>
      <c r="I382" s="36">
        <f t="shared" si="209"/>
        <v>616595.00186151091</v>
      </c>
      <c r="J382" s="24">
        <f t="shared" si="210"/>
        <v>-149.58141291199041</v>
      </c>
      <c r="K382" s="24">
        <f t="shared" si="211"/>
        <v>-51.828569083295676</v>
      </c>
      <c r="L382" s="14">
        <f t="shared" si="185"/>
        <v>0.67018069634200106</v>
      </c>
      <c r="M382" s="14">
        <f t="shared" si="186"/>
        <v>-89.092560797548273</v>
      </c>
      <c r="N382" s="14">
        <f t="shared" si="187"/>
        <v>36.006465026016272</v>
      </c>
      <c r="O382" s="14">
        <f t="shared" si="188"/>
        <v>-89.979346564662606</v>
      </c>
      <c r="P382" s="14">
        <f t="shared" si="189"/>
        <v>-68.862606850592726</v>
      </c>
      <c r="Q382" s="14">
        <f t="shared" si="190"/>
        <v>-78.983711181992092</v>
      </c>
      <c r="R382" s="14">
        <f t="shared" si="191"/>
        <v>-14.375329069194134</v>
      </c>
      <c r="S382" s="23">
        <f t="shared" si="212"/>
        <v>-258.05561854420296</v>
      </c>
      <c r="T382" s="23">
        <f t="shared" si="213"/>
        <v>-50.707632605608438</v>
      </c>
      <c r="U382" s="14">
        <f t="shared" si="192"/>
        <v>20000</v>
      </c>
      <c r="V382" s="14">
        <f t="shared" si="193"/>
        <v>-89.999993277666064</v>
      </c>
      <c r="W382" s="14">
        <f t="shared" si="194"/>
        <v>-138.61205098360688</v>
      </c>
      <c r="X382" s="14">
        <f t="shared" si="195"/>
        <v>89.986555332352523</v>
      </c>
      <c r="Y382" s="14">
        <f t="shared" si="196"/>
        <v>72.591451309460027</v>
      </c>
      <c r="Z382" s="14">
        <f t="shared" si="197"/>
        <v>-87.044796424419275</v>
      </c>
      <c r="AA382" s="14">
        <f t="shared" si="198"/>
        <v>-25.75455608771993</v>
      </c>
      <c r="AB382" s="23">
        <f t="shared" si="214"/>
        <v>-87.058234369732816</v>
      </c>
      <c r="AC382" s="23">
        <f t="shared" si="215"/>
        <v>-5.754555848587156</v>
      </c>
      <c r="AD382" s="14">
        <f t="shared" si="199"/>
        <v>86.307835487866811</v>
      </c>
      <c r="AE382" s="14">
        <f t="shared" si="200"/>
        <v>23.822844065631074</v>
      </c>
      <c r="AF382" s="14">
        <f t="shared" si="201"/>
        <v>13.086060515681512</v>
      </c>
      <c r="AG382" s="14">
        <f t="shared" si="202"/>
        <v>0.22854369933534627</v>
      </c>
      <c r="AH382" s="14">
        <f t="shared" si="203"/>
        <v>-83.861456001602946</v>
      </c>
      <c r="AI382" s="14">
        <f t="shared" si="204"/>
        <v>-19.417768394066496</v>
      </c>
      <c r="AJ382" s="23">
        <f t="shared" si="216"/>
        <v>15.532440001945375</v>
      </c>
      <c r="AK382" s="23">
        <f t="shared" si="217"/>
        <v>4.6336193708999254</v>
      </c>
      <c r="AL382" s="14">
        <f t="shared" si="205"/>
        <v>0</v>
      </c>
      <c r="AM382" s="14">
        <f t="shared" si="206"/>
        <v>0</v>
      </c>
      <c r="AN382" s="14">
        <f t="shared" si="207"/>
        <v>0</v>
      </c>
      <c r="AO382" s="14">
        <f t="shared" si="208"/>
        <v>0</v>
      </c>
      <c r="AP382" s="23">
        <f t="shared" si="218"/>
        <v>0</v>
      </c>
      <c r="AQ382" s="23">
        <f t="shared" si="219"/>
        <v>0</v>
      </c>
    </row>
    <row r="383" spans="8:43" x14ac:dyDescent="0.25">
      <c r="H383" s="14">
        <v>4.8000000000000203</v>
      </c>
      <c r="I383" s="36">
        <f t="shared" si="209"/>
        <v>630957.34448022372</v>
      </c>
      <c r="J383" s="24">
        <f t="shared" si="210"/>
        <v>-149.67512222207048</v>
      </c>
      <c r="K383" s="24">
        <f t="shared" si="211"/>
        <v>-52.209050541158589</v>
      </c>
      <c r="L383" s="14">
        <f t="shared" si="185"/>
        <v>0.67018069634200106</v>
      </c>
      <c r="M383" s="14">
        <f t="shared" si="186"/>
        <v>-89.113213298647366</v>
      </c>
      <c r="N383" s="14">
        <f t="shared" si="187"/>
        <v>36.206416000257953</v>
      </c>
      <c r="O383" s="14">
        <f t="shared" si="188"/>
        <v>-89.979816694208353</v>
      </c>
      <c r="P383" s="14">
        <f t="shared" si="189"/>
        <v>-69.062606825194266</v>
      </c>
      <c r="Q383" s="14">
        <f t="shared" si="190"/>
        <v>-79.228539980809757</v>
      </c>
      <c r="R383" s="14">
        <f t="shared" si="191"/>
        <v>-14.568185873053123</v>
      </c>
      <c r="S383" s="23">
        <f t="shared" si="212"/>
        <v>-258.32156997366548</v>
      </c>
      <c r="T383" s="23">
        <f t="shared" si="213"/>
        <v>-50.900538409827291</v>
      </c>
      <c r="U383" s="14">
        <f t="shared" si="192"/>
        <v>20000</v>
      </c>
      <c r="V383" s="14">
        <f t="shared" si="193"/>
        <v>-89.999993430685066</v>
      </c>
      <c r="W383" s="14">
        <f t="shared" si="194"/>
        <v>-138.81205098360689</v>
      </c>
      <c r="X383" s="14">
        <f t="shared" si="195"/>
        <v>89.986861370340648</v>
      </c>
      <c r="Y383" s="14">
        <f t="shared" si="196"/>
        <v>72.791451298697297</v>
      </c>
      <c r="Z383" s="14">
        <f t="shared" si="197"/>
        <v>-87.111949863178538</v>
      </c>
      <c r="AA383" s="14">
        <f t="shared" si="198"/>
        <v>-25.954036524092146</v>
      </c>
      <c r="AB383" s="23">
        <f t="shared" si="214"/>
        <v>-87.125081923522956</v>
      </c>
      <c r="AC383" s="23">
        <f t="shared" si="215"/>
        <v>-5.9540362957221191</v>
      </c>
      <c r="AD383" s="14">
        <f t="shared" si="199"/>
        <v>86.391654792746394</v>
      </c>
      <c r="AE383" s="14">
        <f t="shared" si="200"/>
        <v>24.022033432227072</v>
      </c>
      <c r="AF383" s="14">
        <f t="shared" si="201"/>
        <v>13.380030223297569</v>
      </c>
      <c r="AG383" s="14">
        <f t="shared" si="202"/>
        <v>0.23902347882687447</v>
      </c>
      <c r="AH383" s="14">
        <f t="shared" si="203"/>
        <v>-84.000155340926028</v>
      </c>
      <c r="AI383" s="14">
        <f t="shared" si="204"/>
        <v>-19.615532746663128</v>
      </c>
      <c r="AJ383" s="23">
        <f t="shared" si="216"/>
        <v>15.771529675117932</v>
      </c>
      <c r="AK383" s="23">
        <f t="shared" si="217"/>
        <v>4.6455241643908174</v>
      </c>
      <c r="AL383" s="14">
        <f t="shared" si="205"/>
        <v>0</v>
      </c>
      <c r="AM383" s="14">
        <f t="shared" si="206"/>
        <v>0</v>
      </c>
      <c r="AN383" s="14">
        <f t="shared" si="207"/>
        <v>0</v>
      </c>
      <c r="AO383" s="14">
        <f t="shared" si="208"/>
        <v>0</v>
      </c>
      <c r="AP383" s="23">
        <f t="shared" si="218"/>
        <v>0</v>
      </c>
      <c r="AQ383" s="23">
        <f t="shared" si="219"/>
        <v>0</v>
      </c>
    </row>
    <row r="384" spans="8:43" x14ac:dyDescent="0.25">
      <c r="H384" s="14">
        <v>4.81000000000002</v>
      </c>
      <c r="I384" s="36">
        <f t="shared" si="209"/>
        <v>645654.22903468553</v>
      </c>
      <c r="J384" s="24">
        <f t="shared" si="210"/>
        <v>-149.75434696677431</v>
      </c>
      <c r="K384" s="24">
        <f t="shared" si="211"/>
        <v>-52.58945997404615</v>
      </c>
      <c r="L384" s="14">
        <f t="shared" si="185"/>
        <v>0.67018069634200106</v>
      </c>
      <c r="M384" s="14">
        <f t="shared" si="186"/>
        <v>-89.133395914113876</v>
      </c>
      <c r="N384" s="14">
        <f t="shared" si="187"/>
        <v>36.406369180505564</v>
      </c>
      <c r="O384" s="14">
        <f t="shared" si="188"/>
        <v>-89.98027612230176</v>
      </c>
      <c r="P384" s="14">
        <f t="shared" si="189"/>
        <v>-69.262606800938897</v>
      </c>
      <c r="Q384" s="14">
        <f t="shared" si="190"/>
        <v>-79.468181045517014</v>
      </c>
      <c r="R384" s="14">
        <f t="shared" si="191"/>
        <v>-14.761353188459495</v>
      </c>
      <c r="S384" s="23">
        <f t="shared" si="212"/>
        <v>-258.58185308193265</v>
      </c>
      <c r="T384" s="23">
        <f t="shared" si="213"/>
        <v>-51.093752520730682</v>
      </c>
      <c r="U384" s="14">
        <f t="shared" si="192"/>
        <v>20000</v>
      </c>
      <c r="V384" s="14">
        <f t="shared" si="193"/>
        <v>-89.999993580220931</v>
      </c>
      <c r="W384" s="14">
        <f t="shared" si="194"/>
        <v>-139.01205098360688</v>
      </c>
      <c r="X384" s="14">
        <f t="shared" si="195"/>
        <v>89.987160442054403</v>
      </c>
      <c r="Y384" s="14">
        <f t="shared" si="196"/>
        <v>72.991451288418943</v>
      </c>
      <c r="Z384" s="14">
        <f t="shared" si="197"/>
        <v>-87.177582377546443</v>
      </c>
      <c r="AA384" s="14">
        <f t="shared" si="198"/>
        <v>-26.153540286648798</v>
      </c>
      <c r="AB384" s="23">
        <f t="shared" si="214"/>
        <v>-87.190415515712971</v>
      </c>
      <c r="AC384" s="23">
        <f t="shared" si="215"/>
        <v>-6.1535400685571133</v>
      </c>
      <c r="AD384" s="14">
        <f t="shared" si="199"/>
        <v>86.473581083818658</v>
      </c>
      <c r="AE384" s="14">
        <f t="shared" si="200"/>
        <v>24.221259142063474</v>
      </c>
      <c r="AF384" s="14">
        <f t="shared" si="201"/>
        <v>13.680106276787862</v>
      </c>
      <c r="AG384" s="14">
        <f t="shared" si="202"/>
        <v>0.249970118280047</v>
      </c>
      <c r="AH384" s="14">
        <f t="shared" si="203"/>
        <v>-84.135765729735212</v>
      </c>
      <c r="AI384" s="14">
        <f t="shared" si="204"/>
        <v>-19.813396645101871</v>
      </c>
      <c r="AJ384" s="23">
        <f t="shared" si="216"/>
        <v>16.017921630871314</v>
      </c>
      <c r="AK384" s="23">
        <f t="shared" si="217"/>
        <v>4.6578326152416487</v>
      </c>
      <c r="AL384" s="14">
        <f t="shared" si="205"/>
        <v>0</v>
      </c>
      <c r="AM384" s="14">
        <f t="shared" si="206"/>
        <v>0</v>
      </c>
      <c r="AN384" s="14">
        <f t="shared" si="207"/>
        <v>0</v>
      </c>
      <c r="AO384" s="14">
        <f t="shared" si="208"/>
        <v>0</v>
      </c>
      <c r="AP384" s="23">
        <f t="shared" si="218"/>
        <v>0</v>
      </c>
      <c r="AQ384" s="23">
        <f t="shared" si="219"/>
        <v>0</v>
      </c>
    </row>
    <row r="385" spans="8:43" x14ac:dyDescent="0.25">
      <c r="H385" s="14">
        <v>4.8200000000000198</v>
      </c>
      <c r="I385" s="36">
        <f t="shared" si="209"/>
        <v>660693.44800762658</v>
      </c>
      <c r="J385" s="24">
        <f t="shared" si="210"/>
        <v>-149.81915602523455</v>
      </c>
      <c r="K385" s="24">
        <f t="shared" si="211"/>
        <v>-52.969761089591223</v>
      </c>
      <c r="L385" s="14">
        <f t="shared" si="185"/>
        <v>0.67018069634200106</v>
      </c>
      <c r="M385" s="14">
        <f t="shared" si="186"/>
        <v>-89.153119324991749</v>
      </c>
      <c r="N385" s="14">
        <f t="shared" si="187"/>
        <v>36.606324467517986</v>
      </c>
      <c r="O385" s="14">
        <f t="shared" si="188"/>
        <v>-89.980725092537412</v>
      </c>
      <c r="P385" s="14">
        <f t="shared" si="189"/>
        <v>-69.462606777775193</v>
      </c>
      <c r="Q385" s="14">
        <f t="shared" si="190"/>
        <v>-79.702727883320208</v>
      </c>
      <c r="R385" s="14">
        <f t="shared" si="191"/>
        <v>-14.954817975078926</v>
      </c>
      <c r="S385" s="23">
        <f t="shared" si="212"/>
        <v>-258.83657230084935</v>
      </c>
      <c r="T385" s="23">
        <f t="shared" si="213"/>
        <v>-51.287261997173985</v>
      </c>
      <c r="U385" s="14">
        <f t="shared" si="192"/>
        <v>20000</v>
      </c>
      <c r="V385" s="14">
        <f t="shared" si="193"/>
        <v>-89.99999372635294</v>
      </c>
      <c r="W385" s="14">
        <f t="shared" si="194"/>
        <v>-139.21205098360687</v>
      </c>
      <c r="X385" s="14">
        <f t="shared" si="195"/>
        <v>89.987452706065483</v>
      </c>
      <c r="Y385" s="14">
        <f t="shared" si="196"/>
        <v>73.191451278603182</v>
      </c>
      <c r="Z385" s="14">
        <f t="shared" si="197"/>
        <v>-87.241728077387165</v>
      </c>
      <c r="AA385" s="14">
        <f t="shared" si="198"/>
        <v>-26.353066330632672</v>
      </c>
      <c r="AB385" s="23">
        <f t="shared" si="214"/>
        <v>-87.254269097674623</v>
      </c>
      <c r="AC385" s="23">
        <f t="shared" si="215"/>
        <v>-6.3530661223567364</v>
      </c>
      <c r="AD385" s="14">
        <f t="shared" si="199"/>
        <v>86.55365645870117</v>
      </c>
      <c r="AE385" s="14">
        <f t="shared" si="200"/>
        <v>24.420519571809546</v>
      </c>
      <c r="AF385" s="14">
        <f t="shared" si="201"/>
        <v>13.98638190423986</v>
      </c>
      <c r="AG385" s="14">
        <f t="shared" si="202"/>
        <v>0.26140316082289738</v>
      </c>
      <c r="AH385" s="14">
        <f t="shared" si="203"/>
        <v>-84.268352989651589</v>
      </c>
      <c r="AI385" s="14">
        <f t="shared" si="204"/>
        <v>-20.011355702692946</v>
      </c>
      <c r="AJ385" s="23">
        <f t="shared" si="216"/>
        <v>16.271685373289444</v>
      </c>
      <c r="AK385" s="23">
        <f t="shared" si="217"/>
        <v>4.6705670299394981</v>
      </c>
      <c r="AL385" s="14">
        <f t="shared" si="205"/>
        <v>0</v>
      </c>
      <c r="AM385" s="14">
        <f t="shared" si="206"/>
        <v>0</v>
      </c>
      <c r="AN385" s="14">
        <f t="shared" si="207"/>
        <v>0</v>
      </c>
      <c r="AO385" s="14">
        <f t="shared" si="208"/>
        <v>0</v>
      </c>
      <c r="AP385" s="23">
        <f t="shared" si="218"/>
        <v>0</v>
      </c>
      <c r="AQ385" s="23">
        <f t="shared" si="219"/>
        <v>0</v>
      </c>
    </row>
    <row r="386" spans="8:43" x14ac:dyDescent="0.25">
      <c r="H386" s="14">
        <v>4.8300000000000196</v>
      </c>
      <c r="I386" s="36">
        <f t="shared" si="209"/>
        <v>676082.97539201309</v>
      </c>
      <c r="J386" s="24">
        <f t="shared" si="210"/>
        <v>-149.86961725124837</v>
      </c>
      <c r="K386" s="24">
        <f t="shared" si="211"/>
        <v>-53.349917558926151</v>
      </c>
      <c r="L386" s="14">
        <f t="shared" si="185"/>
        <v>0.67018069634200106</v>
      </c>
      <c r="M386" s="14">
        <f t="shared" si="186"/>
        <v>-89.172393970185951</v>
      </c>
      <c r="N386" s="14">
        <f t="shared" si="187"/>
        <v>36.806281766516612</v>
      </c>
      <c r="O386" s="14">
        <f t="shared" si="188"/>
        <v>-89.981163842965117</v>
      </c>
      <c r="P386" s="14">
        <f t="shared" si="189"/>
        <v>-69.662606755654053</v>
      </c>
      <c r="Q386" s="14">
        <f t="shared" si="190"/>
        <v>-79.932273394942428</v>
      </c>
      <c r="R386" s="14">
        <f t="shared" si="191"/>
        <v>-15.148567701169384</v>
      </c>
      <c r="S386" s="23">
        <f t="shared" si="212"/>
        <v>-259.08583120809351</v>
      </c>
      <c r="T386" s="23">
        <f t="shared" si="213"/>
        <v>-51.481054402144679</v>
      </c>
      <c r="U386" s="14">
        <f t="shared" si="192"/>
        <v>20000</v>
      </c>
      <c r="V386" s="14">
        <f t="shared" si="193"/>
        <v>-89.999993869158573</v>
      </c>
      <c r="W386" s="14">
        <f t="shared" si="194"/>
        <v>-139.41205098360689</v>
      </c>
      <c r="X386" s="14">
        <f t="shared" si="195"/>
        <v>89.98773831733611</v>
      </c>
      <c r="Y386" s="14">
        <f t="shared" si="196"/>
        <v>73.391451269229222</v>
      </c>
      <c r="Z386" s="14">
        <f t="shared" si="197"/>
        <v>-87.304420330032329</v>
      </c>
      <c r="AA386" s="14">
        <f t="shared" si="198"/>
        <v>-26.552613657861652</v>
      </c>
      <c r="AB386" s="23">
        <f t="shared" si="214"/>
        <v>-87.316675881854792</v>
      </c>
      <c r="AC386" s="23">
        <f t="shared" si="215"/>
        <v>-6.5526134589596943</v>
      </c>
      <c r="AD386" s="14">
        <f t="shared" si="199"/>
        <v>86.631922122467998</v>
      </c>
      <c r="AE386" s="14">
        <f t="shared" si="200"/>
        <v>24.619813170112632</v>
      </c>
      <c r="AF386" s="14">
        <f t="shared" si="201"/>
        <v>14.298949453293146</v>
      </c>
      <c r="AG386" s="14">
        <f t="shared" si="202"/>
        <v>0.2733428541322736</v>
      </c>
      <c r="AH386" s="14">
        <f t="shared" si="203"/>
        <v>-84.39798173706123</v>
      </c>
      <c r="AI386" s="14">
        <f t="shared" si="204"/>
        <v>-20.209405722066677</v>
      </c>
      <c r="AJ386" s="23">
        <f t="shared" si="216"/>
        <v>16.532889838699916</v>
      </c>
      <c r="AK386" s="23">
        <f t="shared" si="217"/>
        <v>4.683750302178229</v>
      </c>
      <c r="AL386" s="14">
        <f t="shared" si="205"/>
        <v>0</v>
      </c>
      <c r="AM386" s="14">
        <f t="shared" si="206"/>
        <v>0</v>
      </c>
      <c r="AN386" s="14">
        <f t="shared" si="207"/>
        <v>0</v>
      </c>
      <c r="AO386" s="14">
        <f t="shared" si="208"/>
        <v>0</v>
      </c>
      <c r="AP386" s="23">
        <f t="shared" si="218"/>
        <v>0</v>
      </c>
      <c r="AQ386" s="23">
        <f t="shared" si="219"/>
        <v>0</v>
      </c>
    </row>
    <row r="387" spans="8:43" x14ac:dyDescent="0.25">
      <c r="H387" s="14">
        <v>4.8400000000000203</v>
      </c>
      <c r="I387" s="36">
        <f t="shared" si="209"/>
        <v>691830.97091896972</v>
      </c>
      <c r="J387" s="24">
        <f t="shared" si="210"/>
        <v>-149.90579759961213</v>
      </c>
      <c r="K387" s="24">
        <f t="shared" si="211"/>
        <v>-53.729892978514414</v>
      </c>
      <c r="L387" s="14">
        <f t="shared" ref="L387:L450" si="220">A_PS</f>
        <v>0.67018069634200106</v>
      </c>
      <c r="M387" s="14">
        <f t="shared" ref="M387:M450" si="221">-180/PI()*ATAN($I387/z_RHP/1000)</f>
        <v>-89.191230051908136</v>
      </c>
      <c r="N387" s="14">
        <f t="shared" ref="N387:N450" si="222">20*LOG(SQRT(($I387/z_RHP/1000)^2+1))</f>
        <v>37.00624098698497</v>
      </c>
      <c r="O387" s="14">
        <f t="shared" ref="O387:O450" si="223">-180/PI()*ATAN($I387/p_small)</f>
        <v>-89.981592606215884</v>
      </c>
      <c r="P387" s="14">
        <f t="shared" ref="P387:P450" si="224">-20*LOG(SQRT(($I387/p_small)^2+1))</f>
        <v>-69.862606734528541</v>
      </c>
      <c r="Q387" s="14">
        <f t="shared" ref="Q387:Q450" si="225">-180/PI()*ATAN($I387/p_large/1000)</f>
        <v>-80.15690979906806</v>
      </c>
      <c r="R387" s="14">
        <f t="shared" ref="R387:R450" si="226">-20*LOG(SQRT(($I387/p_large/1000)^2+1))</f>
        <v>-15.34259032709323</v>
      </c>
      <c r="S387" s="23">
        <f t="shared" si="212"/>
        <v>-259.32973245719205</v>
      </c>
      <c r="T387" s="23">
        <f t="shared" si="213"/>
        <v>-51.675117786474658</v>
      </c>
      <c r="U387" s="14">
        <f t="shared" ref="U387:U450" si="227">A_EA</f>
        <v>20000</v>
      </c>
      <c r="V387" s="14">
        <f t="shared" ref="V387:V450" si="228">-180/PI()*ATAN($I387/p_EA)</f>
        <v>-89.999994008713557</v>
      </c>
      <c r="W387" s="14">
        <f t="shared" ref="W387:W450" si="229">-20*LOG(SQRT(($I387/p_EA)^2+1))</f>
        <v>-139.61205098360691</v>
      </c>
      <c r="X387" s="14">
        <f t="shared" ref="X387:X450" si="230">180/PI()*ATAN($I387/z_comp)</f>
        <v>89.98801742730106</v>
      </c>
      <c r="Y387" s="14">
        <f t="shared" ref="Y387:Y450" si="231">20*LOG(SQRT(($I387/z_comp)^2+1))</f>
        <v>73.591451260277168</v>
      </c>
      <c r="Z387" s="14">
        <f t="shared" ref="Z387:Z450" si="232">IF(p_comp="",0,-180/PI()*ATAN($I387/p_comp/1000))</f>
        <v>-87.365691774939648</v>
      </c>
      <c r="AA387" s="14">
        <f t="shared" ref="AA387:AA450" si="233">IF(p_comp="",0,-20*LOG(SQRT(($I387/p_comp/1000)^2+1)))</f>
        <v>-26.752181314671695</v>
      </c>
      <c r="AB387" s="23">
        <f t="shared" si="214"/>
        <v>-87.377668356352146</v>
      </c>
      <c r="AC387" s="23">
        <f t="shared" si="215"/>
        <v>-6.7521811247218082</v>
      </c>
      <c r="AD387" s="14">
        <f t="shared" ref="AD387:AD450" si="234">IF(z_esr_1="",0,180/PI()*ATAN($I387/z_esr_1/1000))</f>
        <v>86.708418403638532</v>
      </c>
      <c r="AE387" s="14">
        <f t="shared" ref="AE387:AE450" si="235">IF(z_esr_1="",0,20*LOG(SQRT(($I387/z_esr_1/1000)^2+1)))</f>
        <v>24.819138454453288</v>
      </c>
      <c r="AF387" s="14">
        <f t="shared" ref="AF387:AF450" si="236">180/PI()*ATAN($I387/z_esr_2/1000)</f>
        <v>14.617900202004453</v>
      </c>
      <c r="AG387" s="14">
        <f t="shared" ref="AG387:AG450" si="237">20*LOG(SQRT(($I387/z_esr_2/1000)^2+1))</f>
        <v>0.28581016557971917</v>
      </c>
      <c r="AH387" s="14">
        <f t="shared" ref="AH387:AH450" si="238">IF(p_esr="",0,-180/PI()*ATAN($I387/p_esr/1000))</f>
        <v>-84.524715391710899</v>
      </c>
      <c r="AI387" s="14">
        <f t="shared" ref="AI387:AI450" si="239">IF(p_esr="",0,-20*LOG(SQRT(($I387/p_esr/1000)^2+1)))</f>
        <v>-20.407542687350958</v>
      </c>
      <c r="AJ387" s="23">
        <f t="shared" si="216"/>
        <v>16.801603213932083</v>
      </c>
      <c r="AK387" s="23">
        <f t="shared" si="217"/>
        <v>4.6974059326820488</v>
      </c>
      <c r="AL387" s="14">
        <f t="shared" ref="AL387:AL450" si="240">IF(z_ff="",0,180/PI()*ATAN($I387/z_ff/1000))</f>
        <v>0</v>
      </c>
      <c r="AM387" s="14">
        <f t="shared" ref="AM387:AM450" si="241">IF(z_ff="",0,20*LOG(SQRT(($I387/z_ff/1000)^2+1)))</f>
        <v>0</v>
      </c>
      <c r="AN387" s="14">
        <f t="shared" ref="AN387:AN450" si="242">IF(p_ff="",0,-180/PI()*ATAN($I387/p_ff/1000))</f>
        <v>0</v>
      </c>
      <c r="AO387" s="14">
        <f t="shared" ref="AO387:AO450" si="243">IF(p_ff="",0,-20*LOG(SQRT(($I387/p_ff/1000)^2+1)))</f>
        <v>0</v>
      </c>
      <c r="AP387" s="23">
        <f t="shared" si="218"/>
        <v>0</v>
      </c>
      <c r="AQ387" s="23">
        <f t="shared" si="219"/>
        <v>0</v>
      </c>
    </row>
    <row r="388" spans="8:43" x14ac:dyDescent="0.25">
      <c r="H388" s="14">
        <v>4.8500000000000201</v>
      </c>
      <c r="I388" s="36">
        <f t="shared" ref="I388:I451" si="244">10*10^H388</f>
        <v>707945.78438417171</v>
      </c>
      <c r="J388" s="24">
        <f t="shared" si="210"/>
        <v>-149.9277632709649</v>
      </c>
      <c r="K388" s="24">
        <f t="shared" si="211"/>
        <v>-54.109650833116447</v>
      </c>
      <c r="L388" s="14">
        <f t="shared" si="220"/>
        <v>0.67018069634200106</v>
      </c>
      <c r="M388" s="14">
        <f t="shared" si="221"/>
        <v>-89.209637541002749</v>
      </c>
      <c r="N388" s="14">
        <f t="shared" si="222"/>
        <v>37.206202042477116</v>
      </c>
      <c r="O388" s="14">
        <f t="shared" si="223"/>
        <v>-89.982011609625516</v>
      </c>
      <c r="P388" s="14">
        <f t="shared" si="224"/>
        <v>-70.062606714353805</v>
      </c>
      <c r="Q388" s="14">
        <f t="shared" si="225"/>
        <v>-80.376728563237663</v>
      </c>
      <c r="R388" s="14">
        <f t="shared" si="226"/>
        <v>-15.536874289067592</v>
      </c>
      <c r="S388" s="23">
        <f t="shared" si="212"/>
        <v>-259.56837771386597</v>
      </c>
      <c r="T388" s="23">
        <f t="shared" si="213"/>
        <v>-51.869440672782133</v>
      </c>
      <c r="U388" s="14">
        <f t="shared" si="227"/>
        <v>20000</v>
      </c>
      <c r="V388" s="14">
        <f t="shared" si="228"/>
        <v>-89.99999414509189</v>
      </c>
      <c r="W388" s="14">
        <f t="shared" si="229"/>
        <v>-139.81205098360689</v>
      </c>
      <c r="X388" s="14">
        <f t="shared" si="230"/>
        <v>89.988290183948095</v>
      </c>
      <c r="Y388" s="14">
        <f t="shared" si="231"/>
        <v>73.791451251728006</v>
      </c>
      <c r="Z388" s="14">
        <f t="shared" si="232"/>
        <v>-87.425574338165262</v>
      </c>
      <c r="AA388" s="14">
        <f t="shared" si="233"/>
        <v>-26.951768389948807</v>
      </c>
      <c r="AB388" s="23">
        <f t="shared" si="214"/>
        <v>-87.437278299309057</v>
      </c>
      <c r="AC388" s="23">
        <f t="shared" si="215"/>
        <v>-6.9517682085480708</v>
      </c>
      <c r="AD388" s="14">
        <f t="shared" si="234"/>
        <v>86.783184770084986</v>
      </c>
      <c r="AE388" s="14">
        <f t="shared" si="235"/>
        <v>25.018494008133572</v>
      </c>
      <c r="AF388" s="14">
        <f t="shared" si="236"/>
        <v>14.943324158414066</v>
      </c>
      <c r="AG388" s="14">
        <f t="shared" si="237"/>
        <v>0.29882679672134366</v>
      </c>
      <c r="AH388" s="14">
        <f t="shared" si="238"/>
        <v>-84.648616186288919</v>
      </c>
      <c r="AI388" s="14">
        <f t="shared" si="239"/>
        <v>-20.605762756641152</v>
      </c>
      <c r="AJ388" s="23">
        <f t="shared" si="216"/>
        <v>17.077892742210139</v>
      </c>
      <c r="AK388" s="23">
        <f t="shared" si="217"/>
        <v>4.7115580482137638</v>
      </c>
      <c r="AL388" s="14">
        <f t="shared" si="240"/>
        <v>0</v>
      </c>
      <c r="AM388" s="14">
        <f t="shared" si="241"/>
        <v>0</v>
      </c>
      <c r="AN388" s="14">
        <f t="shared" si="242"/>
        <v>0</v>
      </c>
      <c r="AO388" s="14">
        <f t="shared" si="243"/>
        <v>0</v>
      </c>
      <c r="AP388" s="23">
        <f t="shared" si="218"/>
        <v>0</v>
      </c>
      <c r="AQ388" s="23">
        <f t="shared" si="219"/>
        <v>0</v>
      </c>
    </row>
    <row r="389" spans="8:43" x14ac:dyDescent="0.25">
      <c r="H389" s="14">
        <v>4.8600000000000199</v>
      </c>
      <c r="I389" s="36">
        <f t="shared" si="244"/>
        <v>724435.96007502335</v>
      </c>
      <c r="J389" s="24">
        <f t="shared" si="210"/>
        <v>-149.93557987498127</v>
      </c>
      <c r="K389" s="24">
        <f t="shared" si="211"/>
        <v>-54.489154460025986</v>
      </c>
      <c r="L389" s="14">
        <f t="shared" si="220"/>
        <v>0.67018069634200106</v>
      </c>
      <c r="M389" s="14">
        <f t="shared" si="221"/>
        <v>-89.227626182155944</v>
      </c>
      <c r="N389" s="14">
        <f t="shared" si="222"/>
        <v>37.406164850434834</v>
      </c>
      <c r="O389" s="14">
        <f t="shared" si="223"/>
        <v>-89.982421075354978</v>
      </c>
      <c r="P389" s="14">
        <f t="shared" si="224"/>
        <v>-70.262606695087072</v>
      </c>
      <c r="Q389" s="14">
        <f t="shared" si="225"/>
        <v>-80.591820340851626</v>
      </c>
      <c r="R389" s="14">
        <f t="shared" si="226"/>
        <v>-15.731408483179795</v>
      </c>
      <c r="S389" s="23">
        <f t="shared" si="212"/>
        <v>-259.80186759836255</v>
      </c>
      <c r="T389" s="23">
        <f t="shared" si="213"/>
        <v>-52.06401203966989</v>
      </c>
      <c r="U389" s="14">
        <f t="shared" si="227"/>
        <v>20000</v>
      </c>
      <c r="V389" s="14">
        <f t="shared" si="228"/>
        <v>-89.999994278365875</v>
      </c>
      <c r="W389" s="14">
        <f t="shared" si="229"/>
        <v>-140.01205098360688</v>
      </c>
      <c r="X389" s="14">
        <f t="shared" si="230"/>
        <v>89.988556731896352</v>
      </c>
      <c r="Y389" s="14">
        <f t="shared" si="231"/>
        <v>73.991451243563617</v>
      </c>
      <c r="Z389" s="14">
        <f t="shared" si="232"/>
        <v>-87.484099246644959</v>
      </c>
      <c r="AA389" s="14">
        <f t="shared" si="233"/>
        <v>-27.151374013246578</v>
      </c>
      <c r="AB389" s="23">
        <f t="shared" si="214"/>
        <v>-87.495536793114482</v>
      </c>
      <c r="AC389" s="23">
        <f t="shared" si="215"/>
        <v>-7.1513738400102191</v>
      </c>
      <c r="AD389" s="14">
        <f t="shared" si="234"/>
        <v>86.856259844842171</v>
      </c>
      <c r="AE389" s="14">
        <f t="shared" si="235"/>
        <v>25.21787847739354</v>
      </c>
      <c r="AF389" s="14">
        <f t="shared" si="236"/>
        <v>15.27530984855151</v>
      </c>
      <c r="AG389" s="14">
        <f t="shared" si="237"/>
        <v>0.31241519701524373</v>
      </c>
      <c r="AH389" s="14">
        <f t="shared" si="238"/>
        <v>-84.769745176897956</v>
      </c>
      <c r="AI389" s="14">
        <f t="shared" si="239"/>
        <v>-20.804062254754658</v>
      </c>
      <c r="AJ389" s="23">
        <f t="shared" si="216"/>
        <v>17.36182451649573</v>
      </c>
      <c r="AK389" s="23">
        <f t="shared" si="217"/>
        <v>4.7262314196541269</v>
      </c>
      <c r="AL389" s="14">
        <f t="shared" si="240"/>
        <v>0</v>
      </c>
      <c r="AM389" s="14">
        <f t="shared" si="241"/>
        <v>0</v>
      </c>
      <c r="AN389" s="14">
        <f t="shared" si="242"/>
        <v>0</v>
      </c>
      <c r="AO389" s="14">
        <f t="shared" si="243"/>
        <v>0</v>
      </c>
      <c r="AP389" s="23">
        <f t="shared" si="218"/>
        <v>0</v>
      </c>
      <c r="AQ389" s="23">
        <f t="shared" si="219"/>
        <v>0</v>
      </c>
    </row>
    <row r="390" spans="8:43" x14ac:dyDescent="0.25">
      <c r="H390" s="14">
        <v>4.8700000000000196</v>
      </c>
      <c r="I390" s="36">
        <f t="shared" si="244"/>
        <v>741310.24130095146</v>
      </c>
      <c r="J390" s="24">
        <f t="shared" si="210"/>
        <v>-149.92931261173618</v>
      </c>
      <c r="K390" s="24">
        <f t="shared" si="211"/>
        <v>-54.868367014718068</v>
      </c>
      <c r="L390" s="14">
        <f t="shared" si="220"/>
        <v>0.67018069634200106</v>
      </c>
      <c r="M390" s="14">
        <f t="shared" si="221"/>
        <v>-89.245205498989918</v>
      </c>
      <c r="N390" s="14">
        <f t="shared" si="222"/>
        <v>37.606129332012877</v>
      </c>
      <c r="O390" s="14">
        <f t="shared" si="223"/>
        <v>-89.982821220508242</v>
      </c>
      <c r="P390" s="14">
        <f t="shared" si="224"/>
        <v>-70.4626066766875</v>
      </c>
      <c r="Q390" s="14">
        <f t="shared" si="225"/>
        <v>-80.802274913949987</v>
      </c>
      <c r="R390" s="14">
        <f t="shared" si="226"/>
        <v>-15.926182249690292</v>
      </c>
      <c r="S390" s="23">
        <f t="shared" si="212"/>
        <v>-260.03030163344818</v>
      </c>
      <c r="T390" s="23">
        <f t="shared" si="213"/>
        <v>-52.258821306202769</v>
      </c>
      <c r="U390" s="14">
        <f t="shared" si="227"/>
        <v>20000</v>
      </c>
      <c r="V390" s="14">
        <f t="shared" si="228"/>
        <v>-89.99999440860617</v>
      </c>
      <c r="W390" s="14">
        <f t="shared" si="229"/>
        <v>-140.21205098360687</v>
      </c>
      <c r="X390" s="14">
        <f t="shared" si="230"/>
        <v>89.988817212473052</v>
      </c>
      <c r="Y390" s="14">
        <f t="shared" si="231"/>
        <v>74.191451235766692</v>
      </c>
      <c r="Z390" s="14">
        <f t="shared" si="232"/>
        <v>-87.541297042279083</v>
      </c>
      <c r="AA390" s="14">
        <f t="shared" si="233"/>
        <v>-27.350997352985619</v>
      </c>
      <c r="AB390" s="23">
        <f t="shared" si="214"/>
        <v>-87.552474238412202</v>
      </c>
      <c r="AC390" s="23">
        <f t="shared" si="215"/>
        <v>-7.3509971875461737</v>
      </c>
      <c r="AD390" s="14">
        <f t="shared" si="234"/>
        <v>86.927681421804678</v>
      </c>
      <c r="AE390" s="14">
        <f t="shared" si="235"/>
        <v>25.417290568650557</v>
      </c>
      <c r="AF390" s="14">
        <f t="shared" si="236"/>
        <v>15.613944092652073</v>
      </c>
      <c r="AG390" s="14">
        <f t="shared" si="237"/>
        <v>0.32659857664186409</v>
      </c>
      <c r="AH390" s="14">
        <f t="shared" si="238"/>
        <v>-84.88816225433257</v>
      </c>
      <c r="AI390" s="14">
        <f t="shared" si="239"/>
        <v>-21.002437666261542</v>
      </c>
      <c r="AJ390" s="23">
        <f t="shared" si="216"/>
        <v>17.653463260124184</v>
      </c>
      <c r="AK390" s="23">
        <f t="shared" si="217"/>
        <v>4.7414514790308786</v>
      </c>
      <c r="AL390" s="14">
        <f t="shared" si="240"/>
        <v>0</v>
      </c>
      <c r="AM390" s="14">
        <f t="shared" si="241"/>
        <v>0</v>
      </c>
      <c r="AN390" s="14">
        <f t="shared" si="242"/>
        <v>0</v>
      </c>
      <c r="AO390" s="14">
        <f t="shared" si="243"/>
        <v>0</v>
      </c>
      <c r="AP390" s="23">
        <f t="shared" si="218"/>
        <v>0</v>
      </c>
      <c r="AQ390" s="23">
        <f t="shared" si="219"/>
        <v>0</v>
      </c>
    </row>
    <row r="391" spans="8:43" x14ac:dyDescent="0.25">
      <c r="H391" s="14">
        <v>4.8800000000000203</v>
      </c>
      <c r="I391" s="36">
        <f t="shared" si="244"/>
        <v>758577.57502921985</v>
      </c>
      <c r="J391" s="24">
        <f t="shared" si="210"/>
        <v>-149.90902647103547</v>
      </c>
      <c r="K391" s="24">
        <f t="shared" si="211"/>
        <v>-55.247251438054803</v>
      </c>
      <c r="L391" s="14">
        <f t="shared" si="220"/>
        <v>0.67018069634200106</v>
      </c>
      <c r="M391" s="14">
        <f t="shared" si="221"/>
        <v>-89.262384799044668</v>
      </c>
      <c r="N391" s="14">
        <f t="shared" si="222"/>
        <v>37.806095411912096</v>
      </c>
      <c r="O391" s="14">
        <f t="shared" si="223"/>
        <v>-89.98321225724743</v>
      </c>
      <c r="P391" s="14">
        <f t="shared" si="224"/>
        <v>-70.662606659116065</v>
      </c>
      <c r="Q391" s="14">
        <f t="shared" si="225"/>
        <v>-81.008181141446315</v>
      </c>
      <c r="R391" s="14">
        <f t="shared" si="226"/>
        <v>-16.121185357642752</v>
      </c>
      <c r="S391" s="23">
        <f t="shared" si="212"/>
        <v>-260.25377819773843</v>
      </c>
      <c r="T391" s="23">
        <f t="shared" si="213"/>
        <v>-52.453858316684574</v>
      </c>
      <c r="U391" s="14">
        <f t="shared" si="227"/>
        <v>20000</v>
      </c>
      <c r="V391" s="14">
        <f t="shared" si="228"/>
        <v>-89.999994535881825</v>
      </c>
      <c r="W391" s="14">
        <f t="shared" si="229"/>
        <v>-140.41205098360689</v>
      </c>
      <c r="X391" s="14">
        <f t="shared" si="230"/>
        <v>89.989071763788388</v>
      </c>
      <c r="Y391" s="14">
        <f t="shared" si="231"/>
        <v>74.391451228320705</v>
      </c>
      <c r="Z391" s="14">
        <f t="shared" si="232"/>
        <v>-87.597197595817633</v>
      </c>
      <c r="AA391" s="14">
        <f t="shared" si="233"/>
        <v>-27.550637614731279</v>
      </c>
      <c r="AB391" s="23">
        <f t="shared" si="214"/>
        <v>-87.60812036791107</v>
      </c>
      <c r="AC391" s="23">
        <f t="shared" si="215"/>
        <v>-7.5506374567378387</v>
      </c>
      <c r="AD391" s="14">
        <f t="shared" si="234"/>
        <v>86.997486481298296</v>
      </c>
      <c r="AE391" s="14">
        <f t="shared" si="235"/>
        <v>25.616729045856545</v>
      </c>
      <c r="AF391" s="14">
        <f t="shared" si="236"/>
        <v>15.959311769395772</v>
      </c>
      <c r="AG391" s="14">
        <f t="shared" si="237"/>
        <v>0.34140091829420194</v>
      </c>
      <c r="AH391" s="14">
        <f t="shared" si="238"/>
        <v>-85.003926156080055</v>
      </c>
      <c r="AI391" s="14">
        <f t="shared" si="239"/>
        <v>-21.200885628783141</v>
      </c>
      <c r="AJ391" s="23">
        <f t="shared" si="216"/>
        <v>17.952872094614008</v>
      </c>
      <c r="AK391" s="23">
        <f t="shared" si="217"/>
        <v>4.7572443353676057</v>
      </c>
      <c r="AL391" s="14">
        <f t="shared" si="240"/>
        <v>0</v>
      </c>
      <c r="AM391" s="14">
        <f t="shared" si="241"/>
        <v>0</v>
      </c>
      <c r="AN391" s="14">
        <f t="shared" si="242"/>
        <v>0</v>
      </c>
      <c r="AO391" s="14">
        <f t="shared" si="243"/>
        <v>0</v>
      </c>
      <c r="AP391" s="23">
        <f t="shared" si="218"/>
        <v>0</v>
      </c>
      <c r="AQ391" s="23">
        <f t="shared" si="219"/>
        <v>0</v>
      </c>
    </row>
    <row r="392" spans="8:43" x14ac:dyDescent="0.25">
      <c r="H392" s="14">
        <v>4.8900000000000201</v>
      </c>
      <c r="I392" s="36">
        <f t="shared" si="244"/>
        <v>776247.11662872857</v>
      </c>
      <c r="J392" s="24">
        <f t="shared" si="210"/>
        <v>-149.87478644948101</v>
      </c>
      <c r="K392" s="24">
        <f t="shared" si="211"/>
        <v>-55.625770425200649</v>
      </c>
      <c r="L392" s="14">
        <f t="shared" si="220"/>
        <v>0.67018069634200106</v>
      </c>
      <c r="M392" s="14">
        <f t="shared" si="221"/>
        <v>-89.279173178649842</v>
      </c>
      <c r="N392" s="14">
        <f t="shared" si="222"/>
        <v>38.006063018219997</v>
      </c>
      <c r="O392" s="14">
        <f t="shared" si="223"/>
        <v>-89.983594392905218</v>
      </c>
      <c r="P392" s="14">
        <f t="shared" si="224"/>
        <v>-70.86260664233545</v>
      </c>
      <c r="Q392" s="14">
        <f t="shared" si="225"/>
        <v>-81.20962691250422</v>
      </c>
      <c r="R392" s="14">
        <f t="shared" si="226"/>
        <v>-16.316407989797643</v>
      </c>
      <c r="S392" s="23">
        <f t="shared" si="212"/>
        <v>-260.47239448405929</v>
      </c>
      <c r="T392" s="23">
        <f t="shared" si="213"/>
        <v>-52.649113325750946</v>
      </c>
      <c r="U392" s="14">
        <f t="shared" si="227"/>
        <v>20000</v>
      </c>
      <c r="V392" s="14">
        <f t="shared" si="228"/>
        <v>-89.999994660260342</v>
      </c>
      <c r="W392" s="14">
        <f t="shared" si="229"/>
        <v>-140.61205098360688</v>
      </c>
      <c r="X392" s="14">
        <f t="shared" si="230"/>
        <v>89.989320520808789</v>
      </c>
      <c r="Y392" s="14">
        <f t="shared" si="231"/>
        <v>74.591451221209837</v>
      </c>
      <c r="Z392" s="14">
        <f t="shared" si="232"/>
        <v>-87.651830120541888</v>
      </c>
      <c r="AA392" s="14">
        <f t="shared" si="233"/>
        <v>-27.750294039546624</v>
      </c>
      <c r="AB392" s="23">
        <f t="shared" si="214"/>
        <v>-87.66250425999344</v>
      </c>
      <c r="AC392" s="23">
        <f t="shared" si="215"/>
        <v>-7.7502938886640393</v>
      </c>
      <c r="AD392" s="14">
        <f t="shared" si="234"/>
        <v>87.065711205513182</v>
      </c>
      <c r="AE392" s="14">
        <f t="shared" si="235"/>
        <v>25.816192727968478</v>
      </c>
      <c r="AF392" s="14">
        <f t="shared" si="236"/>
        <v>16.311495568027112</v>
      </c>
      <c r="AG392" s="14">
        <f t="shared" si="237"/>
        <v>0.35684698779632174</v>
      </c>
      <c r="AH392" s="14">
        <f t="shared" si="238"/>
        <v>-85.117094478968554</v>
      </c>
      <c r="AI392" s="14">
        <f t="shared" si="239"/>
        <v>-21.399402926550462</v>
      </c>
      <c r="AJ392" s="23">
        <f t="shared" si="216"/>
        <v>18.260112294571741</v>
      </c>
      <c r="AK392" s="23">
        <f t="shared" si="217"/>
        <v>4.7736367892143363</v>
      </c>
      <c r="AL392" s="14">
        <f t="shared" si="240"/>
        <v>0</v>
      </c>
      <c r="AM392" s="14">
        <f t="shared" si="241"/>
        <v>0</v>
      </c>
      <c r="AN392" s="14">
        <f t="shared" si="242"/>
        <v>0</v>
      </c>
      <c r="AO392" s="14">
        <f t="shared" si="243"/>
        <v>0</v>
      </c>
      <c r="AP392" s="23">
        <f t="shared" si="218"/>
        <v>0</v>
      </c>
      <c r="AQ392" s="23">
        <f t="shared" si="219"/>
        <v>0</v>
      </c>
    </row>
    <row r="393" spans="8:43" x14ac:dyDescent="0.25">
      <c r="H393" s="14">
        <v>4.9000000000000199</v>
      </c>
      <c r="I393" s="36">
        <f t="shared" si="244"/>
        <v>794328.23472431907</v>
      </c>
      <c r="J393" s="24">
        <f t="shared" si="210"/>
        <v>-149.82665778499529</v>
      </c>
      <c r="K393" s="24">
        <f t="shared" si="211"/>
        <v>-56.003886396404468</v>
      </c>
      <c r="L393" s="14">
        <f t="shared" si="220"/>
        <v>0.67018069634200106</v>
      </c>
      <c r="M393" s="14">
        <f t="shared" si="221"/>
        <v>-89.295579527688815</v>
      </c>
      <c r="N393" s="14">
        <f t="shared" si="222"/>
        <v>38.206032082258645</v>
      </c>
      <c r="O393" s="14">
        <f t="shared" si="223"/>
        <v>-89.983967830094883</v>
      </c>
      <c r="P393" s="14">
        <f t="shared" si="224"/>
        <v>-71.0626066263101</v>
      </c>
      <c r="Q393" s="14">
        <f t="shared" si="225"/>
        <v>-81.406699104756143</v>
      </c>
      <c r="R393" s="14">
        <f t="shared" si="226"/>
        <v>-16.511840727903074</v>
      </c>
      <c r="S393" s="23">
        <f t="shared" si="212"/>
        <v>-260.68624646253988</v>
      </c>
      <c r="T393" s="23">
        <f t="shared" si="213"/>
        <v>-52.844576983792379</v>
      </c>
      <c r="U393" s="14">
        <f t="shared" si="227"/>
        <v>20000</v>
      </c>
      <c r="V393" s="14">
        <f t="shared" si="228"/>
        <v>-89.999994781807658</v>
      </c>
      <c r="W393" s="14">
        <f t="shared" si="229"/>
        <v>-140.81205098360687</v>
      </c>
      <c r="X393" s="14">
        <f t="shared" si="230"/>
        <v>89.98956361542848</v>
      </c>
      <c r="Y393" s="14">
        <f t="shared" si="231"/>
        <v>74.791451214418998</v>
      </c>
      <c r="Z393" s="14">
        <f t="shared" si="232"/>
        <v>-87.705223185739953</v>
      </c>
      <c r="AA393" s="14">
        <f t="shared" si="233"/>
        <v>-27.949965902417443</v>
      </c>
      <c r="AB393" s="23">
        <f t="shared" si="214"/>
        <v>-87.715654352119131</v>
      </c>
      <c r="AC393" s="23">
        <f t="shared" si="215"/>
        <v>-7.9499657583256855</v>
      </c>
      <c r="AD393" s="14">
        <f t="shared" si="234"/>
        <v>87.132390993788405</v>
      </c>
      <c r="AE393" s="14">
        <f t="shared" si="235"/>
        <v>26.015680486527614</v>
      </c>
      <c r="AF393" s="14">
        <f t="shared" si="236"/>
        <v>16.670575728266829</v>
      </c>
      <c r="AG393" s="14">
        <f t="shared" si="237"/>
        <v>0.37296234340029072</v>
      </c>
      <c r="AH393" s="14">
        <f t="shared" si="238"/>
        <v>-85.227723692391478</v>
      </c>
      <c r="AI393" s="14">
        <f t="shared" si="239"/>
        <v>-21.597986484214307</v>
      </c>
      <c r="AJ393" s="23">
        <f t="shared" si="216"/>
        <v>18.575243029663753</v>
      </c>
      <c r="AK393" s="23">
        <f t="shared" si="217"/>
        <v>4.7906563457136002</v>
      </c>
      <c r="AL393" s="14">
        <f t="shared" si="240"/>
        <v>0</v>
      </c>
      <c r="AM393" s="14">
        <f t="shared" si="241"/>
        <v>0</v>
      </c>
      <c r="AN393" s="14">
        <f t="shared" si="242"/>
        <v>0</v>
      </c>
      <c r="AO393" s="14">
        <f t="shared" si="243"/>
        <v>0</v>
      </c>
      <c r="AP393" s="23">
        <f t="shared" si="218"/>
        <v>0</v>
      </c>
      <c r="AQ393" s="23">
        <f t="shared" si="219"/>
        <v>0</v>
      </c>
    </row>
    <row r="394" spans="8:43" x14ac:dyDescent="0.25">
      <c r="H394" s="14">
        <v>4.9100000000000197</v>
      </c>
      <c r="I394" s="36">
        <f t="shared" si="244"/>
        <v>812830.51616413763</v>
      </c>
      <c r="J394" s="24">
        <f t="shared" si="210"/>
        <v>-149.76470620849091</v>
      </c>
      <c r="K394" s="24">
        <f t="shared" si="211"/>
        <v>-56.381561469810379</v>
      </c>
      <c r="L394" s="14">
        <f t="shared" si="220"/>
        <v>0.67018069634200106</v>
      </c>
      <c r="M394" s="14">
        <f t="shared" si="221"/>
        <v>-89.311612534257165</v>
      </c>
      <c r="N394" s="14">
        <f t="shared" si="222"/>
        <v>38.406002538439211</v>
      </c>
      <c r="O394" s="14">
        <f t="shared" si="223"/>
        <v>-89.98433276681763</v>
      </c>
      <c r="P394" s="14">
        <f t="shared" si="224"/>
        <v>-71.262606611005992</v>
      </c>
      <c r="Q394" s="14">
        <f t="shared" si="225"/>
        <v>-81.599483547075138</v>
      </c>
      <c r="R394" s="14">
        <f t="shared" si="226"/>
        <v>-16.707474538313527</v>
      </c>
      <c r="S394" s="23">
        <f t="shared" si="212"/>
        <v>-260.89542884814995</v>
      </c>
      <c r="T394" s="23">
        <f t="shared" si="213"/>
        <v>-53.040240322718162</v>
      </c>
      <c r="U394" s="14">
        <f t="shared" si="227"/>
        <v>20000</v>
      </c>
      <c r="V394" s="14">
        <f t="shared" si="228"/>
        <v>-89.99999490058822</v>
      </c>
      <c r="W394" s="14">
        <f t="shared" si="229"/>
        <v>-141.01205098360685</v>
      </c>
      <c r="X394" s="14">
        <f t="shared" si="230"/>
        <v>89.98980117653943</v>
      </c>
      <c r="Y394" s="14">
        <f t="shared" si="231"/>
        <v>74.991451207933792</v>
      </c>
      <c r="Z394" s="14">
        <f t="shared" si="232"/>
        <v>-87.757404729974013</v>
      </c>
      <c r="AA394" s="14">
        <f t="shared" si="233"/>
        <v>-28.149652510746016</v>
      </c>
      <c r="AB394" s="23">
        <f t="shared" si="214"/>
        <v>-87.767598454022803</v>
      </c>
      <c r="AC394" s="23">
        <f t="shared" si="215"/>
        <v>-8.1496523731394532</v>
      </c>
      <c r="AD394" s="14">
        <f t="shared" si="234"/>
        <v>87.197560477737568</v>
      </c>
      <c r="AE394" s="14">
        <f t="shared" si="235"/>
        <v>26.215191243342733</v>
      </c>
      <c r="AF394" s="14">
        <f t="shared" si="236"/>
        <v>17.036629767986309</v>
      </c>
      <c r="AG394" s="14">
        <f t="shared" si="237"/>
        <v>0.38977334360327442</v>
      </c>
      <c r="AH394" s="14">
        <f t="shared" si="238"/>
        <v>-85.335869152042065</v>
      </c>
      <c r="AI394" s="14">
        <f t="shared" si="239"/>
        <v>-21.796633360898774</v>
      </c>
      <c r="AJ394" s="23">
        <f t="shared" si="216"/>
        <v>18.898321093681815</v>
      </c>
      <c r="AK394" s="23">
        <f t="shared" si="217"/>
        <v>4.8083312260472333</v>
      </c>
      <c r="AL394" s="14">
        <f t="shared" si="240"/>
        <v>0</v>
      </c>
      <c r="AM394" s="14">
        <f t="shared" si="241"/>
        <v>0</v>
      </c>
      <c r="AN394" s="14">
        <f t="shared" si="242"/>
        <v>0</v>
      </c>
      <c r="AO394" s="14">
        <f t="shared" si="243"/>
        <v>0</v>
      </c>
      <c r="AP394" s="23">
        <f t="shared" si="218"/>
        <v>0</v>
      </c>
      <c r="AQ394" s="23">
        <f t="shared" si="219"/>
        <v>0</v>
      </c>
    </row>
    <row r="395" spans="8:43" x14ac:dyDescent="0.25">
      <c r="H395" s="14">
        <v>4.9200000000000204</v>
      </c>
      <c r="I395" s="36">
        <f t="shared" si="244"/>
        <v>831763.77110271016</v>
      </c>
      <c r="J395" s="24">
        <f t="shared" si="210"/>
        <v>-149.6889982123148</v>
      </c>
      <c r="K395" s="24">
        <f t="shared" si="211"/>
        <v>-56.758757436467185</v>
      </c>
      <c r="L395" s="14">
        <f t="shared" si="220"/>
        <v>0.67018069634200106</v>
      </c>
      <c r="M395" s="14">
        <f t="shared" si="221"/>
        <v>-89.327280689217787</v>
      </c>
      <c r="N395" s="14">
        <f t="shared" si="222"/>
        <v>38.605974324123068</v>
      </c>
      <c r="O395" s="14">
        <f t="shared" si="223"/>
        <v>-89.984689396567617</v>
      </c>
      <c r="P395" s="14">
        <f t="shared" si="224"/>
        <v>-71.4626065963907</v>
      </c>
      <c r="Q395" s="14">
        <f t="shared" si="225"/>
        <v>-81.788064986621677</v>
      </c>
      <c r="R395" s="14">
        <f t="shared" si="226"/>
        <v>-16.903300757965511</v>
      </c>
      <c r="S395" s="23">
        <f t="shared" si="212"/>
        <v>-261.10003507240708</v>
      </c>
      <c r="T395" s="23">
        <f t="shared" si="213"/>
        <v>-53.236094742070996</v>
      </c>
      <c r="U395" s="14">
        <f t="shared" si="227"/>
        <v>20000</v>
      </c>
      <c r="V395" s="14">
        <f t="shared" si="228"/>
        <v>-89.999995016665011</v>
      </c>
      <c r="W395" s="14">
        <f t="shared" si="229"/>
        <v>-141.21205098360687</v>
      </c>
      <c r="X395" s="14">
        <f t="shared" si="230"/>
        <v>89.990033330099635</v>
      </c>
      <c r="Y395" s="14">
        <f t="shared" si="231"/>
        <v>75.191451201740477</v>
      </c>
      <c r="Z395" s="14">
        <f t="shared" si="232"/>
        <v>-87.808402074137447</v>
      </c>
      <c r="AA395" s="14">
        <f t="shared" si="233"/>
        <v>-28.349353202910947</v>
      </c>
      <c r="AB395" s="23">
        <f t="shared" si="214"/>
        <v>-87.818363760702823</v>
      </c>
      <c r="AC395" s="23">
        <f t="shared" si="215"/>
        <v>-8.3493530714977169</v>
      </c>
      <c r="AD395" s="14">
        <f t="shared" si="234"/>
        <v>87.261253536207406</v>
      </c>
      <c r="AE395" s="14">
        <f t="shared" si="235"/>
        <v>26.414723968273385</v>
      </c>
      <c r="AF395" s="14">
        <f t="shared" si="236"/>
        <v>17.409732198684075</v>
      </c>
      <c r="AG395" s="14">
        <f t="shared" si="237"/>
        <v>0.40730715331851652</v>
      </c>
      <c r="AH395" s="14">
        <f t="shared" si="238"/>
        <v>-85.441585114096355</v>
      </c>
      <c r="AI395" s="14">
        <f t="shared" si="239"/>
        <v>-21.995340744490374</v>
      </c>
      <c r="AJ395" s="23">
        <f t="shared" si="216"/>
        <v>19.229400620795118</v>
      </c>
      <c r="AK395" s="23">
        <f t="shared" si="217"/>
        <v>4.8266903771015279</v>
      </c>
      <c r="AL395" s="14">
        <f t="shared" si="240"/>
        <v>0</v>
      </c>
      <c r="AM395" s="14">
        <f t="shared" si="241"/>
        <v>0</v>
      </c>
      <c r="AN395" s="14">
        <f t="shared" si="242"/>
        <v>0</v>
      </c>
      <c r="AO395" s="14">
        <f t="shared" si="243"/>
        <v>0</v>
      </c>
      <c r="AP395" s="23">
        <f t="shared" si="218"/>
        <v>0</v>
      </c>
      <c r="AQ395" s="23">
        <f t="shared" si="219"/>
        <v>0</v>
      </c>
    </row>
    <row r="396" spans="8:43" x14ac:dyDescent="0.25">
      <c r="H396" s="14">
        <v>4.9300000000000201</v>
      </c>
      <c r="I396" s="36">
        <f t="shared" si="244"/>
        <v>851138.0382024165</v>
      </c>
      <c r="J396" s="24">
        <f t="shared" si="210"/>
        <v>-149.59960133503787</v>
      </c>
      <c r="K396" s="24">
        <f t="shared" si="211"/>
        <v>-57.135435737709599</v>
      </c>
      <c r="L396" s="14">
        <f t="shared" si="220"/>
        <v>0.67018069634200106</v>
      </c>
      <c r="M396" s="14">
        <f t="shared" si="221"/>
        <v>-89.342592290655048</v>
      </c>
      <c r="N396" s="14">
        <f t="shared" si="222"/>
        <v>38.805947379489226</v>
      </c>
      <c r="O396" s="14">
        <f t="shared" si="223"/>
        <v>-89.985037908434563</v>
      </c>
      <c r="P396" s="14">
        <f t="shared" si="224"/>
        <v>-71.662606582433199</v>
      </c>
      <c r="Q396" s="14">
        <f t="shared" si="225"/>
        <v>-81.972527059899818</v>
      </c>
      <c r="R396" s="14">
        <f t="shared" si="226"/>
        <v>-17.099311080716486</v>
      </c>
      <c r="S396" s="23">
        <f t="shared" si="212"/>
        <v>-261.30015725898943</v>
      </c>
      <c r="T396" s="23">
        <f t="shared" si="213"/>
        <v>-53.43213199549831</v>
      </c>
      <c r="U396" s="14">
        <f t="shared" si="227"/>
        <v>20000</v>
      </c>
      <c r="V396" s="14">
        <f t="shared" si="228"/>
        <v>-89.999995130099549</v>
      </c>
      <c r="W396" s="14">
        <f t="shared" si="229"/>
        <v>-141.41205098360686</v>
      </c>
      <c r="X396" s="14">
        <f t="shared" si="230"/>
        <v>89.990260199199952</v>
      </c>
      <c r="Y396" s="14">
        <f t="shared" si="231"/>
        <v>75.391451195825908</v>
      </c>
      <c r="Z396" s="14">
        <f t="shared" si="232"/>
        <v>-87.858241934300835</v>
      </c>
      <c r="AA396" s="14">
        <f t="shared" si="233"/>
        <v>-28.549067346890197</v>
      </c>
      <c r="AB396" s="23">
        <f t="shared" si="214"/>
        <v>-87.867976865200433</v>
      </c>
      <c r="AC396" s="23">
        <f t="shared" si="215"/>
        <v>-8.5490672213915246</v>
      </c>
      <c r="AD396" s="14">
        <f t="shared" si="234"/>
        <v>87.323503310061071</v>
      </c>
      <c r="AE396" s="14">
        <f t="shared" si="235"/>
        <v>26.61427767710887</v>
      </c>
      <c r="AF396" s="14">
        <f t="shared" si="236"/>
        <v>17.789954228878536</v>
      </c>
      <c r="AG396" s="14">
        <f t="shared" si="237"/>
        <v>0.42559174822616758</v>
      </c>
      <c r="AH396" s="14">
        <f t="shared" si="238"/>
        <v>-85.544924749787612</v>
      </c>
      <c r="AI396" s="14">
        <f t="shared" si="239"/>
        <v>-22.194105946154803</v>
      </c>
      <c r="AJ396" s="23">
        <f t="shared" si="216"/>
        <v>19.568532789151988</v>
      </c>
      <c r="AK396" s="23">
        <f t="shared" si="217"/>
        <v>4.8457634791802349</v>
      </c>
      <c r="AL396" s="14">
        <f t="shared" si="240"/>
        <v>0</v>
      </c>
      <c r="AM396" s="14">
        <f t="shared" si="241"/>
        <v>0</v>
      </c>
      <c r="AN396" s="14">
        <f t="shared" si="242"/>
        <v>0</v>
      </c>
      <c r="AO396" s="14">
        <f t="shared" si="243"/>
        <v>0</v>
      </c>
      <c r="AP396" s="23">
        <f t="shared" si="218"/>
        <v>0</v>
      </c>
      <c r="AQ396" s="23">
        <f t="shared" si="219"/>
        <v>0</v>
      </c>
    </row>
    <row r="397" spans="8:43" x14ac:dyDescent="0.25">
      <c r="H397" s="14">
        <v>4.9400000000000199</v>
      </c>
      <c r="I397" s="36">
        <f t="shared" si="244"/>
        <v>870963.58995612152</v>
      </c>
      <c r="J397" s="24">
        <f t="shared" si="210"/>
        <v>-149.4965844620931</v>
      </c>
      <c r="K397" s="24">
        <f t="shared" si="211"/>
        <v>-57.511557445091967</v>
      </c>
      <c r="L397" s="14">
        <f t="shared" si="220"/>
        <v>0.67018069634200106</v>
      </c>
      <c r="M397" s="14">
        <f t="shared" si="221"/>
        <v>-89.357555448229718</v>
      </c>
      <c r="N397" s="14">
        <f t="shared" si="222"/>
        <v>39.005921647407618</v>
      </c>
      <c r="O397" s="14">
        <f t="shared" si="223"/>
        <v>-89.985378487203945</v>
      </c>
      <c r="P397" s="14">
        <f t="shared" si="224"/>
        <v>-71.862606569103889</v>
      </c>
      <c r="Q397" s="14">
        <f t="shared" si="225"/>
        <v>-82.152952267567471</v>
      </c>
      <c r="R397" s="14">
        <f t="shared" si="226"/>
        <v>-17.295497544051731</v>
      </c>
      <c r="S397" s="23">
        <f t="shared" si="212"/>
        <v>-261.49588620300113</v>
      </c>
      <c r="T397" s="23">
        <f t="shared" si="213"/>
        <v>-53.628344177585859</v>
      </c>
      <c r="U397" s="14">
        <f t="shared" si="227"/>
        <v>20000</v>
      </c>
      <c r="V397" s="14">
        <f t="shared" si="228"/>
        <v>-89.999995240952018</v>
      </c>
      <c r="W397" s="14">
        <f t="shared" si="229"/>
        <v>-141.61205098360685</v>
      </c>
      <c r="X397" s="14">
        <f t="shared" si="230"/>
        <v>89.990481904129382</v>
      </c>
      <c r="Y397" s="14">
        <f t="shared" si="231"/>
        <v>75.591451190177537</v>
      </c>
      <c r="Z397" s="14">
        <f t="shared" si="232"/>
        <v>-87.906950434345632</v>
      </c>
      <c r="AA397" s="14">
        <f t="shared" si="233"/>
        <v>-28.748794338944506</v>
      </c>
      <c r="AB397" s="23">
        <f t="shared" si="214"/>
        <v>-87.916463771168267</v>
      </c>
      <c r="AC397" s="23">
        <f t="shared" si="215"/>
        <v>-8.7487942190941936</v>
      </c>
      <c r="AD397" s="14">
        <f t="shared" si="234"/>
        <v>87.384342216779828</v>
      </c>
      <c r="AE397" s="14">
        <f t="shared" si="235"/>
        <v>26.813851429539103</v>
      </c>
      <c r="AF397" s="14">
        <f t="shared" si="236"/>
        <v>18.177363455615026</v>
      </c>
      <c r="AG397" s="14">
        <f t="shared" si="237"/>
        <v>0.44465591712263475</v>
      </c>
      <c r="AH397" s="14">
        <f t="shared" si="238"/>
        <v>-85.645940160318574</v>
      </c>
      <c r="AI397" s="14">
        <f t="shared" si="239"/>
        <v>-22.392926395073648</v>
      </c>
      <c r="AJ397" s="23">
        <f t="shared" si="216"/>
        <v>19.915765512076277</v>
      </c>
      <c r="AK397" s="23">
        <f t="shared" si="217"/>
        <v>4.8655809515880897</v>
      </c>
      <c r="AL397" s="14">
        <f t="shared" si="240"/>
        <v>0</v>
      </c>
      <c r="AM397" s="14">
        <f t="shared" si="241"/>
        <v>0</v>
      </c>
      <c r="AN397" s="14">
        <f t="shared" si="242"/>
        <v>0</v>
      </c>
      <c r="AO397" s="14">
        <f t="shared" si="243"/>
        <v>0</v>
      </c>
      <c r="AP397" s="23">
        <f t="shared" si="218"/>
        <v>0</v>
      </c>
      <c r="AQ397" s="23">
        <f t="shared" si="219"/>
        <v>0</v>
      </c>
    </row>
    <row r="398" spans="8:43" x14ac:dyDescent="0.25">
      <c r="H398" s="14">
        <v>4.9500000000000197</v>
      </c>
      <c r="I398" s="36">
        <f t="shared" si="244"/>
        <v>891250.93813378725</v>
      </c>
      <c r="J398" s="24">
        <f t="shared" si="210"/>
        <v>-149.38001814168607</v>
      </c>
      <c r="K398" s="24">
        <f t="shared" si="211"/>
        <v>-57.887083243058342</v>
      </c>
      <c r="L398" s="14">
        <f t="shared" si="220"/>
        <v>0.67018069634200106</v>
      </c>
      <c r="M398" s="14">
        <f t="shared" si="221"/>
        <v>-89.372178087437106</v>
      </c>
      <c r="N398" s="14">
        <f t="shared" si="222"/>
        <v>39.205897073318134</v>
      </c>
      <c r="O398" s="14">
        <f t="shared" si="223"/>
        <v>-89.985711313455056</v>
      </c>
      <c r="P398" s="14">
        <f t="shared" si="224"/>
        <v>-72.06260655637449</v>
      </c>
      <c r="Q398" s="14">
        <f t="shared" si="225"/>
        <v>-82.329421952757684</v>
      </c>
      <c r="R398" s="14">
        <f t="shared" si="226"/>
        <v>-17.491852516162005</v>
      </c>
      <c r="S398" s="23">
        <f t="shared" si="212"/>
        <v>-261.68731135364987</v>
      </c>
      <c r="T398" s="23">
        <f t="shared" si="213"/>
        <v>-53.824723711056215</v>
      </c>
      <c r="U398" s="14">
        <f t="shared" si="227"/>
        <v>20000</v>
      </c>
      <c r="V398" s="14">
        <f t="shared" si="228"/>
        <v>-89.999995349281178</v>
      </c>
      <c r="W398" s="14">
        <f t="shared" si="229"/>
        <v>-141.81205098360687</v>
      </c>
      <c r="X398" s="14">
        <f t="shared" si="230"/>
        <v>89.990698562438752</v>
      </c>
      <c r="Y398" s="14">
        <f t="shared" si="231"/>
        <v>75.791451184783384</v>
      </c>
      <c r="Z398" s="14">
        <f t="shared" si="232"/>
        <v>-87.954553118385462</v>
      </c>
      <c r="AA398" s="14">
        <f t="shared" si="233"/>
        <v>-28.948533602358772</v>
      </c>
      <c r="AB398" s="23">
        <f t="shared" si="214"/>
        <v>-87.963849905227889</v>
      </c>
      <c r="AC398" s="23">
        <f t="shared" si="215"/>
        <v>-8.9485334879026297</v>
      </c>
      <c r="AD398" s="14">
        <f t="shared" si="234"/>
        <v>87.443801964876997</v>
      </c>
      <c r="AE398" s="14">
        <f t="shared" si="235"/>
        <v>27.013444327213421</v>
      </c>
      <c r="AF398" s="14">
        <f t="shared" si="236"/>
        <v>18.572023544377188</v>
      </c>
      <c r="AG398" s="14">
        <f t="shared" si="237"/>
        <v>0.46452926208046358</v>
      </c>
      <c r="AH398" s="14">
        <f t="shared" si="238"/>
        <v>-85.744682392062472</v>
      </c>
      <c r="AI398" s="14">
        <f t="shared" si="239"/>
        <v>-22.591799633393379</v>
      </c>
      <c r="AJ398" s="23">
        <f t="shared" si="216"/>
        <v>20.271143117191713</v>
      </c>
      <c r="AK398" s="23">
        <f t="shared" si="217"/>
        <v>4.8861739559005066</v>
      </c>
      <c r="AL398" s="14">
        <f t="shared" si="240"/>
        <v>0</v>
      </c>
      <c r="AM398" s="14">
        <f t="shared" si="241"/>
        <v>0</v>
      </c>
      <c r="AN398" s="14">
        <f t="shared" si="242"/>
        <v>0</v>
      </c>
      <c r="AO398" s="14">
        <f t="shared" si="243"/>
        <v>0</v>
      </c>
      <c r="AP398" s="23">
        <f t="shared" si="218"/>
        <v>0</v>
      </c>
      <c r="AQ398" s="23">
        <f t="shared" si="219"/>
        <v>0</v>
      </c>
    </row>
    <row r="399" spans="8:43" x14ac:dyDescent="0.25">
      <c r="H399" s="14">
        <v>4.9600000000000204</v>
      </c>
      <c r="I399" s="36">
        <f t="shared" si="244"/>
        <v>912010.83935595397</v>
      </c>
      <c r="J399" s="24">
        <f t="shared" si="210"/>
        <v>-149.24997491531605</v>
      </c>
      <c r="K399" s="24">
        <f t="shared" si="211"/>
        <v>-58.261973414538794</v>
      </c>
      <c r="L399" s="14">
        <f t="shared" si="220"/>
        <v>0.67018069634200106</v>
      </c>
      <c r="M399" s="14">
        <f t="shared" si="221"/>
        <v>-89.386467953770278</v>
      </c>
      <c r="N399" s="14">
        <f t="shared" si="222"/>
        <v>39.405873605115083</v>
      </c>
      <c r="O399" s="14">
        <f t="shared" si="223"/>
        <v>-89.986036563656683</v>
      </c>
      <c r="P399" s="14">
        <f t="shared" si="224"/>
        <v>-72.262606544218016</v>
      </c>
      <c r="Q399" s="14">
        <f t="shared" si="225"/>
        <v>-82.502016282678795</v>
      </c>
      <c r="R399" s="14">
        <f t="shared" si="226"/>
        <v>-17.688368683393364</v>
      </c>
      <c r="S399" s="23">
        <f t="shared" si="212"/>
        <v>-261.87452080010576</v>
      </c>
      <c r="T399" s="23">
        <f t="shared" si="213"/>
        <v>-54.021263334334151</v>
      </c>
      <c r="U399" s="14">
        <f t="shared" si="227"/>
        <v>20000</v>
      </c>
      <c r="V399" s="14">
        <f t="shared" si="228"/>
        <v>-89.999995455144472</v>
      </c>
      <c r="W399" s="14">
        <f t="shared" si="229"/>
        <v>-142.01205098360685</v>
      </c>
      <c r="X399" s="14">
        <f t="shared" si="230"/>
        <v>89.990910289003153</v>
      </c>
      <c r="Y399" s="14">
        <f t="shared" si="231"/>
        <v>75.991451179632023</v>
      </c>
      <c r="Z399" s="14">
        <f t="shared" si="232"/>
        <v>-88.001074962974585</v>
      </c>
      <c r="AA399" s="14">
        <f t="shared" si="233"/>
        <v>-29.148284586238809</v>
      </c>
      <c r="AB399" s="23">
        <f t="shared" si="214"/>
        <v>-88.010160129115903</v>
      </c>
      <c r="AC399" s="23">
        <f t="shared" si="215"/>
        <v>-9.1482844769340161</v>
      </c>
      <c r="AD399" s="14">
        <f t="shared" si="234"/>
        <v>87.501913568118809</v>
      </c>
      <c r="AE399" s="14">
        <f t="shared" si="235"/>
        <v>27.213055511883809</v>
      </c>
      <c r="AF399" s="14">
        <f t="shared" si="236"/>
        <v>18.973993897793434</v>
      </c>
      <c r="AG399" s="14">
        <f t="shared" si="237"/>
        <v>0.48524219622478371</v>
      </c>
      <c r="AH399" s="14">
        <f t="shared" si="238"/>
        <v>-85.841201452006658</v>
      </c>
      <c r="AI399" s="14">
        <f t="shared" si="239"/>
        <v>-22.790723311379221</v>
      </c>
      <c r="AJ399" s="23">
        <f t="shared" si="216"/>
        <v>20.634706013905586</v>
      </c>
      <c r="AK399" s="23">
        <f t="shared" si="217"/>
        <v>4.9075743967293732</v>
      </c>
      <c r="AL399" s="14">
        <f t="shared" si="240"/>
        <v>0</v>
      </c>
      <c r="AM399" s="14">
        <f t="shared" si="241"/>
        <v>0</v>
      </c>
      <c r="AN399" s="14">
        <f t="shared" si="242"/>
        <v>0</v>
      </c>
      <c r="AO399" s="14">
        <f t="shared" si="243"/>
        <v>0</v>
      </c>
      <c r="AP399" s="23">
        <f t="shared" si="218"/>
        <v>0</v>
      </c>
      <c r="AQ399" s="23">
        <f t="shared" si="219"/>
        <v>0</v>
      </c>
    </row>
    <row r="400" spans="8:43" x14ac:dyDescent="0.25">
      <c r="H400" s="14">
        <v>4.9700000000000202</v>
      </c>
      <c r="I400" s="36">
        <f t="shared" si="244"/>
        <v>933254.30079703464</v>
      </c>
      <c r="J400" s="24">
        <f t="shared" si="210"/>
        <v>-149.10652966215343</v>
      </c>
      <c r="K400" s="24">
        <f t="shared" si="211"/>
        <v>-58.636187829664927</v>
      </c>
      <c r="L400" s="14">
        <f t="shared" si="220"/>
        <v>0.67018069634200106</v>
      </c>
      <c r="M400" s="14">
        <f t="shared" si="221"/>
        <v>-89.40043261679044</v>
      </c>
      <c r="N400" s="14">
        <f t="shared" si="222"/>
        <v>39.605851193036742</v>
      </c>
      <c r="O400" s="14">
        <f t="shared" si="223"/>
        <v>-89.986354410260702</v>
      </c>
      <c r="P400" s="14">
        <f t="shared" si="224"/>
        <v>-72.46260653260866</v>
      </c>
      <c r="Q400" s="14">
        <f t="shared" si="225"/>
        <v>-82.670814233272495</v>
      </c>
      <c r="R400" s="14">
        <f t="shared" si="226"/>
        <v>-17.885039038068914</v>
      </c>
      <c r="S400" s="23">
        <f t="shared" si="212"/>
        <v>-262.05760126032362</v>
      </c>
      <c r="T400" s="23">
        <f t="shared" si="213"/>
        <v>-54.21795608947869</v>
      </c>
      <c r="U400" s="14">
        <f t="shared" si="227"/>
        <v>20000</v>
      </c>
      <c r="V400" s="14">
        <f t="shared" si="228"/>
        <v>-89.999995558598016</v>
      </c>
      <c r="W400" s="14">
        <f t="shared" si="229"/>
        <v>-142.21205098360687</v>
      </c>
      <c r="X400" s="14">
        <f t="shared" si="230"/>
        <v>89.991117196082797</v>
      </c>
      <c r="Y400" s="14">
        <f t="shared" si="231"/>
        <v>76.191451174712469</v>
      </c>
      <c r="Z400" s="14">
        <f t="shared" si="232"/>
        <v>-88.04654038910401</v>
      </c>
      <c r="AA400" s="14">
        <f t="shared" si="233"/>
        <v>-29.348046764361037</v>
      </c>
      <c r="AB400" s="23">
        <f t="shared" si="214"/>
        <v>-88.055418751619229</v>
      </c>
      <c r="AC400" s="23">
        <f t="shared" si="215"/>
        <v>-9.3480466599758145</v>
      </c>
      <c r="AD400" s="14">
        <f t="shared" si="234"/>
        <v>87.558707359548094</v>
      </c>
      <c r="AE400" s="14">
        <f t="shared" si="235"/>
        <v>27.412684163628764</v>
      </c>
      <c r="AF400" s="14">
        <f t="shared" si="236"/>
        <v>19.383329313638047</v>
      </c>
      <c r="AG400" s="14">
        <f t="shared" si="237"/>
        <v>0.50682593892731576</v>
      </c>
      <c r="AH400" s="14">
        <f t="shared" si="238"/>
        <v>-85.935546323396721</v>
      </c>
      <c r="AI400" s="14">
        <f t="shared" si="239"/>
        <v>-22.989695182766503</v>
      </c>
      <c r="AJ400" s="23">
        <f t="shared" si="216"/>
        <v>21.006490349789416</v>
      </c>
      <c r="AK400" s="23">
        <f t="shared" si="217"/>
        <v>4.9298149197895782</v>
      </c>
      <c r="AL400" s="14">
        <f t="shared" si="240"/>
        <v>0</v>
      </c>
      <c r="AM400" s="14">
        <f t="shared" si="241"/>
        <v>0</v>
      </c>
      <c r="AN400" s="14">
        <f t="shared" si="242"/>
        <v>0</v>
      </c>
      <c r="AO400" s="14">
        <f t="shared" si="243"/>
        <v>0</v>
      </c>
      <c r="AP400" s="23">
        <f t="shared" si="218"/>
        <v>0</v>
      </c>
      <c r="AQ400" s="23">
        <f t="shared" si="219"/>
        <v>0</v>
      </c>
    </row>
    <row r="401" spans="8:43" x14ac:dyDescent="0.25">
      <c r="H401" s="14">
        <v>4.98000000000002</v>
      </c>
      <c r="I401" s="36">
        <f t="shared" si="244"/>
        <v>954992.58602148038</v>
      </c>
      <c r="J401" s="24">
        <f t="shared" si="210"/>
        <v>-148.94975995640885</v>
      </c>
      <c r="K401" s="24">
        <f t="shared" si="211"/>
        <v>-59.009685937799723</v>
      </c>
      <c r="L401" s="14">
        <f t="shared" si="220"/>
        <v>0.67018069634200106</v>
      </c>
      <c r="M401" s="14">
        <f t="shared" si="221"/>
        <v>-89.414079474106515</v>
      </c>
      <c r="N401" s="14">
        <f t="shared" si="222"/>
        <v>39.805829789560143</v>
      </c>
      <c r="O401" s="14">
        <f t="shared" si="223"/>
        <v>-89.986665021793513</v>
      </c>
      <c r="P401" s="14">
        <f t="shared" si="224"/>
        <v>-72.662606521521823</v>
      </c>
      <c r="Q401" s="14">
        <f t="shared" si="225"/>
        <v>-82.835893576719627</v>
      </c>
      <c r="R401" s="14">
        <f t="shared" si="226"/>
        <v>-18.081856866681484</v>
      </c>
      <c r="S401" s="23">
        <f t="shared" si="212"/>
        <v>-262.23663807261966</v>
      </c>
      <c r="T401" s="23">
        <f t="shared" si="213"/>
        <v>-54.414795310481018</v>
      </c>
      <c r="U401" s="14">
        <f t="shared" si="227"/>
        <v>20000</v>
      </c>
      <c r="V401" s="14">
        <f t="shared" si="228"/>
        <v>-89.999995659696665</v>
      </c>
      <c r="W401" s="14">
        <f t="shared" si="229"/>
        <v>-142.41205098360686</v>
      </c>
      <c r="X401" s="14">
        <f t="shared" si="230"/>
        <v>89.991319393382526</v>
      </c>
      <c r="Y401" s="14">
        <f t="shared" si="231"/>
        <v>76.391451170014363</v>
      </c>
      <c r="Z401" s="14">
        <f t="shared" si="232"/>
        <v>-88.090973273985654</v>
      </c>
      <c r="AA401" s="14">
        <f t="shared" si="233"/>
        <v>-29.547819634073118</v>
      </c>
      <c r="AB401" s="23">
        <f t="shared" si="214"/>
        <v>-88.099649540299794</v>
      </c>
      <c r="AC401" s="23">
        <f t="shared" si="215"/>
        <v>-9.5478195343859902</v>
      </c>
      <c r="AD401" s="14">
        <f t="shared" si="234"/>
        <v>87.61421300530678</v>
      </c>
      <c r="AE401" s="14">
        <f t="shared" si="235"/>
        <v>27.612329499154875</v>
      </c>
      <c r="AF401" s="14">
        <f t="shared" si="236"/>
        <v>19.800079632745334</v>
      </c>
      <c r="AG401" s="14">
        <f t="shared" si="237"/>
        <v>0.5293125082150314</v>
      </c>
      <c r="AH401" s="14">
        <f t="shared" si="238"/>
        <v>-86.027764981541537</v>
      </c>
      <c r="AI401" s="14">
        <f t="shared" si="239"/>
        <v>-23.188713100302625</v>
      </c>
      <c r="AJ401" s="23">
        <f t="shared" si="216"/>
        <v>21.38652765651058</v>
      </c>
      <c r="AK401" s="23">
        <f t="shared" si="217"/>
        <v>4.9529289070672817</v>
      </c>
      <c r="AL401" s="14">
        <f t="shared" si="240"/>
        <v>0</v>
      </c>
      <c r="AM401" s="14">
        <f t="shared" si="241"/>
        <v>0</v>
      </c>
      <c r="AN401" s="14">
        <f t="shared" si="242"/>
        <v>0</v>
      </c>
      <c r="AO401" s="14">
        <f t="shared" si="243"/>
        <v>0</v>
      </c>
      <c r="AP401" s="23">
        <f t="shared" si="218"/>
        <v>0</v>
      </c>
      <c r="AQ401" s="23">
        <f t="shared" si="219"/>
        <v>0</v>
      </c>
    </row>
    <row r="402" spans="8:43" x14ac:dyDescent="0.25">
      <c r="H402" s="14">
        <v>4.9900000000000198</v>
      </c>
      <c r="I402" s="36">
        <f t="shared" si="244"/>
        <v>977237.22095585614</v>
      </c>
      <c r="J402" s="24">
        <f t="shared" si="210"/>
        <v>-148.77974643672431</v>
      </c>
      <c r="K402" s="24">
        <f t="shared" si="211"/>
        <v>-59.382426763080517</v>
      </c>
      <c r="L402" s="14">
        <f t="shared" si="220"/>
        <v>0.67018069634200106</v>
      </c>
      <c r="M402" s="14">
        <f t="shared" si="221"/>
        <v>-89.427415755265741</v>
      </c>
      <c r="N402" s="14">
        <f t="shared" si="222"/>
        <v>40.0058093493002</v>
      </c>
      <c r="O402" s="14">
        <f t="shared" si="223"/>
        <v>-89.986968562945407</v>
      </c>
      <c r="P402" s="14">
        <f t="shared" si="224"/>
        <v>-72.862606510933972</v>
      </c>
      <c r="Q402" s="14">
        <f t="shared" si="225"/>
        <v>-82.997330871594372</v>
      </c>
      <c r="R402" s="14">
        <f t="shared" si="226"/>
        <v>-18.278815738454295</v>
      </c>
      <c r="S402" s="23">
        <f t="shared" si="212"/>
        <v>-262.41171518980553</v>
      </c>
      <c r="T402" s="23">
        <f t="shared" si="213"/>
        <v>-54.611774611925924</v>
      </c>
      <c r="U402" s="14">
        <f t="shared" si="227"/>
        <v>20000</v>
      </c>
      <c r="V402" s="14">
        <f t="shared" si="228"/>
        <v>-89.999995758494023</v>
      </c>
      <c r="W402" s="14">
        <f t="shared" si="229"/>
        <v>-142.61205098360685</v>
      </c>
      <c r="X402" s="14">
        <f t="shared" si="230"/>
        <v>89.991516988110007</v>
      </c>
      <c r="Y402" s="14">
        <f t="shared" si="231"/>
        <v>76.591451165527701</v>
      </c>
      <c r="Z402" s="14">
        <f t="shared" si="232"/>
        <v>-88.13439696262536</v>
      </c>
      <c r="AA402" s="14">
        <f t="shared" si="233"/>
        <v>-29.747602715242824</v>
      </c>
      <c r="AB402" s="23">
        <f t="shared" si="214"/>
        <v>-88.142875733009376</v>
      </c>
      <c r="AC402" s="23">
        <f t="shared" si="215"/>
        <v>-9.7476026200423469</v>
      </c>
      <c r="AD402" s="14">
        <f t="shared" si="234"/>
        <v>87.668459518254139</v>
      </c>
      <c r="AE402" s="14">
        <f t="shared" si="235"/>
        <v>27.811990770172166</v>
      </c>
      <c r="AF402" s="14">
        <f t="shared" si="236"/>
        <v>20.22428937757962</v>
      </c>
      <c r="AG402" s="14">
        <f t="shared" si="237"/>
        <v>0.55273471018776954</v>
      </c>
      <c r="AH402" s="14">
        <f t="shared" si="238"/>
        <v>-86.117904409743176</v>
      </c>
      <c r="AI402" s="14">
        <f t="shared" si="239"/>
        <v>-23.387775011472183</v>
      </c>
      <c r="AJ402" s="23">
        <f t="shared" si="216"/>
        <v>21.774844486090586</v>
      </c>
      <c r="AK402" s="23">
        <f t="shared" si="217"/>
        <v>4.9769504688877539</v>
      </c>
      <c r="AL402" s="14">
        <f t="shared" si="240"/>
        <v>0</v>
      </c>
      <c r="AM402" s="14">
        <f t="shared" si="241"/>
        <v>0</v>
      </c>
      <c r="AN402" s="14">
        <f t="shared" si="242"/>
        <v>0</v>
      </c>
      <c r="AO402" s="14">
        <f t="shared" si="243"/>
        <v>0</v>
      </c>
      <c r="AP402" s="23">
        <f t="shared" si="218"/>
        <v>0</v>
      </c>
      <c r="AQ402" s="23">
        <f t="shared" si="219"/>
        <v>0</v>
      </c>
    </row>
    <row r="403" spans="8:43" x14ac:dyDescent="0.25">
      <c r="H403" s="14">
        <v>5.0000000000000204</v>
      </c>
      <c r="I403" s="36">
        <f t="shared" si="244"/>
        <v>1000000.0000000482</v>
      </c>
      <c r="J403" s="24">
        <f t="shared" si="210"/>
        <v>-148.59657318648777</v>
      </c>
      <c r="K403" s="24">
        <f t="shared" si="211"/>
        <v>-59.75436890367164</v>
      </c>
      <c r="L403" s="14">
        <f t="shared" si="220"/>
        <v>0.67018069634200106</v>
      </c>
      <c r="M403" s="14">
        <f t="shared" si="221"/>
        <v>-89.440448525557315</v>
      </c>
      <c r="N403" s="14">
        <f t="shared" si="222"/>
        <v>40.205789828913709</v>
      </c>
      <c r="O403" s="14">
        <f t="shared" si="223"/>
        <v>-89.987265194657823</v>
      </c>
      <c r="P403" s="14">
        <f t="shared" si="224"/>
        <v>-73.062606500822667</v>
      </c>
      <c r="Q403" s="14">
        <f t="shared" si="225"/>
        <v>-83.15520145547724</v>
      </c>
      <c r="R403" s="14">
        <f t="shared" si="226"/>
        <v>-18.475909494266674</v>
      </c>
      <c r="S403" s="23">
        <f t="shared" si="212"/>
        <v>-262.58291517569239</v>
      </c>
      <c r="T403" s="23">
        <f t="shared" si="213"/>
        <v>-54.808887878013486</v>
      </c>
      <c r="U403" s="14">
        <f t="shared" si="227"/>
        <v>20000</v>
      </c>
      <c r="V403" s="14">
        <f t="shared" si="228"/>
        <v>-89.999995855042485</v>
      </c>
      <c r="W403" s="14">
        <f t="shared" si="229"/>
        <v>-142.81205098360687</v>
      </c>
      <c r="X403" s="14">
        <f t="shared" si="230"/>
        <v>89.991710085032565</v>
      </c>
      <c r="Y403" s="14">
        <f t="shared" si="231"/>
        <v>76.791451161242989</v>
      </c>
      <c r="Z403" s="14">
        <f t="shared" si="232"/>
        <v>-88.17683427918594</v>
      </c>
      <c r="AA403" s="14">
        <f t="shared" si="233"/>
        <v>-29.947395549253596</v>
      </c>
      <c r="AB403" s="23">
        <f t="shared" si="214"/>
        <v>-88.185120049195859</v>
      </c>
      <c r="AC403" s="23">
        <f t="shared" si="215"/>
        <v>-9.9473954583378479</v>
      </c>
      <c r="AD403" s="14">
        <f t="shared" si="234"/>
        <v>87.721475271378111</v>
      </c>
      <c r="AE403" s="14">
        <f t="shared" si="235"/>
        <v>28.011667261840746</v>
      </c>
      <c r="AF403" s="14">
        <f t="shared" si="236"/>
        <v>20.655997382340573</v>
      </c>
      <c r="AG403" s="14">
        <f t="shared" si="237"/>
        <v>0.57712612523800588</v>
      </c>
      <c r="AH403" s="14">
        <f t="shared" si="238"/>
        <v>-86.206010615318206</v>
      </c>
      <c r="AI403" s="14">
        <f t="shared" si="239"/>
        <v>-23.586878954399062</v>
      </c>
      <c r="AJ403" s="23">
        <f t="shared" si="216"/>
        <v>22.171462038400477</v>
      </c>
      <c r="AK403" s="23">
        <f t="shared" si="217"/>
        <v>5.0019144326796905</v>
      </c>
      <c r="AL403" s="14">
        <f t="shared" si="240"/>
        <v>0</v>
      </c>
      <c r="AM403" s="14">
        <f t="shared" si="241"/>
        <v>0</v>
      </c>
      <c r="AN403" s="14">
        <f t="shared" si="242"/>
        <v>0</v>
      </c>
      <c r="AO403" s="14">
        <f t="shared" si="243"/>
        <v>0</v>
      </c>
      <c r="AP403" s="23">
        <f t="shared" si="218"/>
        <v>0</v>
      </c>
      <c r="AQ403" s="23">
        <f t="shared" si="219"/>
        <v>0</v>
      </c>
    </row>
    <row r="404" spans="8:43" x14ac:dyDescent="0.25">
      <c r="H404" s="14">
        <v>5.0100000000000202</v>
      </c>
      <c r="I404" s="36">
        <f t="shared" si="244"/>
        <v>1023292.9922808033</v>
      </c>
      <c r="J404" s="24">
        <f t="shared" ref="J404:J467" si="245">180+S404+AB404+AJ404+AP404</f>
        <v>-148.4003281238472</v>
      </c>
      <c r="K404" s="24">
        <f t="shared" ref="K404:K467" si="246">T404+AC404+AK404+AQ404</f>
        <v>-60.125470534924347</v>
      </c>
      <c r="L404" s="14">
        <f t="shared" si="220"/>
        <v>0.67018069634200106</v>
      </c>
      <c r="M404" s="14">
        <f t="shared" si="221"/>
        <v>-89.45318468973089</v>
      </c>
      <c r="N404" s="14">
        <f t="shared" si="222"/>
        <v>40.405771187007417</v>
      </c>
      <c r="O404" s="14">
        <f t="shared" si="223"/>
        <v>-89.987555074208771</v>
      </c>
      <c r="P404" s="14">
        <f t="shared" si="224"/>
        <v>-73.262606491166451</v>
      </c>
      <c r="Q404" s="14">
        <f t="shared" si="225"/>
        <v>-83.309579439848051</v>
      </c>
      <c r="R404" s="14">
        <f t="shared" si="226"/>
        <v>-18.673132235940223</v>
      </c>
      <c r="S404" s="23">
        <f t="shared" ref="S404:S467" si="247">M404+O404+Q404</f>
        <v>-262.75031920378774</v>
      </c>
      <c r="T404" s="23">
        <f t="shared" ref="T404:T467" si="248">20*LOG(L404)+N404+P404+R404</f>
        <v>-55.006129251937111</v>
      </c>
      <c r="U404" s="14">
        <f t="shared" si="227"/>
        <v>20000</v>
      </c>
      <c r="V404" s="14">
        <f t="shared" si="228"/>
        <v>-89.999995949393238</v>
      </c>
      <c r="W404" s="14">
        <f t="shared" si="229"/>
        <v>-143.01205098360685</v>
      </c>
      <c r="X404" s="14">
        <f t="shared" si="230"/>
        <v>89.99189878653273</v>
      </c>
      <c r="Y404" s="14">
        <f t="shared" si="231"/>
        <v>76.991451157151104</v>
      </c>
      <c r="Z404" s="14">
        <f t="shared" si="232"/>
        <v>-88.218307538141232</v>
      </c>
      <c r="AA404" s="14">
        <f t="shared" si="233"/>
        <v>-30.147197698044334</v>
      </c>
      <c r="AB404" s="23">
        <f t="shared" ref="AB404:AB467" si="249">V404+X404+Z404</f>
        <v>-88.226404701001741</v>
      </c>
      <c r="AC404" s="23">
        <f t="shared" ref="AC404:AC467" si="250">20*LOG(U404)+W404+Y404+AA404</f>
        <v>-10.147197611220459</v>
      </c>
      <c r="AD404" s="14">
        <f t="shared" si="234"/>
        <v>87.773288010997888</v>
      </c>
      <c r="AE404" s="14">
        <f t="shared" si="235"/>
        <v>28.211358291285261</v>
      </c>
      <c r="AF404" s="14">
        <f t="shared" si="236"/>
        <v>21.095236415623553</v>
      </c>
      <c r="AG404" s="14">
        <f t="shared" si="237"/>
        <v>0.60252109086634098</v>
      </c>
      <c r="AH404" s="14">
        <f t="shared" si="238"/>
        <v>-86.292128645679156</v>
      </c>
      <c r="AI404" s="14">
        <f t="shared" si="239"/>
        <v>-23.78602305391837</v>
      </c>
      <c r="AJ404" s="23">
        <f t="shared" ref="AJ404:AJ467" si="251">AD404+AF404+AH404</f>
        <v>22.576395780942278</v>
      </c>
      <c r="AK404" s="23">
        <f t="shared" ref="AK404:AK467" si="252">AE404+AG404+AI404</f>
        <v>5.0278563282332307</v>
      </c>
      <c r="AL404" s="14">
        <f t="shared" si="240"/>
        <v>0</v>
      </c>
      <c r="AM404" s="14">
        <f t="shared" si="241"/>
        <v>0</v>
      </c>
      <c r="AN404" s="14">
        <f t="shared" si="242"/>
        <v>0</v>
      </c>
      <c r="AO404" s="14">
        <f t="shared" si="243"/>
        <v>0</v>
      </c>
      <c r="AP404" s="23">
        <f t="shared" ref="AP404:AP467" si="253">AL404+AN404</f>
        <v>0</v>
      </c>
      <c r="AQ404" s="23">
        <f t="shared" ref="AQ404:AQ467" si="254">AM404+AO404</f>
        <v>0</v>
      </c>
    </row>
    <row r="405" spans="8:43" x14ac:dyDescent="0.25">
      <c r="H405" s="14">
        <v>5.02000000000002</v>
      </c>
      <c r="I405" s="36">
        <f t="shared" si="244"/>
        <v>1047128.5480509498</v>
      </c>
      <c r="J405" s="24">
        <f t="shared" si="245"/>
        <v>-148.19110340006119</v>
      </c>
      <c r="K405" s="24">
        <f t="shared" si="246"/>
        <v>-60.495689416637632</v>
      </c>
      <c r="L405" s="14">
        <f t="shared" si="220"/>
        <v>0.67018069634200106</v>
      </c>
      <c r="M405" s="14">
        <f t="shared" si="221"/>
        <v>-89.465630995631884</v>
      </c>
      <c r="N405" s="14">
        <f t="shared" si="222"/>
        <v>40.605753384050416</v>
      </c>
      <c r="O405" s="14">
        <f t="shared" si="223"/>
        <v>-89.987838355296162</v>
      </c>
      <c r="P405" s="14">
        <f t="shared" si="224"/>
        <v>-73.462606481944817</v>
      </c>
      <c r="Q405" s="14">
        <f t="shared" si="225"/>
        <v>-83.460537707089216</v>
      </c>
      <c r="R405" s="14">
        <f t="shared" si="226"/>
        <v>-18.870478315880696</v>
      </c>
      <c r="S405" s="23">
        <f t="shared" si="247"/>
        <v>-262.91400705801726</v>
      </c>
      <c r="T405" s="23">
        <f t="shared" si="248"/>
        <v>-55.203493125612951</v>
      </c>
      <c r="U405" s="14">
        <f t="shared" si="227"/>
        <v>20000</v>
      </c>
      <c r="V405" s="14">
        <f t="shared" si="228"/>
        <v>-89.999996041596305</v>
      </c>
      <c r="W405" s="14">
        <f t="shared" si="229"/>
        <v>-143.21205098360684</v>
      </c>
      <c r="X405" s="14">
        <f t="shared" si="230"/>
        <v>89.992083192662506</v>
      </c>
      <c r="Y405" s="14">
        <f t="shared" si="231"/>
        <v>77.191451153243378</v>
      </c>
      <c r="Z405" s="14">
        <f t="shared" si="232"/>
        <v>-88.258838555222852</v>
      </c>
      <c r="AA405" s="14">
        <f t="shared" si="233"/>
        <v>-30.347008743191871</v>
      </c>
      <c r="AB405" s="23">
        <f t="shared" si="249"/>
        <v>-88.266751404156651</v>
      </c>
      <c r="AC405" s="23">
        <f t="shared" si="250"/>
        <v>-10.347008660275712</v>
      </c>
      <c r="AD405" s="14">
        <f t="shared" si="234"/>
        <v>87.823924869755828</v>
      </c>
      <c r="AE405" s="14">
        <f t="shared" si="235"/>
        <v>28.411063206174649</v>
      </c>
      <c r="AF405" s="14">
        <f t="shared" si="236"/>
        <v>21.542032796805305</v>
      </c>
      <c r="AG405" s="14">
        <f t="shared" si="237"/>
        <v>0.62895468088862871</v>
      </c>
      <c r="AH405" s="14">
        <f t="shared" si="238"/>
        <v>-86.376302604448398</v>
      </c>
      <c r="AI405" s="14">
        <f t="shared" si="239"/>
        <v>-23.985205517812254</v>
      </c>
      <c r="AJ405" s="23">
        <f t="shared" si="251"/>
        <v>22.989655062112732</v>
      </c>
      <c r="AK405" s="23">
        <f t="shared" si="252"/>
        <v>5.0548123692510245</v>
      </c>
      <c r="AL405" s="14">
        <f t="shared" si="240"/>
        <v>0</v>
      </c>
      <c r="AM405" s="14">
        <f t="shared" si="241"/>
        <v>0</v>
      </c>
      <c r="AN405" s="14">
        <f t="shared" si="242"/>
        <v>0</v>
      </c>
      <c r="AO405" s="14">
        <f t="shared" si="243"/>
        <v>0</v>
      </c>
      <c r="AP405" s="23">
        <f t="shared" si="253"/>
        <v>0</v>
      </c>
      <c r="AQ405" s="23">
        <f t="shared" si="254"/>
        <v>0</v>
      </c>
    </row>
    <row r="406" spans="8:43" x14ac:dyDescent="0.25">
      <c r="H406" s="14">
        <v>5.0300000000000198</v>
      </c>
      <c r="I406" s="36">
        <f t="shared" si="244"/>
        <v>1071519.3052376558</v>
      </c>
      <c r="J406" s="24">
        <f t="shared" si="245"/>
        <v>-147.96899580467937</v>
      </c>
      <c r="K406" s="24">
        <f t="shared" si="246"/>
        <v>-60.864982904608731</v>
      </c>
      <c r="L406" s="14">
        <f t="shared" si="220"/>
        <v>0.67018069634200106</v>
      </c>
      <c r="M406" s="14">
        <f t="shared" si="221"/>
        <v>-89.477794037755146</v>
      </c>
      <c r="N406" s="14">
        <f t="shared" si="222"/>
        <v>40.805736382290327</v>
      </c>
      <c r="O406" s="14">
        <f t="shared" si="223"/>
        <v>-89.988115188119338</v>
      </c>
      <c r="P406" s="14">
        <f t="shared" si="224"/>
        <v>-73.662606473138197</v>
      </c>
      <c r="Q406" s="14">
        <f t="shared" si="225"/>
        <v>-83.608147909439069</v>
      </c>
      <c r="R406" s="14">
        <f t="shared" si="226"/>
        <v>-19.067942327069581</v>
      </c>
      <c r="S406" s="23">
        <f t="shared" si="247"/>
        <v>-263.07405713531358</v>
      </c>
      <c r="T406" s="23">
        <f t="shared" si="248"/>
        <v>-55.400974129755305</v>
      </c>
      <c r="U406" s="14">
        <f t="shared" si="227"/>
        <v>20000</v>
      </c>
      <c r="V406" s="14">
        <f t="shared" si="228"/>
        <v>-89.999996131700584</v>
      </c>
      <c r="W406" s="14">
        <f t="shared" si="229"/>
        <v>-143.41205098360686</v>
      </c>
      <c r="X406" s="14">
        <f t="shared" si="230"/>
        <v>89.992263401196425</v>
      </c>
      <c r="Y406" s="14">
        <f t="shared" si="231"/>
        <v>77.391451149511525</v>
      </c>
      <c r="Z406" s="14">
        <f t="shared" si="232"/>
        <v>-88.298448658161348</v>
      </c>
      <c r="AA406" s="14">
        <f t="shared" si="233"/>
        <v>-30.546828285033897</v>
      </c>
      <c r="AB406" s="23">
        <f t="shared" si="249"/>
        <v>-88.306181388665507</v>
      </c>
      <c r="AC406" s="23">
        <f t="shared" si="250"/>
        <v>-10.546828205849607</v>
      </c>
      <c r="AD406" s="14">
        <f t="shared" si="234"/>
        <v>87.873412379397948</v>
      </c>
      <c r="AE406" s="14">
        <f t="shared" si="235"/>
        <v>28.610781383363985</v>
      </c>
      <c r="AF406" s="14">
        <f t="shared" si="236"/>
        <v>21.996406007479585</v>
      </c>
      <c r="AG406" s="14">
        <f t="shared" si="237"/>
        <v>0.65646268083512171</v>
      </c>
      <c r="AH406" s="14">
        <f t="shared" si="238"/>
        <v>-86.458575667577819</v>
      </c>
      <c r="AI406" s="14">
        <f t="shared" si="239"/>
        <v>-24.184424633202934</v>
      </c>
      <c r="AJ406" s="23">
        <f t="shared" si="251"/>
        <v>23.411242719299722</v>
      </c>
      <c r="AK406" s="23">
        <f t="shared" si="252"/>
        <v>5.0828194309961745</v>
      </c>
      <c r="AL406" s="14">
        <f t="shared" si="240"/>
        <v>0</v>
      </c>
      <c r="AM406" s="14">
        <f t="shared" si="241"/>
        <v>0</v>
      </c>
      <c r="AN406" s="14">
        <f t="shared" si="242"/>
        <v>0</v>
      </c>
      <c r="AO406" s="14">
        <f t="shared" si="243"/>
        <v>0</v>
      </c>
      <c r="AP406" s="23">
        <f t="shared" si="253"/>
        <v>0</v>
      </c>
      <c r="AQ406" s="23">
        <f t="shared" si="254"/>
        <v>0</v>
      </c>
    </row>
    <row r="407" spans="8:43" x14ac:dyDescent="0.25">
      <c r="H407" s="14">
        <v>5.0400000000000196</v>
      </c>
      <c r="I407" s="36">
        <f t="shared" si="244"/>
        <v>1096478.1961432353</v>
      </c>
      <c r="J407" s="24">
        <f t="shared" si="245"/>
        <v>-147.73410717589468</v>
      </c>
      <c r="K407" s="24">
        <f t="shared" si="246"/>
        <v>-61.233307966654834</v>
      </c>
      <c r="L407" s="14">
        <f t="shared" si="220"/>
        <v>0.67018069634200106</v>
      </c>
      <c r="M407" s="14">
        <f t="shared" si="221"/>
        <v>-89.489680260719055</v>
      </c>
      <c r="N407" s="14">
        <f t="shared" si="222"/>
        <v>41.005720145673372</v>
      </c>
      <c r="O407" s="14">
        <f t="shared" si="223"/>
        <v>-89.988385719458677</v>
      </c>
      <c r="P407" s="14">
        <f t="shared" si="224"/>
        <v>-73.862606464727975</v>
      </c>
      <c r="Q407" s="14">
        <f t="shared" si="225"/>
        <v>-83.752480469744214</v>
      </c>
      <c r="R407" s="14">
        <f t="shared" si="226"/>
        <v>-19.265519093399536</v>
      </c>
      <c r="S407" s="23">
        <f t="shared" si="247"/>
        <v>-263.23054644992197</v>
      </c>
      <c r="T407" s="23">
        <f t="shared" si="248"/>
        <v>-55.598567124291989</v>
      </c>
      <c r="U407" s="14">
        <f t="shared" si="227"/>
        <v>20000</v>
      </c>
      <c r="V407" s="14">
        <f t="shared" si="228"/>
        <v>-89.999996219753825</v>
      </c>
      <c r="W407" s="14">
        <f t="shared" si="229"/>
        <v>-143.61205098360685</v>
      </c>
      <c r="X407" s="14">
        <f t="shared" si="230"/>
        <v>89.992439507683486</v>
      </c>
      <c r="Y407" s="14">
        <f t="shared" si="231"/>
        <v>77.591451145947644</v>
      </c>
      <c r="Z407" s="14">
        <f t="shared" si="232"/>
        <v>-88.337158697223259</v>
      </c>
      <c r="AA407" s="14">
        <f t="shared" si="233"/>
        <v>-30.746655941830902</v>
      </c>
      <c r="AB407" s="23">
        <f t="shared" si="249"/>
        <v>-88.344715409293599</v>
      </c>
      <c r="AC407" s="23">
        <f t="shared" si="250"/>
        <v>-10.746655866210482</v>
      </c>
      <c r="AD407" s="14">
        <f t="shared" si="234"/>
        <v>87.921776483342072</v>
      </c>
      <c r="AE407" s="14">
        <f t="shared" si="235"/>
        <v>28.81051222759622</v>
      </c>
      <c r="AF407" s="14">
        <f t="shared" si="236"/>
        <v>22.458368299429289</v>
      </c>
      <c r="AG407" s="14">
        <f t="shared" si="237"/>
        <v>0.68508155934868276</v>
      </c>
      <c r="AH407" s="14">
        <f t="shared" si="238"/>
        <v>-86.538990099450473</v>
      </c>
      <c r="AI407" s="14">
        <f t="shared" si="239"/>
        <v>-24.383678763097272</v>
      </c>
      <c r="AJ407" s="23">
        <f t="shared" si="251"/>
        <v>23.841154683320894</v>
      </c>
      <c r="AK407" s="23">
        <f t="shared" si="252"/>
        <v>5.1119150238476294</v>
      </c>
      <c r="AL407" s="14">
        <f t="shared" si="240"/>
        <v>0</v>
      </c>
      <c r="AM407" s="14">
        <f t="shared" si="241"/>
        <v>0</v>
      </c>
      <c r="AN407" s="14">
        <f t="shared" si="242"/>
        <v>0</v>
      </c>
      <c r="AO407" s="14">
        <f t="shared" si="243"/>
        <v>0</v>
      </c>
      <c r="AP407" s="23">
        <f t="shared" si="253"/>
        <v>0</v>
      </c>
      <c r="AQ407" s="23">
        <f t="shared" si="254"/>
        <v>0</v>
      </c>
    </row>
    <row r="408" spans="8:43" x14ac:dyDescent="0.25">
      <c r="H408" s="14">
        <v>5.0500000000000203</v>
      </c>
      <c r="I408" s="36">
        <f t="shared" si="244"/>
        <v>1122018.4543020169</v>
      </c>
      <c r="J408" s="24">
        <f t="shared" si="245"/>
        <v>-147.48654481425871</v>
      </c>
      <c r="K408" s="24">
        <f t="shared" si="246"/>
        <v>-61.600621203278564</v>
      </c>
      <c r="L408" s="14">
        <f t="shared" si="220"/>
        <v>0.67018069634200106</v>
      </c>
      <c r="M408" s="14">
        <f t="shared" si="221"/>
        <v>-89.501295962661658</v>
      </c>
      <c r="N408" s="14">
        <f t="shared" si="222"/>
        <v>41.205704639767916</v>
      </c>
      <c r="O408" s="14">
        <f t="shared" si="223"/>
        <v>-89.988650092753389</v>
      </c>
      <c r="P408" s="14">
        <f t="shared" si="224"/>
        <v>-74.062606456696287</v>
      </c>
      <c r="Q408" s="14">
        <f t="shared" si="225"/>
        <v>-83.893604583868154</v>
      </c>
      <c r="R408" s="14">
        <f t="shared" si="226"/>
        <v>-19.46320366034664</v>
      </c>
      <c r="S408" s="23">
        <f t="shared" si="247"/>
        <v>-263.38355063928316</v>
      </c>
      <c r="T408" s="23">
        <f t="shared" si="248"/>
        <v>-55.796267189112868</v>
      </c>
      <c r="U408" s="14">
        <f t="shared" si="227"/>
        <v>20000</v>
      </c>
      <c r="V408" s="14">
        <f t="shared" si="228"/>
        <v>-89.999996305802739</v>
      </c>
      <c r="W408" s="14">
        <f t="shared" si="229"/>
        <v>-143.81205098360687</v>
      </c>
      <c r="X408" s="14">
        <f t="shared" si="230"/>
        <v>89.992611605497615</v>
      </c>
      <c r="Y408" s="14">
        <f t="shared" si="231"/>
        <v>77.791451142544176</v>
      </c>
      <c r="Z408" s="14">
        <f t="shared" si="232"/>
        <v>-88.374989055546365</v>
      </c>
      <c r="AA408" s="14">
        <f t="shared" si="233"/>
        <v>-30.946491348965179</v>
      </c>
      <c r="AB408" s="23">
        <f t="shared" si="249"/>
        <v>-88.382373755851489</v>
      </c>
      <c r="AC408" s="23">
        <f t="shared" si="250"/>
        <v>-10.946491276748244</v>
      </c>
      <c r="AD408" s="14">
        <f t="shared" si="234"/>
        <v>87.969042549033247</v>
      </c>
      <c r="AE408" s="14">
        <f t="shared" si="235"/>
        <v>29.010255170260827</v>
      </c>
      <c r="AF408" s="14">
        <f t="shared" si="236"/>
        <v>22.927924300785172</v>
      </c>
      <c r="AG408" s="14">
        <f t="shared" si="237"/>
        <v>0.71484843539841303</v>
      </c>
      <c r="AH408" s="14">
        <f t="shared" si="238"/>
        <v>-86.617587268942501</v>
      </c>
      <c r="AI408" s="14">
        <f t="shared" si="239"/>
        <v>-24.582966343076691</v>
      </c>
      <c r="AJ408" s="23">
        <f t="shared" si="251"/>
        <v>24.279379580875926</v>
      </c>
      <c r="AK408" s="23">
        <f t="shared" si="252"/>
        <v>5.1421372625825477</v>
      </c>
      <c r="AL408" s="14">
        <f t="shared" si="240"/>
        <v>0</v>
      </c>
      <c r="AM408" s="14">
        <f t="shared" si="241"/>
        <v>0</v>
      </c>
      <c r="AN408" s="14">
        <f t="shared" si="242"/>
        <v>0</v>
      </c>
      <c r="AO408" s="14">
        <f t="shared" si="243"/>
        <v>0</v>
      </c>
      <c r="AP408" s="23">
        <f t="shared" si="253"/>
        <v>0</v>
      </c>
      <c r="AQ408" s="23">
        <f t="shared" si="254"/>
        <v>0</v>
      </c>
    </row>
    <row r="409" spans="8:43" x14ac:dyDescent="0.25">
      <c r="H409" s="14">
        <v>5.06000000000002</v>
      </c>
      <c r="I409" s="36">
        <f t="shared" si="244"/>
        <v>1148153.6214969375</v>
      </c>
      <c r="J409" s="24">
        <f t="shared" si="245"/>
        <v>-147.22642189778963</v>
      </c>
      <c r="K409" s="24">
        <f t="shared" si="246"/>
        <v>-61.966878873136601</v>
      </c>
      <c r="L409" s="14">
        <f t="shared" si="220"/>
        <v>0.67018069634200106</v>
      </c>
      <c r="M409" s="14">
        <f t="shared" si="221"/>
        <v>-89.512647298560381</v>
      </c>
      <c r="N409" s="14">
        <f t="shared" si="222"/>
        <v>41.405689831691468</v>
      </c>
      <c r="O409" s="14">
        <f t="shared" si="223"/>
        <v>-89.988908448177696</v>
      </c>
      <c r="P409" s="14">
        <f t="shared" si="224"/>
        <v>-74.262606449026066</v>
      </c>
      <c r="Q409" s="14">
        <f t="shared" si="225"/>
        <v>-84.031588224622126</v>
      </c>
      <c r="R409" s="14">
        <f t="shared" si="226"/>
        <v>-19.660991285972578</v>
      </c>
      <c r="S409" s="23">
        <f t="shared" si="247"/>
        <v>-263.53314397136018</v>
      </c>
      <c r="T409" s="23">
        <f t="shared" si="248"/>
        <v>-55.99406961514503</v>
      </c>
      <c r="U409" s="14">
        <f t="shared" si="227"/>
        <v>20000</v>
      </c>
      <c r="V409" s="14">
        <f t="shared" si="228"/>
        <v>-89.999996389892928</v>
      </c>
      <c r="W409" s="14">
        <f t="shared" si="229"/>
        <v>-144.01205098360685</v>
      </c>
      <c r="X409" s="14">
        <f t="shared" si="230"/>
        <v>89.992779785887379</v>
      </c>
      <c r="Y409" s="14">
        <f t="shared" si="231"/>
        <v>77.991451139293872</v>
      </c>
      <c r="Z409" s="14">
        <f t="shared" si="232"/>
        <v>-88.41195965927507</v>
      </c>
      <c r="AA409" s="14">
        <f t="shared" si="233"/>
        <v>-31.146334158175392</v>
      </c>
      <c r="AB409" s="23">
        <f t="shared" si="249"/>
        <v>-88.419176263280619</v>
      </c>
      <c r="AC409" s="23">
        <f t="shared" si="250"/>
        <v>-11.14633408920875</v>
      </c>
      <c r="AD409" s="14">
        <f t="shared" si="234"/>
        <v>88.015235380086565</v>
      </c>
      <c r="AE409" s="14">
        <f t="shared" si="235"/>
        <v>29.210009668207157</v>
      </c>
      <c r="AF409" s="14">
        <f t="shared" si="236"/>
        <v>23.405070622189648</v>
      </c>
      <c r="AG409" s="14">
        <f t="shared" si="237"/>
        <v>0.74580104113701429</v>
      </c>
      <c r="AH409" s="14">
        <f t="shared" si="238"/>
        <v>-86.694407665425061</v>
      </c>
      <c r="AI409" s="14">
        <f t="shared" si="239"/>
        <v>-24.782285878126984</v>
      </c>
      <c r="AJ409" s="23">
        <f t="shared" si="251"/>
        <v>24.725898336851159</v>
      </c>
      <c r="AK409" s="23">
        <f t="shared" si="252"/>
        <v>5.1735248312171862</v>
      </c>
      <c r="AL409" s="14">
        <f t="shared" si="240"/>
        <v>0</v>
      </c>
      <c r="AM409" s="14">
        <f t="shared" si="241"/>
        <v>0</v>
      </c>
      <c r="AN409" s="14">
        <f t="shared" si="242"/>
        <v>0</v>
      </c>
      <c r="AO409" s="14">
        <f t="shared" si="243"/>
        <v>0</v>
      </c>
      <c r="AP409" s="23">
        <f t="shared" si="253"/>
        <v>0</v>
      </c>
      <c r="AQ409" s="23">
        <f t="shared" si="254"/>
        <v>0</v>
      </c>
    </row>
    <row r="410" spans="8:43" x14ac:dyDescent="0.25">
      <c r="H410" s="14">
        <v>5.0700000000000198</v>
      </c>
      <c r="I410" s="36">
        <f t="shared" si="244"/>
        <v>1174897.5549395853</v>
      </c>
      <c r="J410" s="24">
        <f t="shared" si="245"/>
        <v>-146.95385789634568</v>
      </c>
      <c r="K410" s="24">
        <f t="shared" si="246"/>
        <v>-62.332036923457075</v>
      </c>
      <c r="L410" s="14">
        <f t="shared" si="220"/>
        <v>0.67018069634200106</v>
      </c>
      <c r="M410" s="14">
        <f t="shared" si="221"/>
        <v>-89.523740283477352</v>
      </c>
      <c r="N410" s="14">
        <f t="shared" si="222"/>
        <v>41.605675690041117</v>
      </c>
      <c r="O410" s="14">
        <f t="shared" si="223"/>
        <v>-89.989160922714973</v>
      </c>
      <c r="P410" s="14">
        <f t="shared" si="224"/>
        <v>-74.46260644170107</v>
      </c>
      <c r="Q410" s="14">
        <f t="shared" si="225"/>
        <v>-84.166498147091986</v>
      </c>
      <c r="R410" s="14">
        <f t="shared" si="226"/>
        <v>-19.858877432249436</v>
      </c>
      <c r="S410" s="23">
        <f t="shared" si="247"/>
        <v>-263.67939935328434</v>
      </c>
      <c r="T410" s="23">
        <f t="shared" si="248"/>
        <v>-56.191969895747242</v>
      </c>
      <c r="U410" s="14">
        <f t="shared" si="227"/>
        <v>20000</v>
      </c>
      <c r="V410" s="14">
        <f t="shared" si="228"/>
        <v>-89.999996472069</v>
      </c>
      <c r="W410" s="14">
        <f t="shared" si="229"/>
        <v>-144.21205098360684</v>
      </c>
      <c r="X410" s="14">
        <f t="shared" si="230"/>
        <v>89.992944138024185</v>
      </c>
      <c r="Y410" s="14">
        <f t="shared" si="231"/>
        <v>78.191451136189855</v>
      </c>
      <c r="Z410" s="14">
        <f t="shared" si="232"/>
        <v>-88.448089987497994</v>
      </c>
      <c r="AA410" s="14">
        <f t="shared" si="233"/>
        <v>-31.346184036825253</v>
      </c>
      <c r="AB410" s="23">
        <f t="shared" si="249"/>
        <v>-88.455142321542809</v>
      </c>
      <c r="AC410" s="23">
        <f t="shared" si="250"/>
        <v>-11.346183970962617</v>
      </c>
      <c r="AD410" s="14">
        <f t="shared" si="234"/>
        <v>88.060379228217798</v>
      </c>
      <c r="AE410" s="14">
        <f t="shared" si="235"/>
        <v>29.409775202610227</v>
      </c>
      <c r="AF410" s="14">
        <f t="shared" si="236"/>
        <v>23.889795464951813</v>
      </c>
      <c r="AG410" s="14">
        <f t="shared" si="237"/>
        <v>0.7779776802450733</v>
      </c>
      <c r="AH410" s="14">
        <f t="shared" si="238"/>
        <v>-86.769490914688149</v>
      </c>
      <c r="AI410" s="14">
        <f t="shared" si="239"/>
        <v>-24.981635939602512</v>
      </c>
      <c r="AJ410" s="23">
        <f t="shared" si="251"/>
        <v>25.180683778481466</v>
      </c>
      <c r="AK410" s="23">
        <f t="shared" si="252"/>
        <v>5.2061169432527876</v>
      </c>
      <c r="AL410" s="14">
        <f t="shared" si="240"/>
        <v>0</v>
      </c>
      <c r="AM410" s="14">
        <f t="shared" si="241"/>
        <v>0</v>
      </c>
      <c r="AN410" s="14">
        <f t="shared" si="242"/>
        <v>0</v>
      </c>
      <c r="AO410" s="14">
        <f t="shared" si="243"/>
        <v>0</v>
      </c>
      <c r="AP410" s="23">
        <f t="shared" si="253"/>
        <v>0</v>
      </c>
      <c r="AQ410" s="23">
        <f t="shared" si="254"/>
        <v>0</v>
      </c>
    </row>
    <row r="411" spans="8:43" x14ac:dyDescent="0.25">
      <c r="H411" s="14">
        <v>5.0800000000000196</v>
      </c>
      <c r="I411" s="36">
        <f t="shared" si="244"/>
        <v>1202264.4346174677</v>
      </c>
      <c r="J411" s="24">
        <f t="shared" si="245"/>
        <v>-146.66897898298032</v>
      </c>
      <c r="K411" s="24">
        <f t="shared" si="246"/>
        <v>-62.696051025531588</v>
      </c>
      <c r="L411" s="14">
        <f t="shared" si="220"/>
        <v>0.67018069634200106</v>
      </c>
      <c r="M411" s="14">
        <f t="shared" si="221"/>
        <v>-89.534580795731543</v>
      </c>
      <c r="N411" s="14">
        <f t="shared" si="222"/>
        <v>41.805662184826872</v>
      </c>
      <c r="O411" s="14">
        <f t="shared" si="223"/>
        <v>-89.989407650230575</v>
      </c>
      <c r="P411" s="14">
        <f t="shared" si="224"/>
        <v>-74.662606434705722</v>
      </c>
      <c r="Q411" s="14">
        <f t="shared" si="225"/>
        <v>-84.2983998952419</v>
      </c>
      <c r="R411" s="14">
        <f t="shared" si="226"/>
        <v>-20.056857756699131</v>
      </c>
      <c r="S411" s="23">
        <f t="shared" si="247"/>
        <v>-263.82238834120403</v>
      </c>
      <c r="T411" s="23">
        <f t="shared" si="248"/>
        <v>-56.389963718415835</v>
      </c>
      <c r="U411" s="14">
        <f t="shared" si="227"/>
        <v>20000</v>
      </c>
      <c r="V411" s="14">
        <f t="shared" si="228"/>
        <v>-89.999996552374512</v>
      </c>
      <c r="W411" s="14">
        <f t="shared" si="229"/>
        <v>-144.41205098360683</v>
      </c>
      <c r="X411" s="14">
        <f t="shared" si="230"/>
        <v>89.993104749049749</v>
      </c>
      <c r="Y411" s="14">
        <f t="shared" si="231"/>
        <v>78.391451133225544</v>
      </c>
      <c r="Z411" s="14">
        <f t="shared" si="232"/>
        <v>-88.483399081990456</v>
      </c>
      <c r="AA411" s="14">
        <f t="shared" si="233"/>
        <v>-31.546040667204565</v>
      </c>
      <c r="AB411" s="23">
        <f t="shared" si="249"/>
        <v>-88.490290885315218</v>
      </c>
      <c r="AC411" s="23">
        <f t="shared" si="250"/>
        <v>-11.546040604306228</v>
      </c>
      <c r="AD411" s="14">
        <f t="shared" si="234"/>
        <v>88.104497804962165</v>
      </c>
      <c r="AE411" s="14">
        <f t="shared" si="235"/>
        <v>29.60955127788635</v>
      </c>
      <c r="AF411" s="14">
        <f t="shared" si="236"/>
        <v>24.382078233346338</v>
      </c>
      <c r="AG411" s="14">
        <f t="shared" si="237"/>
        <v>0.81141718162338305</v>
      </c>
      <c r="AH411" s="14">
        <f t="shared" si="238"/>
        <v>-86.84287579476954</v>
      </c>
      <c r="AI411" s="14">
        <f t="shared" si="239"/>
        <v>-25.181015162319262</v>
      </c>
      <c r="AJ411" s="23">
        <f t="shared" si="251"/>
        <v>25.643700243538959</v>
      </c>
      <c r="AK411" s="23">
        <f t="shared" si="252"/>
        <v>5.2399532971904712</v>
      </c>
      <c r="AL411" s="14">
        <f t="shared" si="240"/>
        <v>0</v>
      </c>
      <c r="AM411" s="14">
        <f t="shared" si="241"/>
        <v>0</v>
      </c>
      <c r="AN411" s="14">
        <f t="shared" si="242"/>
        <v>0</v>
      </c>
      <c r="AO411" s="14">
        <f t="shared" si="243"/>
        <v>0</v>
      </c>
      <c r="AP411" s="23">
        <f t="shared" si="253"/>
        <v>0</v>
      </c>
      <c r="AQ411" s="23">
        <f t="shared" si="254"/>
        <v>0</v>
      </c>
    </row>
    <row r="412" spans="8:43" x14ac:dyDescent="0.25">
      <c r="H412" s="14">
        <v>5.0900000000000203</v>
      </c>
      <c r="I412" s="36">
        <f t="shared" si="244"/>
        <v>1230268.7708124397</v>
      </c>
      <c r="J412" s="24">
        <f t="shared" si="245"/>
        <v>-146.37191843983814</v>
      </c>
      <c r="K412" s="24">
        <f t="shared" si="246"/>
        <v>-63.058876615388272</v>
      </c>
      <c r="L412" s="14">
        <f t="shared" si="220"/>
        <v>0.67018069634200106</v>
      </c>
      <c r="M412" s="14">
        <f t="shared" si="221"/>
        <v>-89.545174579999781</v>
      </c>
      <c r="N412" s="14">
        <f t="shared" si="222"/>
        <v>42.005649287408218</v>
      </c>
      <c r="O412" s="14">
        <f t="shared" si="223"/>
        <v>-89.989648761542625</v>
      </c>
      <c r="P412" s="14">
        <f t="shared" si="224"/>
        <v>-74.862606428025259</v>
      </c>
      <c r="Q412" s="14">
        <f t="shared" si="225"/>
        <v>-84.427357809683997</v>
      </c>
      <c r="R412" s="14">
        <f t="shared" si="226"/>
        <v>-20.2549281043399</v>
      </c>
      <c r="S412" s="23">
        <f t="shared" si="247"/>
        <v>-263.96218115122639</v>
      </c>
      <c r="T412" s="23">
        <f t="shared" si="248"/>
        <v>-56.588046956794798</v>
      </c>
      <c r="U412" s="14">
        <f t="shared" si="227"/>
        <v>20000</v>
      </c>
      <c r="V412" s="14">
        <f t="shared" si="228"/>
        <v>-89.999996630852053</v>
      </c>
      <c r="W412" s="14">
        <f t="shared" si="229"/>
        <v>-144.61205098360685</v>
      </c>
      <c r="X412" s="14">
        <f t="shared" si="230"/>
        <v>89.993261704122119</v>
      </c>
      <c r="Y412" s="14">
        <f t="shared" si="231"/>
        <v>78.59145113039466</v>
      </c>
      <c r="Z412" s="14">
        <f t="shared" si="232"/>
        <v>-88.517905556763864</v>
      </c>
      <c r="AA412" s="14">
        <f t="shared" si="233"/>
        <v>-31.74590374586144</v>
      </c>
      <c r="AB412" s="23">
        <f t="shared" si="249"/>
        <v>-88.524640483493798</v>
      </c>
      <c r="AC412" s="23">
        <f t="shared" si="250"/>
        <v>-11.745903685794005</v>
      </c>
      <c r="AD412" s="14">
        <f t="shared" si="234"/>
        <v>88.147614293182372</v>
      </c>
      <c r="AE412" s="14">
        <f t="shared" si="235"/>
        <v>29.809337420656789</v>
      </c>
      <c r="AF412" s="14">
        <f t="shared" si="236"/>
        <v>24.881889153373564</v>
      </c>
      <c r="AG412" s="14">
        <f t="shared" si="237"/>
        <v>0.84615884831565569</v>
      </c>
      <c r="AH412" s="14">
        <f t="shared" si="238"/>
        <v>-86.914600251673903</v>
      </c>
      <c r="AI412" s="14">
        <f t="shared" si="239"/>
        <v>-25.380422241771914</v>
      </c>
      <c r="AJ412" s="23">
        <f t="shared" si="251"/>
        <v>26.114903194882032</v>
      </c>
      <c r="AK412" s="23">
        <f t="shared" si="252"/>
        <v>5.2750740272005316</v>
      </c>
      <c r="AL412" s="14">
        <f t="shared" si="240"/>
        <v>0</v>
      </c>
      <c r="AM412" s="14">
        <f t="shared" si="241"/>
        <v>0</v>
      </c>
      <c r="AN412" s="14">
        <f t="shared" si="242"/>
        <v>0</v>
      </c>
      <c r="AO412" s="14">
        <f t="shared" si="243"/>
        <v>0</v>
      </c>
      <c r="AP412" s="23">
        <f t="shared" si="253"/>
        <v>0</v>
      </c>
      <c r="AQ412" s="23">
        <f t="shared" si="254"/>
        <v>0</v>
      </c>
    </row>
    <row r="413" spans="8:43" x14ac:dyDescent="0.25">
      <c r="H413" s="14">
        <v>5.1000000000000201</v>
      </c>
      <c r="I413" s="36">
        <f t="shared" si="244"/>
        <v>1258925.4117942266</v>
      </c>
      <c r="J413" s="24">
        <f t="shared" si="245"/>
        <v>-146.06281705600207</v>
      </c>
      <c r="K413" s="24">
        <f t="shared" si="246"/>
        <v>-63.420468939725794</v>
      </c>
      <c r="L413" s="14">
        <f t="shared" si="220"/>
        <v>0.67018069634200106</v>
      </c>
      <c r="M413" s="14">
        <f t="shared" si="221"/>
        <v>-89.55552725034768</v>
      </c>
      <c r="N413" s="14">
        <f t="shared" si="222"/>
        <v>42.205636970433254</v>
      </c>
      <c r="O413" s="14">
        <f t="shared" si="223"/>
        <v>-89.989884384491518</v>
      </c>
      <c r="P413" s="14">
        <f t="shared" si="224"/>
        <v>-75.062606421645455</v>
      </c>
      <c r="Q413" s="14">
        <f t="shared" si="225"/>
        <v>-84.553435036508972</v>
      </c>
      <c r="R413" s="14">
        <f t="shared" si="226"/>
        <v>-20.45308449993151</v>
      </c>
      <c r="S413" s="23">
        <f t="shared" si="247"/>
        <v>-264.09884667134816</v>
      </c>
      <c r="T413" s="23">
        <f t="shared" si="248"/>
        <v>-56.786215662981562</v>
      </c>
      <c r="U413" s="14">
        <f t="shared" si="227"/>
        <v>20000</v>
      </c>
      <c r="V413" s="14">
        <f t="shared" si="228"/>
        <v>-89.999996707543218</v>
      </c>
      <c r="W413" s="14">
        <f t="shared" si="229"/>
        <v>-144.81205098360687</v>
      </c>
      <c r="X413" s="14">
        <f t="shared" si="230"/>
        <v>89.993415086460956</v>
      </c>
      <c r="Y413" s="14">
        <f t="shared" si="231"/>
        <v>78.791451127691175</v>
      </c>
      <c r="Z413" s="14">
        <f t="shared" si="232"/>
        <v>-88.551627607424592</v>
      </c>
      <c r="AA413" s="14">
        <f t="shared" si="233"/>
        <v>-31.945772982964048</v>
      </c>
      <c r="AB413" s="23">
        <f t="shared" si="249"/>
        <v>-88.558209228506854</v>
      </c>
      <c r="AC413" s="23">
        <f t="shared" si="250"/>
        <v>-11.945772925600114</v>
      </c>
      <c r="AD413" s="14">
        <f t="shared" si="234"/>
        <v>88.189751358366834</v>
      </c>
      <c r="AE413" s="14">
        <f t="shared" si="235"/>
        <v>30.00913317875704</v>
      </c>
      <c r="AF413" s="14">
        <f t="shared" si="236"/>
        <v>25.389188900454489</v>
      </c>
      <c r="AG413" s="14">
        <f t="shared" si="237"/>
        <v>0.88224240156836664</v>
      </c>
      <c r="AH413" s="14">
        <f t="shared" si="238"/>
        <v>-86.984701414968384</v>
      </c>
      <c r="AI413" s="14">
        <f t="shared" si="239"/>
        <v>-25.579855931469528</v>
      </c>
      <c r="AJ413" s="23">
        <f t="shared" si="251"/>
        <v>26.594238843852935</v>
      </c>
      <c r="AK413" s="23">
        <f t="shared" si="252"/>
        <v>5.311519648855878</v>
      </c>
      <c r="AL413" s="14">
        <f t="shared" si="240"/>
        <v>0</v>
      </c>
      <c r="AM413" s="14">
        <f t="shared" si="241"/>
        <v>0</v>
      </c>
      <c r="AN413" s="14">
        <f t="shared" si="242"/>
        <v>0</v>
      </c>
      <c r="AO413" s="14">
        <f t="shared" si="243"/>
        <v>0</v>
      </c>
      <c r="AP413" s="23">
        <f t="shared" si="253"/>
        <v>0</v>
      </c>
      <c r="AQ413" s="23">
        <f t="shared" si="254"/>
        <v>0</v>
      </c>
    </row>
    <row r="414" spans="8:43" x14ac:dyDescent="0.25">
      <c r="H414" s="14">
        <v>5.1100000000000199</v>
      </c>
      <c r="I414" s="36">
        <f t="shared" si="244"/>
        <v>1288249.5516931945</v>
      </c>
      <c r="J414" s="24">
        <f t="shared" si="245"/>
        <v>-145.74182351455914</v>
      </c>
      <c r="K414" s="24">
        <f t="shared" si="246"/>
        <v>-63.780783107163053</v>
      </c>
      <c r="L414" s="14">
        <f t="shared" si="220"/>
        <v>0.67018069634200106</v>
      </c>
      <c r="M414" s="14">
        <f t="shared" si="221"/>
        <v>-89.565644293192605</v>
      </c>
      <c r="N414" s="14">
        <f t="shared" si="222"/>
        <v>42.405625207780879</v>
      </c>
      <c r="O414" s="14">
        <f t="shared" si="223"/>
        <v>-89.990114644007605</v>
      </c>
      <c r="P414" s="14">
        <f t="shared" si="224"/>
        <v>-75.262606415552767</v>
      </c>
      <c r="Q414" s="14">
        <f t="shared" si="225"/>
        <v>-84.676693537079984</v>
      </c>
      <c r="R414" s="14">
        <f t="shared" si="226"/>
        <v>-20.651323140511494</v>
      </c>
      <c r="S414" s="23">
        <f t="shared" si="247"/>
        <v>-264.23245247428019</v>
      </c>
      <c r="T414" s="23">
        <f t="shared" si="248"/>
        <v>-56.984466060121235</v>
      </c>
      <c r="U414" s="14">
        <f t="shared" si="227"/>
        <v>20000</v>
      </c>
      <c r="V414" s="14">
        <f t="shared" si="228"/>
        <v>-89.99999678248868</v>
      </c>
      <c r="W414" s="14">
        <f t="shared" si="229"/>
        <v>-145.01205098360685</v>
      </c>
      <c r="X414" s="14">
        <f t="shared" si="230"/>
        <v>89.993564977391586</v>
      </c>
      <c r="Y414" s="14">
        <f t="shared" si="231"/>
        <v>78.991451125109378</v>
      </c>
      <c r="Z414" s="14">
        <f t="shared" si="232"/>
        <v>-88.584583020345178</v>
      </c>
      <c r="AA414" s="14">
        <f t="shared" si="233"/>
        <v>-32.145648101691037</v>
      </c>
      <c r="AB414" s="23">
        <f t="shared" si="249"/>
        <v>-88.591014825442272</v>
      </c>
      <c r="AC414" s="23">
        <f t="shared" si="250"/>
        <v>-12.145648046908889</v>
      </c>
      <c r="AD414" s="14">
        <f t="shared" si="234"/>
        <v>88.23093115971966</v>
      </c>
      <c r="AE414" s="14">
        <f t="shared" si="235"/>
        <v>30.20893812029016</v>
      </c>
      <c r="AF414" s="14">
        <f t="shared" si="236"/>
        <v>25.903928238685928</v>
      </c>
      <c r="AG414" s="14">
        <f t="shared" si="237"/>
        <v>0.91970791996256551</v>
      </c>
      <c r="AH414" s="14">
        <f t="shared" si="238"/>
        <v>-87.053215613242273</v>
      </c>
      <c r="AI414" s="14">
        <f t="shared" si="239"/>
        <v>-25.779315040385654</v>
      </c>
      <c r="AJ414" s="23">
        <f t="shared" si="251"/>
        <v>27.081643785163308</v>
      </c>
      <c r="AK414" s="23">
        <f t="shared" si="252"/>
        <v>5.3493309998670711</v>
      </c>
      <c r="AL414" s="14">
        <f t="shared" si="240"/>
        <v>0</v>
      </c>
      <c r="AM414" s="14">
        <f t="shared" si="241"/>
        <v>0</v>
      </c>
      <c r="AN414" s="14">
        <f t="shared" si="242"/>
        <v>0</v>
      </c>
      <c r="AO414" s="14">
        <f t="shared" si="243"/>
        <v>0</v>
      </c>
      <c r="AP414" s="23">
        <f t="shared" si="253"/>
        <v>0</v>
      </c>
      <c r="AQ414" s="23">
        <f t="shared" si="254"/>
        <v>0</v>
      </c>
    </row>
    <row r="415" spans="8:43" x14ac:dyDescent="0.25">
      <c r="H415" s="14">
        <v>5.1200000000000196</v>
      </c>
      <c r="I415" s="36">
        <f t="shared" si="244"/>
        <v>1318256.7385564693</v>
      </c>
      <c r="J415" s="24">
        <f t="shared" si="245"/>
        <v>-145.40909476602451</v>
      </c>
      <c r="K415" s="24">
        <f t="shared" si="246"/>
        <v>-64.139774144825125</v>
      </c>
      <c r="L415" s="14">
        <f t="shared" si="220"/>
        <v>0.67018069634200106</v>
      </c>
      <c r="M415" s="14">
        <f t="shared" si="221"/>
        <v>-89.575531070199588</v>
      </c>
      <c r="N415" s="14">
        <f t="shared" si="222"/>
        <v>42.605613974505331</v>
      </c>
      <c r="O415" s="14">
        <f t="shared" si="223"/>
        <v>-89.990339662177519</v>
      </c>
      <c r="P415" s="14">
        <f t="shared" si="224"/>
        <v>-75.46260640973432</v>
      </c>
      <c r="Q415" s="14">
        <f t="shared" si="225"/>
        <v>-84.797194098697815</v>
      </c>
      <c r="R415" s="14">
        <f t="shared" si="226"/>
        <v>-20.849640388213729</v>
      </c>
      <c r="S415" s="23">
        <f t="shared" si="247"/>
        <v>-264.36306483107489</v>
      </c>
      <c r="T415" s="23">
        <f t="shared" si="248"/>
        <v>-57.182794535280571</v>
      </c>
      <c r="U415" s="14">
        <f t="shared" si="227"/>
        <v>20000</v>
      </c>
      <c r="V415" s="14">
        <f t="shared" si="228"/>
        <v>-89.999996855728185</v>
      </c>
      <c r="W415" s="14">
        <f t="shared" si="229"/>
        <v>-145.21205098360684</v>
      </c>
      <c r="X415" s="14">
        <f t="shared" si="230"/>
        <v>89.993711456388183</v>
      </c>
      <c r="Y415" s="14">
        <f t="shared" si="231"/>
        <v>79.19145112264377</v>
      </c>
      <c r="Z415" s="14">
        <f t="shared" si="232"/>
        <v>-88.616789181650006</v>
      </c>
      <c r="AA415" s="14">
        <f t="shared" si="233"/>
        <v>-32.345528837648928</v>
      </c>
      <c r="AB415" s="23">
        <f t="shared" si="249"/>
        <v>-88.623074580990007</v>
      </c>
      <c r="AC415" s="23">
        <f t="shared" si="250"/>
        <v>-12.345528785332377</v>
      </c>
      <c r="AD415" s="14">
        <f t="shared" si="234"/>
        <v>88.271175361043603</v>
      </c>
      <c r="AE415" s="14">
        <f t="shared" si="235"/>
        <v>30.408751832721851</v>
      </c>
      <c r="AF415" s="14">
        <f t="shared" si="236"/>
        <v>26.426047674416381</v>
      </c>
      <c r="AG415" s="14">
        <f t="shared" si="237"/>
        <v>0.95859577358358816</v>
      </c>
      <c r="AH415" s="14">
        <f t="shared" si="238"/>
        <v>-87.120178389419593</v>
      </c>
      <c r="AI415" s="14">
        <f t="shared" si="239"/>
        <v>-25.978798430517621</v>
      </c>
      <c r="AJ415" s="23">
        <f t="shared" si="251"/>
        <v>27.577044646040392</v>
      </c>
      <c r="AK415" s="23">
        <f t="shared" si="252"/>
        <v>5.3885491757878192</v>
      </c>
      <c r="AL415" s="14">
        <f t="shared" si="240"/>
        <v>0</v>
      </c>
      <c r="AM415" s="14">
        <f t="shared" si="241"/>
        <v>0</v>
      </c>
      <c r="AN415" s="14">
        <f t="shared" si="242"/>
        <v>0</v>
      </c>
      <c r="AO415" s="14">
        <f t="shared" si="243"/>
        <v>0</v>
      </c>
      <c r="AP415" s="23">
        <f t="shared" si="253"/>
        <v>0</v>
      </c>
      <c r="AQ415" s="23">
        <f t="shared" si="254"/>
        <v>0</v>
      </c>
    </row>
    <row r="416" spans="8:43" x14ac:dyDescent="0.25">
      <c r="H416" s="14">
        <v>5.1300000000000203</v>
      </c>
      <c r="I416" s="36">
        <f t="shared" si="244"/>
        <v>1348962.8825917193</v>
      </c>
      <c r="J416" s="24">
        <f t="shared" si="245"/>
        <v>-145.06479638514401</v>
      </c>
      <c r="K416" s="24">
        <f t="shared" si="246"/>
        <v>-64.497397060253022</v>
      </c>
      <c r="L416" s="14">
        <f t="shared" si="220"/>
        <v>0.67018069634200106</v>
      </c>
      <c r="M416" s="14">
        <f t="shared" si="221"/>
        <v>-89.58519282111223</v>
      </c>
      <c r="N416" s="14">
        <f t="shared" si="222"/>
        <v>42.805603246783342</v>
      </c>
      <c r="O416" s="14">
        <f t="shared" si="223"/>
        <v>-89.990559558308846</v>
      </c>
      <c r="P416" s="14">
        <f t="shared" si="224"/>
        <v>-75.662606404177751</v>
      </c>
      <c r="Q416" s="14">
        <f t="shared" si="225"/>
        <v>-84.914996346051652</v>
      </c>
      <c r="R416" s="14">
        <f t="shared" si="226"/>
        <v>-21.048032763361412</v>
      </c>
      <c r="S416" s="23">
        <f t="shared" si="247"/>
        <v>-264.49074872547271</v>
      </c>
      <c r="T416" s="23">
        <f t="shared" si="248"/>
        <v>-57.381197632593675</v>
      </c>
      <c r="U416" s="14">
        <f t="shared" si="227"/>
        <v>20000</v>
      </c>
      <c r="V416" s="14">
        <f t="shared" si="228"/>
        <v>-89.999996927300543</v>
      </c>
      <c r="W416" s="14">
        <f t="shared" si="229"/>
        <v>-145.41205098360686</v>
      </c>
      <c r="X416" s="14">
        <f t="shared" si="230"/>
        <v>89.993854601115814</v>
      </c>
      <c r="Y416" s="14">
        <f t="shared" si="231"/>
        <v>79.391451120289162</v>
      </c>
      <c r="Z416" s="14">
        <f t="shared" si="232"/>
        <v>-88.648263086018503</v>
      </c>
      <c r="AA416" s="14">
        <f t="shared" si="233"/>
        <v>-32.545414938315481</v>
      </c>
      <c r="AB416" s="23">
        <f t="shared" si="249"/>
        <v>-88.654405412203232</v>
      </c>
      <c r="AC416" s="23">
        <f t="shared" si="250"/>
        <v>-12.545414888353555</v>
      </c>
      <c r="AD416" s="14">
        <f t="shared" si="234"/>
        <v>88.310505141417948</v>
      </c>
      <c r="AE416" s="14">
        <f t="shared" si="235"/>
        <v>30.608573922015637</v>
      </c>
      <c r="AF416" s="14">
        <f t="shared" si="236"/>
        <v>26.955477127029024</v>
      </c>
      <c r="AG416" s="14">
        <f t="shared" si="237"/>
        <v>0.99894655322953341</v>
      </c>
      <c r="AH416" s="14">
        <f t="shared" si="238"/>
        <v>-87.185624515915038</v>
      </c>
      <c r="AI416" s="14">
        <f t="shared" si="239"/>
        <v>-26.178305014550958</v>
      </c>
      <c r="AJ416" s="23">
        <f t="shared" si="251"/>
        <v>28.080357752531938</v>
      </c>
      <c r="AK416" s="23">
        <f t="shared" si="252"/>
        <v>5.4292154606942127</v>
      </c>
      <c r="AL416" s="14">
        <f t="shared" si="240"/>
        <v>0</v>
      </c>
      <c r="AM416" s="14">
        <f t="shared" si="241"/>
        <v>0</v>
      </c>
      <c r="AN416" s="14">
        <f t="shared" si="242"/>
        <v>0</v>
      </c>
      <c r="AO416" s="14">
        <f t="shared" si="243"/>
        <v>0</v>
      </c>
      <c r="AP416" s="23">
        <f t="shared" si="253"/>
        <v>0</v>
      </c>
      <c r="AQ416" s="23">
        <f t="shared" si="254"/>
        <v>0</v>
      </c>
    </row>
    <row r="417" spans="8:43" x14ac:dyDescent="0.25">
      <c r="H417" s="14">
        <v>5.1400000000000201</v>
      </c>
      <c r="I417" s="36">
        <f t="shared" si="244"/>
        <v>1380384.2646029496</v>
      </c>
      <c r="J417" s="24">
        <f t="shared" si="245"/>
        <v>-144.70910290799623</v>
      </c>
      <c r="K417" s="24">
        <f t="shared" si="246"/>
        <v>-64.853606908586812</v>
      </c>
      <c r="L417" s="14">
        <f t="shared" si="220"/>
        <v>0.67018069634200106</v>
      </c>
      <c r="M417" s="14">
        <f t="shared" si="221"/>
        <v>-89.594634666519582</v>
      </c>
      <c r="N417" s="14">
        <f t="shared" si="222"/>
        <v>43.00559300186363</v>
      </c>
      <c r="O417" s="14">
        <f t="shared" si="223"/>
        <v>-89.990774448993378</v>
      </c>
      <c r="P417" s="14">
        <f t="shared" si="224"/>
        <v>-75.862606398871236</v>
      </c>
      <c r="Q417" s="14">
        <f t="shared" si="225"/>
        <v>-85.030158753375161</v>
      </c>
      <c r="R417" s="14">
        <f t="shared" si="226"/>
        <v>-21.246496937826095</v>
      </c>
      <c r="S417" s="23">
        <f t="shared" si="247"/>
        <v>-264.61556786888809</v>
      </c>
      <c r="T417" s="23">
        <f t="shared" si="248"/>
        <v>-57.579672046671554</v>
      </c>
      <c r="U417" s="14">
        <f t="shared" si="227"/>
        <v>20000</v>
      </c>
      <c r="V417" s="14">
        <f t="shared" si="228"/>
        <v>-89.999996997243727</v>
      </c>
      <c r="W417" s="14">
        <f t="shared" si="229"/>
        <v>-145.61205098360685</v>
      </c>
      <c r="X417" s="14">
        <f t="shared" si="230"/>
        <v>89.99399448747171</v>
      </c>
      <c r="Y417" s="14">
        <f t="shared" si="231"/>
        <v>79.591451118040482</v>
      </c>
      <c r="Z417" s="14">
        <f t="shared" si="232"/>
        <v>-88.6790213453083</v>
      </c>
      <c r="AA417" s="14">
        <f t="shared" si="233"/>
        <v>-32.745306162507873</v>
      </c>
      <c r="AB417" s="23">
        <f t="shared" si="249"/>
        <v>-88.685023855080317</v>
      </c>
      <c r="AC417" s="23">
        <f t="shared" si="250"/>
        <v>-12.745306114794616</v>
      </c>
      <c r="AD417" s="14">
        <f t="shared" si="234"/>
        <v>88.348941205673029</v>
      </c>
      <c r="AE417" s="14">
        <f t="shared" si="235"/>
        <v>30.808404011806392</v>
      </c>
      <c r="AF417" s="14">
        <f t="shared" si="236"/>
        <v>27.492135619922983</v>
      </c>
      <c r="AG417" s="14">
        <f t="shared" si="237"/>
        <v>1.0408009946973464</v>
      </c>
      <c r="AH417" s="14">
        <f t="shared" si="238"/>
        <v>-87.249588009623835</v>
      </c>
      <c r="AI417" s="14">
        <f t="shared" si="239"/>
        <v>-26.377833753624394</v>
      </c>
      <c r="AJ417" s="23">
        <f t="shared" si="251"/>
        <v>28.591488815972184</v>
      </c>
      <c r="AK417" s="23">
        <f t="shared" si="252"/>
        <v>5.4713712528793437</v>
      </c>
      <c r="AL417" s="14">
        <f t="shared" si="240"/>
        <v>0</v>
      </c>
      <c r="AM417" s="14">
        <f t="shared" si="241"/>
        <v>0</v>
      </c>
      <c r="AN417" s="14">
        <f t="shared" si="242"/>
        <v>0</v>
      </c>
      <c r="AO417" s="14">
        <f t="shared" si="243"/>
        <v>0</v>
      </c>
      <c r="AP417" s="23">
        <f t="shared" si="253"/>
        <v>0</v>
      </c>
      <c r="AQ417" s="23">
        <f t="shared" si="254"/>
        <v>0</v>
      </c>
    </row>
    <row r="418" spans="8:43" x14ac:dyDescent="0.25">
      <c r="H418" s="14">
        <v>5.1500000000000199</v>
      </c>
      <c r="I418" s="36">
        <f t="shared" si="244"/>
        <v>1412537.5446228203</v>
      </c>
      <c r="J418" s="24">
        <f t="shared" si="245"/>
        <v>-144.34219814623788</v>
      </c>
      <c r="K418" s="24">
        <f t="shared" si="246"/>
        <v>-65.208358864930702</v>
      </c>
      <c r="L418" s="14">
        <f t="shared" si="220"/>
        <v>0.67018069634200106</v>
      </c>
      <c r="M418" s="14">
        <f t="shared" si="221"/>
        <v>-89.603861610560642</v>
      </c>
      <c r="N418" s="14">
        <f t="shared" si="222"/>
        <v>43.205583218018695</v>
      </c>
      <c r="O418" s="14">
        <f t="shared" si="223"/>
        <v>-89.990984448168987</v>
      </c>
      <c r="P418" s="14">
        <f t="shared" si="224"/>
        <v>-76.062606393803577</v>
      </c>
      <c r="Q418" s="14">
        <f t="shared" si="225"/>
        <v>-85.142738657233281</v>
      </c>
      <c r="R418" s="14">
        <f t="shared" si="226"/>
        <v>-21.445029728644748</v>
      </c>
      <c r="S418" s="23">
        <f t="shared" si="247"/>
        <v>-264.7375847159629</v>
      </c>
      <c r="T418" s="23">
        <f t="shared" si="248"/>
        <v>-57.778214616267483</v>
      </c>
      <c r="U418" s="14">
        <f t="shared" si="227"/>
        <v>20000</v>
      </c>
      <c r="V418" s="14">
        <f t="shared" si="228"/>
        <v>-89.999997065594812</v>
      </c>
      <c r="W418" s="14">
        <f t="shared" si="229"/>
        <v>-145.81205098360684</v>
      </c>
      <c r="X418" s="14">
        <f t="shared" si="230"/>
        <v>89.994131189625477</v>
      </c>
      <c r="Y418" s="14">
        <f t="shared" si="231"/>
        <v>79.791451115893025</v>
      </c>
      <c r="Z418" s="14">
        <f t="shared" si="232"/>
        <v>-88.709080197001271</v>
      </c>
      <c r="AA418" s="14">
        <f t="shared" si="233"/>
        <v>-32.945202279874728</v>
      </c>
      <c r="AB418" s="23">
        <f t="shared" si="249"/>
        <v>-88.714946072970605</v>
      </c>
      <c r="AC418" s="23">
        <f t="shared" si="250"/>
        <v>-12.945202234308915</v>
      </c>
      <c r="AD418" s="14">
        <f t="shared" si="234"/>
        <v>88.386503794663511</v>
      </c>
      <c r="AE418" s="14">
        <f t="shared" si="235"/>
        <v>31.00824174261065</v>
      </c>
      <c r="AF418" s="14">
        <f t="shared" si="236"/>
        <v>28.03593099477024</v>
      </c>
      <c r="AG418" s="14">
        <f t="shared" si="237"/>
        <v>1.084199898226645</v>
      </c>
      <c r="AH418" s="14">
        <f t="shared" si="238"/>
        <v>-87.312102146738127</v>
      </c>
      <c r="AI418" s="14">
        <f t="shared" si="239"/>
        <v>-26.577383655191596</v>
      </c>
      <c r="AJ418" s="23">
        <f t="shared" si="251"/>
        <v>29.110332642695624</v>
      </c>
      <c r="AK418" s="23">
        <f t="shared" si="252"/>
        <v>5.5150579856456972</v>
      </c>
      <c r="AL418" s="14">
        <f t="shared" si="240"/>
        <v>0</v>
      </c>
      <c r="AM418" s="14">
        <f t="shared" si="241"/>
        <v>0</v>
      </c>
      <c r="AN418" s="14">
        <f t="shared" si="242"/>
        <v>0</v>
      </c>
      <c r="AO418" s="14">
        <f t="shared" si="243"/>
        <v>0</v>
      </c>
      <c r="AP418" s="23">
        <f t="shared" si="253"/>
        <v>0</v>
      </c>
      <c r="AQ418" s="23">
        <f t="shared" si="254"/>
        <v>0</v>
      </c>
    </row>
    <row r="419" spans="8:43" x14ac:dyDescent="0.25">
      <c r="H419" s="14">
        <v>5.1600000000000197</v>
      </c>
      <c r="I419" s="36">
        <f t="shared" si="244"/>
        <v>1445439.770745995</v>
      </c>
      <c r="J419" s="24">
        <f t="shared" si="245"/>
        <v>-143.96427547527986</v>
      </c>
      <c r="K419" s="24">
        <f t="shared" si="246"/>
        <v>-65.561608301762917</v>
      </c>
      <c r="L419" s="14">
        <f t="shared" si="220"/>
        <v>0.67018069634200106</v>
      </c>
      <c r="M419" s="14">
        <f t="shared" si="221"/>
        <v>-89.612878543567817</v>
      </c>
      <c r="N419" s="14">
        <f t="shared" si="222"/>
        <v>43.405573874498764</v>
      </c>
      <c r="O419" s="14">
        <f t="shared" si="223"/>
        <v>-89.991189667180009</v>
      </c>
      <c r="P419" s="14">
        <f t="shared" si="224"/>
        <v>-76.262606388964002</v>
      </c>
      <c r="Q419" s="14">
        <f t="shared" si="225"/>
        <v>-85.252792269869346</v>
      </c>
      <c r="R419" s="14">
        <f t="shared" si="226"/>
        <v>-21.643628091886352</v>
      </c>
      <c r="S419" s="23">
        <f t="shared" si="247"/>
        <v>-264.85686048061717</v>
      </c>
      <c r="T419" s="23">
        <f t="shared" si="248"/>
        <v>-57.976822318189448</v>
      </c>
      <c r="U419" s="14">
        <f t="shared" si="227"/>
        <v>20000</v>
      </c>
      <c r="V419" s="14">
        <f t="shared" si="228"/>
        <v>-89.999997132390021</v>
      </c>
      <c r="W419" s="14">
        <f t="shared" si="229"/>
        <v>-146.01205098360685</v>
      </c>
      <c r="X419" s="14">
        <f t="shared" si="230"/>
        <v>89.994264780058373</v>
      </c>
      <c r="Y419" s="14">
        <f t="shared" si="231"/>
        <v>79.991451113842231</v>
      </c>
      <c r="Z419" s="14">
        <f t="shared" si="232"/>
        <v>-88.738455512475213</v>
      </c>
      <c r="AA419" s="14">
        <f t="shared" si="233"/>
        <v>-33.145103070410592</v>
      </c>
      <c r="AB419" s="23">
        <f t="shared" si="249"/>
        <v>-88.744187864806861</v>
      </c>
      <c r="AC419" s="23">
        <f t="shared" si="250"/>
        <v>-13.14510302689559</v>
      </c>
      <c r="AD419" s="14">
        <f t="shared" si="234"/>
        <v>88.423212695342286</v>
      </c>
      <c r="AE419" s="14">
        <f t="shared" si="235"/>
        <v>31.208086771071748</v>
      </c>
      <c r="AF419" s="14">
        <f t="shared" si="236"/>
        <v>28.586759652184575</v>
      </c>
      <c r="AG419" s="14">
        <f t="shared" si="237"/>
        <v>1.1291840432255198</v>
      </c>
      <c r="AH419" s="14">
        <f t="shared" si="238"/>
        <v>-87.373199477382698</v>
      </c>
      <c r="AI419" s="14">
        <f t="shared" si="239"/>
        <v>-26.776953770975158</v>
      </c>
      <c r="AJ419" s="23">
        <f t="shared" si="251"/>
        <v>29.636772870144156</v>
      </c>
      <c r="AK419" s="23">
        <f t="shared" si="252"/>
        <v>5.5603170433221116</v>
      </c>
      <c r="AL419" s="14">
        <f t="shared" si="240"/>
        <v>0</v>
      </c>
      <c r="AM419" s="14">
        <f t="shared" si="241"/>
        <v>0</v>
      </c>
      <c r="AN419" s="14">
        <f t="shared" si="242"/>
        <v>0</v>
      </c>
      <c r="AO419" s="14">
        <f t="shared" si="243"/>
        <v>0</v>
      </c>
      <c r="AP419" s="23">
        <f t="shared" si="253"/>
        <v>0</v>
      </c>
      <c r="AQ419" s="23">
        <f t="shared" si="254"/>
        <v>0</v>
      </c>
    </row>
    <row r="420" spans="8:43" x14ac:dyDescent="0.25">
      <c r="H420" s="14">
        <v>5.1700000000000204</v>
      </c>
      <c r="I420" s="36">
        <f t="shared" si="244"/>
        <v>1479108.3881682788</v>
      </c>
      <c r="J420" s="24">
        <f t="shared" si="245"/>
        <v>-143.57553809315311</v>
      </c>
      <c r="K420" s="24">
        <f t="shared" si="246"/>
        <v>-65.913310871209745</v>
      </c>
      <c r="L420" s="14">
        <f t="shared" si="220"/>
        <v>0.67018069634200106</v>
      </c>
      <c r="M420" s="14">
        <f t="shared" si="221"/>
        <v>-89.62169024465075</v>
      </c>
      <c r="N420" s="14">
        <f t="shared" si="222"/>
        <v>43.605564951487736</v>
      </c>
      <c r="O420" s="14">
        <f t="shared" si="223"/>
        <v>-89.991390214836258</v>
      </c>
      <c r="P420" s="14">
        <f t="shared" si="224"/>
        <v>-76.462606384342251</v>
      </c>
      <c r="Q420" s="14">
        <f t="shared" si="225"/>
        <v>-85.360374693048144</v>
      </c>
      <c r="R420" s="14">
        <f t="shared" si="226"/>
        <v>-21.842289116760341</v>
      </c>
      <c r="S420" s="23">
        <f t="shared" si="247"/>
        <v>-264.97345515253517</v>
      </c>
      <c r="T420" s="23">
        <f t="shared" si="248"/>
        <v>-58.17549226145271</v>
      </c>
      <c r="U420" s="14">
        <f t="shared" si="227"/>
        <v>20000</v>
      </c>
      <c r="V420" s="14">
        <f t="shared" si="228"/>
        <v>-89.999997197664797</v>
      </c>
      <c r="W420" s="14">
        <f t="shared" si="229"/>
        <v>-146.21205098360687</v>
      </c>
      <c r="X420" s="14">
        <f t="shared" si="230"/>
        <v>89.994395329601829</v>
      </c>
      <c r="Y420" s="14">
        <f t="shared" si="231"/>
        <v>80.191451111883737</v>
      </c>
      <c r="Z420" s="14">
        <f t="shared" si="232"/>
        <v>-88.767162805103681</v>
      </c>
      <c r="AA420" s="14">
        <f t="shared" si="233"/>
        <v>-33.345008323992225</v>
      </c>
      <c r="AB420" s="23">
        <f t="shared" si="249"/>
        <v>-88.772764673166648</v>
      </c>
      <c r="AC420" s="23">
        <f t="shared" si="250"/>
        <v>-13.345008282435735</v>
      </c>
      <c r="AD420" s="14">
        <f t="shared" si="234"/>
        <v>88.459087250637751</v>
      </c>
      <c r="AE420" s="14">
        <f t="shared" si="235"/>
        <v>31.40793876923869</v>
      </c>
      <c r="AF420" s="14">
        <f t="shared" si="236"/>
        <v>29.144506321974884</v>
      </c>
      <c r="AG420" s="14">
        <f t="shared" si="237"/>
        <v>1.1757940984495701</v>
      </c>
      <c r="AH420" s="14">
        <f t="shared" si="238"/>
        <v>-87.432911840063937</v>
      </c>
      <c r="AI420" s="14">
        <f t="shared" si="239"/>
        <v>-26.976543195009569</v>
      </c>
      <c r="AJ420" s="23">
        <f t="shared" si="251"/>
        <v>30.170681732548701</v>
      </c>
      <c r="AK420" s="23">
        <f t="shared" si="252"/>
        <v>5.6071896726786932</v>
      </c>
      <c r="AL420" s="14">
        <f t="shared" si="240"/>
        <v>0</v>
      </c>
      <c r="AM420" s="14">
        <f t="shared" si="241"/>
        <v>0</v>
      </c>
      <c r="AN420" s="14">
        <f t="shared" si="242"/>
        <v>0</v>
      </c>
      <c r="AO420" s="14">
        <f t="shared" si="243"/>
        <v>0</v>
      </c>
      <c r="AP420" s="23">
        <f t="shared" si="253"/>
        <v>0</v>
      </c>
      <c r="AQ420" s="23">
        <f t="shared" si="254"/>
        <v>0</v>
      </c>
    </row>
    <row r="421" spans="8:43" x14ac:dyDescent="0.25">
      <c r="H421" s="14">
        <v>5.1800000000000201</v>
      </c>
      <c r="I421" s="36">
        <f t="shared" si="244"/>
        <v>1513561.2484362812</v>
      </c>
      <c r="J421" s="24">
        <f t="shared" si="245"/>
        <v>-143.17619924682739</v>
      </c>
      <c r="K421" s="24">
        <f t="shared" si="246"/>
        <v>-66.263422591950786</v>
      </c>
      <c r="L421" s="14">
        <f t="shared" si="220"/>
        <v>0.67018069634200106</v>
      </c>
      <c r="M421" s="14">
        <f t="shared" si="221"/>
        <v>-89.630301384221696</v>
      </c>
      <c r="N421" s="14">
        <f t="shared" si="222"/>
        <v>43.805556430061245</v>
      </c>
      <c r="O421" s="14">
        <f t="shared" si="223"/>
        <v>-89.99158619747071</v>
      </c>
      <c r="P421" s="14">
        <f t="shared" si="224"/>
        <v>-76.662606379928505</v>
      </c>
      <c r="Q421" s="14">
        <f t="shared" si="225"/>
        <v>-85.465539932333641</v>
      </c>
      <c r="R421" s="14">
        <f t="shared" si="226"/>
        <v>-22.04101001995868</v>
      </c>
      <c r="S421" s="23">
        <f t="shared" si="247"/>
        <v>-265.08742751402605</v>
      </c>
      <c r="T421" s="23">
        <f t="shared" si="248"/>
        <v>-58.374221681663798</v>
      </c>
      <c r="U421" s="14">
        <f t="shared" si="227"/>
        <v>20000</v>
      </c>
      <c r="V421" s="14">
        <f t="shared" si="228"/>
        <v>-89.999997261453728</v>
      </c>
      <c r="W421" s="14">
        <f t="shared" si="229"/>
        <v>-146.41205098360686</v>
      </c>
      <c r="X421" s="14">
        <f t="shared" si="230"/>
        <v>89.994522907474945</v>
      </c>
      <c r="Y421" s="14">
        <f t="shared" si="231"/>
        <v>80.391451110013392</v>
      </c>
      <c r="Z421" s="14">
        <f t="shared" si="232"/>
        <v>-88.795217238187249</v>
      </c>
      <c r="AA421" s="14">
        <f t="shared" si="233"/>
        <v>-33.544917839935529</v>
      </c>
      <c r="AB421" s="23">
        <f t="shared" si="249"/>
        <v>-88.800691592166032</v>
      </c>
      <c r="AC421" s="23">
        <f t="shared" si="250"/>
        <v>-13.544917800249372</v>
      </c>
      <c r="AD421" s="14">
        <f t="shared" si="234"/>
        <v>88.494146369136132</v>
      </c>
      <c r="AE421" s="14">
        <f t="shared" si="235"/>
        <v>31.607797423876928</v>
      </c>
      <c r="AF421" s="14">
        <f t="shared" si="236"/>
        <v>29.709043866155366</v>
      </c>
      <c r="AG421" s="14">
        <f t="shared" si="237"/>
        <v>1.2240705278544128</v>
      </c>
      <c r="AH421" s="14">
        <f t="shared" si="238"/>
        <v>-87.491270375926817</v>
      </c>
      <c r="AI421" s="14">
        <f t="shared" si="239"/>
        <v>-27.176151061768962</v>
      </c>
      <c r="AJ421" s="23">
        <f t="shared" si="251"/>
        <v>30.711919859364684</v>
      </c>
      <c r="AK421" s="23">
        <f t="shared" si="252"/>
        <v>5.6557168899623775</v>
      </c>
      <c r="AL421" s="14">
        <f t="shared" si="240"/>
        <v>0</v>
      </c>
      <c r="AM421" s="14">
        <f t="shared" si="241"/>
        <v>0</v>
      </c>
      <c r="AN421" s="14">
        <f t="shared" si="242"/>
        <v>0</v>
      </c>
      <c r="AO421" s="14">
        <f t="shared" si="243"/>
        <v>0</v>
      </c>
      <c r="AP421" s="23">
        <f t="shared" si="253"/>
        <v>0</v>
      </c>
      <c r="AQ421" s="23">
        <f t="shared" si="254"/>
        <v>0</v>
      </c>
    </row>
    <row r="422" spans="8:43" x14ac:dyDescent="0.25">
      <c r="H422" s="14">
        <v>5.1900000000000199</v>
      </c>
      <c r="I422" s="36">
        <f t="shared" si="244"/>
        <v>1548816.6189125532</v>
      </c>
      <c r="J422" s="24">
        <f t="shared" si="245"/>
        <v>-142.76648242278111</v>
      </c>
      <c r="K422" s="24">
        <f t="shared" si="246"/>
        <v>-66.611899940474558</v>
      </c>
      <c r="L422" s="14">
        <f t="shared" si="220"/>
        <v>0.67018069634200106</v>
      </c>
      <c r="M422" s="14">
        <f t="shared" si="221"/>
        <v>-89.638716526463881</v>
      </c>
      <c r="N422" s="14">
        <f t="shared" si="222"/>
        <v>44.005548292146486</v>
      </c>
      <c r="O422" s="14">
        <f t="shared" si="223"/>
        <v>-89.991777718995934</v>
      </c>
      <c r="P422" s="14">
        <f t="shared" si="224"/>
        <v>-76.862606375713383</v>
      </c>
      <c r="Q422" s="14">
        <f t="shared" si="225"/>
        <v>-85.568340911745707</v>
      </c>
      <c r="R422" s="14">
        <f t="shared" si="226"/>
        <v>-22.239788140223901</v>
      </c>
      <c r="S422" s="23">
        <f t="shared" si="247"/>
        <v>-265.19883515720551</v>
      </c>
      <c r="T422" s="23">
        <f t="shared" si="248"/>
        <v>-58.573007935628652</v>
      </c>
      <c r="U422" s="14">
        <f t="shared" si="227"/>
        <v>20000</v>
      </c>
      <c r="V422" s="14">
        <f t="shared" si="228"/>
        <v>-89.999997323790652</v>
      </c>
      <c r="W422" s="14">
        <f t="shared" si="229"/>
        <v>-146.61205098360685</v>
      </c>
      <c r="X422" s="14">
        <f t="shared" si="230"/>
        <v>89.994647581321161</v>
      </c>
      <c r="Y422" s="14">
        <f t="shared" si="231"/>
        <v>80.591451108227204</v>
      </c>
      <c r="Z422" s="14">
        <f t="shared" si="232"/>
        <v>-88.822633632718549</v>
      </c>
      <c r="AA422" s="14">
        <f t="shared" si="233"/>
        <v>-33.744831426572325</v>
      </c>
      <c r="AB422" s="23">
        <f t="shared" si="249"/>
        <v>-88.82798337518804</v>
      </c>
      <c r="AC422" s="23">
        <f t="shared" si="250"/>
        <v>-13.744831388672345</v>
      </c>
      <c r="AD422" s="14">
        <f t="shared" si="234"/>
        <v>88.528408534571852</v>
      </c>
      <c r="AE422" s="14">
        <f t="shared" si="235"/>
        <v>31.807662435809906</v>
      </c>
      <c r="AF422" s="14">
        <f t="shared" si="236"/>
        <v>30.280233117855968</v>
      </c>
      <c r="AG422" s="14">
        <f t="shared" si="237"/>
        <v>1.2740534923930338</v>
      </c>
      <c r="AH422" s="14">
        <f t="shared" si="238"/>
        <v>-87.548305542815385</v>
      </c>
      <c r="AI422" s="14">
        <f t="shared" si="239"/>
        <v>-27.37577654437651</v>
      </c>
      <c r="AJ422" s="23">
        <f t="shared" si="251"/>
        <v>31.260336109612439</v>
      </c>
      <c r="AK422" s="23">
        <f t="shared" si="252"/>
        <v>5.7059393838264292</v>
      </c>
      <c r="AL422" s="14">
        <f t="shared" si="240"/>
        <v>0</v>
      </c>
      <c r="AM422" s="14">
        <f t="shared" si="241"/>
        <v>0</v>
      </c>
      <c r="AN422" s="14">
        <f t="shared" si="242"/>
        <v>0</v>
      </c>
      <c r="AO422" s="14">
        <f t="shared" si="243"/>
        <v>0</v>
      </c>
      <c r="AP422" s="23">
        <f t="shared" si="253"/>
        <v>0</v>
      </c>
      <c r="AQ422" s="23">
        <f t="shared" si="254"/>
        <v>0</v>
      </c>
    </row>
    <row r="423" spans="8:43" x14ac:dyDescent="0.25">
      <c r="H423" s="14">
        <v>5.2000000000000197</v>
      </c>
      <c r="I423" s="36">
        <f t="shared" si="244"/>
        <v>1584893.1924611868</v>
      </c>
      <c r="J423" s="24">
        <f t="shared" si="245"/>
        <v>-142.34662149869209</v>
      </c>
      <c r="K423" s="24">
        <f t="shared" si="246"/>
        <v>-66.95869994634927</v>
      </c>
      <c r="L423" s="14">
        <f t="shared" si="220"/>
        <v>0.67018069634200106</v>
      </c>
      <c r="M423" s="14">
        <f t="shared" si="221"/>
        <v>-89.646940131744074</v>
      </c>
      <c r="N423" s="14">
        <f t="shared" si="222"/>
        <v>44.205540520484014</v>
      </c>
      <c r="O423" s="14">
        <f t="shared" si="223"/>
        <v>-89.991964880959188</v>
      </c>
      <c r="P423" s="14">
        <f t="shared" si="224"/>
        <v>-77.062606371687991</v>
      </c>
      <c r="Q423" s="14">
        <f t="shared" si="225"/>
        <v>-85.668829488742887</v>
      </c>
      <c r="R423" s="14">
        <f t="shared" si="226"/>
        <v>-22.438620933135276</v>
      </c>
      <c r="S423" s="23">
        <f t="shared" si="247"/>
        <v>-265.30773450144613</v>
      </c>
      <c r="T423" s="23">
        <f t="shared" si="248"/>
        <v>-58.771848496177107</v>
      </c>
      <c r="U423" s="14">
        <f t="shared" si="227"/>
        <v>20000</v>
      </c>
      <c r="V423" s="14">
        <f t="shared" si="228"/>
        <v>-89.999997384708621</v>
      </c>
      <c r="W423" s="14">
        <f t="shared" si="229"/>
        <v>-146.81205098360684</v>
      </c>
      <c r="X423" s="14">
        <f t="shared" si="230"/>
        <v>89.994769417244214</v>
      </c>
      <c r="Y423" s="14">
        <f t="shared" si="231"/>
        <v>80.791451106521421</v>
      </c>
      <c r="Z423" s="14">
        <f t="shared" si="232"/>
        <v>-88.849426474984156</v>
      </c>
      <c r="AA423" s="14">
        <f t="shared" si="233"/>
        <v>-33.944748900846058</v>
      </c>
      <c r="AB423" s="23">
        <f t="shared" si="249"/>
        <v>-88.854654442448563</v>
      </c>
      <c r="AC423" s="23">
        <f t="shared" si="250"/>
        <v>-13.944748864651849</v>
      </c>
      <c r="AD423" s="14">
        <f t="shared" si="234"/>
        <v>88.561891815128178</v>
      </c>
      <c r="AE423" s="14">
        <f t="shared" si="235"/>
        <v>32.007533519289886</v>
      </c>
      <c r="AF423" s="14">
        <f t="shared" si="236"/>
        <v>30.85792275920705</v>
      </c>
      <c r="AG423" s="14">
        <f t="shared" si="237"/>
        <v>1.3257827480815516</v>
      </c>
      <c r="AH423" s="14">
        <f t="shared" si="238"/>
        <v>-87.604047129132596</v>
      </c>
      <c r="AI423" s="14">
        <f t="shared" si="239"/>
        <v>-27.575418852891747</v>
      </c>
      <c r="AJ423" s="23">
        <f t="shared" si="251"/>
        <v>31.815767445202624</v>
      </c>
      <c r="AK423" s="23">
        <f t="shared" si="252"/>
        <v>5.7578974144796895</v>
      </c>
      <c r="AL423" s="14">
        <f t="shared" si="240"/>
        <v>0</v>
      </c>
      <c r="AM423" s="14">
        <f t="shared" si="241"/>
        <v>0</v>
      </c>
      <c r="AN423" s="14">
        <f t="shared" si="242"/>
        <v>0</v>
      </c>
      <c r="AO423" s="14">
        <f t="shared" si="243"/>
        <v>0</v>
      </c>
      <c r="AP423" s="23">
        <f t="shared" si="253"/>
        <v>0</v>
      </c>
      <c r="AQ423" s="23">
        <f t="shared" si="254"/>
        <v>0</v>
      </c>
    </row>
    <row r="424" spans="8:43" x14ac:dyDescent="0.25">
      <c r="H424" s="14">
        <v>5.2100000000000204</v>
      </c>
      <c r="I424" s="36">
        <f t="shared" si="244"/>
        <v>1621810.0973590077</v>
      </c>
      <c r="J424" s="24">
        <f t="shared" si="245"/>
        <v>-141.91686085323215</v>
      </c>
      <c r="K424" s="24">
        <f t="shared" si="246"/>
        <v>-67.303780291122294</v>
      </c>
      <c r="L424" s="14">
        <f t="shared" si="220"/>
        <v>0.67018069634200106</v>
      </c>
      <c r="M424" s="14">
        <f t="shared" si="221"/>
        <v>-89.65497655897056</v>
      </c>
      <c r="N424" s="14">
        <f t="shared" si="222"/>
        <v>44.405533098590993</v>
      </c>
      <c r="O424" s="14">
        <f t="shared" si="223"/>
        <v>-89.992147782596192</v>
      </c>
      <c r="P424" s="14">
        <f t="shared" si="224"/>
        <v>-77.262606367843787</v>
      </c>
      <c r="Q424" s="14">
        <f t="shared" si="225"/>
        <v>-85.767056469483123</v>
      </c>
      <c r="R424" s="14">
        <f t="shared" si="226"/>
        <v>-22.637505966105476</v>
      </c>
      <c r="S424" s="23">
        <f t="shared" si="247"/>
        <v>-265.41418081104985</v>
      </c>
      <c r="T424" s="23">
        <f t="shared" si="248"/>
        <v>-58.97074094719612</v>
      </c>
      <c r="U424" s="14">
        <f t="shared" si="227"/>
        <v>20000</v>
      </c>
      <c r="V424" s="14">
        <f t="shared" si="228"/>
        <v>-89.999997444239924</v>
      </c>
      <c r="W424" s="14">
        <f t="shared" si="229"/>
        <v>-147.01205098360685</v>
      </c>
      <c r="X424" s="14">
        <f t="shared" si="230"/>
        <v>89.994888479843127</v>
      </c>
      <c r="Y424" s="14">
        <f t="shared" si="231"/>
        <v>80.991451104892434</v>
      </c>
      <c r="Z424" s="14">
        <f t="shared" si="232"/>
        <v>-88.875609924006142</v>
      </c>
      <c r="AA424" s="14">
        <f t="shared" si="233"/>
        <v>-34.144670087925412</v>
      </c>
      <c r="AB424" s="23">
        <f t="shared" si="249"/>
        <v>-88.880718888402939</v>
      </c>
      <c r="AC424" s="23">
        <f t="shared" si="250"/>
        <v>-14.144670053360208</v>
      </c>
      <c r="AD424" s="14">
        <f t="shared" si="234"/>
        <v>88.594613872550738</v>
      </c>
      <c r="AE424" s="14">
        <f t="shared" si="235"/>
        <v>32.207410401396658</v>
      </c>
      <c r="AF424" s="14">
        <f t="shared" si="236"/>
        <v>31.441949241166551</v>
      </c>
      <c r="AG424" s="14">
        <f t="shared" si="237"/>
        <v>1.3792975407099297</v>
      </c>
      <c r="AH424" s="14">
        <f t="shared" si="238"/>
        <v>-87.658524267496631</v>
      </c>
      <c r="AI424" s="14">
        <f t="shared" si="239"/>
        <v>-27.775077232672562</v>
      </c>
      <c r="AJ424" s="23">
        <f t="shared" si="251"/>
        <v>32.378038846220662</v>
      </c>
      <c r="AK424" s="23">
        <f t="shared" si="252"/>
        <v>5.8116307094340236</v>
      </c>
      <c r="AL424" s="14">
        <f t="shared" si="240"/>
        <v>0</v>
      </c>
      <c r="AM424" s="14">
        <f t="shared" si="241"/>
        <v>0</v>
      </c>
      <c r="AN424" s="14">
        <f t="shared" si="242"/>
        <v>0</v>
      </c>
      <c r="AO424" s="14">
        <f t="shared" si="243"/>
        <v>0</v>
      </c>
      <c r="AP424" s="23">
        <f t="shared" si="253"/>
        <v>0</v>
      </c>
      <c r="AQ424" s="23">
        <f t="shared" si="254"/>
        <v>0</v>
      </c>
    </row>
    <row r="425" spans="8:43" x14ac:dyDescent="0.25">
      <c r="H425" s="14">
        <v>5.2200000000000104</v>
      </c>
      <c r="I425" s="36">
        <f t="shared" si="244"/>
        <v>1659586.9074376018</v>
      </c>
      <c r="J425" s="24">
        <f t="shared" si="245"/>
        <v>-141.47745543109909</v>
      </c>
      <c r="K425" s="24">
        <f t="shared" si="246"/>
        <v>-67.647099410408472</v>
      </c>
      <c r="L425" s="14">
        <f t="shared" si="220"/>
        <v>0.67018069634200106</v>
      </c>
      <c r="M425" s="14">
        <f t="shared" si="221"/>
        <v>-89.6628300678979</v>
      </c>
      <c r="N425" s="14">
        <f t="shared" si="222"/>
        <v>44.605526010726145</v>
      </c>
      <c r="O425" s="14">
        <f t="shared" si="223"/>
        <v>-89.992326520883807</v>
      </c>
      <c r="P425" s="14">
        <f t="shared" si="224"/>
        <v>-77.462606364172387</v>
      </c>
      <c r="Q425" s="14">
        <f t="shared" si="225"/>
        <v>-85.863071624317001</v>
      </c>
      <c r="R425" s="14">
        <f t="shared" si="226"/>
        <v>-22.836440913580258</v>
      </c>
      <c r="S425" s="23">
        <f t="shared" si="247"/>
        <v>-265.51822821309872</v>
      </c>
      <c r="T425" s="23">
        <f t="shared" si="248"/>
        <v>-59.169682978864358</v>
      </c>
      <c r="U425" s="14">
        <f t="shared" si="227"/>
        <v>20000</v>
      </c>
      <c r="V425" s="14">
        <f t="shared" si="228"/>
        <v>-89.999997502416122</v>
      </c>
      <c r="W425" s="14">
        <f t="shared" si="229"/>
        <v>-147.21205098360664</v>
      </c>
      <c r="X425" s="14">
        <f t="shared" si="230"/>
        <v>89.995004832246437</v>
      </c>
      <c r="Y425" s="14">
        <f t="shared" si="231"/>
        <v>81.191451103336533</v>
      </c>
      <c r="Z425" s="14">
        <f t="shared" si="232"/>
        <v>-88.901197818825992</v>
      </c>
      <c r="AA425" s="14">
        <f t="shared" si="233"/>
        <v>-34.344594820835141</v>
      </c>
      <c r="AB425" s="23">
        <f t="shared" si="249"/>
        <v>-88.906190488995676</v>
      </c>
      <c r="AC425" s="23">
        <f t="shared" si="250"/>
        <v>-14.344594787825628</v>
      </c>
      <c r="AD425" s="14">
        <f t="shared" si="234"/>
        <v>88.626591971076493</v>
      </c>
      <c r="AE425" s="14">
        <f t="shared" si="235"/>
        <v>32.407292821462953</v>
      </c>
      <c r="AF425" s="14">
        <f t="shared" si="236"/>
        <v>32.032136748109366</v>
      </c>
      <c r="AG425" s="14">
        <f t="shared" si="237"/>
        <v>1.4346364976272192</v>
      </c>
      <c r="AH425" s="14">
        <f t="shared" si="238"/>
        <v>-87.711765448190548</v>
      </c>
      <c r="AI425" s="14">
        <f t="shared" si="239"/>
        <v>-27.974750962808656</v>
      </c>
      <c r="AJ425" s="23">
        <f t="shared" si="251"/>
        <v>32.946963270995312</v>
      </c>
      <c r="AK425" s="23">
        <f t="shared" si="252"/>
        <v>5.8671783562815136</v>
      </c>
      <c r="AL425" s="14">
        <f t="shared" si="240"/>
        <v>0</v>
      </c>
      <c r="AM425" s="14">
        <f t="shared" si="241"/>
        <v>0</v>
      </c>
      <c r="AN425" s="14">
        <f t="shared" si="242"/>
        <v>0</v>
      </c>
      <c r="AO425" s="14">
        <f t="shared" si="243"/>
        <v>0</v>
      </c>
      <c r="AP425" s="23">
        <f t="shared" si="253"/>
        <v>0</v>
      </c>
      <c r="AQ425" s="23">
        <f t="shared" si="254"/>
        <v>0</v>
      </c>
    </row>
    <row r="426" spans="8:43" x14ac:dyDescent="0.25">
      <c r="H426" s="14">
        <v>5.2300000000000102</v>
      </c>
      <c r="I426" s="36">
        <f t="shared" si="244"/>
        <v>1698243.6524617861</v>
      </c>
      <c r="J426" s="24">
        <f t="shared" si="245"/>
        <v>-141.02867076060892</v>
      </c>
      <c r="K426" s="24">
        <f t="shared" si="246"/>
        <v>-67.988616598677567</v>
      </c>
      <c r="L426" s="14">
        <f t="shared" si="220"/>
        <v>0.67018069634200106</v>
      </c>
      <c r="M426" s="14">
        <f t="shared" si="221"/>
        <v>-89.670504821379353</v>
      </c>
      <c r="N426" s="14">
        <f t="shared" si="222"/>
        <v>44.805519241857148</v>
      </c>
      <c r="O426" s="14">
        <f t="shared" si="223"/>
        <v>-89.992501190591398</v>
      </c>
      <c r="P426" s="14">
        <f t="shared" si="224"/>
        <v>-77.66260636066643</v>
      </c>
      <c r="Q426" s="14">
        <f t="shared" si="225"/>
        <v>-85.956923703472583</v>
      </c>
      <c r="R426" s="14">
        <f t="shared" si="226"/>
        <v>-23.035423552435145</v>
      </c>
      <c r="S426" s="23">
        <f t="shared" si="247"/>
        <v>-265.61992971544333</v>
      </c>
      <c r="T426" s="23">
        <f t="shared" si="248"/>
        <v>-59.368672383082284</v>
      </c>
      <c r="U426" s="14">
        <f t="shared" si="227"/>
        <v>20000</v>
      </c>
      <c r="V426" s="14">
        <f t="shared" si="228"/>
        <v>-89.999997559268081</v>
      </c>
      <c r="W426" s="14">
        <f t="shared" si="229"/>
        <v>-147.41205098360663</v>
      </c>
      <c r="X426" s="14">
        <f t="shared" si="230"/>
        <v>89.995118536145739</v>
      </c>
      <c r="Y426" s="14">
        <f t="shared" si="231"/>
        <v>81.391451101850862</v>
      </c>
      <c r="Z426" s="14">
        <f t="shared" si="232"/>
        <v>-88.926203685633766</v>
      </c>
      <c r="AA426" s="14">
        <f t="shared" si="233"/>
        <v>-34.544522940104414</v>
      </c>
      <c r="AB426" s="23">
        <f t="shared" si="249"/>
        <v>-88.931082708756108</v>
      </c>
      <c r="AC426" s="23">
        <f t="shared" si="250"/>
        <v>-14.544522908580561</v>
      </c>
      <c r="AD426" s="14">
        <f t="shared" si="234"/>
        <v>88.657842986181208</v>
      </c>
      <c r="AE426" s="14">
        <f t="shared" si="235"/>
        <v>32.607180530526463</v>
      </c>
      <c r="AF426" s="14">
        <f t="shared" si="236"/>
        <v>32.62829720981307</v>
      </c>
      <c r="AG426" s="14">
        <f t="shared" si="237"/>
        <v>1.4918375170833982</v>
      </c>
      <c r="AH426" s="14">
        <f t="shared" si="238"/>
        <v>-87.763798532403769</v>
      </c>
      <c r="AI426" s="14">
        <f t="shared" si="239"/>
        <v>-28.174439354624589</v>
      </c>
      <c r="AJ426" s="23">
        <f t="shared" si="251"/>
        <v>33.52234166359051</v>
      </c>
      <c r="AK426" s="23">
        <f t="shared" si="252"/>
        <v>5.9245786929852713</v>
      </c>
      <c r="AL426" s="14">
        <f t="shared" si="240"/>
        <v>0</v>
      </c>
      <c r="AM426" s="14">
        <f t="shared" si="241"/>
        <v>0</v>
      </c>
      <c r="AN426" s="14">
        <f t="shared" si="242"/>
        <v>0</v>
      </c>
      <c r="AO426" s="14">
        <f t="shared" si="243"/>
        <v>0</v>
      </c>
      <c r="AP426" s="23">
        <f t="shared" si="253"/>
        <v>0</v>
      </c>
      <c r="AQ426" s="23">
        <f t="shared" si="254"/>
        <v>0</v>
      </c>
    </row>
    <row r="427" spans="8:43" x14ac:dyDescent="0.25">
      <c r="H427" s="14">
        <v>5.24000000000001</v>
      </c>
      <c r="I427" s="36">
        <f t="shared" si="244"/>
        <v>1737800.8287494183</v>
      </c>
      <c r="J427" s="24">
        <f t="shared" si="245"/>
        <v>-140.57078292142251</v>
      </c>
      <c r="K427" s="24">
        <f t="shared" si="246"/>
        <v>-68.328292116193836</v>
      </c>
      <c r="L427" s="14">
        <f t="shared" si="220"/>
        <v>0.67018069634200106</v>
      </c>
      <c r="M427" s="14">
        <f t="shared" si="221"/>
        <v>-89.678004887568562</v>
      </c>
      <c r="N427" s="14">
        <f t="shared" si="222"/>
        <v>45.005512777627594</v>
      </c>
      <c r="O427" s="14">
        <f t="shared" si="223"/>
        <v>-89.992671884331187</v>
      </c>
      <c r="P427" s="14">
        <f t="shared" si="224"/>
        <v>-77.862606357318242</v>
      </c>
      <c r="Q427" s="14">
        <f t="shared" si="225"/>
        <v>-86.048660452891653</v>
      </c>
      <c r="R427" s="14">
        <f t="shared" si="226"/>
        <v>-23.234451757558748</v>
      </c>
      <c r="S427" s="23">
        <f t="shared" si="247"/>
        <v>-265.71933722479139</v>
      </c>
      <c r="T427" s="23">
        <f t="shared" si="248"/>
        <v>-59.567707049087247</v>
      </c>
      <c r="U427" s="14">
        <f t="shared" si="227"/>
        <v>20000</v>
      </c>
      <c r="V427" s="14">
        <f t="shared" si="228"/>
        <v>-89.999997614825915</v>
      </c>
      <c r="W427" s="14">
        <f t="shared" si="229"/>
        <v>-147.61205098360665</v>
      </c>
      <c r="X427" s="14">
        <f t="shared" si="230"/>
        <v>89.995229651828353</v>
      </c>
      <c r="Y427" s="14">
        <f t="shared" si="231"/>
        <v>81.591451100432053</v>
      </c>
      <c r="Z427" s="14">
        <f t="shared" si="232"/>
        <v>-88.950640744745158</v>
      </c>
      <c r="AA427" s="14">
        <f t="shared" si="233"/>
        <v>-34.744454293428895</v>
      </c>
      <c r="AB427" s="23">
        <f t="shared" si="249"/>
        <v>-88.95540870774272</v>
      </c>
      <c r="AC427" s="23">
        <f t="shared" si="250"/>
        <v>-14.744454263323867</v>
      </c>
      <c r="AD427" s="14">
        <f t="shared" si="234"/>
        <v>88.688383413147349</v>
      </c>
      <c r="AE427" s="14">
        <f t="shared" si="235"/>
        <v>32.807073290804254</v>
      </c>
      <c r="AF427" s="14">
        <f t="shared" si="236"/>
        <v>33.230230363227079</v>
      </c>
      <c r="AG427" s="14">
        <f t="shared" si="237"/>
        <v>1.5509376556593981</v>
      </c>
      <c r="AH427" s="14">
        <f t="shared" si="238"/>
        <v>-87.814650765262826</v>
      </c>
      <c r="AI427" s="14">
        <f t="shared" si="239"/>
        <v>-28.374141750246366</v>
      </c>
      <c r="AJ427" s="23">
        <f t="shared" si="251"/>
        <v>34.103963011111603</v>
      </c>
      <c r="AK427" s="23">
        <f t="shared" si="252"/>
        <v>5.9838691962172845</v>
      </c>
      <c r="AL427" s="14">
        <f t="shared" si="240"/>
        <v>0</v>
      </c>
      <c r="AM427" s="14">
        <f t="shared" si="241"/>
        <v>0</v>
      </c>
      <c r="AN427" s="14">
        <f t="shared" si="242"/>
        <v>0</v>
      </c>
      <c r="AO427" s="14">
        <f t="shared" si="243"/>
        <v>0</v>
      </c>
      <c r="AP427" s="23">
        <f t="shared" si="253"/>
        <v>0</v>
      </c>
      <c r="AQ427" s="23">
        <f t="shared" si="254"/>
        <v>0</v>
      </c>
    </row>
    <row r="428" spans="8:43" x14ac:dyDescent="0.25">
      <c r="H428" s="14">
        <v>5.2500000000000098</v>
      </c>
      <c r="I428" s="36">
        <f t="shared" si="244"/>
        <v>1778279.4100389662</v>
      </c>
      <c r="J428" s="24">
        <f t="shared" si="245"/>
        <v>-140.10407846023912</v>
      </c>
      <c r="K428" s="24">
        <f t="shared" si="246"/>
        <v>-68.666087297524214</v>
      </c>
      <c r="L428" s="14">
        <f t="shared" si="220"/>
        <v>0.67018069634200106</v>
      </c>
      <c r="M428" s="14">
        <f t="shared" si="221"/>
        <v>-89.685334242071164</v>
      </c>
      <c r="N428" s="14">
        <f t="shared" si="222"/>
        <v>45.205506604327311</v>
      </c>
      <c r="O428" s="14">
        <f t="shared" si="223"/>
        <v>-89.992838692607208</v>
      </c>
      <c r="P428" s="14">
        <f t="shared" si="224"/>
        <v>-78.062606354120774</v>
      </c>
      <c r="Q428" s="14">
        <f t="shared" si="225"/>
        <v>-86.138328630183977</v>
      </c>
      <c r="R428" s="14">
        <f t="shared" si="226"/>
        <v>-23.433523497620069</v>
      </c>
      <c r="S428" s="23">
        <f t="shared" si="247"/>
        <v>-265.81650156486234</v>
      </c>
      <c r="T428" s="23">
        <f t="shared" si="248"/>
        <v>-59.766784959251382</v>
      </c>
      <c r="U428" s="14">
        <f t="shared" si="227"/>
        <v>20000</v>
      </c>
      <c r="V428" s="14">
        <f t="shared" si="228"/>
        <v>-89.999997669119097</v>
      </c>
      <c r="W428" s="14">
        <f t="shared" si="229"/>
        <v>-147.81205098360664</v>
      </c>
      <c r="X428" s="14">
        <f t="shared" si="230"/>
        <v>89.995338238209257</v>
      </c>
      <c r="Y428" s="14">
        <f t="shared" si="231"/>
        <v>81.791451099077094</v>
      </c>
      <c r="Z428" s="14">
        <f t="shared" si="232"/>
        <v>-88.974521917429556</v>
      </c>
      <c r="AA428" s="14">
        <f t="shared" si="233"/>
        <v>-34.94438873534979</v>
      </c>
      <c r="AB428" s="23">
        <f t="shared" si="249"/>
        <v>-88.979181348339395</v>
      </c>
      <c r="AC428" s="23">
        <f t="shared" si="250"/>
        <v>-14.94438870659971</v>
      </c>
      <c r="AD428" s="14">
        <f t="shared" si="234"/>
        <v>88.71822937545609</v>
      </c>
      <c r="AE428" s="14">
        <f t="shared" si="235"/>
        <v>33.006970875192593</v>
      </c>
      <c r="AF428" s="14">
        <f t="shared" si="236"/>
        <v>33.837723866157638</v>
      </c>
      <c r="AG428" s="14">
        <f t="shared" si="237"/>
        <v>1.6119730143671205</v>
      </c>
      <c r="AH428" s="14">
        <f t="shared" si="238"/>
        <v>-87.864348788651114</v>
      </c>
      <c r="AI428" s="14">
        <f t="shared" si="239"/>
        <v>-28.573857521232839</v>
      </c>
      <c r="AJ428" s="23">
        <f t="shared" si="251"/>
        <v>34.691604452962622</v>
      </c>
      <c r="AK428" s="23">
        <f t="shared" si="252"/>
        <v>6.0450863683268778</v>
      </c>
      <c r="AL428" s="14">
        <f t="shared" si="240"/>
        <v>0</v>
      </c>
      <c r="AM428" s="14">
        <f t="shared" si="241"/>
        <v>0</v>
      </c>
      <c r="AN428" s="14">
        <f t="shared" si="242"/>
        <v>0</v>
      </c>
      <c r="AO428" s="14">
        <f t="shared" si="243"/>
        <v>0</v>
      </c>
      <c r="AP428" s="23">
        <f t="shared" si="253"/>
        <v>0</v>
      </c>
      <c r="AQ428" s="23">
        <f t="shared" si="254"/>
        <v>0</v>
      </c>
    </row>
    <row r="429" spans="8:43" x14ac:dyDescent="0.25">
      <c r="H429" s="14">
        <v>5.2600000000000096</v>
      </c>
      <c r="I429" s="36">
        <f t="shared" si="244"/>
        <v>1819700.8586100244</v>
      </c>
      <c r="J429" s="24">
        <f t="shared" si="245"/>
        <v>-139.62885425263204</v>
      </c>
      <c r="K429" s="24">
        <f t="shared" si="246"/>
        <v>-69.001964660976242</v>
      </c>
      <c r="L429" s="14">
        <f t="shared" si="220"/>
        <v>0.67018069634200106</v>
      </c>
      <c r="M429" s="14">
        <f t="shared" si="221"/>
        <v>-89.692496770047924</v>
      </c>
      <c r="N429" s="14">
        <f t="shared" si="222"/>
        <v>45.405500708863109</v>
      </c>
      <c r="O429" s="14">
        <f t="shared" si="223"/>
        <v>-89.993001703863413</v>
      </c>
      <c r="P429" s="14">
        <f t="shared" si="224"/>
        <v>-78.262606351067191</v>
      </c>
      <c r="Q429" s="14">
        <f t="shared" si="225"/>
        <v>-86.225974020664793</v>
      </c>
      <c r="R429" s="14">
        <f t="shared" si="226"/>
        <v>-23.632636831009926</v>
      </c>
      <c r="S429" s="23">
        <f t="shared" si="247"/>
        <v>-265.91147249457612</v>
      </c>
      <c r="T429" s="23">
        <f t="shared" si="248"/>
        <v>-59.965904185051862</v>
      </c>
      <c r="U429" s="14">
        <f t="shared" si="227"/>
        <v>20000</v>
      </c>
      <c r="V429" s="14">
        <f t="shared" si="228"/>
        <v>-89.999997722176431</v>
      </c>
      <c r="W429" s="14">
        <f t="shared" si="229"/>
        <v>-148.01205098360663</v>
      </c>
      <c r="X429" s="14">
        <f t="shared" si="230"/>
        <v>89.995444352862407</v>
      </c>
      <c r="Y429" s="14">
        <f t="shared" si="231"/>
        <v>81.991451097783127</v>
      </c>
      <c r="Z429" s="14">
        <f t="shared" si="232"/>
        <v>-88.997859832591431</v>
      </c>
      <c r="AA429" s="14">
        <f t="shared" si="233"/>
        <v>-35.144326126946453</v>
      </c>
      <c r="AB429" s="23">
        <f t="shared" si="249"/>
        <v>-89.002413201905455</v>
      </c>
      <c r="AC429" s="23">
        <f t="shared" si="250"/>
        <v>-15.144326099490328</v>
      </c>
      <c r="AD429" s="14">
        <f t="shared" si="234"/>
        <v>88.747396633005565</v>
      </c>
      <c r="AE429" s="14">
        <f t="shared" si="235"/>
        <v>33.206873066788127</v>
      </c>
      <c r="AF429" s="14">
        <f t="shared" si="236"/>
        <v>34.450553464660246</v>
      </c>
      <c r="AG429" s="14">
        <f t="shared" si="237"/>
        <v>1.6749786240441757</v>
      </c>
      <c r="AH429" s="14">
        <f t="shared" si="238"/>
        <v>-87.912918653816291</v>
      </c>
      <c r="AI429" s="14">
        <f t="shared" si="239"/>
        <v>-28.773586067266365</v>
      </c>
      <c r="AJ429" s="23">
        <f t="shared" si="251"/>
        <v>35.285031443849519</v>
      </c>
      <c r="AK429" s="23">
        <f t="shared" si="252"/>
        <v>6.1082656235659414</v>
      </c>
      <c r="AL429" s="14">
        <f t="shared" si="240"/>
        <v>0</v>
      </c>
      <c r="AM429" s="14">
        <f t="shared" si="241"/>
        <v>0</v>
      </c>
      <c r="AN429" s="14">
        <f t="shared" si="242"/>
        <v>0</v>
      </c>
      <c r="AO429" s="14">
        <f t="shared" si="243"/>
        <v>0</v>
      </c>
      <c r="AP429" s="23">
        <f t="shared" si="253"/>
        <v>0</v>
      </c>
      <c r="AQ429" s="23">
        <f t="shared" si="254"/>
        <v>0</v>
      </c>
    </row>
    <row r="430" spans="8:43" x14ac:dyDescent="0.25">
      <c r="H430" s="14">
        <v>5.2700000000000102</v>
      </c>
      <c r="I430" s="36">
        <f t="shared" si="244"/>
        <v>1862087.1366629126</v>
      </c>
      <c r="J430" s="24">
        <f t="shared" si="245"/>
        <v>-139.14541730955375</v>
      </c>
      <c r="K430" s="24">
        <f t="shared" si="246"/>
        <v>-69.335888018292096</v>
      </c>
      <c r="L430" s="14">
        <f t="shared" si="220"/>
        <v>0.67018069634200106</v>
      </c>
      <c r="M430" s="14">
        <f t="shared" si="221"/>
        <v>-89.699496268269982</v>
      </c>
      <c r="N430" s="14">
        <f t="shared" si="222"/>
        <v>45.605495078731053</v>
      </c>
      <c r="O430" s="14">
        <f t="shared" si="223"/>
        <v>-89.993161004530521</v>
      </c>
      <c r="P430" s="14">
        <f t="shared" si="224"/>
        <v>-78.46260634815107</v>
      </c>
      <c r="Q430" s="14">
        <f t="shared" si="225"/>
        <v>-86.31164145344637</v>
      </c>
      <c r="R430" s="14">
        <f t="shared" si="226"/>
        <v>-23.831789901951215</v>
      </c>
      <c r="S430" s="23">
        <f t="shared" si="247"/>
        <v>-266.00429872624687</v>
      </c>
      <c r="T430" s="23">
        <f t="shared" si="248"/>
        <v>-60.165062883209089</v>
      </c>
      <c r="U430" s="14">
        <f t="shared" si="227"/>
        <v>20000</v>
      </c>
      <c r="V430" s="14">
        <f t="shared" si="228"/>
        <v>-89.999997774026028</v>
      </c>
      <c r="W430" s="14">
        <f t="shared" si="229"/>
        <v>-148.21205098360664</v>
      </c>
      <c r="X430" s="14">
        <f t="shared" si="230"/>
        <v>89.995548052051177</v>
      </c>
      <c r="Y430" s="14">
        <f t="shared" si="231"/>
        <v>82.191451096547411</v>
      </c>
      <c r="Z430" s="14">
        <f t="shared" si="232"/>
        <v>-89.020666833308141</v>
      </c>
      <c r="AA430" s="14">
        <f t="shared" si="233"/>
        <v>-35.344266335542905</v>
      </c>
      <c r="AB430" s="23">
        <f t="shared" si="249"/>
        <v>-89.025116555282992</v>
      </c>
      <c r="AC430" s="23">
        <f t="shared" si="250"/>
        <v>-15.344266309322514</v>
      </c>
      <c r="AD430" s="14">
        <f t="shared" si="234"/>
        <v>88.775900590158301</v>
      </c>
      <c r="AE430" s="14">
        <f t="shared" si="235"/>
        <v>33.406779658430715</v>
      </c>
      <c r="AF430" s="14">
        <f t="shared" si="236"/>
        <v>35.068483215582908</v>
      </c>
      <c r="AG430" s="14">
        <f t="shared" si="237"/>
        <v>1.7399883307099475</v>
      </c>
      <c r="AH430" s="14">
        <f t="shared" si="238"/>
        <v>-87.960385833765102</v>
      </c>
      <c r="AI430" s="14">
        <f t="shared" si="239"/>
        <v>-28.973326814901167</v>
      </c>
      <c r="AJ430" s="23">
        <f t="shared" si="251"/>
        <v>35.883997971976115</v>
      </c>
      <c r="AK430" s="23">
        <f t="shared" si="252"/>
        <v>6.1734411742394961</v>
      </c>
      <c r="AL430" s="14">
        <f t="shared" si="240"/>
        <v>0</v>
      </c>
      <c r="AM430" s="14">
        <f t="shared" si="241"/>
        <v>0</v>
      </c>
      <c r="AN430" s="14">
        <f t="shared" si="242"/>
        <v>0</v>
      </c>
      <c r="AO430" s="14">
        <f t="shared" si="243"/>
        <v>0</v>
      </c>
      <c r="AP430" s="23">
        <f t="shared" si="253"/>
        <v>0</v>
      </c>
      <c r="AQ430" s="23">
        <f t="shared" si="254"/>
        <v>0</v>
      </c>
    </row>
    <row r="431" spans="8:43" x14ac:dyDescent="0.25">
      <c r="H431" s="14">
        <v>5.28000000000001</v>
      </c>
      <c r="I431" s="36">
        <f t="shared" si="244"/>
        <v>1905460.7179632932</v>
      </c>
      <c r="J431" s="24">
        <f t="shared" si="245"/>
        <v>-138.65408452744433</v>
      </c>
      <c r="K431" s="24">
        <f t="shared" si="246"/>
        <v>-69.667822583888054</v>
      </c>
      <c r="L431" s="14">
        <f t="shared" si="220"/>
        <v>0.67018069634200106</v>
      </c>
      <c r="M431" s="14">
        <f t="shared" si="221"/>
        <v>-89.706336447127782</v>
      </c>
      <c r="N431" s="14">
        <f t="shared" si="222"/>
        <v>45.805489701989863</v>
      </c>
      <c r="O431" s="14">
        <f t="shared" si="223"/>
        <v>-89.993316679071853</v>
      </c>
      <c r="P431" s="14">
        <f t="shared" si="224"/>
        <v>-78.662606345366171</v>
      </c>
      <c r="Q431" s="14">
        <f t="shared" si="225"/>
        <v>-86.395374817555265</v>
      </c>
      <c r="R431" s="14">
        <f t="shared" si="226"/>
        <v>-24.030980936771197</v>
      </c>
      <c r="S431" s="23">
        <f t="shared" si="247"/>
        <v>-266.09502794375487</v>
      </c>
      <c r="T431" s="23">
        <f t="shared" si="248"/>
        <v>-60.364259291985363</v>
      </c>
      <c r="U431" s="14">
        <f t="shared" si="227"/>
        <v>20000</v>
      </c>
      <c r="V431" s="14">
        <f t="shared" si="228"/>
        <v>-89.99999782469537</v>
      </c>
      <c r="W431" s="14">
        <f t="shared" si="229"/>
        <v>-148.41205098360663</v>
      </c>
      <c r="X431" s="14">
        <f t="shared" si="230"/>
        <v>89.99564939075826</v>
      </c>
      <c r="Y431" s="14">
        <f t="shared" si="231"/>
        <v>82.391451095367287</v>
      </c>
      <c r="Z431" s="14">
        <f t="shared" si="232"/>
        <v>-89.042954983226721</v>
      </c>
      <c r="AA431" s="14">
        <f t="shared" si="233"/>
        <v>-35.544209234427356</v>
      </c>
      <c r="AB431" s="23">
        <f t="shared" si="249"/>
        <v>-89.047303417163832</v>
      </c>
      <c r="AC431" s="23">
        <f t="shared" si="250"/>
        <v>-15.544209209387077</v>
      </c>
      <c r="AD431" s="14">
        <f t="shared" si="234"/>
        <v>88.803756303620801</v>
      </c>
      <c r="AE431" s="14">
        <f t="shared" si="235"/>
        <v>33.606690452266427</v>
      </c>
      <c r="AF431" s="14">
        <f t="shared" si="236"/>
        <v>35.691265765299022</v>
      </c>
      <c r="AG431" s="14">
        <f t="shared" si="237"/>
        <v>1.8070346815846581</v>
      </c>
      <c r="AH431" s="14">
        <f t="shared" si="238"/>
        <v>-88.006775235445431</v>
      </c>
      <c r="AI431" s="14">
        <f t="shared" si="239"/>
        <v>-29.173079216366698</v>
      </c>
      <c r="AJ431" s="23">
        <f t="shared" si="251"/>
        <v>36.488246833474392</v>
      </c>
      <c r="AK431" s="23">
        <f t="shared" si="252"/>
        <v>6.2406459174843896</v>
      </c>
      <c r="AL431" s="14">
        <f t="shared" si="240"/>
        <v>0</v>
      </c>
      <c r="AM431" s="14">
        <f t="shared" si="241"/>
        <v>0</v>
      </c>
      <c r="AN431" s="14">
        <f t="shared" si="242"/>
        <v>0</v>
      </c>
      <c r="AO431" s="14">
        <f t="shared" si="243"/>
        <v>0</v>
      </c>
      <c r="AP431" s="23">
        <f t="shared" si="253"/>
        <v>0</v>
      </c>
      <c r="AQ431" s="23">
        <f t="shared" si="254"/>
        <v>0</v>
      </c>
    </row>
    <row r="432" spans="8:43" x14ac:dyDescent="0.25">
      <c r="H432" s="14">
        <v>5.2900000000000098</v>
      </c>
      <c r="I432" s="36">
        <f t="shared" si="244"/>
        <v>1949844.5997580923</v>
      </c>
      <c r="J432" s="24">
        <f t="shared" si="245"/>
        <v>-138.15518238131278</v>
      </c>
      <c r="K432" s="24">
        <f t="shared" si="246"/>
        <v>-69.997735082900761</v>
      </c>
      <c r="L432" s="14">
        <f t="shared" si="220"/>
        <v>0.67018069634200106</v>
      </c>
      <c r="M432" s="14">
        <f t="shared" si="221"/>
        <v>-89.713020932594333</v>
      </c>
      <c r="N432" s="14">
        <f t="shared" si="222"/>
        <v>46.005484567235669</v>
      </c>
      <c r="O432" s="14">
        <f t="shared" si="223"/>
        <v>-89.993468810028091</v>
      </c>
      <c r="P432" s="14">
        <f t="shared" si="224"/>
        <v>-78.862606342706627</v>
      </c>
      <c r="Q432" s="14">
        <f t="shared" si="225"/>
        <v>-86.477217078049989</v>
      </c>
      <c r="R432" s="14">
        <f t="shared" si="226"/>
        <v>-24.230208240330082</v>
      </c>
      <c r="S432" s="23">
        <f t="shared" si="247"/>
        <v>-266.1837068206724</v>
      </c>
      <c r="T432" s="23">
        <f t="shared" si="248"/>
        <v>-60.56349172763889</v>
      </c>
      <c r="U432" s="14">
        <f t="shared" si="227"/>
        <v>20000</v>
      </c>
      <c r="V432" s="14">
        <f t="shared" si="228"/>
        <v>-89.99999787421136</v>
      </c>
      <c r="W432" s="14">
        <f t="shared" si="229"/>
        <v>-148.61205098360665</v>
      </c>
      <c r="X432" s="14">
        <f t="shared" si="230"/>
        <v>89.995748422714769</v>
      </c>
      <c r="Y432" s="14">
        <f t="shared" si="231"/>
        <v>82.591451094240284</v>
      </c>
      <c r="Z432" s="14">
        <f t="shared" si="232"/>
        <v>-89.064736072822214</v>
      </c>
      <c r="AA432" s="14">
        <f t="shared" si="233"/>
        <v>-35.744154702584495</v>
      </c>
      <c r="AB432" s="23">
        <f t="shared" si="249"/>
        <v>-89.068985524318805</v>
      </c>
      <c r="AC432" s="23">
        <f t="shared" si="250"/>
        <v>-15.744154678671237</v>
      </c>
      <c r="AD432" s="14">
        <f t="shared" si="234"/>
        <v>88.830978490157918</v>
      </c>
      <c r="AE432" s="14">
        <f t="shared" si="235"/>
        <v>33.806605259330375</v>
      </c>
      <c r="AF432" s="14">
        <f t="shared" si="236"/>
        <v>36.318642685236625</v>
      </c>
      <c r="AG432" s="14">
        <f t="shared" si="237"/>
        <v>1.876148812502916</v>
      </c>
      <c r="AH432" s="14">
        <f t="shared" si="238"/>
        <v>-88.05211121171611</v>
      </c>
      <c r="AI432" s="14">
        <f t="shared" si="239"/>
        <v>-29.372842748423921</v>
      </c>
      <c r="AJ432" s="23">
        <f t="shared" si="251"/>
        <v>37.097509963678434</v>
      </c>
      <c r="AK432" s="23">
        <f t="shared" si="252"/>
        <v>6.3099113234093736</v>
      </c>
      <c r="AL432" s="14">
        <f t="shared" si="240"/>
        <v>0</v>
      </c>
      <c r="AM432" s="14">
        <f t="shared" si="241"/>
        <v>0</v>
      </c>
      <c r="AN432" s="14">
        <f t="shared" si="242"/>
        <v>0</v>
      </c>
      <c r="AO432" s="14">
        <f t="shared" si="243"/>
        <v>0</v>
      </c>
      <c r="AP432" s="23">
        <f t="shared" si="253"/>
        <v>0</v>
      </c>
      <c r="AQ432" s="23">
        <f t="shared" si="254"/>
        <v>0</v>
      </c>
    </row>
    <row r="433" spans="8:43" x14ac:dyDescent="0.25">
      <c r="H433" s="14">
        <v>5.3000000000000096</v>
      </c>
      <c r="I433" s="36">
        <f t="shared" si="244"/>
        <v>1995262.3149689275</v>
      </c>
      <c r="J433" s="24">
        <f t="shared" si="245"/>
        <v>-137.64904656063163</v>
      </c>
      <c r="K433" s="24">
        <f t="shared" si="246"/>
        <v>-70.325593857277113</v>
      </c>
      <c r="L433" s="14">
        <f t="shared" si="220"/>
        <v>0.67018069634200106</v>
      </c>
      <c r="M433" s="14">
        <f t="shared" si="221"/>
        <v>-89.71955326814404</v>
      </c>
      <c r="N433" s="14">
        <f t="shared" si="222"/>
        <v>46.205479663577826</v>
      </c>
      <c r="O433" s="14">
        <f t="shared" si="223"/>
        <v>-89.993617478061068</v>
      </c>
      <c r="P433" s="14">
        <f t="shared" si="224"/>
        <v>-79.062606340166781</v>
      </c>
      <c r="Q433" s="14">
        <f t="shared" si="225"/>
        <v>-86.557210292115357</v>
      </c>
      <c r="R433" s="14">
        <f t="shared" si="226"/>
        <v>-24.429470192599382</v>
      </c>
      <c r="S433" s="23">
        <f t="shared" si="247"/>
        <v>-266.27038103832047</v>
      </c>
      <c r="T433" s="23">
        <f t="shared" si="248"/>
        <v>-60.762758581026191</v>
      </c>
      <c r="U433" s="14">
        <f t="shared" si="227"/>
        <v>20000</v>
      </c>
      <c r="V433" s="14">
        <f t="shared" si="228"/>
        <v>-89.999997922600215</v>
      </c>
      <c r="W433" s="14">
        <f t="shared" si="229"/>
        <v>-148.81205098360664</v>
      </c>
      <c r="X433" s="14">
        <f t="shared" si="230"/>
        <v>89.995845200428761</v>
      </c>
      <c r="Y433" s="14">
        <f t="shared" si="231"/>
        <v>82.791451093164014</v>
      </c>
      <c r="Z433" s="14">
        <f t="shared" si="232"/>
        <v>-89.086021625520601</v>
      </c>
      <c r="AA433" s="14">
        <f t="shared" si="233"/>
        <v>-35.944102624439665</v>
      </c>
      <c r="AB433" s="23">
        <f t="shared" si="249"/>
        <v>-89.090174347692056</v>
      </c>
      <c r="AC433" s="23">
        <f t="shared" si="250"/>
        <v>-15.944102601602665</v>
      </c>
      <c r="AD433" s="14">
        <f t="shared" si="234"/>
        <v>88.857581534144913</v>
      </c>
      <c r="AE433" s="14">
        <f t="shared" si="235"/>
        <v>34.006523899147993</v>
      </c>
      <c r="AF433" s="14">
        <f t="shared" si="236"/>
        <v>36.950344864340842</v>
      </c>
      <c r="AG433" s="14">
        <f t="shared" si="237"/>
        <v>1.9473603374756496</v>
      </c>
      <c r="AH433" s="14">
        <f t="shared" si="238"/>
        <v>-88.096417573104873</v>
      </c>
      <c r="AI433" s="14">
        <f t="shared" si="239"/>
        <v>-29.572616911271904</v>
      </c>
      <c r="AJ433" s="23">
        <f t="shared" si="251"/>
        <v>37.711508825380889</v>
      </c>
      <c r="AK433" s="23">
        <f t="shared" si="252"/>
        <v>6.3812673253517396</v>
      </c>
      <c r="AL433" s="14">
        <f t="shared" si="240"/>
        <v>0</v>
      </c>
      <c r="AM433" s="14">
        <f t="shared" si="241"/>
        <v>0</v>
      </c>
      <c r="AN433" s="14">
        <f t="shared" si="242"/>
        <v>0</v>
      </c>
      <c r="AO433" s="14">
        <f t="shared" si="243"/>
        <v>0</v>
      </c>
      <c r="AP433" s="23">
        <f t="shared" si="253"/>
        <v>0</v>
      </c>
      <c r="AQ433" s="23">
        <f t="shared" si="254"/>
        <v>0</v>
      </c>
    </row>
    <row r="434" spans="8:43" x14ac:dyDescent="0.25">
      <c r="H434" s="14">
        <v>5.3100000000000103</v>
      </c>
      <c r="I434" s="36">
        <f t="shared" si="244"/>
        <v>2041737.9446695817</v>
      </c>
      <c r="J434" s="24">
        <f t="shared" si="245"/>
        <v>-137.13602154837878</v>
      </c>
      <c r="K434" s="24">
        <f t="shared" si="246"/>
        <v>-70.651368969132136</v>
      </c>
      <c r="L434" s="14">
        <f t="shared" si="220"/>
        <v>0.67018069634200106</v>
      </c>
      <c r="M434" s="14">
        <f t="shared" si="221"/>
        <v>-89.725936916627973</v>
      </c>
      <c r="N434" s="14">
        <f t="shared" si="222"/>
        <v>46.405474980615779</v>
      </c>
      <c r="O434" s="14">
        <f t="shared" si="223"/>
        <v>-89.99376276199655</v>
      </c>
      <c r="P434" s="14">
        <f t="shared" si="224"/>
        <v>-79.262606337741261</v>
      </c>
      <c r="Q434" s="14">
        <f t="shared" si="225"/>
        <v>-86.635395625112395</v>
      </c>
      <c r="R434" s="14">
        <f t="shared" si="226"/>
        <v>-24.628765245384564</v>
      </c>
      <c r="S434" s="23">
        <f t="shared" si="247"/>
        <v>-266.3550953037369</v>
      </c>
      <c r="T434" s="23">
        <f t="shared" si="248"/>
        <v>-60.9620583143479</v>
      </c>
      <c r="U434" s="14">
        <f t="shared" si="227"/>
        <v>20000</v>
      </c>
      <c r="V434" s="14">
        <f t="shared" si="228"/>
        <v>-89.999997969887602</v>
      </c>
      <c r="W434" s="14">
        <f t="shared" si="229"/>
        <v>-149.01205098360666</v>
      </c>
      <c r="X434" s="14">
        <f t="shared" si="230"/>
        <v>89.99593977521306</v>
      </c>
      <c r="Y434" s="14">
        <f t="shared" si="231"/>
        <v>82.991451092136202</v>
      </c>
      <c r="Z434" s="14">
        <f t="shared" si="232"/>
        <v>-89.106822903688453</v>
      </c>
      <c r="AA434" s="14">
        <f t="shared" si="233"/>
        <v>-36.1440528896145</v>
      </c>
      <c r="AB434" s="23">
        <f t="shared" si="249"/>
        <v>-89.110881098362995</v>
      </c>
      <c r="AC434" s="23">
        <f t="shared" si="250"/>
        <v>-16.144052867805328</v>
      </c>
      <c r="AD434" s="14">
        <f t="shared" si="234"/>
        <v>88.883579494959861</v>
      </c>
      <c r="AE434" s="14">
        <f t="shared" si="235"/>
        <v>34.206446199354168</v>
      </c>
      <c r="AF434" s="14">
        <f t="shared" si="236"/>
        <v>37.58609295811646</v>
      </c>
      <c r="AG434" s="14">
        <f t="shared" si="237"/>
        <v>2.0206972411696742</v>
      </c>
      <c r="AH434" s="14">
        <f t="shared" si="238"/>
        <v>-88.139717599355194</v>
      </c>
      <c r="AI434" s="14">
        <f t="shared" si="239"/>
        <v>-29.772401227502744</v>
      </c>
      <c r="AJ434" s="23">
        <f t="shared" si="251"/>
        <v>38.329954853721134</v>
      </c>
      <c r="AK434" s="23">
        <f t="shared" si="252"/>
        <v>6.4547422130210954</v>
      </c>
      <c r="AL434" s="14">
        <f t="shared" si="240"/>
        <v>0</v>
      </c>
      <c r="AM434" s="14">
        <f t="shared" si="241"/>
        <v>0</v>
      </c>
      <c r="AN434" s="14">
        <f t="shared" si="242"/>
        <v>0</v>
      </c>
      <c r="AO434" s="14">
        <f t="shared" si="243"/>
        <v>0</v>
      </c>
      <c r="AP434" s="23">
        <f t="shared" si="253"/>
        <v>0</v>
      </c>
      <c r="AQ434" s="23">
        <f t="shared" si="254"/>
        <v>0</v>
      </c>
    </row>
    <row r="435" spans="8:43" x14ac:dyDescent="0.25">
      <c r="H435" s="14">
        <v>5.3200000000000101</v>
      </c>
      <c r="I435" s="36">
        <f t="shared" si="244"/>
        <v>2089296.1308540893</v>
      </c>
      <c r="J435" s="24">
        <f t="shared" si="245"/>
        <v>-136.6164601440762</v>
      </c>
      <c r="K435" s="24">
        <f t="shared" si="246"/>
        <v>-70.975032300590144</v>
      </c>
      <c r="L435" s="14">
        <f t="shared" si="220"/>
        <v>0.67018069634200106</v>
      </c>
      <c r="M435" s="14">
        <f t="shared" si="221"/>
        <v>-89.732175262106793</v>
      </c>
      <c r="N435" s="14">
        <f t="shared" si="222"/>
        <v>46.605470508417</v>
      </c>
      <c r="O435" s="14">
        <f t="shared" si="223"/>
        <v>-89.993904738865993</v>
      </c>
      <c r="P435" s="14">
        <f t="shared" si="224"/>
        <v>-79.46260633542488</v>
      </c>
      <c r="Q435" s="14">
        <f t="shared" si="225"/>
        <v>-86.711813366563774</v>
      </c>
      <c r="R435" s="14">
        <f t="shared" si="226"/>
        <v>-24.828091919186129</v>
      </c>
      <c r="S435" s="23">
        <f t="shared" si="247"/>
        <v>-266.43789336753656</v>
      </c>
      <c r="T435" s="23">
        <f t="shared" si="248"/>
        <v>-61.161389458031863</v>
      </c>
      <c r="U435" s="14">
        <f t="shared" si="227"/>
        <v>20000</v>
      </c>
      <c r="V435" s="14">
        <f t="shared" si="228"/>
        <v>-89.999998016098615</v>
      </c>
      <c r="W435" s="14">
        <f t="shared" si="229"/>
        <v>-149.21205098360664</v>
      </c>
      <c r="X435" s="14">
        <f t="shared" si="230"/>
        <v>89.996032197212458</v>
      </c>
      <c r="Y435" s="14">
        <f t="shared" si="231"/>
        <v>83.191451091154605</v>
      </c>
      <c r="Z435" s="14">
        <f t="shared" si="232"/>
        <v>-89.127150914492361</v>
      </c>
      <c r="AA435" s="14">
        <f t="shared" si="233"/>
        <v>-36.344005392693489</v>
      </c>
      <c r="AB435" s="23">
        <f t="shared" si="249"/>
        <v>-89.131116733378519</v>
      </c>
      <c r="AC435" s="23">
        <f t="shared" si="250"/>
        <v>-16.344005371865904</v>
      </c>
      <c r="AD435" s="14">
        <f t="shared" si="234"/>
        <v>88.908986114219616</v>
      </c>
      <c r="AE435" s="14">
        <f t="shared" si="235"/>
        <v>34.406371995329394</v>
      </c>
      <c r="AF435" s="14">
        <f t="shared" si="236"/>
        <v>38.225597893382492</v>
      </c>
      <c r="AG435" s="14">
        <f t="shared" si="237"/>
        <v>2.0961857750807869</v>
      </c>
      <c r="AH435" s="14">
        <f t="shared" si="238"/>
        <v>-88.182034050763249</v>
      </c>
      <c r="AI435" s="14">
        <f t="shared" si="239"/>
        <v>-29.972195241102551</v>
      </c>
      <c r="AJ435" s="23">
        <f t="shared" si="251"/>
        <v>38.952549956838865</v>
      </c>
      <c r="AK435" s="23">
        <f t="shared" si="252"/>
        <v>6.5303625293076273</v>
      </c>
      <c r="AL435" s="14">
        <f t="shared" si="240"/>
        <v>0</v>
      </c>
      <c r="AM435" s="14">
        <f t="shared" si="241"/>
        <v>0</v>
      </c>
      <c r="AN435" s="14">
        <f t="shared" si="242"/>
        <v>0</v>
      </c>
      <c r="AO435" s="14">
        <f t="shared" si="243"/>
        <v>0</v>
      </c>
      <c r="AP435" s="23">
        <f t="shared" si="253"/>
        <v>0</v>
      </c>
      <c r="AQ435" s="23">
        <f t="shared" si="254"/>
        <v>0</v>
      </c>
    </row>
    <row r="436" spans="8:43" x14ac:dyDescent="0.25">
      <c r="H436" s="14">
        <v>5.3300000000000098</v>
      </c>
      <c r="I436" s="36">
        <f t="shared" si="244"/>
        <v>2137962.0895022824</v>
      </c>
      <c r="J436" s="24">
        <f t="shared" si="245"/>
        <v>-136.09072293220348</v>
      </c>
      <c r="K436" s="24">
        <f t="shared" si="246"/>
        <v>-71.296557649329529</v>
      </c>
      <c r="L436" s="14">
        <f t="shared" si="220"/>
        <v>0.67018069634200106</v>
      </c>
      <c r="M436" s="14">
        <f t="shared" si="221"/>
        <v>-89.738271611641835</v>
      </c>
      <c r="N436" s="14">
        <f t="shared" si="222"/>
        <v>46.805466237496034</v>
      </c>
      <c r="O436" s="14">
        <f t="shared" si="223"/>
        <v>-89.99404348394738</v>
      </c>
      <c r="P436" s="14">
        <f t="shared" si="224"/>
        <v>-79.66260633321275</v>
      </c>
      <c r="Q436" s="14">
        <f t="shared" si="225"/>
        <v>-86.78650294605734</v>
      </c>
      <c r="R436" s="14">
        <f t="shared" si="226"/>
        <v>-25.027448800194009</v>
      </c>
      <c r="S436" s="23">
        <f t="shared" si="247"/>
        <v>-266.51881804164657</v>
      </c>
      <c r="T436" s="23">
        <f t="shared" si="248"/>
        <v>-61.360750607748578</v>
      </c>
      <c r="U436" s="14">
        <f t="shared" si="227"/>
        <v>20000</v>
      </c>
      <c r="V436" s="14">
        <f t="shared" si="228"/>
        <v>-89.999998061257713</v>
      </c>
      <c r="W436" s="14">
        <f t="shared" si="229"/>
        <v>-149.41205098360663</v>
      </c>
      <c r="X436" s="14">
        <f t="shared" si="230"/>
        <v>89.996122515430315</v>
      </c>
      <c r="Y436" s="14">
        <f t="shared" si="231"/>
        <v>83.391451090217217</v>
      </c>
      <c r="Z436" s="14">
        <f t="shared" si="232"/>
        <v>-89.147016415630446</v>
      </c>
      <c r="AA436" s="14">
        <f t="shared" si="233"/>
        <v>-36.543960033001149</v>
      </c>
      <c r="AB436" s="23">
        <f t="shared" si="249"/>
        <v>-89.150891961457845</v>
      </c>
      <c r="AC436" s="23">
        <f t="shared" si="250"/>
        <v>-16.54396001311094</v>
      </c>
      <c r="AD436" s="14">
        <f t="shared" si="234"/>
        <v>88.933814822861564</v>
      </c>
      <c r="AE436" s="14">
        <f t="shared" si="235"/>
        <v>34.606301129852326</v>
      </c>
      <c r="AF436" s="14">
        <f t="shared" si="236"/>
        <v>38.868561427345668</v>
      </c>
      <c r="AG436" s="14">
        <f t="shared" si="237"/>
        <v>2.1738503581745263</v>
      </c>
      <c r="AH436" s="14">
        <f t="shared" si="238"/>
        <v>-88.223389179306309</v>
      </c>
      <c r="AI436" s="14">
        <f t="shared" si="239"/>
        <v>-30.17199851649686</v>
      </c>
      <c r="AJ436" s="23">
        <f t="shared" si="251"/>
        <v>39.578987070900922</v>
      </c>
      <c r="AK436" s="23">
        <f t="shared" si="252"/>
        <v>6.6081529715299929</v>
      </c>
      <c r="AL436" s="14">
        <f t="shared" si="240"/>
        <v>0</v>
      </c>
      <c r="AM436" s="14">
        <f t="shared" si="241"/>
        <v>0</v>
      </c>
      <c r="AN436" s="14">
        <f t="shared" si="242"/>
        <v>0</v>
      </c>
      <c r="AO436" s="14">
        <f t="shared" si="243"/>
        <v>0</v>
      </c>
      <c r="AP436" s="23">
        <f t="shared" si="253"/>
        <v>0</v>
      </c>
      <c r="AQ436" s="23">
        <f t="shared" si="254"/>
        <v>0</v>
      </c>
    </row>
    <row r="437" spans="8:43" x14ac:dyDescent="0.25">
      <c r="H437" s="14">
        <v>5.3400000000000096</v>
      </c>
      <c r="I437" s="36">
        <f t="shared" si="244"/>
        <v>2187761.6239496041</v>
      </c>
      <c r="J437" s="24">
        <f t="shared" si="245"/>
        <v>-135.55917769790085</v>
      </c>
      <c r="K437" s="24">
        <f t="shared" si="246"/>
        <v>-71.615920819060449</v>
      </c>
      <c r="L437" s="14">
        <f t="shared" si="220"/>
        <v>0.67018069634200106</v>
      </c>
      <c r="M437" s="14">
        <f t="shared" si="221"/>
        <v>-89.744229197045883</v>
      </c>
      <c r="N437" s="14">
        <f t="shared" si="222"/>
        <v>47.005462158794266</v>
      </c>
      <c r="O437" s="14">
        <f t="shared" si="223"/>
        <v>-89.994179070805217</v>
      </c>
      <c r="P437" s="14">
        <f t="shared" si="224"/>
        <v>-79.862606331100196</v>
      </c>
      <c r="Q437" s="14">
        <f t="shared" si="225"/>
        <v>-86.859502949051048</v>
      </c>
      <c r="R437" s="14">
        <f t="shared" si="226"/>
        <v>-25.226834537409431</v>
      </c>
      <c r="S437" s="23">
        <f t="shared" si="247"/>
        <v>-266.59791121690216</v>
      </c>
      <c r="T437" s="23">
        <f t="shared" si="248"/>
        <v>-61.560140421553214</v>
      </c>
      <c r="U437" s="14">
        <f t="shared" si="227"/>
        <v>20000</v>
      </c>
      <c r="V437" s="14">
        <f t="shared" si="228"/>
        <v>-89.999998105388883</v>
      </c>
      <c r="W437" s="14">
        <f t="shared" si="229"/>
        <v>-149.61205098360662</v>
      </c>
      <c r="X437" s="14">
        <f t="shared" si="230"/>
        <v>89.996210777754555</v>
      </c>
      <c r="Y437" s="14">
        <f t="shared" si="231"/>
        <v>83.591451089321993</v>
      </c>
      <c r="Z437" s="14">
        <f t="shared" si="232"/>
        <v>-89.166429920938555</v>
      </c>
      <c r="AA437" s="14">
        <f t="shared" si="233"/>
        <v>-36.743916714389016</v>
      </c>
      <c r="AB437" s="23">
        <f t="shared" si="249"/>
        <v>-89.170217248572882</v>
      </c>
      <c r="AC437" s="23">
        <f t="shared" si="250"/>
        <v>-16.74391669539402</v>
      </c>
      <c r="AD437" s="14">
        <f t="shared" si="234"/>
        <v>88.958078748074442</v>
      </c>
      <c r="AE437" s="14">
        <f t="shared" si="235"/>
        <v>34.806233452767664</v>
      </c>
      <c r="AF437" s="14">
        <f t="shared" si="236"/>
        <v>39.514676759063576</v>
      </c>
      <c r="AG437" s="14">
        <f t="shared" si="237"/>
        <v>2.2537134827571452</v>
      </c>
      <c r="AH437" s="14">
        <f t="shared" si="238"/>
        <v>-88.263804739563795</v>
      </c>
      <c r="AI437" s="14">
        <f t="shared" si="239"/>
        <v>-30.371810637638017</v>
      </c>
      <c r="AJ437" s="23">
        <f t="shared" si="251"/>
        <v>40.208950767574208</v>
      </c>
      <c r="AK437" s="23">
        <f t="shared" si="252"/>
        <v>6.6881362978867891</v>
      </c>
      <c r="AL437" s="14">
        <f t="shared" si="240"/>
        <v>0</v>
      </c>
      <c r="AM437" s="14">
        <f t="shared" si="241"/>
        <v>0</v>
      </c>
      <c r="AN437" s="14">
        <f t="shared" si="242"/>
        <v>0</v>
      </c>
      <c r="AO437" s="14">
        <f t="shared" si="243"/>
        <v>0</v>
      </c>
      <c r="AP437" s="23">
        <f t="shared" si="253"/>
        <v>0</v>
      </c>
      <c r="AQ437" s="23">
        <f t="shared" si="254"/>
        <v>0</v>
      </c>
    </row>
    <row r="438" spans="8:43" x14ac:dyDescent="0.25">
      <c r="H438" s="14">
        <v>5.3500000000000103</v>
      </c>
      <c r="I438" s="36">
        <f t="shared" si="244"/>
        <v>2238721.1385683962</v>
      </c>
      <c r="J438" s="24">
        <f t="shared" si="245"/>
        <v>-135.02219879240693</v>
      </c>
      <c r="K438" s="24">
        <f t="shared" si="246"/>
        <v>-71.933099704186802</v>
      </c>
      <c r="L438" s="14">
        <f t="shared" si="220"/>
        <v>0.67018069634200106</v>
      </c>
      <c r="M438" s="14">
        <f t="shared" si="221"/>
        <v>-89.750051176593971</v>
      </c>
      <c r="N438" s="14">
        <f t="shared" si="222"/>
        <v>47.205458263660759</v>
      </c>
      <c r="O438" s="14">
        <f t="shared" si="223"/>
        <v>-89.994311571329433</v>
      </c>
      <c r="P438" s="14">
        <f t="shared" si="224"/>
        <v>-80.06260632908274</v>
      </c>
      <c r="Q438" s="14">
        <f t="shared" si="225"/>
        <v>-86.930851132564868</v>
      </c>
      <c r="R438" s="14">
        <f t="shared" si="226"/>
        <v>-25.426247839889754</v>
      </c>
      <c r="S438" s="23">
        <f t="shared" si="247"/>
        <v>-266.67521388048829</v>
      </c>
      <c r="T438" s="23">
        <f t="shared" si="248"/>
        <v>-61.759557617149589</v>
      </c>
      <c r="U438" s="14">
        <f t="shared" si="227"/>
        <v>20000</v>
      </c>
      <c r="V438" s="14">
        <f t="shared" si="228"/>
        <v>-89.999998148515502</v>
      </c>
      <c r="W438" s="14">
        <f t="shared" si="229"/>
        <v>-149.81205098360664</v>
      </c>
      <c r="X438" s="14">
        <f t="shared" si="230"/>
        <v>89.996297030983044</v>
      </c>
      <c r="Y438" s="14">
        <f t="shared" si="231"/>
        <v>83.791451088467113</v>
      </c>
      <c r="Z438" s="14">
        <f t="shared" si="232"/>
        <v>-89.18540170587373</v>
      </c>
      <c r="AA438" s="14">
        <f t="shared" si="233"/>
        <v>-36.943875345032254</v>
      </c>
      <c r="AB438" s="23">
        <f t="shared" si="249"/>
        <v>-89.189102823406188</v>
      </c>
      <c r="AC438" s="23">
        <f t="shared" si="250"/>
        <v>-16.943875326892154</v>
      </c>
      <c r="AD438" s="14">
        <f t="shared" si="234"/>
        <v>88.981790720080681</v>
      </c>
      <c r="AE438" s="14">
        <f t="shared" si="235"/>
        <v>35.006168820669068</v>
      </c>
      <c r="AF438" s="14">
        <f t="shared" si="236"/>
        <v>40.163629190839821</v>
      </c>
      <c r="AG438" s="14">
        <f t="shared" si="237"/>
        <v>2.3357956263190278</v>
      </c>
      <c r="AH438" s="14">
        <f t="shared" si="238"/>
        <v>-88.303301999432946</v>
      </c>
      <c r="AI438" s="14">
        <f t="shared" si="239"/>
        <v>-30.571631207133159</v>
      </c>
      <c r="AJ438" s="23">
        <f t="shared" si="251"/>
        <v>40.842117911487563</v>
      </c>
      <c r="AK438" s="23">
        <f t="shared" si="252"/>
        <v>6.770333239854935</v>
      </c>
      <c r="AL438" s="14">
        <f t="shared" si="240"/>
        <v>0</v>
      </c>
      <c r="AM438" s="14">
        <f t="shared" si="241"/>
        <v>0</v>
      </c>
      <c r="AN438" s="14">
        <f t="shared" si="242"/>
        <v>0</v>
      </c>
      <c r="AO438" s="14">
        <f t="shared" si="243"/>
        <v>0</v>
      </c>
      <c r="AP438" s="23">
        <f t="shared" si="253"/>
        <v>0</v>
      </c>
      <c r="AQ438" s="23">
        <f t="shared" si="254"/>
        <v>0</v>
      </c>
    </row>
    <row r="439" spans="8:43" x14ac:dyDescent="0.25">
      <c r="H439" s="14">
        <v>5.3600000000000101</v>
      </c>
      <c r="I439" s="36">
        <f t="shared" si="244"/>
        <v>2290867.6527678305</v>
      </c>
      <c r="J439" s="24">
        <f t="shared" si="245"/>
        <v>-134.4801664512037</v>
      </c>
      <c r="K439" s="24">
        <f t="shared" si="246"/>
        <v>-72.248074367935104</v>
      </c>
      <c r="L439" s="14">
        <f t="shared" si="220"/>
        <v>0.67018069634200106</v>
      </c>
      <c r="M439" s="14">
        <f t="shared" si="221"/>
        <v>-89.755740636695521</v>
      </c>
      <c r="N439" s="14">
        <f t="shared" si="222"/>
        <v>47.405454543833855</v>
      </c>
      <c r="O439" s="14">
        <f t="shared" si="223"/>
        <v>-89.994441055773549</v>
      </c>
      <c r="P439" s="14">
        <f t="shared" si="224"/>
        <v>-80.262606327156064</v>
      </c>
      <c r="Q439" s="14">
        <f t="shared" si="225"/>
        <v>-87.000584440746124</v>
      </c>
      <c r="R439" s="14">
        <f t="shared" si="226"/>
        <v>-25.625687474110848</v>
      </c>
      <c r="S439" s="23">
        <f t="shared" si="247"/>
        <v>-266.75076613321522</v>
      </c>
      <c r="T439" s="23">
        <f t="shared" si="248"/>
        <v>-61.95900096927091</v>
      </c>
      <c r="U439" s="14">
        <f t="shared" si="227"/>
        <v>20000</v>
      </c>
      <c r="V439" s="14">
        <f t="shared" si="228"/>
        <v>-89.999998190660435</v>
      </c>
      <c r="W439" s="14">
        <f t="shared" si="229"/>
        <v>-150.01205098360663</v>
      </c>
      <c r="X439" s="14">
        <f t="shared" si="230"/>
        <v>89.996381320848357</v>
      </c>
      <c r="Y439" s="14">
        <f t="shared" si="231"/>
        <v>83.991451087650674</v>
      </c>
      <c r="Z439" s="14">
        <f t="shared" si="232"/>
        <v>-89.203941812877275</v>
      </c>
      <c r="AA439" s="14">
        <f t="shared" si="233"/>
        <v>-37.143835837235372</v>
      </c>
      <c r="AB439" s="23">
        <f t="shared" si="249"/>
        <v>-89.207558682689353</v>
      </c>
      <c r="AC439" s="23">
        <f t="shared" si="250"/>
        <v>-17.1438358199117</v>
      </c>
      <c r="AD439" s="14">
        <f t="shared" si="234"/>
        <v>89.004963278773204</v>
      </c>
      <c r="AE439" s="14">
        <f t="shared" si="235"/>
        <v>35.206107096596156</v>
      </c>
      <c r="AF439" s="14">
        <f t="shared" si="236"/>
        <v>40.815096836568515</v>
      </c>
      <c r="AG439" s="14">
        <f t="shared" si="237"/>
        <v>2.4201151700620951</v>
      </c>
      <c r="AH439" s="14">
        <f t="shared" si="238"/>
        <v>-88.341901750640858</v>
      </c>
      <c r="AI439" s="14">
        <f t="shared" si="239"/>
        <v>-30.771459845410742</v>
      </c>
      <c r="AJ439" s="23">
        <f t="shared" si="251"/>
        <v>41.478158364700874</v>
      </c>
      <c r="AK439" s="23">
        <f t="shared" si="252"/>
        <v>6.8547624212475107</v>
      </c>
      <c r="AL439" s="14">
        <f t="shared" si="240"/>
        <v>0</v>
      </c>
      <c r="AM439" s="14">
        <f t="shared" si="241"/>
        <v>0</v>
      </c>
      <c r="AN439" s="14">
        <f t="shared" si="242"/>
        <v>0</v>
      </c>
      <c r="AO439" s="14">
        <f t="shared" si="243"/>
        <v>0</v>
      </c>
      <c r="AP439" s="23">
        <f t="shared" si="253"/>
        <v>0</v>
      </c>
      <c r="AQ439" s="23">
        <f t="shared" si="254"/>
        <v>0</v>
      </c>
    </row>
    <row r="440" spans="8:43" x14ac:dyDescent="0.25">
      <c r="H440" s="14">
        <v>5.3700000000000099</v>
      </c>
      <c r="I440" s="36">
        <f t="shared" si="244"/>
        <v>2344228.8153199768</v>
      </c>
      <c r="J440" s="24">
        <f t="shared" si="245"/>
        <v>-133.93346606834277</v>
      </c>
      <c r="K440" s="24">
        <f t="shared" si="246"/>
        <v>-72.5608271132715</v>
      </c>
      <c r="L440" s="14">
        <f t="shared" si="220"/>
        <v>0.67018069634200106</v>
      </c>
      <c r="M440" s="14">
        <f t="shared" si="221"/>
        <v>-89.76130059352856</v>
      </c>
      <c r="N440" s="14">
        <f t="shared" si="222"/>
        <v>47.605450991423751</v>
      </c>
      <c r="O440" s="14">
        <f t="shared" si="223"/>
        <v>-89.994567592791924</v>
      </c>
      <c r="P440" s="14">
        <f t="shared" si="224"/>
        <v>-80.462606325316102</v>
      </c>
      <c r="Q440" s="14">
        <f t="shared" si="225"/>
        <v>-87.06873902029642</v>
      </c>
      <c r="R440" s="14">
        <f t="shared" si="226"/>
        <v>-25.825152261442696</v>
      </c>
      <c r="S440" s="23">
        <f t="shared" si="247"/>
        <v>-266.82460720661686</v>
      </c>
      <c r="T440" s="23">
        <f t="shared" si="248"/>
        <v>-62.158469307172901</v>
      </c>
      <c r="U440" s="14">
        <f t="shared" si="227"/>
        <v>20000</v>
      </c>
      <c r="V440" s="14">
        <f t="shared" si="228"/>
        <v>-89.999998231846021</v>
      </c>
      <c r="W440" s="14">
        <f t="shared" si="229"/>
        <v>-150.21205098360664</v>
      </c>
      <c r="X440" s="14">
        <f t="shared" si="230"/>
        <v>89.996463692042113</v>
      </c>
      <c r="Y440" s="14">
        <f t="shared" si="231"/>
        <v>84.191451086870956</v>
      </c>
      <c r="Z440" s="14">
        <f t="shared" si="232"/>
        <v>-89.222060056620094</v>
      </c>
      <c r="AA440" s="14">
        <f t="shared" si="233"/>
        <v>-37.343798107246734</v>
      </c>
      <c r="AB440" s="23">
        <f t="shared" si="249"/>
        <v>-89.225594596424003</v>
      </c>
      <c r="AC440" s="23">
        <f t="shared" si="250"/>
        <v>-17.343798090702798</v>
      </c>
      <c r="AD440" s="14">
        <f t="shared" si="234"/>
        <v>89.02760868020934</v>
      </c>
      <c r="AE440" s="14">
        <f t="shared" si="235"/>
        <v>35.406048149745217</v>
      </c>
      <c r="AF440" s="14">
        <f t="shared" si="236"/>
        <v>41.468751373543419</v>
      </c>
      <c r="AG440" s="14">
        <f t="shared" si="237"/>
        <v>2.5066883247831493</v>
      </c>
      <c r="AH440" s="14">
        <f t="shared" si="238"/>
        <v>-88.37962431905467</v>
      </c>
      <c r="AI440" s="14">
        <f t="shared" si="239"/>
        <v>-30.971296189924175</v>
      </c>
      <c r="AJ440" s="23">
        <f t="shared" si="251"/>
        <v>42.116735734698096</v>
      </c>
      <c r="AK440" s="23">
        <f t="shared" si="252"/>
        <v>6.9414402846041909</v>
      </c>
      <c r="AL440" s="14">
        <f t="shared" si="240"/>
        <v>0</v>
      </c>
      <c r="AM440" s="14">
        <f t="shared" si="241"/>
        <v>0</v>
      </c>
      <c r="AN440" s="14">
        <f t="shared" si="242"/>
        <v>0</v>
      </c>
      <c r="AO440" s="14">
        <f t="shared" si="243"/>
        <v>0</v>
      </c>
      <c r="AP440" s="23">
        <f t="shared" si="253"/>
        <v>0</v>
      </c>
      <c r="AQ440" s="23">
        <f t="shared" si="254"/>
        <v>0</v>
      </c>
    </row>
    <row r="441" spans="8:43" x14ac:dyDescent="0.25">
      <c r="H441" s="14">
        <v>5.3800000000000097</v>
      </c>
      <c r="I441" s="36">
        <f t="shared" si="244"/>
        <v>2398832.9190195464</v>
      </c>
      <c r="J441" s="24">
        <f t="shared" si="245"/>
        <v>-133.3824874309098</v>
      </c>
      <c r="K441" s="24">
        <f t="shared" si="246"/>
        <v>-72.871342545978521</v>
      </c>
      <c r="L441" s="14">
        <f t="shared" si="220"/>
        <v>0.67018069634200106</v>
      </c>
      <c r="M441" s="14">
        <f t="shared" si="221"/>
        <v>-89.766733994636667</v>
      </c>
      <c r="N441" s="14">
        <f t="shared" si="222"/>
        <v>47.805447598895732</v>
      </c>
      <c r="O441" s="14">
        <f t="shared" si="223"/>
        <v>-89.994691249476176</v>
      </c>
      <c r="P441" s="14">
        <f t="shared" si="224"/>
        <v>-80.662606323558947</v>
      </c>
      <c r="Q441" s="14">
        <f t="shared" si="225"/>
        <v>-87.135350235748973</v>
      </c>
      <c r="R441" s="14">
        <f t="shared" si="226"/>
        <v>-26.024641075733271</v>
      </c>
      <c r="S441" s="23">
        <f t="shared" si="247"/>
        <v>-266.89677547986184</v>
      </c>
      <c r="T441" s="23">
        <f t="shared" si="248"/>
        <v>-62.35796151223434</v>
      </c>
      <c r="U441" s="14">
        <f t="shared" si="227"/>
        <v>20000</v>
      </c>
      <c r="V441" s="14">
        <f t="shared" si="228"/>
        <v>-89.999998272094118</v>
      </c>
      <c r="W441" s="14">
        <f t="shared" si="229"/>
        <v>-150.41205098360663</v>
      </c>
      <c r="X441" s="14">
        <f t="shared" si="230"/>
        <v>89.996544188238587</v>
      </c>
      <c r="Y441" s="14">
        <f t="shared" si="231"/>
        <v>84.391451086126352</v>
      </c>
      <c r="Z441" s="14">
        <f t="shared" si="232"/>
        <v>-89.23976602913234</v>
      </c>
      <c r="AA441" s="14">
        <f t="shared" si="233"/>
        <v>-37.543762075081347</v>
      </c>
      <c r="AB441" s="23">
        <f t="shared" si="249"/>
        <v>-89.243220112987871</v>
      </c>
      <c r="AC441" s="23">
        <f t="shared" si="250"/>
        <v>-17.543762059282002</v>
      </c>
      <c r="AD441" s="14">
        <f t="shared" si="234"/>
        <v>89.049738902964563</v>
      </c>
      <c r="AE441" s="14">
        <f t="shared" si="235"/>
        <v>35.60599185519272</v>
      </c>
      <c r="AF441" s="14">
        <f t="shared" si="236"/>
        <v>42.124258833767698</v>
      </c>
      <c r="AG441" s="14">
        <f t="shared" si="237"/>
        <v>2.5955290647357989</v>
      </c>
      <c r="AH441" s="14">
        <f t="shared" si="238"/>
        <v>-88.416489574792337</v>
      </c>
      <c r="AI441" s="14">
        <f t="shared" si="239"/>
        <v>-31.171139894390699</v>
      </c>
      <c r="AJ441" s="23">
        <f t="shared" si="251"/>
        <v>42.75750816193991</v>
      </c>
      <c r="AK441" s="23">
        <f t="shared" si="252"/>
        <v>7.030381025537821</v>
      </c>
      <c r="AL441" s="14">
        <f t="shared" si="240"/>
        <v>0</v>
      </c>
      <c r="AM441" s="14">
        <f t="shared" si="241"/>
        <v>0</v>
      </c>
      <c r="AN441" s="14">
        <f t="shared" si="242"/>
        <v>0</v>
      </c>
      <c r="AO441" s="14">
        <f t="shared" si="243"/>
        <v>0</v>
      </c>
      <c r="AP441" s="23">
        <f t="shared" si="253"/>
        <v>0</v>
      </c>
      <c r="AQ441" s="23">
        <f t="shared" si="254"/>
        <v>0</v>
      </c>
    </row>
    <row r="442" spans="8:43" x14ac:dyDescent="0.25">
      <c r="H442" s="14">
        <v>5.3900000000000103</v>
      </c>
      <c r="I442" s="36">
        <f t="shared" si="244"/>
        <v>2454708.9156850912</v>
      </c>
      <c r="J442" s="24">
        <f t="shared" si="245"/>
        <v>-132.82762391802515</v>
      </c>
      <c r="K442" s="24">
        <f t="shared" si="246"/>
        <v>-73.179607629321183</v>
      </c>
      <c r="L442" s="14">
        <f t="shared" si="220"/>
        <v>0.67018069634200106</v>
      </c>
      <c r="M442" s="14">
        <f t="shared" si="221"/>
        <v>-89.772043720489961</v>
      </c>
      <c r="N442" s="14">
        <f t="shared" si="222"/>
        <v>48.005444359054181</v>
      </c>
      <c r="O442" s="14">
        <f t="shared" si="223"/>
        <v>-89.994812091390671</v>
      </c>
      <c r="P442" s="14">
        <f t="shared" si="224"/>
        <v>-80.862606321880918</v>
      </c>
      <c r="Q442" s="14">
        <f t="shared" si="225"/>
        <v>-87.200452684587177</v>
      </c>
      <c r="R442" s="14">
        <f t="shared" si="226"/>
        <v>-26.224152840996386</v>
      </c>
      <c r="S442" s="23">
        <f t="shared" si="247"/>
        <v>-266.96730849646781</v>
      </c>
      <c r="T442" s="23">
        <f t="shared" si="248"/>
        <v>-62.55747651566098</v>
      </c>
      <c r="U442" s="14">
        <f t="shared" si="227"/>
        <v>20000</v>
      </c>
      <c r="V442" s="14">
        <f t="shared" si="228"/>
        <v>-89.999998311426069</v>
      </c>
      <c r="W442" s="14">
        <f t="shared" si="229"/>
        <v>-150.61205098360665</v>
      </c>
      <c r="X442" s="14">
        <f t="shared" si="230"/>
        <v>89.996622852117937</v>
      </c>
      <c r="Y442" s="14">
        <f t="shared" si="231"/>
        <v>84.591451085415272</v>
      </c>
      <c r="Z442" s="14">
        <f t="shared" si="232"/>
        <v>-89.257069104820175</v>
      </c>
      <c r="AA442" s="14">
        <f t="shared" si="233"/>
        <v>-37.743727664351482</v>
      </c>
      <c r="AB442" s="23">
        <f t="shared" si="249"/>
        <v>-89.260444564128306</v>
      </c>
      <c r="AC442" s="23">
        <f t="shared" si="250"/>
        <v>-17.743727649263235</v>
      </c>
      <c r="AD442" s="14">
        <f t="shared" si="234"/>
        <v>89.07136565434871</v>
      </c>
      <c r="AE442" s="14">
        <f t="shared" si="235"/>
        <v>35.805938093631269</v>
      </c>
      <c r="AF442" s="14">
        <f t="shared" si="236"/>
        <v>42.78128043035818</v>
      </c>
      <c r="AG442" s="14">
        <f t="shared" si="237"/>
        <v>2.6866490700358296</v>
      </c>
      <c r="AH442" s="14">
        <f t="shared" si="238"/>
        <v>-88.452516942135944</v>
      </c>
      <c r="AI442" s="14">
        <f t="shared" si="239"/>
        <v>-31.37099062806406</v>
      </c>
      <c r="AJ442" s="23">
        <f t="shared" si="251"/>
        <v>43.400129142570947</v>
      </c>
      <c r="AK442" s="23">
        <f t="shared" si="252"/>
        <v>7.121596535603036</v>
      </c>
      <c r="AL442" s="14">
        <f t="shared" si="240"/>
        <v>0</v>
      </c>
      <c r="AM442" s="14">
        <f t="shared" si="241"/>
        <v>0</v>
      </c>
      <c r="AN442" s="14">
        <f t="shared" si="242"/>
        <v>0</v>
      </c>
      <c r="AO442" s="14">
        <f t="shared" si="243"/>
        <v>0</v>
      </c>
      <c r="AP442" s="23">
        <f t="shared" si="253"/>
        <v>0</v>
      </c>
      <c r="AQ442" s="23">
        <f t="shared" si="254"/>
        <v>0</v>
      </c>
    </row>
    <row r="443" spans="8:43" x14ac:dyDescent="0.25">
      <c r="H443" s="14">
        <v>5.4000000000000101</v>
      </c>
      <c r="I443" s="36">
        <f t="shared" si="244"/>
        <v>2511886.4315096424</v>
      </c>
      <c r="J443" s="24">
        <f t="shared" si="245"/>
        <v>-132.26927166918321</v>
      </c>
      <c r="K443" s="24">
        <f t="shared" si="246"/>
        <v>-73.485611729797398</v>
      </c>
      <c r="L443" s="14">
        <f t="shared" si="220"/>
        <v>0.67018069634200106</v>
      </c>
      <c r="M443" s="14">
        <f t="shared" si="221"/>
        <v>-89.7772325860103</v>
      </c>
      <c r="N443" s="14">
        <f t="shared" si="222"/>
        <v>48.205441265027247</v>
      </c>
      <c r="O443" s="14">
        <f t="shared" si="223"/>
        <v>-89.994930182607433</v>
      </c>
      <c r="P443" s="14">
        <f t="shared" si="224"/>
        <v>-81.062606320278377</v>
      </c>
      <c r="Q443" s="14">
        <f t="shared" si="225"/>
        <v>-87.264080212195211</v>
      </c>
      <c r="R443" s="14">
        <f t="shared" si="226"/>
        <v>-26.423686529199301</v>
      </c>
      <c r="S443" s="23">
        <f t="shared" si="247"/>
        <v>-267.03624298081297</v>
      </c>
      <c r="T443" s="23">
        <f t="shared" si="248"/>
        <v>-62.757013296288285</v>
      </c>
      <c r="U443" s="14">
        <f t="shared" si="227"/>
        <v>20000</v>
      </c>
      <c r="V443" s="14">
        <f t="shared" si="228"/>
        <v>-89.999998349862693</v>
      </c>
      <c r="W443" s="14">
        <f t="shared" si="229"/>
        <v>-150.81205098360664</v>
      </c>
      <c r="X443" s="14">
        <f t="shared" si="230"/>
        <v>89.996699725388808</v>
      </c>
      <c r="Y443" s="14">
        <f t="shared" si="231"/>
        <v>84.791451084736195</v>
      </c>
      <c r="Z443" s="14">
        <f t="shared" si="232"/>
        <v>-89.273978445371597</v>
      </c>
      <c r="AA443" s="14">
        <f t="shared" si="233"/>
        <v>-37.94369480210505</v>
      </c>
      <c r="AB443" s="23">
        <f t="shared" si="249"/>
        <v>-89.277277069845482</v>
      </c>
      <c r="AC443" s="23">
        <f t="shared" si="250"/>
        <v>-17.943694787695868</v>
      </c>
      <c r="AD443" s="14">
        <f t="shared" si="234"/>
        <v>89.092500376487365</v>
      </c>
      <c r="AE443" s="14">
        <f t="shared" si="235"/>
        <v>36.005886751117387</v>
      </c>
      <c r="AF443" s="14">
        <f t="shared" si="236"/>
        <v>43.439473414237767</v>
      </c>
      <c r="AG443" s="14">
        <f t="shared" si="237"/>
        <v>2.7800576781088564</v>
      </c>
      <c r="AH443" s="14">
        <f t="shared" si="238"/>
        <v>-88.487725409249919</v>
      </c>
      <c r="AI443" s="14">
        <f t="shared" si="239"/>
        <v>-31.570848075039493</v>
      </c>
      <c r="AJ443" s="23">
        <f t="shared" si="251"/>
        <v>44.044248381475228</v>
      </c>
      <c r="AK443" s="23">
        <f t="shared" si="252"/>
        <v>7.2150963541867483</v>
      </c>
      <c r="AL443" s="14">
        <f t="shared" si="240"/>
        <v>0</v>
      </c>
      <c r="AM443" s="14">
        <f t="shared" si="241"/>
        <v>0</v>
      </c>
      <c r="AN443" s="14">
        <f t="shared" si="242"/>
        <v>0</v>
      </c>
      <c r="AO443" s="14">
        <f t="shared" si="243"/>
        <v>0</v>
      </c>
      <c r="AP443" s="23">
        <f t="shared" si="253"/>
        <v>0</v>
      </c>
      <c r="AQ443" s="23">
        <f t="shared" si="254"/>
        <v>0</v>
      </c>
    </row>
    <row r="444" spans="8:43" x14ac:dyDescent="0.25">
      <c r="H444" s="14">
        <v>5.4100000000000099</v>
      </c>
      <c r="I444" s="36">
        <f t="shared" si="244"/>
        <v>2570395.782768927</v>
      </c>
      <c r="J444" s="24">
        <f t="shared" si="245"/>
        <v>-131.70782872708082</v>
      </c>
      <c r="K444" s="24">
        <f t="shared" si="246"/>
        <v>-73.789346653543333</v>
      </c>
      <c r="L444" s="14">
        <f t="shared" si="220"/>
        <v>0.67018069634200106</v>
      </c>
      <c r="M444" s="14">
        <f t="shared" si="221"/>
        <v>-89.782303342062249</v>
      </c>
      <c r="N444" s="14">
        <f t="shared" si="222"/>
        <v>48.4054383102524</v>
      </c>
      <c r="O444" s="14">
        <f t="shared" si="223"/>
        <v>-89.995045585739945</v>
      </c>
      <c r="P444" s="14">
        <f t="shared" si="224"/>
        <v>-81.26260631874797</v>
      </c>
      <c r="Q444" s="14">
        <f t="shared" si="225"/>
        <v>-87.326265926633624</v>
      </c>
      <c r="R444" s="14">
        <f t="shared" si="226"/>
        <v>-26.623241158145984</v>
      </c>
      <c r="S444" s="23">
        <f t="shared" si="247"/>
        <v>-267.10361485443582</v>
      </c>
      <c r="T444" s="23">
        <f t="shared" si="248"/>
        <v>-62.956570878479411</v>
      </c>
      <c r="U444" s="14">
        <f t="shared" si="227"/>
        <v>20000</v>
      </c>
      <c r="V444" s="14">
        <f t="shared" si="228"/>
        <v>-89.999998387424398</v>
      </c>
      <c r="W444" s="14">
        <f t="shared" si="229"/>
        <v>-151.01205098360663</v>
      </c>
      <c r="X444" s="14">
        <f t="shared" si="230"/>
        <v>89.996774848810404</v>
      </c>
      <c r="Y444" s="14">
        <f t="shared" si="231"/>
        <v>84.991451084087672</v>
      </c>
      <c r="Z444" s="14">
        <f t="shared" si="232"/>
        <v>-89.290503004553869</v>
      </c>
      <c r="AA444" s="14">
        <f t="shared" si="233"/>
        <v>-38.143663418671217</v>
      </c>
      <c r="AB444" s="23">
        <f t="shared" si="249"/>
        <v>-89.293726543167864</v>
      </c>
      <c r="AC444" s="23">
        <f t="shared" si="250"/>
        <v>-18.143663404910548</v>
      </c>
      <c r="AD444" s="14">
        <f t="shared" si="234"/>
        <v>89.113154252271116</v>
      </c>
      <c r="AE444" s="14">
        <f t="shared" si="235"/>
        <v>36.205837718830679</v>
      </c>
      <c r="AF444" s="14">
        <f t="shared" si="236"/>
        <v>44.098491955958487</v>
      </c>
      <c r="AG444" s="14">
        <f t="shared" si="237"/>
        <v>2.8757618446057216</v>
      </c>
      <c r="AH444" s="14">
        <f t="shared" si="238"/>
        <v>-88.522133537706779</v>
      </c>
      <c r="AI444" s="14">
        <f t="shared" si="239"/>
        <v>-31.770711933589766</v>
      </c>
      <c r="AJ444" s="23">
        <f t="shared" si="251"/>
        <v>44.689512670522831</v>
      </c>
      <c r="AK444" s="23">
        <f t="shared" si="252"/>
        <v>7.3108876298466328</v>
      </c>
      <c r="AL444" s="14">
        <f t="shared" si="240"/>
        <v>0</v>
      </c>
      <c r="AM444" s="14">
        <f t="shared" si="241"/>
        <v>0</v>
      </c>
      <c r="AN444" s="14">
        <f t="shared" si="242"/>
        <v>0</v>
      </c>
      <c r="AO444" s="14">
        <f t="shared" si="243"/>
        <v>0</v>
      </c>
      <c r="AP444" s="23">
        <f t="shared" si="253"/>
        <v>0</v>
      </c>
      <c r="AQ444" s="23">
        <f t="shared" si="254"/>
        <v>0</v>
      </c>
    </row>
    <row r="445" spans="8:43" x14ac:dyDescent="0.25">
      <c r="H445" s="14">
        <v>5.4200000000000097</v>
      </c>
      <c r="I445" s="36">
        <f t="shared" si="244"/>
        <v>2630267.9918954424</v>
      </c>
      <c r="J445" s="24">
        <f t="shared" si="245"/>
        <v>-131.14369416038531</v>
      </c>
      <c r="K445" s="24">
        <f t="shared" si="246"/>
        <v>-74.090806673040987</v>
      </c>
      <c r="L445" s="14">
        <f t="shared" si="220"/>
        <v>0.67018069634200106</v>
      </c>
      <c r="M445" s="14">
        <f t="shared" si="221"/>
        <v>-89.787258676909886</v>
      </c>
      <c r="N445" s="14">
        <f t="shared" si="222"/>
        <v>48.605435488462447</v>
      </c>
      <c r="O445" s="14">
        <f t="shared" si="223"/>
        <v>-89.995158361976493</v>
      </c>
      <c r="P445" s="14">
        <f t="shared" si="224"/>
        <v>-81.462606317286401</v>
      </c>
      <c r="Q445" s="14">
        <f t="shared" si="225"/>
        <v>-87.387042213232434</v>
      </c>
      <c r="R445" s="14">
        <f t="shared" si="226"/>
        <v>-26.822815789451951</v>
      </c>
      <c r="S445" s="23">
        <f t="shared" si="247"/>
        <v>-267.16945925211883</v>
      </c>
      <c r="T445" s="23">
        <f t="shared" si="248"/>
        <v>-63.156148330113759</v>
      </c>
      <c r="U445" s="14">
        <f t="shared" si="227"/>
        <v>20000</v>
      </c>
      <c r="V445" s="14">
        <f t="shared" si="228"/>
        <v>-89.999998424131107</v>
      </c>
      <c r="W445" s="14">
        <f t="shared" si="229"/>
        <v>-151.21205098360664</v>
      </c>
      <c r="X445" s="14">
        <f t="shared" si="230"/>
        <v>89.996848262214172</v>
      </c>
      <c r="Y445" s="14">
        <f t="shared" si="231"/>
        <v>85.191451083468337</v>
      </c>
      <c r="Z445" s="14">
        <f t="shared" si="232"/>
        <v>-89.306651532904695</v>
      </c>
      <c r="AA445" s="14">
        <f t="shared" si="233"/>
        <v>-38.343633447512865</v>
      </c>
      <c r="AB445" s="23">
        <f t="shared" si="249"/>
        <v>-89.30980169482163</v>
      </c>
      <c r="AC445" s="23">
        <f t="shared" si="250"/>
        <v>-18.343633434371547</v>
      </c>
      <c r="AD445" s="14">
        <f t="shared" si="234"/>
        <v>89.133338211175129</v>
      </c>
      <c r="AE445" s="14">
        <f t="shared" si="235"/>
        <v>36.405790892843591</v>
      </c>
      <c r="AF445" s="14">
        <f t="shared" si="236"/>
        <v>44.757988047202595</v>
      </c>
      <c r="AG445" s="14">
        <f t="shared" si="237"/>
        <v>2.9737661141312892</v>
      </c>
      <c r="AH445" s="14">
        <f t="shared" si="238"/>
        <v>-88.555759471822569</v>
      </c>
      <c r="AI445" s="14">
        <f t="shared" si="239"/>
        <v>-31.970581915530563</v>
      </c>
      <c r="AJ445" s="23">
        <f t="shared" si="251"/>
        <v>45.335566786555148</v>
      </c>
      <c r="AK445" s="23">
        <f t="shared" si="252"/>
        <v>7.4089750914443151</v>
      </c>
      <c r="AL445" s="14">
        <f t="shared" si="240"/>
        <v>0</v>
      </c>
      <c r="AM445" s="14">
        <f t="shared" si="241"/>
        <v>0</v>
      </c>
      <c r="AN445" s="14">
        <f t="shared" si="242"/>
        <v>0</v>
      </c>
      <c r="AO445" s="14">
        <f t="shared" si="243"/>
        <v>0</v>
      </c>
      <c r="AP445" s="23">
        <f t="shared" si="253"/>
        <v>0</v>
      </c>
      <c r="AQ445" s="23">
        <f t="shared" si="254"/>
        <v>0</v>
      </c>
    </row>
    <row r="446" spans="8:43" x14ac:dyDescent="0.25">
      <c r="H446" s="14">
        <v>5.4300000000000104</v>
      </c>
      <c r="I446" s="36">
        <f t="shared" si="244"/>
        <v>2691534.8039269815</v>
      </c>
      <c r="J446" s="24">
        <f t="shared" si="245"/>
        <v>-130.57726717212194</v>
      </c>
      <c r="K446" s="24">
        <f t="shared" si="246"/>
        <v>-74.389988543864121</v>
      </c>
      <c r="L446" s="14">
        <f t="shared" si="220"/>
        <v>0.67018069634200106</v>
      </c>
      <c r="M446" s="14">
        <f t="shared" si="221"/>
        <v>-89.792101217640592</v>
      </c>
      <c r="N446" s="14">
        <f t="shared" si="222"/>
        <v>48.805432793672267</v>
      </c>
      <c r="O446" s="14">
        <f t="shared" si="223"/>
        <v>-89.995268571112533</v>
      </c>
      <c r="P446" s="14">
        <f t="shared" si="224"/>
        <v>-81.662606315890685</v>
      </c>
      <c r="Q446" s="14">
        <f t="shared" si="225"/>
        <v>-87.446440748996665</v>
      </c>
      <c r="R446" s="14">
        <f t="shared" si="226"/>
        <v>-27.022409526607007</v>
      </c>
      <c r="S446" s="23">
        <f t="shared" si="247"/>
        <v>-267.23381053774978</v>
      </c>
      <c r="T446" s="23">
        <f t="shared" si="248"/>
        <v>-63.355744760663278</v>
      </c>
      <c r="U446" s="14">
        <f t="shared" si="227"/>
        <v>20000</v>
      </c>
      <c r="V446" s="14">
        <f t="shared" si="228"/>
        <v>-89.99999846000226</v>
      </c>
      <c r="W446" s="14">
        <f t="shared" si="229"/>
        <v>-151.41205098360666</v>
      </c>
      <c r="X446" s="14">
        <f t="shared" si="230"/>
        <v>89.996920004524853</v>
      </c>
      <c r="Y446" s="14">
        <f t="shared" si="231"/>
        <v>85.39145108287687</v>
      </c>
      <c r="Z446" s="14">
        <f t="shared" si="232"/>
        <v>-89.322432582319379</v>
      </c>
      <c r="AA446" s="14">
        <f t="shared" si="233"/>
        <v>-38.543604825085779</v>
      </c>
      <c r="AB446" s="23">
        <f t="shared" si="249"/>
        <v>-89.325511037796787</v>
      </c>
      <c r="AC446" s="23">
        <f t="shared" si="250"/>
        <v>-18.543604812535946</v>
      </c>
      <c r="AD446" s="14">
        <f t="shared" si="234"/>
        <v>89.153062934951635</v>
      </c>
      <c r="AE446" s="14">
        <f t="shared" si="235"/>
        <v>36.605746173901814</v>
      </c>
      <c r="AF446" s="14">
        <f t="shared" si="236"/>
        <v>45.417612416277805</v>
      </c>
      <c r="AG446" s="14">
        <f t="shared" si="237"/>
        <v>3.0740726010475825</v>
      </c>
      <c r="AH446" s="14">
        <f t="shared" si="238"/>
        <v>-88.588620947804827</v>
      </c>
      <c r="AI446" s="14">
        <f t="shared" si="239"/>
        <v>-32.170457745614286</v>
      </c>
      <c r="AJ446" s="23">
        <f t="shared" si="251"/>
        <v>45.982054403424627</v>
      </c>
      <c r="AK446" s="23">
        <f t="shared" si="252"/>
        <v>7.5093610293351105</v>
      </c>
      <c r="AL446" s="14">
        <f t="shared" si="240"/>
        <v>0</v>
      </c>
      <c r="AM446" s="14">
        <f t="shared" si="241"/>
        <v>0</v>
      </c>
      <c r="AN446" s="14">
        <f t="shared" si="242"/>
        <v>0</v>
      </c>
      <c r="AO446" s="14">
        <f t="shared" si="243"/>
        <v>0</v>
      </c>
      <c r="AP446" s="23">
        <f t="shared" si="253"/>
        <v>0</v>
      </c>
      <c r="AQ446" s="23">
        <f t="shared" si="254"/>
        <v>0</v>
      </c>
    </row>
    <row r="447" spans="8:43" x14ac:dyDescent="0.25">
      <c r="H447" s="14">
        <v>5.4400000000000102</v>
      </c>
      <c r="I447" s="36">
        <f t="shared" si="244"/>
        <v>2754228.7033382338</v>
      </c>
      <c r="J447" s="24">
        <f t="shared" si="245"/>
        <v>-130.008946199533</v>
      </c>
      <c r="K447" s="24">
        <f t="shared" si="246"/>
        <v>-74.686891511284102</v>
      </c>
      <c r="L447" s="14">
        <f t="shared" si="220"/>
        <v>0.67018069634200106</v>
      </c>
      <c r="M447" s="14">
        <f t="shared" si="221"/>
        <v>-89.7968335315567</v>
      </c>
      <c r="N447" s="14">
        <f t="shared" si="222"/>
        <v>49.005430220166062</v>
      </c>
      <c r="O447" s="14">
        <f t="shared" si="223"/>
        <v>-89.995376271582387</v>
      </c>
      <c r="P447" s="14">
        <f t="shared" si="224"/>
        <v>-81.862606314557738</v>
      </c>
      <c r="Q447" s="14">
        <f t="shared" si="225"/>
        <v>-87.504492516818416</v>
      </c>
      <c r="R447" s="14">
        <f t="shared" si="226"/>
        <v>-27.222021513122034</v>
      </c>
      <c r="S447" s="23">
        <f t="shared" si="247"/>
        <v>-267.29670231995749</v>
      </c>
      <c r="T447" s="23">
        <f t="shared" si="248"/>
        <v>-63.555359319351567</v>
      </c>
      <c r="U447" s="14">
        <f t="shared" si="227"/>
        <v>20000</v>
      </c>
      <c r="V447" s="14">
        <f t="shared" si="228"/>
        <v>-89.999998495056886</v>
      </c>
      <c r="W447" s="14">
        <f t="shared" si="229"/>
        <v>-151.61205098360665</v>
      </c>
      <c r="X447" s="14">
        <f t="shared" si="230"/>
        <v>89.99699011378118</v>
      </c>
      <c r="Y447" s="14">
        <f t="shared" si="231"/>
        <v>85.591451082312048</v>
      </c>
      <c r="Z447" s="14">
        <f t="shared" si="232"/>
        <v>-89.337854510536232</v>
      </c>
      <c r="AA447" s="14">
        <f t="shared" si="233"/>
        <v>-38.743577490704027</v>
      </c>
      <c r="AB447" s="23">
        <f t="shared" si="249"/>
        <v>-89.340862891811938</v>
      </c>
      <c r="AC447" s="23">
        <f t="shared" si="250"/>
        <v>-18.743577478719004</v>
      </c>
      <c r="AD447" s="14">
        <f t="shared" si="234"/>
        <v>89.172338863198007</v>
      </c>
      <c r="AE447" s="14">
        <f t="shared" si="235"/>
        <v>36.805703467214094</v>
      </c>
      <c r="AF447" s="14">
        <f t="shared" si="236"/>
        <v>46.077015451753844</v>
      </c>
      <c r="AG447" s="14">
        <f t="shared" si="237"/>
        <v>3.1766809805230247</v>
      </c>
      <c r="AH447" s="14">
        <f t="shared" si="238"/>
        <v>-88.62073530271546</v>
      </c>
      <c r="AI447" s="14">
        <f t="shared" si="239"/>
        <v>-32.37033916095065</v>
      </c>
      <c r="AJ447" s="23">
        <f t="shared" si="251"/>
        <v>46.628619012236399</v>
      </c>
      <c r="AK447" s="23">
        <f t="shared" si="252"/>
        <v>7.6120452867864685</v>
      </c>
      <c r="AL447" s="14">
        <f t="shared" si="240"/>
        <v>0</v>
      </c>
      <c r="AM447" s="14">
        <f t="shared" si="241"/>
        <v>0</v>
      </c>
      <c r="AN447" s="14">
        <f t="shared" si="242"/>
        <v>0</v>
      </c>
      <c r="AO447" s="14">
        <f t="shared" si="243"/>
        <v>0</v>
      </c>
      <c r="AP447" s="23">
        <f t="shared" si="253"/>
        <v>0</v>
      </c>
      <c r="AQ447" s="23">
        <f t="shared" si="254"/>
        <v>0</v>
      </c>
    </row>
    <row r="448" spans="8:43" x14ac:dyDescent="0.25">
      <c r="H448" s="14">
        <v>5.4500000000000099</v>
      </c>
      <c r="I448" s="36">
        <f t="shared" si="244"/>
        <v>2818382.9312645225</v>
      </c>
      <c r="J448" s="24">
        <f t="shared" si="245"/>
        <v>-129.43912801135264</v>
      </c>
      <c r="K448" s="24">
        <f t="shared" si="246"/>
        <v>-74.981517306652876</v>
      </c>
      <c r="L448" s="14">
        <f t="shared" si="220"/>
        <v>0.67018069634200106</v>
      </c>
      <c r="M448" s="14">
        <f t="shared" si="221"/>
        <v>-89.801458127535255</v>
      </c>
      <c r="N448" s="14">
        <f t="shared" si="222"/>
        <v>49.205427762485279</v>
      </c>
      <c r="O448" s="14">
        <f t="shared" si="223"/>
        <v>-89.995481520490273</v>
      </c>
      <c r="P448" s="14">
        <f t="shared" si="224"/>
        <v>-82.062606313284789</v>
      </c>
      <c r="Q448" s="14">
        <f t="shared" si="225"/>
        <v>-87.561227819491492</v>
      </c>
      <c r="R448" s="14">
        <f t="shared" si="226"/>
        <v>-27.42165093075662</v>
      </c>
      <c r="S448" s="23">
        <f t="shared" si="247"/>
        <v>-267.35816746751703</v>
      </c>
      <c r="T448" s="23">
        <f t="shared" si="248"/>
        <v>-63.754991193393984</v>
      </c>
      <c r="U448" s="14">
        <f t="shared" si="227"/>
        <v>20000</v>
      </c>
      <c r="V448" s="14">
        <f t="shared" si="228"/>
        <v>-89.999998529313572</v>
      </c>
      <c r="W448" s="14">
        <f t="shared" si="229"/>
        <v>-151.81205098360664</v>
      </c>
      <c r="X448" s="14">
        <f t="shared" si="230"/>
        <v>89.997058627156008</v>
      </c>
      <c r="Y448" s="14">
        <f t="shared" si="231"/>
        <v>85.791451081772635</v>
      </c>
      <c r="Z448" s="14">
        <f t="shared" si="232"/>
        <v>-89.35292548552215</v>
      </c>
      <c r="AA448" s="14">
        <f t="shared" si="233"/>
        <v>-38.943551386411499</v>
      </c>
      <c r="AB448" s="23">
        <f t="shared" si="249"/>
        <v>-89.355865387679714</v>
      </c>
      <c r="AC448" s="23">
        <f t="shared" si="250"/>
        <v>-18.943551374965878</v>
      </c>
      <c r="AD448" s="14">
        <f t="shared" si="234"/>
        <v>89.19117619880268</v>
      </c>
      <c r="AE448" s="14">
        <f t="shared" si="235"/>
        <v>37.005662682251916</v>
      </c>
      <c r="AF448" s="14">
        <f t="shared" si="236"/>
        <v>46.735848128292943</v>
      </c>
      <c r="AG448" s="14">
        <f t="shared" si="237"/>
        <v>3.2815884899084042</v>
      </c>
      <c r="AH448" s="14">
        <f t="shared" si="238"/>
        <v>-88.652119483251525</v>
      </c>
      <c r="AI448" s="14">
        <f t="shared" si="239"/>
        <v>-32.570225910453331</v>
      </c>
      <c r="AJ448" s="23">
        <f t="shared" si="251"/>
        <v>47.274904843844112</v>
      </c>
      <c r="AK448" s="23">
        <f t="shared" si="252"/>
        <v>7.7170252617069863</v>
      </c>
      <c r="AL448" s="14">
        <f t="shared" si="240"/>
        <v>0</v>
      </c>
      <c r="AM448" s="14">
        <f t="shared" si="241"/>
        <v>0</v>
      </c>
      <c r="AN448" s="14">
        <f t="shared" si="242"/>
        <v>0</v>
      </c>
      <c r="AO448" s="14">
        <f t="shared" si="243"/>
        <v>0</v>
      </c>
      <c r="AP448" s="23">
        <f t="shared" si="253"/>
        <v>0</v>
      </c>
      <c r="AQ448" s="23">
        <f t="shared" si="254"/>
        <v>0</v>
      </c>
    </row>
    <row r="449" spans="8:43" x14ac:dyDescent="0.25">
      <c r="H449" s="14">
        <v>5.4600000000000097</v>
      </c>
      <c r="I449" s="36">
        <f t="shared" si="244"/>
        <v>2884031.5031266762</v>
      </c>
      <c r="J449" s="24">
        <f t="shared" si="245"/>
        <v>-128.86820680847507</v>
      </c>
      <c r="K449" s="24">
        <f t="shared" si="246"/>
        <v>-75.273870133568664</v>
      </c>
      <c r="L449" s="14">
        <f t="shared" si="220"/>
        <v>0.67018069634200106</v>
      </c>
      <c r="M449" s="14">
        <f t="shared" si="221"/>
        <v>-89.805977457357116</v>
      </c>
      <c r="N449" s="14">
        <f t="shared" si="222"/>
        <v>49.405425415417064</v>
      </c>
      <c r="O449" s="14">
        <f t="shared" si="223"/>
        <v>-89.995584373640554</v>
      </c>
      <c r="P449" s="14">
        <f t="shared" si="224"/>
        <v>-82.262606312069153</v>
      </c>
      <c r="Q449" s="14">
        <f t="shared" si="225"/>
        <v>-87.616676293524932</v>
      </c>
      <c r="R449" s="14">
        <f t="shared" si="226"/>
        <v>-27.62129699782378</v>
      </c>
      <c r="S449" s="23">
        <f t="shared" si="247"/>
        <v>-267.41823812452265</v>
      </c>
      <c r="T449" s="23">
        <f t="shared" si="248"/>
        <v>-63.954639606313719</v>
      </c>
      <c r="U449" s="14">
        <f t="shared" si="227"/>
        <v>20000</v>
      </c>
      <c r="V449" s="14">
        <f t="shared" si="228"/>
        <v>-89.999998562790495</v>
      </c>
      <c r="W449" s="14">
        <f t="shared" si="229"/>
        <v>-152.01205098360663</v>
      </c>
      <c r="X449" s="14">
        <f t="shared" si="230"/>
        <v>89.997125580976032</v>
      </c>
      <c r="Y449" s="14">
        <f t="shared" si="231"/>
        <v>85.991451081257509</v>
      </c>
      <c r="Z449" s="14">
        <f t="shared" si="232"/>
        <v>-89.367653489760798</v>
      </c>
      <c r="AA449" s="14">
        <f t="shared" si="233"/>
        <v>-39.143526456859192</v>
      </c>
      <c r="AB449" s="23">
        <f t="shared" si="249"/>
        <v>-89.370526471575261</v>
      </c>
      <c r="AC449" s="23">
        <f t="shared" si="250"/>
        <v>-19.143526445928686</v>
      </c>
      <c r="AD449" s="14">
        <f t="shared" si="234"/>
        <v>89.209584913271669</v>
      </c>
      <c r="AE449" s="14">
        <f t="shared" si="235"/>
        <v>37.205623732557868</v>
      </c>
      <c r="AF449" s="14">
        <f t="shared" si="236"/>
        <v>47.393762928697342</v>
      </c>
      <c r="AG449" s="14">
        <f t="shared" si="237"/>
        <v>3.3887899404269879</v>
      </c>
      <c r="AH449" s="14">
        <f t="shared" si="238"/>
        <v>-88.682790054346199</v>
      </c>
      <c r="AI449" s="14">
        <f t="shared" si="239"/>
        <v>-32.770117754311116</v>
      </c>
      <c r="AJ449" s="23">
        <f t="shared" si="251"/>
        <v>47.920557787622826</v>
      </c>
      <c r="AK449" s="23">
        <f t="shared" si="252"/>
        <v>7.8242959186737409</v>
      </c>
      <c r="AL449" s="14">
        <f t="shared" si="240"/>
        <v>0</v>
      </c>
      <c r="AM449" s="14">
        <f t="shared" si="241"/>
        <v>0</v>
      </c>
      <c r="AN449" s="14">
        <f t="shared" si="242"/>
        <v>0</v>
      </c>
      <c r="AO449" s="14">
        <f t="shared" si="243"/>
        <v>0</v>
      </c>
      <c r="AP449" s="23">
        <f t="shared" si="253"/>
        <v>0</v>
      </c>
      <c r="AQ449" s="23">
        <f t="shared" si="254"/>
        <v>0</v>
      </c>
    </row>
    <row r="450" spans="8:43" x14ac:dyDescent="0.25">
      <c r="H450" s="14">
        <v>5.4700000000000104</v>
      </c>
      <c r="I450" s="36">
        <f t="shared" si="244"/>
        <v>2951209.2266664617</v>
      </c>
      <c r="J450" s="24">
        <f t="shared" si="245"/>
        <v>-128.29657333394499</v>
      </c>
      <c r="K450" s="24">
        <f t="shared" si="246"/>
        <v>-75.563956643927256</v>
      </c>
      <c r="L450" s="14">
        <f t="shared" si="220"/>
        <v>0.67018069634200106</v>
      </c>
      <c r="M450" s="14">
        <f t="shared" si="221"/>
        <v>-89.810393917005698</v>
      </c>
      <c r="N450" s="14">
        <f t="shared" si="222"/>
        <v>49.605423173983148</v>
      </c>
      <c r="O450" s="14">
        <f t="shared" si="223"/>
        <v>-89.995684885567329</v>
      </c>
      <c r="P450" s="14">
        <f t="shared" si="224"/>
        <v>-82.462606310908228</v>
      </c>
      <c r="Q450" s="14">
        <f t="shared" si="225"/>
        <v>-87.670866922751927</v>
      </c>
      <c r="R450" s="14">
        <f t="shared" si="226"/>
        <v>-27.820958967568803</v>
      </c>
      <c r="S450" s="23">
        <f t="shared" si="247"/>
        <v>-267.47694572532498</v>
      </c>
      <c r="T450" s="23">
        <f t="shared" si="248"/>
        <v>-64.154303816331733</v>
      </c>
      <c r="U450" s="14">
        <f t="shared" si="227"/>
        <v>20000</v>
      </c>
      <c r="V450" s="14">
        <f t="shared" si="228"/>
        <v>-89.999998595505375</v>
      </c>
      <c r="W450" s="14">
        <f t="shared" si="229"/>
        <v>-152.21205098360664</v>
      </c>
      <c r="X450" s="14">
        <f t="shared" si="230"/>
        <v>89.997191010741048</v>
      </c>
      <c r="Y450" s="14">
        <f t="shared" si="231"/>
        <v>86.191451080765546</v>
      </c>
      <c r="Z450" s="14">
        <f t="shared" si="232"/>
        <v>-89.382046324445213</v>
      </c>
      <c r="AA450" s="14">
        <f t="shared" si="233"/>
        <v>-39.343502649188004</v>
      </c>
      <c r="AB450" s="23">
        <f t="shared" si="249"/>
        <v>-89.384853909209539</v>
      </c>
      <c r="AC450" s="23">
        <f t="shared" si="250"/>
        <v>-19.343502638749477</v>
      </c>
      <c r="AD450" s="14">
        <f t="shared" si="234"/>
        <v>89.227574751937823</v>
      </c>
      <c r="AE450" s="14">
        <f t="shared" si="235"/>
        <v>37.405586535562733</v>
      </c>
      <c r="AF450" s="14">
        <f t="shared" si="236"/>
        <v>48.050414756244749</v>
      </c>
      <c r="AG450" s="14">
        <f t="shared" si="237"/>
        <v>3.4982777390739561</v>
      </c>
      <c r="AH450" s="14">
        <f t="shared" si="238"/>
        <v>-88.712763207593056</v>
      </c>
      <c r="AI450" s="14">
        <f t="shared" si="239"/>
        <v>-32.970014463482727</v>
      </c>
      <c r="AJ450" s="23">
        <f t="shared" si="251"/>
        <v>48.565226300589515</v>
      </c>
      <c r="AK450" s="23">
        <f t="shared" si="252"/>
        <v>7.9338498111539622</v>
      </c>
      <c r="AL450" s="14">
        <f t="shared" si="240"/>
        <v>0</v>
      </c>
      <c r="AM450" s="14">
        <f t="shared" si="241"/>
        <v>0</v>
      </c>
      <c r="AN450" s="14">
        <f t="shared" si="242"/>
        <v>0</v>
      </c>
      <c r="AO450" s="14">
        <f t="shared" si="243"/>
        <v>0</v>
      </c>
      <c r="AP450" s="23">
        <f t="shared" si="253"/>
        <v>0</v>
      </c>
      <c r="AQ450" s="23">
        <f t="shared" si="254"/>
        <v>0</v>
      </c>
    </row>
    <row r="451" spans="8:43" x14ac:dyDescent="0.25">
      <c r="H451" s="14">
        <v>5.4800000000000102</v>
      </c>
      <c r="I451" s="36">
        <f t="shared" si="244"/>
        <v>3019951.7204020889</v>
      </c>
      <c r="J451" s="24">
        <f t="shared" si="245"/>
        <v>-127.72461399808442</v>
      </c>
      <c r="K451" s="24">
        <f t="shared" si="246"/>
        <v>-75.851785904049024</v>
      </c>
      <c r="L451" s="14">
        <f t="shared" ref="L451:L503" si="255">A_PS</f>
        <v>0.67018069634200106</v>
      </c>
      <c r="M451" s="14">
        <f t="shared" ref="M451:M503" si="256">-180/PI()*ATAN($I451/z_RHP/1000)</f>
        <v>-89.8147098479363</v>
      </c>
      <c r="N451" s="14">
        <f t="shared" ref="N451:N503" si="257">20*LOG(SQRT(($I451/z_RHP/1000)^2+1))</f>
        <v>49.805421033429269</v>
      </c>
      <c r="O451" s="14">
        <f t="shared" ref="O451:O503" si="258">-180/PI()*ATAN($I451/p_small)</f>
        <v>-89.995783109563362</v>
      </c>
      <c r="P451" s="14">
        <f t="shared" ref="P451:P503" si="259">-20*LOG(SQRT(($I451/p_small)^2+1))</f>
        <v>-82.662606309799543</v>
      </c>
      <c r="Q451" s="14">
        <f t="shared" ref="Q451:Q503" si="260">-180/PI()*ATAN($I451/p_large/1000)</f>
        <v>-87.723828051731829</v>
      </c>
      <c r="R451" s="14">
        <f t="shared" ref="R451:R503" si="261">-20*LOG(SQRT(($I451/p_large/1000)^2+1))</f>
        <v>-28.020636126618793</v>
      </c>
      <c r="S451" s="23">
        <f t="shared" si="247"/>
        <v>-267.53432100923146</v>
      </c>
      <c r="T451" s="23">
        <f t="shared" si="248"/>
        <v>-64.353983114826917</v>
      </c>
      <c r="U451" s="14">
        <f t="shared" ref="U451:U503" si="262">A_EA</f>
        <v>20000</v>
      </c>
      <c r="V451" s="14">
        <f t="shared" ref="V451:V503" si="263">-180/PI()*ATAN($I451/p_EA)</f>
        <v>-89.999998627475563</v>
      </c>
      <c r="W451" s="14">
        <f t="shared" ref="W451:W503" si="264">-20*LOG(SQRT(($I451/p_EA)^2+1))</f>
        <v>-152.41205098360663</v>
      </c>
      <c r="X451" s="14">
        <f t="shared" ref="X451:X503" si="265">180/PI()*ATAN($I451/z_comp)</f>
        <v>89.997254951142779</v>
      </c>
      <c r="Y451" s="14">
        <f t="shared" ref="Y451:Y503" si="266">20*LOG(SQRT(($I451/z_comp)^2+1))</f>
        <v>86.391451080295724</v>
      </c>
      <c r="Z451" s="14">
        <f t="shared" ref="Z451:Z503" si="267">IF(p_comp="",0,-180/PI()*ATAN($I451/p_comp/1000))</f>
        <v>-89.396111613576835</v>
      </c>
      <c r="AA451" s="14">
        <f t="shared" ref="AA451:AA503" si="268">IF(p_comp="",0,-20*LOG(SQRT(($I451/p_comp/1000)^2+1)))</f>
        <v>-39.543479912916666</v>
      </c>
      <c r="AB451" s="23">
        <f t="shared" si="249"/>
        <v>-89.398855289909619</v>
      </c>
      <c r="AC451" s="23">
        <f t="shared" si="250"/>
        <v>-19.543479902947951</v>
      </c>
      <c r="AD451" s="14">
        <f t="shared" ref="AD451:AD503" si="269">IF(z_esr_1="",0,180/PI()*ATAN($I451/z_esr_1/1000))</f>
        <v>89.245155239055407</v>
      </c>
      <c r="AE451" s="14">
        <f t="shared" ref="AE451:AE503" si="270">IF(z_esr_1="",0,20*LOG(SQRT(($I451/z_esr_1/1000)^2+1)))</f>
        <v>37.605551012410736</v>
      </c>
      <c r="AF451" s="14">
        <f t="shared" ref="AF451:AF503" si="271">180/PI()*ATAN($I451/z_esr_2/1000)</f>
        <v>48.705461831497466</v>
      </c>
      <c r="AG451" s="14">
        <f t="shared" ref="AG451:AG503" si="272">20*LOG(SQRT(($I451/z_esr_2/1000)^2+1))</f>
        <v>3.6100419205291834</v>
      </c>
      <c r="AH451" s="14">
        <f t="shared" ref="AH451:AH503" si="273">IF(p_esr="",0,-180/PI()*ATAN($I451/p_esr/1000))</f>
        <v>-88.742054769496221</v>
      </c>
      <c r="AI451" s="14">
        <f t="shared" ref="AI451:AI503" si="274">IF(p_esr="",0,-20*LOG(SQRT(($I451/p_esr/1000)^2+1)))</f>
        <v>-33.169915819214069</v>
      </c>
      <c r="AJ451" s="23">
        <f t="shared" si="251"/>
        <v>49.208562301056659</v>
      </c>
      <c r="AK451" s="23">
        <f t="shared" si="252"/>
        <v>8.0456771137258514</v>
      </c>
      <c r="AL451" s="14">
        <f t="shared" ref="AL451:AL503" si="275">IF(z_ff="",0,180/PI()*ATAN($I451/z_ff/1000))</f>
        <v>0</v>
      </c>
      <c r="AM451" s="14">
        <f t="shared" ref="AM451:AM503" si="276">IF(z_ff="",0,20*LOG(SQRT(($I451/z_ff/1000)^2+1)))</f>
        <v>0</v>
      </c>
      <c r="AN451" s="14">
        <f t="shared" ref="AN451:AN503" si="277">IF(p_ff="",0,-180/PI()*ATAN($I451/p_ff/1000))</f>
        <v>0</v>
      </c>
      <c r="AO451" s="14">
        <f t="shared" ref="AO451:AO503" si="278">IF(p_ff="",0,-20*LOG(SQRT(($I451/p_ff/1000)^2+1)))</f>
        <v>0</v>
      </c>
      <c r="AP451" s="23">
        <f t="shared" si="253"/>
        <v>0</v>
      </c>
      <c r="AQ451" s="23">
        <f t="shared" si="254"/>
        <v>0</v>
      </c>
    </row>
    <row r="452" spans="8:43" x14ac:dyDescent="0.25">
      <c r="H452" s="14">
        <v>5.49000000000001</v>
      </c>
      <c r="I452" s="36">
        <f t="shared" ref="I452:I503" si="279">10*10^H452</f>
        <v>3090295.4325136645</v>
      </c>
      <c r="J452" s="24">
        <f t="shared" si="245"/>
        <v>-127.15271002438647</v>
      </c>
      <c r="K452" s="24">
        <f t="shared" si="246"/>
        <v>-76.137369351163628</v>
      </c>
      <c r="L452" s="14">
        <f t="shared" si="255"/>
        <v>0.67018069634200106</v>
      </c>
      <c r="M452" s="14">
        <f t="shared" si="256"/>
        <v>-89.818927538316615</v>
      </c>
      <c r="N452" s="14">
        <f t="shared" si="257"/>
        <v>50.005418989215201</v>
      </c>
      <c r="O452" s="14">
        <f t="shared" si="258"/>
        <v>-89.995879097708283</v>
      </c>
      <c r="P452" s="14">
        <f t="shared" si="259"/>
        <v>-82.862606308740752</v>
      </c>
      <c r="Q452" s="14">
        <f t="shared" si="260"/>
        <v>-87.775587398943259</v>
      </c>
      <c r="R452" s="14">
        <f t="shared" si="261"/>
        <v>-28.220327793500374</v>
      </c>
      <c r="S452" s="23">
        <f t="shared" si="247"/>
        <v>-267.5903940349682</v>
      </c>
      <c r="T452" s="23">
        <f t="shared" si="248"/>
        <v>-64.553676824863771</v>
      </c>
      <c r="U452" s="14">
        <f t="shared" si="262"/>
        <v>20000</v>
      </c>
      <c r="V452" s="14">
        <f t="shared" si="263"/>
        <v>-89.999998658718042</v>
      </c>
      <c r="W452" s="14">
        <f t="shared" si="264"/>
        <v>-152.61205098360665</v>
      </c>
      <c r="X452" s="14">
        <f t="shared" si="265"/>
        <v>89.997317436083293</v>
      </c>
      <c r="Y452" s="14">
        <f t="shared" si="266"/>
        <v>86.591451079847062</v>
      </c>
      <c r="Z452" s="14">
        <f t="shared" si="267"/>
        <v>-89.409856807973327</v>
      </c>
      <c r="AA452" s="14">
        <f t="shared" si="268"/>
        <v>-39.743458199834997</v>
      </c>
      <c r="AB452" s="23">
        <f t="shared" si="249"/>
        <v>-89.412538030608076</v>
      </c>
      <c r="AC452" s="23">
        <f t="shared" si="250"/>
        <v>-19.743458190314961</v>
      </c>
      <c r="AD452" s="14">
        <f t="shared" si="269"/>
        <v>89.262335682782293</v>
      </c>
      <c r="AE452" s="14">
        <f t="shared" si="270"/>
        <v>37.805517087792708</v>
      </c>
      <c r="AF452" s="14">
        <f t="shared" si="271"/>
        <v>49.358566567956665</v>
      </c>
      <c r="AG452" s="14">
        <f t="shared" si="272"/>
        <v>3.7240701887996215</v>
      </c>
      <c r="AH452" s="14">
        <f t="shared" si="273"/>
        <v>-88.77068020954917</v>
      </c>
      <c r="AI452" s="14">
        <f t="shared" si="274"/>
        <v>-33.369821612577233</v>
      </c>
      <c r="AJ452" s="23">
        <f t="shared" si="251"/>
        <v>49.850222041189795</v>
      </c>
      <c r="AK452" s="23">
        <f t="shared" si="252"/>
        <v>8.1597656640150973</v>
      </c>
      <c r="AL452" s="14">
        <f t="shared" si="275"/>
        <v>0</v>
      </c>
      <c r="AM452" s="14">
        <f t="shared" si="276"/>
        <v>0</v>
      </c>
      <c r="AN452" s="14">
        <f t="shared" si="277"/>
        <v>0</v>
      </c>
      <c r="AO452" s="14">
        <f t="shared" si="278"/>
        <v>0</v>
      </c>
      <c r="AP452" s="23">
        <f t="shared" si="253"/>
        <v>0</v>
      </c>
      <c r="AQ452" s="23">
        <f t="shared" si="254"/>
        <v>0</v>
      </c>
    </row>
    <row r="453" spans="8:43" x14ac:dyDescent="0.25">
      <c r="H453" s="14">
        <v>5.5000000000000098</v>
      </c>
      <c r="I453" s="36">
        <f t="shared" si="279"/>
        <v>3162277.660168455</v>
      </c>
      <c r="J453" s="24">
        <f t="shared" si="245"/>
        <v>-126.58123662155674</v>
      </c>
      <c r="K453" s="24">
        <f t="shared" si="246"/>
        <v>-76.420720740614172</v>
      </c>
      <c r="L453" s="14">
        <f t="shared" si="255"/>
        <v>0.67018069634200106</v>
      </c>
      <c r="M453" s="14">
        <f t="shared" si="256"/>
        <v>-89.823049224238986</v>
      </c>
      <c r="N453" s="14">
        <f t="shared" si="257"/>
        <v>50.205417037005049</v>
      </c>
      <c r="O453" s="14">
        <f t="shared" si="258"/>
        <v>-89.995972900896305</v>
      </c>
      <c r="P453" s="14">
        <f t="shared" si="259"/>
        <v>-83.06260630772961</v>
      </c>
      <c r="Q453" s="14">
        <f t="shared" si="260"/>
        <v>-87.82617206976667</v>
      </c>
      <c r="R453" s="14">
        <f t="shared" si="261"/>
        <v>-28.420033317222018</v>
      </c>
      <c r="S453" s="23">
        <f t="shared" si="247"/>
        <v>-267.64519419490193</v>
      </c>
      <c r="T453" s="23">
        <f t="shared" si="248"/>
        <v>-64.753384299784429</v>
      </c>
      <c r="U453" s="14">
        <f t="shared" si="262"/>
        <v>20000</v>
      </c>
      <c r="V453" s="14">
        <f t="shared" si="263"/>
        <v>-89.999998689249352</v>
      </c>
      <c r="W453" s="14">
        <f t="shared" si="264"/>
        <v>-152.81205098360664</v>
      </c>
      <c r="X453" s="14">
        <f t="shared" si="265"/>
        <v>89.997378498692925</v>
      </c>
      <c r="Y453" s="14">
        <f t="shared" si="266"/>
        <v>86.791451079418579</v>
      </c>
      <c r="Z453" s="14">
        <f t="shared" si="267"/>
        <v>-89.42328918918659</v>
      </c>
      <c r="AA453" s="14">
        <f t="shared" si="268"/>
        <v>-39.943437463901653</v>
      </c>
      <c r="AB453" s="23">
        <f t="shared" si="249"/>
        <v>-89.425909379743018</v>
      </c>
      <c r="AC453" s="23">
        <f t="shared" si="250"/>
        <v>-19.943437454810088</v>
      </c>
      <c r="AD453" s="14">
        <f t="shared" si="269"/>
        <v>89.279125180052077</v>
      </c>
      <c r="AE453" s="14">
        <f t="shared" si="270"/>
        <v>38.005484689786627</v>
      </c>
      <c r="AF453" s="14">
        <f t="shared" si="271"/>
        <v>50.009396421181314</v>
      </c>
      <c r="AG453" s="14">
        <f t="shared" si="272"/>
        <v>3.8403479682235493</v>
      </c>
      <c r="AH453" s="14">
        <f t="shared" si="273"/>
        <v>-88.798654648145174</v>
      </c>
      <c r="AI453" s="14">
        <f t="shared" si="274"/>
        <v>-33.569731644029837</v>
      </c>
      <c r="AJ453" s="23">
        <f t="shared" si="251"/>
        <v>50.48986695308821</v>
      </c>
      <c r="AK453" s="23">
        <f t="shared" si="252"/>
        <v>8.2761010139803375</v>
      </c>
      <c r="AL453" s="14">
        <f t="shared" si="275"/>
        <v>0</v>
      </c>
      <c r="AM453" s="14">
        <f t="shared" si="276"/>
        <v>0</v>
      </c>
      <c r="AN453" s="14">
        <f t="shared" si="277"/>
        <v>0</v>
      </c>
      <c r="AO453" s="14">
        <f t="shared" si="278"/>
        <v>0</v>
      </c>
      <c r="AP453" s="23">
        <f t="shared" si="253"/>
        <v>0</v>
      </c>
      <c r="AQ453" s="23">
        <f t="shared" si="254"/>
        <v>0</v>
      </c>
    </row>
    <row r="454" spans="8:43" x14ac:dyDescent="0.25">
      <c r="H454" s="14">
        <v>5.5100000000000096</v>
      </c>
      <c r="I454" s="36">
        <f t="shared" si="279"/>
        <v>3235936.5692963596</v>
      </c>
      <c r="J454" s="24">
        <f t="shared" si="245"/>
        <v>-126.01056218677464</v>
      </c>
      <c r="K454" s="24">
        <f t="shared" si="246"/>
        <v>-76.701856084224445</v>
      </c>
      <c r="L454" s="14">
        <f t="shared" si="255"/>
        <v>0.67018069634200106</v>
      </c>
      <c r="M454" s="14">
        <f t="shared" si="256"/>
        <v>-89.827077090905092</v>
      </c>
      <c r="N454" s="14">
        <f t="shared" si="257"/>
        <v>50.405415172657982</v>
      </c>
      <c r="O454" s="14">
        <f t="shared" si="258"/>
        <v>-89.99606456886309</v>
      </c>
      <c r="P454" s="14">
        <f t="shared" si="259"/>
        <v>-83.262606306763999</v>
      </c>
      <c r="Q454" s="14">
        <f t="shared" si="260"/>
        <v>-87.875608569255192</v>
      </c>
      <c r="R454" s="14">
        <f t="shared" si="261"/>
        <v>-28.619752075918822</v>
      </c>
      <c r="S454" s="23">
        <f t="shared" si="247"/>
        <v>-267.69875022902335</v>
      </c>
      <c r="T454" s="23">
        <f t="shared" si="248"/>
        <v>-64.953104921862689</v>
      </c>
      <c r="U454" s="14">
        <f t="shared" si="262"/>
        <v>20000</v>
      </c>
      <c r="V454" s="14">
        <f t="shared" si="263"/>
        <v>-89.999998719085667</v>
      </c>
      <c r="W454" s="14">
        <f t="shared" si="264"/>
        <v>-153.01205098360663</v>
      </c>
      <c r="X454" s="14">
        <f t="shared" si="265"/>
        <v>89.997438171347852</v>
      </c>
      <c r="Y454" s="14">
        <f t="shared" si="266"/>
        <v>86.991451079009394</v>
      </c>
      <c r="Z454" s="14">
        <f t="shared" si="267"/>
        <v>-89.436415873333445</v>
      </c>
      <c r="AA454" s="14">
        <f t="shared" si="268"/>
        <v>-40.143417661146614</v>
      </c>
      <c r="AB454" s="23">
        <f t="shared" si="249"/>
        <v>-89.43897642107126</v>
      </c>
      <c r="AC454" s="23">
        <f t="shared" si="250"/>
        <v>-20.143417652464223</v>
      </c>
      <c r="AD454" s="14">
        <f t="shared" si="269"/>
        <v>89.295532621338381</v>
      </c>
      <c r="AE454" s="14">
        <f t="shared" si="270"/>
        <v>38.205453749705413</v>
      </c>
      <c r="AF454" s="14">
        <f t="shared" si="271"/>
        <v>50.657624706303572</v>
      </c>
      <c r="AG454" s="14">
        <f t="shared" si="272"/>
        <v>3.9588584633912611</v>
      </c>
      <c r="AH454" s="14">
        <f t="shared" si="273"/>
        <v>-88.825992864321975</v>
      </c>
      <c r="AI454" s="14">
        <f t="shared" si="274"/>
        <v>-33.769645722994206</v>
      </c>
      <c r="AJ454" s="23">
        <f t="shared" si="251"/>
        <v>51.127164463319971</v>
      </c>
      <c r="AK454" s="23">
        <f t="shared" si="252"/>
        <v>8.3946664901024661</v>
      </c>
      <c r="AL454" s="14">
        <f t="shared" si="275"/>
        <v>0</v>
      </c>
      <c r="AM454" s="14">
        <f t="shared" si="276"/>
        <v>0</v>
      </c>
      <c r="AN454" s="14">
        <f t="shared" si="277"/>
        <v>0</v>
      </c>
      <c r="AO454" s="14">
        <f t="shared" si="278"/>
        <v>0</v>
      </c>
      <c r="AP454" s="23">
        <f t="shared" si="253"/>
        <v>0</v>
      </c>
      <c r="AQ454" s="23">
        <f t="shared" si="254"/>
        <v>0</v>
      </c>
    </row>
    <row r="455" spans="8:43" x14ac:dyDescent="0.25">
      <c r="H455" s="14">
        <v>5.5200000000000102</v>
      </c>
      <c r="I455" s="36">
        <f t="shared" si="279"/>
        <v>3311311.2148259953</v>
      </c>
      <c r="J455" s="24">
        <f t="shared" si="245"/>
        <v>-125.44104754487964</v>
      </c>
      <c r="K455" s="24">
        <f t="shared" si="246"/>
        <v>-76.980793580342208</v>
      </c>
      <c r="L455" s="14">
        <f t="shared" si="255"/>
        <v>0.67018069634200106</v>
      </c>
      <c r="M455" s="14">
        <f t="shared" si="256"/>
        <v>-89.83101327378381</v>
      </c>
      <c r="N455" s="14">
        <f t="shared" si="257"/>
        <v>50.605413392219639</v>
      </c>
      <c r="O455" s="14">
        <f t="shared" si="258"/>
        <v>-89.996154150212234</v>
      </c>
      <c r="P455" s="14">
        <f t="shared" si="259"/>
        <v>-83.462606305841845</v>
      </c>
      <c r="Q455" s="14">
        <f t="shared" si="260"/>
        <v>-87.923922814693242</v>
      </c>
      <c r="R455" s="14">
        <f t="shared" si="261"/>
        <v>-28.819483475556762</v>
      </c>
      <c r="S455" s="23">
        <f t="shared" si="247"/>
        <v>-267.7510902386893</v>
      </c>
      <c r="T455" s="23">
        <f t="shared" si="248"/>
        <v>-65.152838101016826</v>
      </c>
      <c r="U455" s="14">
        <f t="shared" si="262"/>
        <v>20000</v>
      </c>
      <c r="V455" s="14">
        <f t="shared" si="263"/>
        <v>-89.999998748242845</v>
      </c>
      <c r="W455" s="14">
        <f t="shared" si="264"/>
        <v>-153.21205098360664</v>
      </c>
      <c r="X455" s="14">
        <f t="shared" si="265"/>
        <v>89.997496485687336</v>
      </c>
      <c r="Y455" s="14">
        <f t="shared" si="266"/>
        <v>87.191451078618641</v>
      </c>
      <c r="Z455" s="14">
        <f t="shared" si="267"/>
        <v>-89.449243814840358</v>
      </c>
      <c r="AA455" s="14">
        <f t="shared" si="268"/>
        <v>-40.343398749578093</v>
      </c>
      <c r="AB455" s="23">
        <f t="shared" si="249"/>
        <v>-89.451746077395867</v>
      </c>
      <c r="AC455" s="23">
        <f t="shared" si="250"/>
        <v>-20.343398741286471</v>
      </c>
      <c r="AD455" s="14">
        <f t="shared" si="269"/>
        <v>89.311566695313758</v>
      </c>
      <c r="AE455" s="14">
        <f t="shared" si="270"/>
        <v>38.405424201951483</v>
      </c>
      <c r="AF455" s="14">
        <f t="shared" si="271"/>
        <v>51.302931379235346</v>
      </c>
      <c r="AG455" s="14">
        <f t="shared" si="272"/>
        <v>4.0795827274649614</v>
      </c>
      <c r="AH455" s="14">
        <f t="shared" si="273"/>
        <v>-88.852709303343573</v>
      </c>
      <c r="AI455" s="14">
        <f t="shared" si="274"/>
        <v>-33.969563667455354</v>
      </c>
      <c r="AJ455" s="23">
        <f t="shared" si="251"/>
        <v>51.761788771205516</v>
      </c>
      <c r="AK455" s="23">
        <f t="shared" si="252"/>
        <v>8.5154432619610887</v>
      </c>
      <c r="AL455" s="14">
        <f t="shared" si="275"/>
        <v>0</v>
      </c>
      <c r="AM455" s="14">
        <f t="shared" si="276"/>
        <v>0</v>
      </c>
      <c r="AN455" s="14">
        <f t="shared" si="277"/>
        <v>0</v>
      </c>
      <c r="AO455" s="14">
        <f t="shared" si="278"/>
        <v>0</v>
      </c>
      <c r="AP455" s="23">
        <f t="shared" si="253"/>
        <v>0</v>
      </c>
      <c r="AQ455" s="23">
        <f t="shared" si="254"/>
        <v>0</v>
      </c>
    </row>
    <row r="456" spans="8:43" x14ac:dyDescent="0.25">
      <c r="H456" s="14">
        <v>5.53000000000001</v>
      </c>
      <c r="I456" s="36">
        <f t="shared" si="279"/>
        <v>3388441.5613921052</v>
      </c>
      <c r="J456" s="24">
        <f t="shared" si="245"/>
        <v>-124.87304522777995</v>
      </c>
      <c r="K456" s="24">
        <f t="shared" si="246"/>
        <v>-77.257553536136641</v>
      </c>
      <c r="L456" s="14">
        <f t="shared" si="255"/>
        <v>0.67018069634200106</v>
      </c>
      <c r="M456" s="14">
        <f t="shared" si="256"/>
        <v>-89.834859859742707</v>
      </c>
      <c r="N456" s="14">
        <f t="shared" si="257"/>
        <v>50.805411691913505</v>
      </c>
      <c r="O456" s="14">
        <f t="shared" si="258"/>
        <v>-89.996241692440933</v>
      </c>
      <c r="P456" s="14">
        <f t="shared" si="259"/>
        <v>-83.662606304961159</v>
      </c>
      <c r="Q456" s="14">
        <f t="shared" si="260"/>
        <v>-87.971140147942421</v>
      </c>
      <c r="R456" s="14">
        <f t="shared" si="261"/>
        <v>-29.019226948693856</v>
      </c>
      <c r="S456" s="23">
        <f t="shared" si="247"/>
        <v>-267.80224170012605</v>
      </c>
      <c r="T456" s="23">
        <f t="shared" si="248"/>
        <v>-65.35258327357937</v>
      </c>
      <c r="U456" s="14">
        <f t="shared" si="262"/>
        <v>20000</v>
      </c>
      <c r="V456" s="14">
        <f t="shared" si="263"/>
        <v>-89.999998776736319</v>
      </c>
      <c r="W456" s="14">
        <f t="shared" si="264"/>
        <v>-153.41205098360663</v>
      </c>
      <c r="X456" s="14">
        <f t="shared" si="265"/>
        <v>89.997553472630401</v>
      </c>
      <c r="Y456" s="14">
        <f t="shared" si="266"/>
        <v>87.391451078245439</v>
      </c>
      <c r="Z456" s="14">
        <f t="shared" si="267"/>
        <v>-89.461779810104616</v>
      </c>
      <c r="AA456" s="14">
        <f t="shared" si="268"/>
        <v>-40.543380689093468</v>
      </c>
      <c r="AB456" s="23">
        <f t="shared" si="249"/>
        <v>-89.464225114210535</v>
      </c>
      <c r="AC456" s="23">
        <f t="shared" si="250"/>
        <v>-20.543380681175037</v>
      </c>
      <c r="AD456" s="14">
        <f t="shared" si="269"/>
        <v>89.327235893405089</v>
      </c>
      <c r="AE456" s="14">
        <f t="shared" si="270"/>
        <v>38.605395983877848</v>
      </c>
      <c r="AF456" s="14">
        <f t="shared" si="271"/>
        <v>51.945003777273669</v>
      </c>
      <c r="AG456" s="14">
        <f t="shared" si="272"/>
        <v>4.2024997383167104</v>
      </c>
      <c r="AH456" s="14">
        <f t="shared" si="273"/>
        <v>-88.878818084122116</v>
      </c>
      <c r="AI456" s="14">
        <f t="shared" si="274"/>
        <v>-34.169485303576799</v>
      </c>
      <c r="AJ456" s="23">
        <f t="shared" si="251"/>
        <v>52.393421586556627</v>
      </c>
      <c r="AK456" s="23">
        <f t="shared" si="252"/>
        <v>8.6384104186177595</v>
      </c>
      <c r="AL456" s="14">
        <f t="shared" si="275"/>
        <v>0</v>
      </c>
      <c r="AM456" s="14">
        <f t="shared" si="276"/>
        <v>0</v>
      </c>
      <c r="AN456" s="14">
        <f t="shared" si="277"/>
        <v>0</v>
      </c>
      <c r="AO456" s="14">
        <f t="shared" si="278"/>
        <v>0</v>
      </c>
      <c r="AP456" s="23">
        <f t="shared" si="253"/>
        <v>0</v>
      </c>
      <c r="AQ456" s="23">
        <f t="shared" si="254"/>
        <v>0</v>
      </c>
    </row>
    <row r="457" spans="8:43" x14ac:dyDescent="0.25">
      <c r="H457" s="14">
        <v>5.5400000000000098</v>
      </c>
      <c r="I457" s="36">
        <f t="shared" si="279"/>
        <v>3467368.5045253979</v>
      </c>
      <c r="J457" s="24">
        <f t="shared" si="245"/>
        <v>-124.30689879792359</v>
      </c>
      <c r="K457" s="24">
        <f t="shared" si="246"/>
        <v>-77.532158282783556</v>
      </c>
      <c r="L457" s="14">
        <f t="shared" si="255"/>
        <v>0.67018069634200106</v>
      </c>
      <c r="M457" s="14">
        <f t="shared" si="256"/>
        <v>-89.838618888153803</v>
      </c>
      <c r="N457" s="14">
        <f t="shared" si="257"/>
        <v>51.005410068133152</v>
      </c>
      <c r="O457" s="14">
        <f t="shared" si="258"/>
        <v>-89.996327241965247</v>
      </c>
      <c r="P457" s="14">
        <f t="shared" si="259"/>
        <v>-83.862606304120135</v>
      </c>
      <c r="Q457" s="14">
        <f t="shared" si="260"/>
        <v>-88.01728534757487</v>
      </c>
      <c r="R457" s="14">
        <f t="shared" si="261"/>
        <v>-29.218981953296076</v>
      </c>
      <c r="S457" s="23">
        <f t="shared" si="247"/>
        <v>-267.85223147769392</v>
      </c>
      <c r="T457" s="23">
        <f t="shared" si="248"/>
        <v>-65.552339901120916</v>
      </c>
      <c r="U457" s="14">
        <f t="shared" si="262"/>
        <v>20000</v>
      </c>
      <c r="V457" s="14">
        <f t="shared" si="263"/>
        <v>-89.999998804581196</v>
      </c>
      <c r="W457" s="14">
        <f t="shared" si="264"/>
        <v>-153.61205098360665</v>
      </c>
      <c r="X457" s="14">
        <f t="shared" si="265"/>
        <v>89.99760916239228</v>
      </c>
      <c r="Y457" s="14">
        <f t="shared" si="266"/>
        <v>87.591451077889047</v>
      </c>
      <c r="Z457" s="14">
        <f t="shared" si="267"/>
        <v>-89.474030501073187</v>
      </c>
      <c r="AA457" s="14">
        <f t="shared" si="268"/>
        <v>-40.74336344139445</v>
      </c>
      <c r="AB457" s="23">
        <f t="shared" si="249"/>
        <v>-89.476420143262104</v>
      </c>
      <c r="AC457" s="23">
        <f t="shared" si="250"/>
        <v>-20.743363433832428</v>
      </c>
      <c r="AD457" s="14">
        <f t="shared" si="269"/>
        <v>89.342548514247923</v>
      </c>
      <c r="AE457" s="14">
        <f t="shared" si="270"/>
        <v>38.805369035655602</v>
      </c>
      <c r="AF457" s="14">
        <f t="shared" si="271"/>
        <v>52.583537315266874</v>
      </c>
      <c r="AG457" s="14">
        <f t="shared" si="272"/>
        <v>4.3275864818479732</v>
      </c>
      <c r="AH457" s="14">
        <f t="shared" si="273"/>
        <v>-88.904333006482375</v>
      </c>
      <c r="AI457" s="14">
        <f t="shared" si="274"/>
        <v>-34.369410465333786</v>
      </c>
      <c r="AJ457" s="23">
        <f t="shared" si="251"/>
        <v>53.021752823032415</v>
      </c>
      <c r="AK457" s="23">
        <f t="shared" si="252"/>
        <v>8.7635450521697891</v>
      </c>
      <c r="AL457" s="14">
        <f t="shared" si="275"/>
        <v>0</v>
      </c>
      <c r="AM457" s="14">
        <f t="shared" si="276"/>
        <v>0</v>
      </c>
      <c r="AN457" s="14">
        <f t="shared" si="277"/>
        <v>0</v>
      </c>
      <c r="AO457" s="14">
        <f t="shared" si="278"/>
        <v>0</v>
      </c>
      <c r="AP457" s="23">
        <f t="shared" si="253"/>
        <v>0</v>
      </c>
      <c r="AQ457" s="23">
        <f t="shared" si="254"/>
        <v>0</v>
      </c>
    </row>
    <row r="458" spans="8:43" x14ac:dyDescent="0.25">
      <c r="H458" s="14">
        <v>5.5500000000000096</v>
      </c>
      <c r="I458" s="36">
        <f t="shared" si="279"/>
        <v>3548133.8923358377</v>
      </c>
      <c r="J458" s="24">
        <f t="shared" si="245"/>
        <v>-123.74294221919055</v>
      </c>
      <c r="K458" s="24">
        <f t="shared" si="246"/>
        <v>-77.804632084218341</v>
      </c>
      <c r="L458" s="14">
        <f t="shared" si="255"/>
        <v>0.67018069634200106</v>
      </c>
      <c r="M458" s="14">
        <f t="shared" si="256"/>
        <v>-89.842292351974208</v>
      </c>
      <c r="N458" s="14">
        <f t="shared" si="257"/>
        <v>51.205408517434378</v>
      </c>
      <c r="O458" s="14">
        <f t="shared" si="258"/>
        <v>-89.996410844144663</v>
      </c>
      <c r="P458" s="14">
        <f t="shared" si="259"/>
        <v>-84.062606303316983</v>
      </c>
      <c r="Q458" s="14">
        <f t="shared" si="260"/>
        <v>-88.062382640794212</v>
      </c>
      <c r="R458" s="14">
        <f t="shared" si="261"/>
        <v>-29.418747971605193</v>
      </c>
      <c r="S458" s="23">
        <f t="shared" si="247"/>
        <v>-267.90108583691307</v>
      </c>
      <c r="T458" s="23">
        <f t="shared" si="248"/>
        <v>-65.752107469325651</v>
      </c>
      <c r="U458" s="14">
        <f t="shared" si="262"/>
        <v>20000</v>
      </c>
      <c r="V458" s="14">
        <f t="shared" si="263"/>
        <v>-89.999998831792254</v>
      </c>
      <c r="W458" s="14">
        <f t="shared" si="264"/>
        <v>-153.81205098360664</v>
      </c>
      <c r="X458" s="14">
        <f t="shared" si="265"/>
        <v>89.997663584500415</v>
      </c>
      <c r="Y458" s="14">
        <f t="shared" si="266"/>
        <v>87.7914510775487</v>
      </c>
      <c r="Z458" s="14">
        <f t="shared" si="267"/>
        <v>-89.486002378741517</v>
      </c>
      <c r="AA458" s="14">
        <f t="shared" si="268"/>
        <v>-40.943346969905818</v>
      </c>
      <c r="AB458" s="23">
        <f t="shared" si="249"/>
        <v>-89.488337626033356</v>
      </c>
      <c r="AC458" s="23">
        <f t="shared" si="250"/>
        <v>-20.943346962684132</v>
      </c>
      <c r="AD458" s="14">
        <f t="shared" si="269"/>
        <v>89.357512668041778</v>
      </c>
      <c r="AE458" s="14">
        <f t="shared" si="270"/>
        <v>39.005343300147047</v>
      </c>
      <c r="AF458" s="14">
        <f t="shared" si="271"/>
        <v>53.218236133986011</v>
      </c>
      <c r="AG458" s="14">
        <f t="shared" si="272"/>
        <v>4.4548180418070649</v>
      </c>
      <c r="AH458" s="14">
        <f t="shared" si="273"/>
        <v>-88.929267558271931</v>
      </c>
      <c r="AI458" s="14">
        <f t="shared" si="274"/>
        <v>-34.569338994162671</v>
      </c>
      <c r="AJ458" s="23">
        <f t="shared" si="251"/>
        <v>53.646481243755858</v>
      </c>
      <c r="AK458" s="23">
        <f t="shared" si="252"/>
        <v>8.8908223477914419</v>
      </c>
      <c r="AL458" s="14">
        <f t="shared" si="275"/>
        <v>0</v>
      </c>
      <c r="AM458" s="14">
        <f t="shared" si="276"/>
        <v>0</v>
      </c>
      <c r="AN458" s="14">
        <f t="shared" si="277"/>
        <v>0</v>
      </c>
      <c r="AO458" s="14">
        <f t="shared" si="278"/>
        <v>0</v>
      </c>
      <c r="AP458" s="23">
        <f t="shared" si="253"/>
        <v>0</v>
      </c>
      <c r="AQ458" s="23">
        <f t="shared" si="254"/>
        <v>0</v>
      </c>
    </row>
    <row r="459" spans="8:43" x14ac:dyDescent="0.25">
      <c r="H459" s="14">
        <v>5.5600000000000103</v>
      </c>
      <c r="I459" s="36">
        <f t="shared" si="279"/>
        <v>3630780.5477011041</v>
      </c>
      <c r="J459" s="24">
        <f t="shared" si="245"/>
        <v>-123.18149927805219</v>
      </c>
      <c r="K459" s="24">
        <f t="shared" si="246"/>
        <v>-78.075001040175067</v>
      </c>
      <c r="L459" s="14">
        <f t="shared" si="255"/>
        <v>0.67018069634200106</v>
      </c>
      <c r="M459" s="14">
        <f t="shared" si="256"/>
        <v>-89.845882198802158</v>
      </c>
      <c r="N459" s="14">
        <f t="shared" si="257"/>
        <v>51.405407036528047</v>
      </c>
      <c r="O459" s="14">
        <f t="shared" si="258"/>
        <v>-89.996492543306132</v>
      </c>
      <c r="P459" s="14">
        <f t="shared" si="259"/>
        <v>-84.262606302549955</v>
      </c>
      <c r="Q459" s="14">
        <f t="shared" si="260"/>
        <v>-88.106455715144946</v>
      </c>
      <c r="R459" s="14">
        <f t="shared" si="261"/>
        <v>-29.618524509056748</v>
      </c>
      <c r="S459" s="23">
        <f t="shared" si="247"/>
        <v>-267.94883045725322</v>
      </c>
      <c r="T459" s="23">
        <f t="shared" si="248"/>
        <v>-65.95188548691651</v>
      </c>
      <c r="U459" s="14">
        <f t="shared" si="262"/>
        <v>20000</v>
      </c>
      <c r="V459" s="14">
        <f t="shared" si="263"/>
        <v>-89.999998858383904</v>
      </c>
      <c r="W459" s="14">
        <f t="shared" si="264"/>
        <v>-154.01205098360666</v>
      </c>
      <c r="X459" s="14">
        <f t="shared" si="265"/>
        <v>89.997716767810118</v>
      </c>
      <c r="Y459" s="14">
        <f t="shared" si="266"/>
        <v>87.991451077223687</v>
      </c>
      <c r="Z459" s="14">
        <f t="shared" si="267"/>
        <v>-89.497701786573714</v>
      </c>
      <c r="AA459" s="14">
        <f t="shared" si="268"/>
        <v>-41.143331239697993</v>
      </c>
      <c r="AB459" s="23">
        <f t="shared" si="249"/>
        <v>-89.4999838771475</v>
      </c>
      <c r="AC459" s="23">
        <f t="shared" si="250"/>
        <v>-21.143331232801337</v>
      </c>
      <c r="AD459" s="14">
        <f t="shared" si="269"/>
        <v>89.372136280808562</v>
      </c>
      <c r="AE459" s="14">
        <f t="shared" si="270"/>
        <v>39.205318722784838</v>
      </c>
      <c r="AF459" s="14">
        <f t="shared" si="271"/>
        <v>53.848813697859555</v>
      </c>
      <c r="AG459" s="14">
        <f t="shared" si="272"/>
        <v>4.584167695384112</v>
      </c>
      <c r="AH459" s="14">
        <f t="shared" si="273"/>
        <v>-88.95363492231958</v>
      </c>
      <c r="AI459" s="14">
        <f t="shared" si="274"/>
        <v>-34.769270738626162</v>
      </c>
      <c r="AJ459" s="23">
        <f t="shared" si="251"/>
        <v>54.267315056348522</v>
      </c>
      <c r="AK459" s="23">
        <f t="shared" si="252"/>
        <v>9.0202156795427868</v>
      </c>
      <c r="AL459" s="14">
        <f t="shared" si="275"/>
        <v>0</v>
      </c>
      <c r="AM459" s="14">
        <f t="shared" si="276"/>
        <v>0</v>
      </c>
      <c r="AN459" s="14">
        <f t="shared" si="277"/>
        <v>0</v>
      </c>
      <c r="AO459" s="14">
        <f t="shared" si="278"/>
        <v>0</v>
      </c>
      <c r="AP459" s="23">
        <f t="shared" si="253"/>
        <v>0</v>
      </c>
      <c r="AQ459" s="23">
        <f t="shared" si="254"/>
        <v>0</v>
      </c>
    </row>
    <row r="460" spans="8:43" x14ac:dyDescent="0.25">
      <c r="H460" s="14">
        <v>5.5700000000000101</v>
      </c>
      <c r="I460" s="36">
        <f t="shared" si="279"/>
        <v>3715352.2909718184</v>
      </c>
      <c r="J460" s="24">
        <f t="shared" si="245"/>
        <v>-122.62288305732173</v>
      </c>
      <c r="K460" s="24">
        <f t="shared" si="246"/>
        <v>-78.343292984257047</v>
      </c>
      <c r="L460" s="14">
        <f t="shared" si="255"/>
        <v>0.67018069634200106</v>
      </c>
      <c r="M460" s="14">
        <f t="shared" si="256"/>
        <v>-89.849390331909206</v>
      </c>
      <c r="N460" s="14">
        <f t="shared" si="257"/>
        <v>51.605405622272997</v>
      </c>
      <c r="O460" s="14">
        <f t="shared" si="258"/>
        <v>-89.996572382767681</v>
      </c>
      <c r="P460" s="14">
        <f t="shared" si="259"/>
        <v>-84.462606301817473</v>
      </c>
      <c r="Q460" s="14">
        <f t="shared" si="260"/>
        <v>-88.149527730011002</v>
      </c>
      <c r="R460" s="14">
        <f t="shared" si="261"/>
        <v>-29.818311093245711</v>
      </c>
      <c r="S460" s="23">
        <f t="shared" si="247"/>
        <v>-267.9954904446879</v>
      </c>
      <c r="T460" s="23">
        <f t="shared" si="248"/>
        <v>-66.151673484628049</v>
      </c>
      <c r="U460" s="14">
        <f t="shared" si="262"/>
        <v>20000</v>
      </c>
      <c r="V460" s="14">
        <f t="shared" si="263"/>
        <v>-89.999998884370271</v>
      </c>
      <c r="W460" s="14">
        <f t="shared" si="264"/>
        <v>-154.21205098360664</v>
      </c>
      <c r="X460" s="14">
        <f t="shared" si="265"/>
        <v>89.997768740519916</v>
      </c>
      <c r="Y460" s="14">
        <f t="shared" si="266"/>
        <v>88.191451076913282</v>
      </c>
      <c r="Z460" s="14">
        <f t="shared" si="267"/>
        <v>-89.509134923845991</v>
      </c>
      <c r="AA460" s="14">
        <f t="shared" si="268"/>
        <v>-41.343316217412948</v>
      </c>
      <c r="AB460" s="23">
        <f t="shared" si="249"/>
        <v>-89.511365067696346</v>
      </c>
      <c r="AC460" s="23">
        <f t="shared" si="250"/>
        <v>-21.343316210826686</v>
      </c>
      <c r="AD460" s="14">
        <f t="shared" si="269"/>
        <v>89.386427098555998</v>
      </c>
      <c r="AE460" s="14">
        <f t="shared" si="270"/>
        <v>39.405295251456288</v>
      </c>
      <c r="AF460" s="14">
        <f t="shared" si="271"/>
        <v>54.474993339751592</v>
      </c>
      <c r="AG460" s="14">
        <f t="shared" si="272"/>
        <v>4.7156070138348181</v>
      </c>
      <c r="AH460" s="14">
        <f t="shared" si="273"/>
        <v>-88.977447983245071</v>
      </c>
      <c r="AI460" s="14">
        <f t="shared" si="274"/>
        <v>-34.969205554093421</v>
      </c>
      <c r="AJ460" s="23">
        <f t="shared" si="251"/>
        <v>54.883972455062519</v>
      </c>
      <c r="AK460" s="23">
        <f t="shared" si="252"/>
        <v>9.1516967111976868</v>
      </c>
      <c r="AL460" s="14">
        <f t="shared" si="275"/>
        <v>0</v>
      </c>
      <c r="AM460" s="14">
        <f t="shared" si="276"/>
        <v>0</v>
      </c>
      <c r="AN460" s="14">
        <f t="shared" si="277"/>
        <v>0</v>
      </c>
      <c r="AO460" s="14">
        <f t="shared" si="278"/>
        <v>0</v>
      </c>
      <c r="AP460" s="23">
        <f t="shared" si="253"/>
        <v>0</v>
      </c>
      <c r="AQ460" s="23">
        <f t="shared" si="254"/>
        <v>0</v>
      </c>
    </row>
    <row r="461" spans="8:43" x14ac:dyDescent="0.25">
      <c r="H461" s="14">
        <v>5.5800000000000098</v>
      </c>
      <c r="I461" s="36">
        <f t="shared" si="279"/>
        <v>3801893.9632056998</v>
      </c>
      <c r="J461" s="24">
        <f t="shared" si="245"/>
        <v>-122.067395464283</v>
      </c>
      <c r="K461" s="24">
        <f t="shared" si="246"/>
        <v>-78.609537377802909</v>
      </c>
      <c r="L461" s="14">
        <f t="shared" si="255"/>
        <v>0.67018069634200106</v>
      </c>
      <c r="M461" s="14">
        <f t="shared" si="256"/>
        <v>-89.852818611248651</v>
      </c>
      <c r="N461" s="14">
        <f t="shared" si="257"/>
        <v>51.80540427166946</v>
      </c>
      <c r="O461" s="14">
        <f t="shared" si="258"/>
        <v>-89.996650404861199</v>
      </c>
      <c r="P461" s="14">
        <f t="shared" si="259"/>
        <v>-84.662606301117918</v>
      </c>
      <c r="Q461" s="14">
        <f t="shared" si="260"/>
        <v>-88.191621327904627</v>
      </c>
      <c r="R461" s="14">
        <f t="shared" si="261"/>
        <v>-30.018107272937918</v>
      </c>
      <c r="S461" s="23">
        <f t="shared" si="247"/>
        <v>-268.04109034401449</v>
      </c>
      <c r="T461" s="23">
        <f t="shared" si="248"/>
        <v>-66.351471014224231</v>
      </c>
      <c r="U461" s="14">
        <f t="shared" si="262"/>
        <v>20000</v>
      </c>
      <c r="V461" s="14">
        <f t="shared" si="263"/>
        <v>-89.999998909765083</v>
      </c>
      <c r="W461" s="14">
        <f t="shared" si="264"/>
        <v>-154.41205098360663</v>
      </c>
      <c r="X461" s="14">
        <f t="shared" si="265"/>
        <v>89.997819530186405</v>
      </c>
      <c r="Y461" s="14">
        <f t="shared" si="266"/>
        <v>88.391451076616846</v>
      </c>
      <c r="Z461" s="14">
        <f t="shared" si="267"/>
        <v>-89.520307848914953</v>
      </c>
      <c r="AA461" s="14">
        <f t="shared" si="268"/>
        <v>-41.54330187119357</v>
      </c>
      <c r="AB461" s="23">
        <f t="shared" si="249"/>
        <v>-89.522487228493631</v>
      </c>
      <c r="AC461" s="23">
        <f t="shared" si="250"/>
        <v>-21.543301864903732</v>
      </c>
      <c r="AD461" s="14">
        <f t="shared" si="269"/>
        <v>89.40039269134833</v>
      </c>
      <c r="AE461" s="14">
        <f t="shared" si="270"/>
        <v>39.605272836393105</v>
      </c>
      <c r="AF461" s="14">
        <f t="shared" si="271"/>
        <v>55.096508750999206</v>
      </c>
      <c r="AG461" s="14">
        <f t="shared" si="272"/>
        <v>4.8491059673665378</v>
      </c>
      <c r="AH461" s="14">
        <f t="shared" si="273"/>
        <v>-89.000719334122422</v>
      </c>
      <c r="AI461" s="14">
        <f t="shared" si="274"/>
        <v>-35.169143302434584</v>
      </c>
      <c r="AJ461" s="23">
        <f t="shared" si="251"/>
        <v>55.496182108225113</v>
      </c>
      <c r="AK461" s="23">
        <f t="shared" si="252"/>
        <v>9.2852355013250616</v>
      </c>
      <c r="AL461" s="14">
        <f t="shared" si="275"/>
        <v>0</v>
      </c>
      <c r="AM461" s="14">
        <f t="shared" si="276"/>
        <v>0</v>
      </c>
      <c r="AN461" s="14">
        <f t="shared" si="277"/>
        <v>0</v>
      </c>
      <c r="AO461" s="14">
        <f t="shared" si="278"/>
        <v>0</v>
      </c>
      <c r="AP461" s="23">
        <f t="shared" si="253"/>
        <v>0</v>
      </c>
      <c r="AQ461" s="23">
        <f t="shared" si="254"/>
        <v>0</v>
      </c>
    </row>
    <row r="462" spans="8:43" x14ac:dyDescent="0.25">
      <c r="H462" s="14">
        <v>5.5900000000000096</v>
      </c>
      <c r="I462" s="36">
        <f t="shared" si="279"/>
        <v>3890451.4499428957</v>
      </c>
      <c r="J462" s="24">
        <f t="shared" si="245"/>
        <v>-121.5153268144575</v>
      </c>
      <c r="K462" s="24">
        <f t="shared" si="246"/>
        <v>-78.873765200321543</v>
      </c>
      <c r="L462" s="14">
        <f t="shared" si="255"/>
        <v>0.67018069634200106</v>
      </c>
      <c r="M462" s="14">
        <f t="shared" si="256"/>
        <v>-89.856168854441336</v>
      </c>
      <c r="N462" s="14">
        <f t="shared" si="257"/>
        <v>52.005402981852725</v>
      </c>
      <c r="O462" s="14">
        <f t="shared" si="258"/>
        <v>-89.996726650955068</v>
      </c>
      <c r="P462" s="14">
        <f t="shared" si="259"/>
        <v>-84.862606300449869</v>
      </c>
      <c r="Q462" s="14">
        <f t="shared" si="260"/>
        <v>-88.232758645546923</v>
      </c>
      <c r="R462" s="14">
        <f t="shared" si="261"/>
        <v>-30.217912617125236</v>
      </c>
      <c r="S462" s="23">
        <f t="shared" si="247"/>
        <v>-268.08565415094336</v>
      </c>
      <c r="T462" s="23">
        <f t="shared" si="248"/>
        <v>-66.551277647560227</v>
      </c>
      <c r="U462" s="14">
        <f t="shared" si="262"/>
        <v>20000</v>
      </c>
      <c r="V462" s="14">
        <f t="shared" si="263"/>
        <v>-89.999998934581882</v>
      </c>
      <c r="W462" s="14">
        <f t="shared" si="264"/>
        <v>-154.61205098360662</v>
      </c>
      <c r="X462" s="14">
        <f t="shared" si="265"/>
        <v>89.997869163738926</v>
      </c>
      <c r="Y462" s="14">
        <f t="shared" si="266"/>
        <v>88.59145107633374</v>
      </c>
      <c r="Z462" s="14">
        <f t="shared" si="267"/>
        <v>-89.53122648241245</v>
      </c>
      <c r="AA462" s="14">
        <f t="shared" si="268"/>
        <v>-41.743288170616211</v>
      </c>
      <c r="AB462" s="23">
        <f t="shared" si="249"/>
        <v>-89.533356253255405</v>
      </c>
      <c r="AC462" s="23">
        <f t="shared" si="250"/>
        <v>-21.743288164609467</v>
      </c>
      <c r="AD462" s="14">
        <f t="shared" si="269"/>
        <v>89.414040457286106</v>
      </c>
      <c r="AE462" s="14">
        <f t="shared" si="270"/>
        <v>39.805251430065965</v>
      </c>
      <c r="AF462" s="14">
        <f t="shared" si="271"/>
        <v>55.713104415455383</v>
      </c>
      <c r="AG462" s="14">
        <f t="shared" si="272"/>
        <v>4.9846330335111286</v>
      </c>
      <c r="AH462" s="14">
        <f t="shared" si="273"/>
        <v>-89.023461283000216</v>
      </c>
      <c r="AI462" s="14">
        <f t="shared" si="274"/>
        <v>-35.369083851728952</v>
      </c>
      <c r="AJ462" s="23">
        <f t="shared" si="251"/>
        <v>56.10368358974128</v>
      </c>
      <c r="AK462" s="23">
        <f t="shared" si="252"/>
        <v>9.4208006118481435</v>
      </c>
      <c r="AL462" s="14">
        <f t="shared" si="275"/>
        <v>0</v>
      </c>
      <c r="AM462" s="14">
        <f t="shared" si="276"/>
        <v>0</v>
      </c>
      <c r="AN462" s="14">
        <f t="shared" si="277"/>
        <v>0</v>
      </c>
      <c r="AO462" s="14">
        <f t="shared" si="278"/>
        <v>0</v>
      </c>
      <c r="AP462" s="23">
        <f t="shared" si="253"/>
        <v>0</v>
      </c>
      <c r="AQ462" s="23">
        <f t="shared" si="254"/>
        <v>0</v>
      </c>
    </row>
    <row r="463" spans="8:43" x14ac:dyDescent="0.25">
      <c r="H463" s="14">
        <v>5.6000000000000103</v>
      </c>
      <c r="I463" s="36">
        <f t="shared" si="279"/>
        <v>3981071.7055350705</v>
      </c>
      <c r="J463" s="24">
        <f t="shared" si="245"/>
        <v>-120.96695547174056</v>
      </c>
      <c r="K463" s="24">
        <f t="shared" si="246"/>
        <v>-79.13600883726771</v>
      </c>
      <c r="L463" s="14">
        <f t="shared" si="255"/>
        <v>0.67018069634200106</v>
      </c>
      <c r="M463" s="14">
        <f t="shared" si="256"/>
        <v>-89.859442837738854</v>
      </c>
      <c r="N463" s="14">
        <f t="shared" si="257"/>
        <v>52.205401750086949</v>
      </c>
      <c r="O463" s="14">
        <f t="shared" si="258"/>
        <v>-89.996801161475958</v>
      </c>
      <c r="P463" s="14">
        <f t="shared" si="259"/>
        <v>-85.062606299811904</v>
      </c>
      <c r="Q463" s="14">
        <f t="shared" si="260"/>
        <v>-88.272961324741701</v>
      </c>
      <c r="R463" s="14">
        <f t="shared" si="261"/>
        <v>-30.417726714122434</v>
      </c>
      <c r="S463" s="23">
        <f t="shared" si="247"/>
        <v>-268.12920532395651</v>
      </c>
      <c r="T463" s="23">
        <f t="shared" si="248"/>
        <v>-66.751092975685239</v>
      </c>
      <c r="U463" s="14">
        <f t="shared" si="262"/>
        <v>20000</v>
      </c>
      <c r="V463" s="14">
        <f t="shared" si="263"/>
        <v>-89.999998958833743</v>
      </c>
      <c r="W463" s="14">
        <f t="shared" si="264"/>
        <v>-154.81205098360664</v>
      </c>
      <c r="X463" s="14">
        <f t="shared" si="265"/>
        <v>89.99791766749388</v>
      </c>
      <c r="Y463" s="14">
        <f t="shared" si="266"/>
        <v>88.79145107606341</v>
      </c>
      <c r="Z463" s="14">
        <f t="shared" si="267"/>
        <v>-89.541896610368582</v>
      </c>
      <c r="AA463" s="14">
        <f t="shared" si="268"/>
        <v>-41.943275086626066</v>
      </c>
      <c r="AB463" s="23">
        <f t="shared" si="249"/>
        <v>-89.543977901708445</v>
      </c>
      <c r="AC463" s="23">
        <f t="shared" si="250"/>
        <v>-21.94327508088967</v>
      </c>
      <c r="AD463" s="14">
        <f t="shared" si="269"/>
        <v>89.427377626397131</v>
      </c>
      <c r="AE463" s="14">
        <f t="shared" si="270"/>
        <v>40.005230987083777</v>
      </c>
      <c r="AF463" s="14">
        <f t="shared" si="271"/>
        <v>56.324535986808172</v>
      </c>
      <c r="AG463" s="14">
        <f t="shared" si="272"/>
        <v>5.122155308209571</v>
      </c>
      <c r="AH463" s="14">
        <f t="shared" si="273"/>
        <v>-89.045685859280923</v>
      </c>
      <c r="AI463" s="14">
        <f t="shared" si="274"/>
        <v>-35.569027075986142</v>
      </c>
      <c r="AJ463" s="23">
        <f t="shared" si="251"/>
        <v>56.706227753924395</v>
      </c>
      <c r="AK463" s="23">
        <f t="shared" si="252"/>
        <v>9.5583592193072064</v>
      </c>
      <c r="AL463" s="14">
        <f t="shared" si="275"/>
        <v>0</v>
      </c>
      <c r="AM463" s="14">
        <f t="shared" si="276"/>
        <v>0</v>
      </c>
      <c r="AN463" s="14">
        <f t="shared" si="277"/>
        <v>0</v>
      </c>
      <c r="AO463" s="14">
        <f t="shared" si="278"/>
        <v>0</v>
      </c>
      <c r="AP463" s="23">
        <f t="shared" si="253"/>
        <v>0</v>
      </c>
      <c r="AQ463" s="23">
        <f t="shared" si="254"/>
        <v>0</v>
      </c>
    </row>
    <row r="464" spans="8:43" x14ac:dyDescent="0.25">
      <c r="H464" s="14">
        <v>5.6100000000000101</v>
      </c>
      <c r="I464" s="36">
        <f t="shared" si="279"/>
        <v>4073802.7780412273</v>
      </c>
      <c r="J464" s="24">
        <f t="shared" si="245"/>
        <v>-120.42254754513492</v>
      </c>
      <c r="K464" s="24">
        <f t="shared" si="246"/>
        <v>-79.396301965922433</v>
      </c>
      <c r="L464" s="14">
        <f t="shared" si="255"/>
        <v>0.67018069634200106</v>
      </c>
      <c r="M464" s="14">
        <f t="shared" si="256"/>
        <v>-89.862642296964935</v>
      </c>
      <c r="N464" s="14">
        <f t="shared" si="257"/>
        <v>52.405400573759444</v>
      </c>
      <c r="O464" s="14">
        <f t="shared" si="258"/>
        <v>-89.996873975930328</v>
      </c>
      <c r="P464" s="14">
        <f t="shared" si="259"/>
        <v>-85.262606299202645</v>
      </c>
      <c r="Q464" s="14">
        <f t="shared" si="260"/>
        <v>-88.312250523044085</v>
      </c>
      <c r="R464" s="14">
        <f t="shared" si="261"/>
        <v>-30.61754917070418</v>
      </c>
      <c r="S464" s="23">
        <f t="shared" si="247"/>
        <v>-268.17176679593933</v>
      </c>
      <c r="T464" s="23">
        <f t="shared" si="248"/>
        <v>-66.950916607985235</v>
      </c>
      <c r="U464" s="14">
        <f t="shared" si="262"/>
        <v>20000</v>
      </c>
      <c r="V464" s="14">
        <f t="shared" si="263"/>
        <v>-89.999998982533583</v>
      </c>
      <c r="W464" s="14">
        <f t="shared" si="264"/>
        <v>-155.01205098360663</v>
      </c>
      <c r="X464" s="14">
        <f t="shared" si="265"/>
        <v>89.997965067168579</v>
      </c>
      <c r="Y464" s="14">
        <f t="shared" si="266"/>
        <v>88.99145107580523</v>
      </c>
      <c r="Z464" s="14">
        <f t="shared" si="267"/>
        <v>-89.552323887264279</v>
      </c>
      <c r="AA464" s="14">
        <f t="shared" si="268"/>
        <v>-42.143262591475683</v>
      </c>
      <c r="AB464" s="23">
        <f t="shared" si="249"/>
        <v>-89.554357802629283</v>
      </c>
      <c r="AC464" s="23">
        <f t="shared" si="250"/>
        <v>-22.143262585997455</v>
      </c>
      <c r="AD464" s="14">
        <f t="shared" si="269"/>
        <v>89.440411264440229</v>
      </c>
      <c r="AE464" s="14">
        <f t="shared" si="270"/>
        <v>40.205211464097516</v>
      </c>
      <c r="AF464" s="14">
        <f t="shared" si="271"/>
        <v>56.930570608955854</v>
      </c>
      <c r="AG464" s="14">
        <f t="shared" si="272"/>
        <v>5.2616386188425217</v>
      </c>
      <c r="AH464" s="14">
        <f t="shared" si="273"/>
        <v>-89.067404819962391</v>
      </c>
      <c r="AI464" s="14">
        <f t="shared" si="274"/>
        <v>-35.768972854879792</v>
      </c>
      <c r="AJ464" s="23">
        <f t="shared" si="251"/>
        <v>57.303577053433699</v>
      </c>
      <c r="AK464" s="23">
        <f t="shared" si="252"/>
        <v>9.6978772280602499</v>
      </c>
      <c r="AL464" s="14">
        <f t="shared" si="275"/>
        <v>0</v>
      </c>
      <c r="AM464" s="14">
        <f t="shared" si="276"/>
        <v>0</v>
      </c>
      <c r="AN464" s="14">
        <f t="shared" si="277"/>
        <v>0</v>
      </c>
      <c r="AO464" s="14">
        <f t="shared" si="278"/>
        <v>0</v>
      </c>
      <c r="AP464" s="23">
        <f t="shared" si="253"/>
        <v>0</v>
      </c>
      <c r="AQ464" s="23">
        <f t="shared" si="254"/>
        <v>0</v>
      </c>
    </row>
    <row r="465" spans="8:43" x14ac:dyDescent="0.25">
      <c r="H465" s="14">
        <v>5.6200000000000099</v>
      </c>
      <c r="I465" s="36">
        <f t="shared" si="279"/>
        <v>4168693.8347034557</v>
      </c>
      <c r="J465" s="24">
        <f t="shared" si="245"/>
        <v>-119.88235664181717</v>
      </c>
      <c r="K465" s="24">
        <f t="shared" si="246"/>
        <v>-79.654679440125065</v>
      </c>
      <c r="L465" s="14">
        <f t="shared" si="255"/>
        <v>0.67018069634200106</v>
      </c>
      <c r="M465" s="14">
        <f t="shared" si="256"/>
        <v>-89.865768928435344</v>
      </c>
      <c r="N465" s="14">
        <f t="shared" si="257"/>
        <v>52.605399450375081</v>
      </c>
      <c r="O465" s="14">
        <f t="shared" si="258"/>
        <v>-89.996945132925376</v>
      </c>
      <c r="P465" s="14">
        <f t="shared" si="259"/>
        <v>-85.462606298620784</v>
      </c>
      <c r="Q465" s="14">
        <f t="shared" si="260"/>
        <v>-88.35064692422597</v>
      </c>
      <c r="R465" s="14">
        <f t="shared" si="261"/>
        <v>-30.817379611280291</v>
      </c>
      <c r="S465" s="23">
        <f t="shared" si="247"/>
        <v>-268.21336098558669</v>
      </c>
      <c r="T465" s="23">
        <f t="shared" si="248"/>
        <v>-67.150748171363844</v>
      </c>
      <c r="U465" s="14">
        <f t="shared" si="262"/>
        <v>20000</v>
      </c>
      <c r="V465" s="14">
        <f t="shared" si="263"/>
        <v>-89.999999005693951</v>
      </c>
      <c r="W465" s="14">
        <f t="shared" si="264"/>
        <v>-155.21205098360664</v>
      </c>
      <c r="X465" s="14">
        <f t="shared" si="265"/>
        <v>89.998011387894948</v>
      </c>
      <c r="Y465" s="14">
        <f t="shared" si="266"/>
        <v>89.19145107555866</v>
      </c>
      <c r="Z465" s="14">
        <f t="shared" si="267"/>
        <v>-89.562513839015338</v>
      </c>
      <c r="AA465" s="14">
        <f t="shared" si="268"/>
        <v>-42.343250658666136</v>
      </c>
      <c r="AB465" s="23">
        <f t="shared" si="249"/>
        <v>-89.564501456814341</v>
      </c>
      <c r="AC465" s="23">
        <f t="shared" si="250"/>
        <v>-22.343250653434495</v>
      </c>
      <c r="AD465" s="14">
        <f t="shared" si="269"/>
        <v>89.453148276624077</v>
      </c>
      <c r="AE465" s="14">
        <f t="shared" si="270"/>
        <v>40.405192819708439</v>
      </c>
      <c r="AF465" s="14">
        <f t="shared" si="271"/>
        <v>57.530987179703786</v>
      </c>
      <c r="AG465" s="14">
        <f t="shared" si="272"/>
        <v>5.403047638458121</v>
      </c>
      <c r="AH465" s="14">
        <f t="shared" si="273"/>
        <v>-89.088629655743986</v>
      </c>
      <c r="AI465" s="14">
        <f t="shared" si="274"/>
        <v>-35.968921073493284</v>
      </c>
      <c r="AJ465" s="23">
        <f t="shared" si="251"/>
        <v>57.895505800583877</v>
      </c>
      <c r="AK465" s="23">
        <f t="shared" si="252"/>
        <v>9.8393193846732743</v>
      </c>
      <c r="AL465" s="14">
        <f t="shared" si="275"/>
        <v>0</v>
      </c>
      <c r="AM465" s="14">
        <f t="shared" si="276"/>
        <v>0</v>
      </c>
      <c r="AN465" s="14">
        <f t="shared" si="277"/>
        <v>0</v>
      </c>
      <c r="AO465" s="14">
        <f t="shared" si="278"/>
        <v>0</v>
      </c>
      <c r="AP465" s="23">
        <f t="shared" si="253"/>
        <v>0</v>
      </c>
      <c r="AQ465" s="23">
        <f t="shared" si="254"/>
        <v>0</v>
      </c>
    </row>
    <row r="466" spans="8:43" x14ac:dyDescent="0.25">
      <c r="H466" s="14">
        <v>5.6300000000000097</v>
      </c>
      <c r="I466" s="36">
        <f t="shared" si="279"/>
        <v>4265795.1880160235</v>
      </c>
      <c r="J466" s="24">
        <f t="shared" si="245"/>
        <v>-119.34662367582128</v>
      </c>
      <c r="K466" s="24">
        <f t="shared" si="246"/>
        <v>-79.911177174577702</v>
      </c>
      <c r="L466" s="14">
        <f t="shared" si="255"/>
        <v>0.67018069634200106</v>
      </c>
      <c r="M466" s="14">
        <f t="shared" si="256"/>
        <v>-89.868824389856925</v>
      </c>
      <c r="N466" s="14">
        <f t="shared" si="257"/>
        <v>52.805398377551072</v>
      </c>
      <c r="O466" s="14">
        <f t="shared" si="258"/>
        <v>-89.997014670189486</v>
      </c>
      <c r="P466" s="14">
        <f t="shared" si="259"/>
        <v>-85.6626062980651</v>
      </c>
      <c r="Q466" s="14">
        <f t="shared" si="260"/>
        <v>-88.388170748540276</v>
      </c>
      <c r="R466" s="14">
        <f t="shared" si="261"/>
        <v>-31.017217677107546</v>
      </c>
      <c r="S466" s="23">
        <f t="shared" si="247"/>
        <v>-268.25400980858672</v>
      </c>
      <c r="T466" s="23">
        <f t="shared" si="248"/>
        <v>-67.350587309459428</v>
      </c>
      <c r="U466" s="14">
        <f t="shared" si="262"/>
        <v>20000</v>
      </c>
      <c r="V466" s="14">
        <f t="shared" si="263"/>
        <v>-89.999999028327125</v>
      </c>
      <c r="W466" s="14">
        <f t="shared" si="264"/>
        <v>-155.41205098360663</v>
      </c>
      <c r="X466" s="14">
        <f t="shared" si="265"/>
        <v>89.998056654232869</v>
      </c>
      <c r="Y466" s="14">
        <f t="shared" si="266"/>
        <v>89.391451075323189</v>
      </c>
      <c r="Z466" s="14">
        <f t="shared" si="267"/>
        <v>-89.572471865889099</v>
      </c>
      <c r="AA466" s="14">
        <f t="shared" si="268"/>
        <v>-42.543239262890879</v>
      </c>
      <c r="AB466" s="23">
        <f t="shared" si="249"/>
        <v>-89.574414239983355</v>
      </c>
      <c r="AC466" s="23">
        <f t="shared" si="250"/>
        <v>-22.543239257894697</v>
      </c>
      <c r="AD466" s="14">
        <f t="shared" si="269"/>
        <v>89.465595411242688</v>
      </c>
      <c r="AE466" s="14">
        <f t="shared" si="270"/>
        <v>40.605175014380379</v>
      </c>
      <c r="AF466" s="14">
        <f t="shared" si="271"/>
        <v>58.125576558506161</v>
      </c>
      <c r="AG466" s="14">
        <f t="shared" si="272"/>
        <v>5.5463460004727576</v>
      </c>
      <c r="AH466" s="14">
        <f t="shared" si="273"/>
        <v>-89.109371597000049</v>
      </c>
      <c r="AI466" s="14">
        <f t="shared" si="274"/>
        <v>-36.168871622076715</v>
      </c>
      <c r="AJ466" s="23">
        <f t="shared" si="251"/>
        <v>58.481800372748793</v>
      </c>
      <c r="AK466" s="23">
        <f t="shared" si="252"/>
        <v>9.9826493927764233</v>
      </c>
      <c r="AL466" s="14">
        <f t="shared" si="275"/>
        <v>0</v>
      </c>
      <c r="AM466" s="14">
        <f t="shared" si="276"/>
        <v>0</v>
      </c>
      <c r="AN466" s="14">
        <f t="shared" si="277"/>
        <v>0</v>
      </c>
      <c r="AO466" s="14">
        <f t="shared" si="278"/>
        <v>0</v>
      </c>
      <c r="AP466" s="23">
        <f t="shared" si="253"/>
        <v>0</v>
      </c>
      <c r="AQ466" s="23">
        <f t="shared" si="254"/>
        <v>0</v>
      </c>
    </row>
    <row r="467" spans="8:43" x14ac:dyDescent="0.25">
      <c r="H467" s="14">
        <v>5.6400000000000103</v>
      </c>
      <c r="I467" s="36">
        <f t="shared" si="279"/>
        <v>4365158.3224017657</v>
      </c>
      <c r="J467" s="24">
        <f t="shared" si="245"/>
        <v>-118.81557673119175</v>
      </c>
      <c r="K467" s="24">
        <f t="shared" si="246"/>
        <v>-80.165832029414574</v>
      </c>
      <c r="L467" s="14">
        <f t="shared" si="255"/>
        <v>0.67018069634200106</v>
      </c>
      <c r="M467" s="14">
        <f t="shared" si="256"/>
        <v>-89.871810301206224</v>
      </c>
      <c r="N467" s="14">
        <f t="shared" si="257"/>
        <v>53.005397353011872</v>
      </c>
      <c r="O467" s="14">
        <f t="shared" si="258"/>
        <v>-89.99708262459221</v>
      </c>
      <c r="P467" s="14">
        <f t="shared" si="259"/>
        <v>-85.862606297534484</v>
      </c>
      <c r="Q467" s="14">
        <f t="shared" si="260"/>
        <v>-88.424841762786087</v>
      </c>
      <c r="R467" s="14">
        <f t="shared" si="261"/>
        <v>-31.217063025536493</v>
      </c>
      <c r="S467" s="23">
        <f t="shared" si="247"/>
        <v>-268.29373468858455</v>
      </c>
      <c r="T467" s="23">
        <f t="shared" si="248"/>
        <v>-67.550433681896962</v>
      </c>
      <c r="U467" s="14">
        <f t="shared" si="262"/>
        <v>20000</v>
      </c>
      <c r="V467" s="14">
        <f t="shared" si="263"/>
        <v>-89.999999050445098</v>
      </c>
      <c r="W467" s="14">
        <f t="shared" si="264"/>
        <v>-155.61205098360665</v>
      </c>
      <c r="X467" s="14">
        <f t="shared" si="265"/>
        <v>89.998100890183139</v>
      </c>
      <c r="Y467" s="14">
        <f t="shared" si="266"/>
        <v>89.591451075098334</v>
      </c>
      <c r="Z467" s="14">
        <f t="shared" si="267"/>
        <v>-89.582203245355487</v>
      </c>
      <c r="AA467" s="14">
        <f t="shared" si="268"/>
        <v>-42.743228379982099</v>
      </c>
      <c r="AB467" s="23">
        <f t="shared" si="249"/>
        <v>-89.584101405617446</v>
      </c>
      <c r="AC467" s="23">
        <f t="shared" si="250"/>
        <v>-22.743228375210791</v>
      </c>
      <c r="AD467" s="14">
        <f t="shared" si="269"/>
        <v>89.477759263229402</v>
      </c>
      <c r="AE467" s="14">
        <f t="shared" si="270"/>
        <v>40.805158010355953</v>
      </c>
      <c r="AF467" s="14">
        <f t="shared" si="271"/>
        <v>58.71414171940409</v>
      </c>
      <c r="AG467" s="14">
        <f t="shared" si="272"/>
        <v>5.6914964131521275</v>
      </c>
      <c r="AH467" s="14">
        <f t="shared" si="273"/>
        <v>-89.129641619623243</v>
      </c>
      <c r="AI467" s="14">
        <f t="shared" si="274"/>
        <v>-36.368824395814904</v>
      </c>
      <c r="AJ467" s="23">
        <f t="shared" si="251"/>
        <v>59.062259363010241</v>
      </c>
      <c r="AK467" s="23">
        <f t="shared" si="252"/>
        <v>10.127830027693179</v>
      </c>
      <c r="AL467" s="14">
        <f t="shared" si="275"/>
        <v>0</v>
      </c>
      <c r="AM467" s="14">
        <f t="shared" si="276"/>
        <v>0</v>
      </c>
      <c r="AN467" s="14">
        <f t="shared" si="277"/>
        <v>0</v>
      </c>
      <c r="AO467" s="14">
        <f t="shared" si="278"/>
        <v>0</v>
      </c>
      <c r="AP467" s="23">
        <f t="shared" si="253"/>
        <v>0</v>
      </c>
      <c r="AQ467" s="23">
        <f t="shared" si="254"/>
        <v>0</v>
      </c>
    </row>
    <row r="468" spans="8:43" x14ac:dyDescent="0.25">
      <c r="H468" s="14">
        <v>5.6500000000000101</v>
      </c>
      <c r="I468" s="36">
        <f t="shared" si="279"/>
        <v>4466835.921509739</v>
      </c>
      <c r="J468" s="24">
        <f t="shared" ref="J468:J503" si="280">180+S468+AB468+AJ468+AP468</f>
        <v>-118.2894309780726</v>
      </c>
      <c r="K468" s="24">
        <f t="shared" ref="K468:K503" si="281">T468+AC468+AK468+AQ468</f>
        <v>-80.418681695688377</v>
      </c>
      <c r="L468" s="14">
        <f t="shared" si="255"/>
        <v>0.67018069634200106</v>
      </c>
      <c r="M468" s="14">
        <f t="shared" si="256"/>
        <v>-89.874728245588059</v>
      </c>
      <c r="N468" s="14">
        <f t="shared" si="257"/>
        <v>53.205396374584303</v>
      </c>
      <c r="O468" s="14">
        <f t="shared" si="258"/>
        <v>-89.99714903216389</v>
      </c>
      <c r="P468" s="14">
        <f t="shared" si="259"/>
        <v>-86.062606297027713</v>
      </c>
      <c r="Q468" s="14">
        <f t="shared" si="260"/>
        <v>-88.460679290176927</v>
      </c>
      <c r="R468" s="14">
        <f t="shared" si="261"/>
        <v>-31.416915329291623</v>
      </c>
      <c r="S468" s="23">
        <f t="shared" ref="S468:S503" si="282">M468+O468+Q468</f>
        <v>-268.33255656792886</v>
      </c>
      <c r="T468" s="23">
        <f t="shared" ref="T468:T503" si="283">20*LOG(L468)+N468+P468+R468</f>
        <v>-67.75028696357289</v>
      </c>
      <c r="U468" s="14">
        <f t="shared" si="262"/>
        <v>20000</v>
      </c>
      <c r="V468" s="14">
        <f t="shared" si="263"/>
        <v>-89.999999072059595</v>
      </c>
      <c r="W468" s="14">
        <f t="shared" si="264"/>
        <v>-155.81205098360664</v>
      </c>
      <c r="X468" s="14">
        <f t="shared" si="265"/>
        <v>89.998144119200248</v>
      </c>
      <c r="Y468" s="14">
        <f t="shared" si="266"/>
        <v>89.791451074883582</v>
      </c>
      <c r="Z468" s="14">
        <f t="shared" si="267"/>
        <v>-89.591713134873615</v>
      </c>
      <c r="AA468" s="14">
        <f t="shared" si="268"/>
        <v>-42.943217986859437</v>
      </c>
      <c r="AB468" s="23">
        <f t="shared" ref="AB468:AB503" si="284">V468+X468+Z468</f>
        <v>-89.593568087732962</v>
      </c>
      <c r="AC468" s="23">
        <f t="shared" ref="AC468:AC503" si="285">20*LOG(U468)+W468+Y468+AA468</f>
        <v>-22.943217982302869</v>
      </c>
      <c r="AD468" s="14">
        <f t="shared" si="269"/>
        <v>89.48964627763111</v>
      </c>
      <c r="AE468" s="14">
        <f t="shared" si="270"/>
        <v>41.005141771576554</v>
      </c>
      <c r="AF468" s="14">
        <f t="shared" si="271"/>
        <v>59.296497850698422</v>
      </c>
      <c r="AG468" s="14">
        <f t="shared" si="272"/>
        <v>5.8384607732164362</v>
      </c>
      <c r="AH468" s="14">
        <f t="shared" si="273"/>
        <v>-89.149450450740318</v>
      </c>
      <c r="AI468" s="14">
        <f t="shared" si="274"/>
        <v>-36.568779294605598</v>
      </c>
      <c r="AJ468" s="23">
        <f t="shared" ref="AJ468:AJ503" si="286">AD468+AF468+AH468</f>
        <v>59.636693677589221</v>
      </c>
      <c r="AK468" s="23">
        <f t="shared" ref="AK468:AK503" si="287">AE468+AG468+AI468</f>
        <v>10.274823250187389</v>
      </c>
      <c r="AL468" s="14">
        <f t="shared" si="275"/>
        <v>0</v>
      </c>
      <c r="AM468" s="14">
        <f t="shared" si="276"/>
        <v>0</v>
      </c>
      <c r="AN468" s="14">
        <f t="shared" si="277"/>
        <v>0</v>
      </c>
      <c r="AO468" s="14">
        <f t="shared" si="278"/>
        <v>0</v>
      </c>
      <c r="AP468" s="23">
        <f t="shared" ref="AP468:AP503" si="288">AL468+AN468</f>
        <v>0</v>
      </c>
      <c r="AQ468" s="23">
        <f t="shared" ref="AQ468:AQ503" si="289">AM468+AO468</f>
        <v>0</v>
      </c>
    </row>
    <row r="469" spans="8:43" x14ac:dyDescent="0.25">
      <c r="H469" s="14">
        <v>5.6600000000000099</v>
      </c>
      <c r="I469" s="36">
        <f t="shared" si="279"/>
        <v>4570881.8961488605</v>
      </c>
      <c r="J469" s="24">
        <f t="shared" si="280"/>
        <v>-117.76838863984678</v>
      </c>
      <c r="K469" s="24">
        <f t="shared" si="281"/>
        <v>-80.669764582387813</v>
      </c>
      <c r="L469" s="14">
        <f t="shared" si="255"/>
        <v>0.67018069634200106</v>
      </c>
      <c r="M469" s="14">
        <f t="shared" si="256"/>
        <v>-89.877579770074576</v>
      </c>
      <c r="N469" s="14">
        <f t="shared" si="257"/>
        <v>53.405395440193004</v>
      </c>
      <c r="O469" s="14">
        <f t="shared" si="258"/>
        <v>-89.997213928114704</v>
      </c>
      <c r="P469" s="14">
        <f t="shared" si="259"/>
        <v>-86.262606296543751</v>
      </c>
      <c r="Q469" s="14">
        <f t="shared" si="260"/>
        <v>-88.495702220014621</v>
      </c>
      <c r="R469" s="14">
        <f t="shared" si="261"/>
        <v>-31.616774275783754</v>
      </c>
      <c r="S469" s="23">
        <f t="shared" si="282"/>
        <v>-268.37049591820391</v>
      </c>
      <c r="T469" s="23">
        <f t="shared" si="283"/>
        <v>-67.950146843972362</v>
      </c>
      <c r="U469" s="14">
        <f t="shared" si="262"/>
        <v>20000</v>
      </c>
      <c r="V469" s="14">
        <f t="shared" si="263"/>
        <v>-89.999999093182112</v>
      </c>
      <c r="W469" s="14">
        <f t="shared" si="264"/>
        <v>-156.01205098360663</v>
      </c>
      <c r="X469" s="14">
        <f t="shared" si="265"/>
        <v>89.998186364204798</v>
      </c>
      <c r="Y469" s="14">
        <f t="shared" si="266"/>
        <v>89.991451074678523</v>
      </c>
      <c r="Z469" s="14">
        <f t="shared" si="267"/>
        <v>-89.601006574615667</v>
      </c>
      <c r="AA469" s="14">
        <f t="shared" si="268"/>
        <v>-43.143208061481133</v>
      </c>
      <c r="AB469" s="23">
        <f t="shared" si="284"/>
        <v>-89.60281930359298</v>
      </c>
      <c r="AC469" s="23">
        <f t="shared" si="285"/>
        <v>-23.143208057129613</v>
      </c>
      <c r="AD469" s="14">
        <f t="shared" si="269"/>
        <v>89.501262753004653</v>
      </c>
      <c r="AE469" s="14">
        <f t="shared" si="270"/>
        <v>41.205126263605926</v>
      </c>
      <c r="AF469" s="14">
        <f t="shared" si="271"/>
        <v>59.872472403248594</v>
      </c>
      <c r="AG469" s="14">
        <f t="shared" si="272"/>
        <v>5.9872002779560871</v>
      </c>
      <c r="AH469" s="14">
        <f t="shared" si="273"/>
        <v>-89.168808574303128</v>
      </c>
      <c r="AI469" s="14">
        <f t="shared" si="274"/>
        <v>-36.768736222847856</v>
      </c>
      <c r="AJ469" s="23">
        <f t="shared" si="286"/>
        <v>60.204926581950119</v>
      </c>
      <c r="AK469" s="23">
        <f t="shared" si="287"/>
        <v>10.423590318714155</v>
      </c>
      <c r="AL469" s="14">
        <f t="shared" si="275"/>
        <v>0</v>
      </c>
      <c r="AM469" s="14">
        <f t="shared" si="276"/>
        <v>0</v>
      </c>
      <c r="AN469" s="14">
        <f t="shared" si="277"/>
        <v>0</v>
      </c>
      <c r="AO469" s="14">
        <f t="shared" si="278"/>
        <v>0</v>
      </c>
      <c r="AP469" s="23">
        <f t="shared" si="288"/>
        <v>0</v>
      </c>
      <c r="AQ469" s="23">
        <f t="shared" si="289"/>
        <v>0</v>
      </c>
    </row>
    <row r="470" spans="8:43" x14ac:dyDescent="0.25">
      <c r="H470" s="14">
        <v>5.6700000000000097</v>
      </c>
      <c r="I470" s="36">
        <f t="shared" si="279"/>
        <v>4677351.4128720937</v>
      </c>
      <c r="J470" s="24">
        <f t="shared" si="280"/>
        <v>-117.25263900913311</v>
      </c>
      <c r="K470" s="24">
        <f t="shared" si="281"/>
        <v>-80.919119705550855</v>
      </c>
      <c r="L470" s="14">
        <f t="shared" si="255"/>
        <v>0.67018069634200106</v>
      </c>
      <c r="M470" s="14">
        <f t="shared" si="256"/>
        <v>-89.880366386525267</v>
      </c>
      <c r="N470" s="14">
        <f t="shared" si="257"/>
        <v>53.605394547856065</v>
      </c>
      <c r="O470" s="14">
        <f t="shared" si="258"/>
        <v>-89.997277346853338</v>
      </c>
      <c r="P470" s="14">
        <f t="shared" si="259"/>
        <v>-86.462606296081574</v>
      </c>
      <c r="Q470" s="14">
        <f t="shared" si="260"/>
        <v>-88.5299290171709</v>
      </c>
      <c r="R470" s="14">
        <f t="shared" si="261"/>
        <v>-31.816639566452768</v>
      </c>
      <c r="S470" s="23">
        <f t="shared" si="282"/>
        <v>-268.40757275054949</v>
      </c>
      <c r="T470" s="23">
        <f t="shared" si="283"/>
        <v>-68.150013026516135</v>
      </c>
      <c r="U470" s="14">
        <f t="shared" si="262"/>
        <v>20000</v>
      </c>
      <c r="V470" s="14">
        <f t="shared" si="263"/>
        <v>-89.999999113823804</v>
      </c>
      <c r="W470" s="14">
        <f t="shared" si="264"/>
        <v>-156.21205098360664</v>
      </c>
      <c r="X470" s="14">
        <f t="shared" si="265"/>
        <v>89.998227647595641</v>
      </c>
      <c r="Y470" s="14">
        <f t="shared" si="266"/>
        <v>90.191451074482657</v>
      </c>
      <c r="Z470" s="14">
        <f t="shared" si="267"/>
        <v>-89.610088490129272</v>
      </c>
      <c r="AA470" s="14">
        <f t="shared" si="268"/>
        <v>-43.343198582797257</v>
      </c>
      <c r="AB470" s="23">
        <f t="shared" si="284"/>
        <v>-89.611859956357435</v>
      </c>
      <c r="AC470" s="23">
        <f t="shared" si="285"/>
        <v>-23.343198578641619</v>
      </c>
      <c r="AD470" s="14">
        <f t="shared" si="269"/>
        <v>89.512614844736788</v>
      </c>
      <c r="AE470" s="14">
        <f t="shared" si="270"/>
        <v>41.405111453557254</v>
      </c>
      <c r="AF470" s="14">
        <f t="shared" si="271"/>
        <v>60.441905089593774</v>
      </c>
      <c r="AG470" s="14">
        <f t="shared" si="272"/>
        <v>6.1376755352894099</v>
      </c>
      <c r="AH470" s="14">
        <f t="shared" si="273"/>
        <v>-89.187726236556756</v>
      </c>
      <c r="AI470" s="14">
        <f t="shared" si="274"/>
        <v>-36.968695089239773</v>
      </c>
      <c r="AJ470" s="23">
        <f t="shared" si="286"/>
        <v>60.766793697773807</v>
      </c>
      <c r="AK470" s="23">
        <f t="shared" si="287"/>
        <v>10.574091899606891</v>
      </c>
      <c r="AL470" s="14">
        <f t="shared" si="275"/>
        <v>0</v>
      </c>
      <c r="AM470" s="14">
        <f t="shared" si="276"/>
        <v>0</v>
      </c>
      <c r="AN470" s="14">
        <f t="shared" si="277"/>
        <v>0</v>
      </c>
      <c r="AO470" s="14">
        <f t="shared" si="278"/>
        <v>0</v>
      </c>
      <c r="AP470" s="23">
        <f t="shared" si="288"/>
        <v>0</v>
      </c>
      <c r="AQ470" s="23">
        <f t="shared" si="289"/>
        <v>0</v>
      </c>
    </row>
    <row r="471" spans="8:43" x14ac:dyDescent="0.25">
      <c r="H471" s="14">
        <v>5.6800000000000104</v>
      </c>
      <c r="I471" s="36">
        <f t="shared" si="279"/>
        <v>4786300.9232265064</v>
      </c>
      <c r="J471" s="24">
        <f t="shared" si="280"/>
        <v>-116.74235851018457</v>
      </c>
      <c r="K471" s="24">
        <f t="shared" si="281"/>
        <v>-81.166786579991992</v>
      </c>
      <c r="L471" s="14">
        <f t="shared" si="255"/>
        <v>0.67018069634200106</v>
      </c>
      <c r="M471" s="14">
        <f t="shared" si="256"/>
        <v>-89.8830895723883</v>
      </c>
      <c r="N471" s="14">
        <f t="shared" si="257"/>
        <v>53.805393695680749</v>
      </c>
      <c r="O471" s="14">
        <f t="shared" si="258"/>
        <v>-89.997339322005246</v>
      </c>
      <c r="P471" s="14">
        <f t="shared" si="259"/>
        <v>-86.662606295640217</v>
      </c>
      <c r="Q471" s="14">
        <f t="shared" si="260"/>
        <v>-88.563377731379717</v>
      </c>
      <c r="R471" s="14">
        <f t="shared" si="261"/>
        <v>-32.016510916139758</v>
      </c>
      <c r="S471" s="23">
        <f t="shared" si="282"/>
        <v>-268.44380662577328</v>
      </c>
      <c r="T471" s="23">
        <f t="shared" si="283"/>
        <v>-68.349885227937079</v>
      </c>
      <c r="U471" s="14">
        <f t="shared" si="262"/>
        <v>20000</v>
      </c>
      <c r="V471" s="14">
        <f t="shared" si="263"/>
        <v>-89.99999913399563</v>
      </c>
      <c r="W471" s="14">
        <f t="shared" si="264"/>
        <v>-156.41205098360666</v>
      </c>
      <c r="X471" s="14">
        <f t="shared" si="265"/>
        <v>89.998267991261784</v>
      </c>
      <c r="Y471" s="14">
        <f t="shared" si="266"/>
        <v>90.391451074295645</v>
      </c>
      <c r="Z471" s="14">
        <f t="shared" si="267"/>
        <v>-89.618963694939723</v>
      </c>
      <c r="AA471" s="14">
        <f t="shared" si="268"/>
        <v>-43.543189530705135</v>
      </c>
      <c r="AB471" s="23">
        <f t="shared" si="284"/>
        <v>-89.620694837673568</v>
      </c>
      <c r="AC471" s="23">
        <f t="shared" si="285"/>
        <v>-23.543189526736526</v>
      </c>
      <c r="AD471" s="14">
        <f t="shared" si="269"/>
        <v>89.523708568289692</v>
      </c>
      <c r="AE471" s="14">
        <f t="shared" si="270"/>
        <v>41.60509731002346</v>
      </c>
      <c r="AF471" s="14">
        <f t="shared" si="271"/>
        <v>61.004647836360682</v>
      </c>
      <c r="AG471" s="14">
        <f t="shared" si="272"/>
        <v>6.2898466712434997</v>
      </c>
      <c r="AH471" s="14">
        <f t="shared" si="273"/>
        <v>-89.206213451388095</v>
      </c>
      <c r="AI471" s="14">
        <f t="shared" si="274"/>
        <v>-37.168655806585349</v>
      </c>
      <c r="AJ471" s="23">
        <f t="shared" si="286"/>
        <v>61.322142953262272</v>
      </c>
      <c r="AK471" s="23">
        <f t="shared" si="287"/>
        <v>10.726288174681613</v>
      </c>
      <c r="AL471" s="14">
        <f t="shared" si="275"/>
        <v>0</v>
      </c>
      <c r="AM471" s="14">
        <f t="shared" si="276"/>
        <v>0</v>
      </c>
      <c r="AN471" s="14">
        <f t="shared" si="277"/>
        <v>0</v>
      </c>
      <c r="AO471" s="14">
        <f t="shared" si="278"/>
        <v>0</v>
      </c>
      <c r="AP471" s="23">
        <f t="shared" si="288"/>
        <v>0</v>
      </c>
      <c r="AQ471" s="23">
        <f t="shared" si="289"/>
        <v>0</v>
      </c>
    </row>
    <row r="472" spans="8:43" x14ac:dyDescent="0.25">
      <c r="H472" s="14">
        <v>5.69</v>
      </c>
      <c r="I472" s="36">
        <f t="shared" si="279"/>
        <v>4897788.1936844736</v>
      </c>
      <c r="J472" s="24">
        <f t="shared" si="280"/>
        <v>-116.23771080500569</v>
      </c>
      <c r="K472" s="24">
        <f t="shared" si="281"/>
        <v>-81.41280511410983</v>
      </c>
      <c r="L472" s="14">
        <f t="shared" si="255"/>
        <v>0.67018069634200106</v>
      </c>
      <c r="M472" s="14">
        <f t="shared" si="256"/>
        <v>-89.885750771483615</v>
      </c>
      <c r="N472" s="14">
        <f t="shared" si="257"/>
        <v>54.005392881859258</v>
      </c>
      <c r="O472" s="14">
        <f t="shared" si="258"/>
        <v>-89.997399886430458</v>
      </c>
      <c r="P472" s="14">
        <f t="shared" si="259"/>
        <v>-86.862606295218512</v>
      </c>
      <c r="Q472" s="14">
        <f t="shared" si="260"/>
        <v>-88.596066006342284</v>
      </c>
      <c r="R472" s="14">
        <f t="shared" si="261"/>
        <v>-32.216388052486764</v>
      </c>
      <c r="S472" s="23">
        <f t="shared" si="282"/>
        <v>-268.47921666425634</v>
      </c>
      <c r="T472" s="23">
        <f t="shared" si="283"/>
        <v>-68.549763177683872</v>
      </c>
      <c r="U472" s="14">
        <f t="shared" si="262"/>
        <v>20000</v>
      </c>
      <c r="V472" s="14">
        <f t="shared" si="263"/>
        <v>-89.999999153708302</v>
      </c>
      <c r="W472" s="14">
        <f t="shared" si="264"/>
        <v>-156.61205098360645</v>
      </c>
      <c r="X472" s="14">
        <f t="shared" si="265"/>
        <v>89.998307416593974</v>
      </c>
      <c r="Y472" s="14">
        <f t="shared" si="266"/>
        <v>90.591451074116819</v>
      </c>
      <c r="Z472" s="14">
        <f t="shared" si="267"/>
        <v>-89.627636893093438</v>
      </c>
      <c r="AA472" s="14">
        <f t="shared" si="268"/>
        <v>-43.743180886006442</v>
      </c>
      <c r="AB472" s="23">
        <f t="shared" si="284"/>
        <v>-89.629328630207766</v>
      </c>
      <c r="AC472" s="23">
        <f t="shared" si="285"/>
        <v>-23.74318088221645</v>
      </c>
      <c r="AD472" s="14">
        <f t="shared" si="269"/>
        <v>89.534549802373306</v>
      </c>
      <c r="AE472" s="14">
        <f t="shared" si="270"/>
        <v>41.805083803010319</v>
      </c>
      <c r="AF472" s="14">
        <f t="shared" si="271"/>
        <v>61.560564692641613</v>
      </c>
      <c r="AG472" s="14">
        <f t="shared" si="272"/>
        <v>6.4436734343898774</v>
      </c>
      <c r="AH472" s="14">
        <f t="shared" si="273"/>
        <v>-89.224280005556494</v>
      </c>
      <c r="AI472" s="14">
        <f t="shared" si="274"/>
        <v>-37.368618291609707</v>
      </c>
      <c r="AJ472" s="23">
        <f t="shared" si="286"/>
        <v>61.870834489458417</v>
      </c>
      <c r="AK472" s="23">
        <f t="shared" si="287"/>
        <v>10.880138945790492</v>
      </c>
      <c r="AL472" s="14">
        <f t="shared" si="275"/>
        <v>0</v>
      </c>
      <c r="AM472" s="14">
        <f t="shared" si="276"/>
        <v>0</v>
      </c>
      <c r="AN472" s="14">
        <f t="shared" si="277"/>
        <v>0</v>
      </c>
      <c r="AO472" s="14">
        <f t="shared" si="278"/>
        <v>0</v>
      </c>
      <c r="AP472" s="23">
        <f t="shared" si="288"/>
        <v>0</v>
      </c>
      <c r="AQ472" s="23">
        <f t="shared" si="289"/>
        <v>0</v>
      </c>
    </row>
    <row r="473" spans="8:43" x14ac:dyDescent="0.25">
      <c r="H473" s="14">
        <v>5.7</v>
      </c>
      <c r="I473" s="36">
        <f t="shared" si="279"/>
        <v>5011872.3362727351</v>
      </c>
      <c r="J473" s="24">
        <f t="shared" si="280"/>
        <v>-115.73884694032981</v>
      </c>
      <c r="K473" s="24">
        <f t="shared" si="281"/>
        <v>-81.657215508189722</v>
      </c>
      <c r="L473" s="14">
        <f t="shared" si="255"/>
        <v>0.67018069634200106</v>
      </c>
      <c r="M473" s="14">
        <f t="shared" si="256"/>
        <v>-89.888351394768279</v>
      </c>
      <c r="N473" s="14">
        <f t="shared" si="257"/>
        <v>54.205392104665833</v>
      </c>
      <c r="O473" s="14">
        <f t="shared" si="258"/>
        <v>-89.997459072241043</v>
      </c>
      <c r="P473" s="14">
        <f t="shared" si="259"/>
        <v>-87.062606294815964</v>
      </c>
      <c r="Q473" s="14">
        <f t="shared" si="260"/>
        <v>-88.628011088648108</v>
      </c>
      <c r="R473" s="14">
        <f t="shared" si="261"/>
        <v>-32.416270715364433</v>
      </c>
      <c r="S473" s="23">
        <f t="shared" si="282"/>
        <v>-268.51382155565744</v>
      </c>
      <c r="T473" s="23">
        <f t="shared" si="283"/>
        <v>-68.749646617352425</v>
      </c>
      <c r="U473" s="14">
        <f t="shared" si="262"/>
        <v>20000</v>
      </c>
      <c r="V473" s="14">
        <f t="shared" si="263"/>
        <v>-89.999999172972252</v>
      </c>
      <c r="W473" s="14">
        <f t="shared" si="264"/>
        <v>-156.81205098360644</v>
      </c>
      <c r="X473" s="14">
        <f t="shared" si="265"/>
        <v>89.998345944496037</v>
      </c>
      <c r="Y473" s="14">
        <f t="shared" si="266"/>
        <v>90.791451073946249</v>
      </c>
      <c r="Z473" s="14">
        <f t="shared" si="267"/>
        <v>-89.63611268164405</v>
      </c>
      <c r="AA473" s="14">
        <f t="shared" si="268"/>
        <v>-43.943172630367407</v>
      </c>
      <c r="AB473" s="23">
        <f t="shared" si="284"/>
        <v>-89.637765910120265</v>
      </c>
      <c r="AC473" s="23">
        <f t="shared" si="285"/>
        <v>-23.943172626747973</v>
      </c>
      <c r="AD473" s="14">
        <f t="shared" si="269"/>
        <v>89.545144292046544</v>
      </c>
      <c r="AE473" s="14">
        <f t="shared" si="270"/>
        <v>42.005070903873893</v>
      </c>
      <c r="AF473" s="14">
        <f t="shared" si="271"/>
        <v>62.109531697210748</v>
      </c>
      <c r="AG473" s="14">
        <f t="shared" si="272"/>
        <v>6.5991152968205649</v>
      </c>
      <c r="AH473" s="14">
        <f t="shared" si="273"/>
        <v>-89.241935463809398</v>
      </c>
      <c r="AI473" s="14">
        <f t="shared" si="274"/>
        <v>-37.56858246478378</v>
      </c>
      <c r="AJ473" s="23">
        <f t="shared" si="286"/>
        <v>62.412740525447902</v>
      </c>
      <c r="AK473" s="23">
        <f t="shared" si="287"/>
        <v>11.035603735910676</v>
      </c>
      <c r="AL473" s="14">
        <f t="shared" si="275"/>
        <v>0</v>
      </c>
      <c r="AM473" s="14">
        <f t="shared" si="276"/>
        <v>0</v>
      </c>
      <c r="AN473" s="14">
        <f t="shared" si="277"/>
        <v>0</v>
      </c>
      <c r="AO473" s="14">
        <f t="shared" si="278"/>
        <v>0</v>
      </c>
      <c r="AP473" s="23">
        <f t="shared" si="288"/>
        <v>0</v>
      </c>
      <c r="AQ473" s="23">
        <f t="shared" si="289"/>
        <v>0</v>
      </c>
    </row>
    <row r="474" spans="8:43" x14ac:dyDescent="0.25">
      <c r="H474" s="14">
        <v>5.71</v>
      </c>
      <c r="I474" s="36">
        <f t="shared" si="279"/>
        <v>5128613.8399136513</v>
      </c>
      <c r="J474" s="24">
        <f t="shared" si="280"/>
        <v>-115.24590553246726</v>
      </c>
      <c r="K474" s="24">
        <f t="shared" si="281"/>
        <v>-81.900058156559538</v>
      </c>
      <c r="L474" s="14">
        <f t="shared" si="255"/>
        <v>0.67018069634200106</v>
      </c>
      <c r="M474" s="14">
        <f t="shared" si="256"/>
        <v>-89.890892821084236</v>
      </c>
      <c r="N474" s="14">
        <f t="shared" si="257"/>
        <v>54.405391362451716</v>
      </c>
      <c r="O474" s="14">
        <f t="shared" si="258"/>
        <v>-89.997516910818135</v>
      </c>
      <c r="P474" s="14">
        <f t="shared" si="259"/>
        <v>-87.262606294431521</v>
      </c>
      <c r="Q474" s="14">
        <f t="shared" si="260"/>
        <v>-88.65922983651393</v>
      </c>
      <c r="R474" s="14">
        <f t="shared" si="261"/>
        <v>-32.616158656323073</v>
      </c>
      <c r="S474" s="23">
        <f t="shared" si="282"/>
        <v>-268.54763956841629</v>
      </c>
      <c r="T474" s="23">
        <f t="shared" si="283"/>
        <v>-68.949535300140724</v>
      </c>
      <c r="U474" s="14">
        <f t="shared" si="262"/>
        <v>20000</v>
      </c>
      <c r="V474" s="14">
        <f t="shared" si="263"/>
        <v>-89.999999191797698</v>
      </c>
      <c r="W474" s="14">
        <f t="shared" si="264"/>
        <v>-157.01205098360643</v>
      </c>
      <c r="X474" s="14">
        <f t="shared" si="265"/>
        <v>89.998383595395993</v>
      </c>
      <c r="Y474" s="14">
        <f t="shared" si="266"/>
        <v>90.991451073783324</v>
      </c>
      <c r="Z474" s="14">
        <f t="shared" si="267"/>
        <v>-89.644395553082148</v>
      </c>
      <c r="AA474" s="14">
        <f t="shared" si="268"/>
        <v>-44.143164746278678</v>
      </c>
      <c r="AB474" s="23">
        <f t="shared" si="284"/>
        <v>-89.646011149483854</v>
      </c>
      <c r="AC474" s="23">
        <f t="shared" si="285"/>
        <v>-24.143164742822158</v>
      </c>
      <c r="AD474" s="14">
        <f t="shared" si="269"/>
        <v>89.555497651748482</v>
      </c>
      <c r="AE474" s="14">
        <f t="shared" si="270"/>
        <v>42.205058585258463</v>
      </c>
      <c r="AF474" s="14">
        <f t="shared" si="271"/>
        <v>62.651436707569566</v>
      </c>
      <c r="AG474" s="14">
        <f t="shared" si="272"/>
        <v>6.7561315512996192</v>
      </c>
      <c r="AH474" s="14">
        <f t="shared" si="273"/>
        <v>-89.259189173885161</v>
      </c>
      <c r="AI474" s="14">
        <f t="shared" si="274"/>
        <v>-37.768548250154723</v>
      </c>
      <c r="AJ474" s="23">
        <f t="shared" si="286"/>
        <v>62.947745185432879</v>
      </c>
      <c r="AK474" s="23">
        <f t="shared" si="287"/>
        <v>11.192641886403358</v>
      </c>
      <c r="AL474" s="14">
        <f t="shared" si="275"/>
        <v>0</v>
      </c>
      <c r="AM474" s="14">
        <f t="shared" si="276"/>
        <v>0</v>
      </c>
      <c r="AN474" s="14">
        <f t="shared" si="277"/>
        <v>0</v>
      </c>
      <c r="AO474" s="14">
        <f t="shared" si="278"/>
        <v>0</v>
      </c>
      <c r="AP474" s="23">
        <f t="shared" si="288"/>
        <v>0</v>
      </c>
      <c r="AQ474" s="23">
        <f t="shared" si="289"/>
        <v>0</v>
      </c>
    </row>
    <row r="475" spans="8:43" x14ac:dyDescent="0.25">
      <c r="H475" s="14">
        <v>5.72</v>
      </c>
      <c r="I475" s="36">
        <f t="shared" si="279"/>
        <v>5248074.6024977285</v>
      </c>
      <c r="J475" s="24">
        <f t="shared" si="280"/>
        <v>-114.75901298692357</v>
      </c>
      <c r="K475" s="24">
        <f t="shared" si="281"/>
        <v>-82.141373553910668</v>
      </c>
      <c r="L475" s="14">
        <f t="shared" si="255"/>
        <v>0.67018069634200106</v>
      </c>
      <c r="M475" s="14">
        <f t="shared" si="256"/>
        <v>-89.893376397889369</v>
      </c>
      <c r="N475" s="14">
        <f t="shared" si="257"/>
        <v>54.605390653642644</v>
      </c>
      <c r="O475" s="14">
        <f t="shared" si="258"/>
        <v>-89.997573432828446</v>
      </c>
      <c r="P475" s="14">
        <f t="shared" si="259"/>
        <v>-87.462606294064415</v>
      </c>
      <c r="Q475" s="14">
        <f t="shared" si="260"/>
        <v>-88.689738728344025</v>
      </c>
      <c r="R475" s="14">
        <f t="shared" si="261"/>
        <v>-32.816051638070185</v>
      </c>
      <c r="S475" s="23">
        <f t="shared" si="282"/>
        <v>-268.58068855906185</v>
      </c>
      <c r="T475" s="23">
        <f t="shared" si="283"/>
        <v>-69.14942899032981</v>
      </c>
      <c r="U475" s="14">
        <f t="shared" si="262"/>
        <v>20000</v>
      </c>
      <c r="V475" s="14">
        <f t="shared" si="263"/>
        <v>-89.99999921019463</v>
      </c>
      <c r="W475" s="14">
        <f t="shared" si="264"/>
        <v>-157.21205098360645</v>
      </c>
      <c r="X475" s="14">
        <f t="shared" si="265"/>
        <v>89.998420389256808</v>
      </c>
      <c r="Y475" s="14">
        <f t="shared" si="266"/>
        <v>91.191451073627761</v>
      </c>
      <c r="Z475" s="14">
        <f t="shared" si="267"/>
        <v>-89.652489897710197</v>
      </c>
      <c r="AA475" s="14">
        <f t="shared" si="268"/>
        <v>-44.343157217019055</v>
      </c>
      <c r="AB475" s="23">
        <f t="shared" si="284"/>
        <v>-89.65406871864802</v>
      </c>
      <c r="AC475" s="23">
        <f t="shared" si="285"/>
        <v>-24.343157213718115</v>
      </c>
      <c r="AD475" s="14">
        <f t="shared" si="269"/>
        <v>89.565615368261419</v>
      </c>
      <c r="AE475" s="14">
        <f t="shared" si="270"/>
        <v>42.405046821039448</v>
      </c>
      <c r="AF475" s="14">
        <f t="shared" si="271"/>
        <v>63.186179193930158</v>
      </c>
      <c r="AG475" s="14">
        <f t="shared" si="272"/>
        <v>6.9146814042838365</v>
      </c>
      <c r="AH475" s="14">
        <f t="shared" si="273"/>
        <v>-89.276050271405254</v>
      </c>
      <c r="AI475" s="14">
        <f t="shared" si="274"/>
        <v>-37.968515575186032</v>
      </c>
      <c r="AJ475" s="23">
        <f t="shared" si="286"/>
        <v>63.475744290786324</v>
      </c>
      <c r="AK475" s="23">
        <f t="shared" si="287"/>
        <v>11.351212650137256</v>
      </c>
      <c r="AL475" s="14">
        <f t="shared" si="275"/>
        <v>0</v>
      </c>
      <c r="AM475" s="14">
        <f t="shared" si="276"/>
        <v>0</v>
      </c>
      <c r="AN475" s="14">
        <f t="shared" si="277"/>
        <v>0</v>
      </c>
      <c r="AO475" s="14">
        <f t="shared" si="278"/>
        <v>0</v>
      </c>
      <c r="AP475" s="23">
        <f t="shared" si="288"/>
        <v>0</v>
      </c>
      <c r="AQ475" s="23">
        <f t="shared" si="289"/>
        <v>0</v>
      </c>
    </row>
    <row r="476" spans="8:43" x14ac:dyDescent="0.25">
      <c r="H476" s="14">
        <v>5.73</v>
      </c>
      <c r="I476" s="36">
        <f t="shared" si="279"/>
        <v>5370317.963702539</v>
      </c>
      <c r="J476" s="24">
        <f t="shared" si="280"/>
        <v>-114.27828374964619</v>
      </c>
      <c r="K476" s="24">
        <f t="shared" si="281"/>
        <v>-82.381202206037614</v>
      </c>
      <c r="L476" s="14">
        <f t="shared" si="255"/>
        <v>0.67018069634200106</v>
      </c>
      <c r="M476" s="14">
        <f t="shared" si="256"/>
        <v>-89.895803441971623</v>
      </c>
      <c r="N476" s="14">
        <f t="shared" si="257"/>
        <v>54.805389976735135</v>
      </c>
      <c r="O476" s="14">
        <f t="shared" si="258"/>
        <v>-89.99762866824075</v>
      </c>
      <c r="P476" s="14">
        <f t="shared" si="259"/>
        <v>-87.662606293713822</v>
      </c>
      <c r="Q476" s="14">
        <f t="shared" si="260"/>
        <v>-88.71955387111413</v>
      </c>
      <c r="R476" s="14">
        <f t="shared" si="261"/>
        <v>-33.015949433970299</v>
      </c>
      <c r="S476" s="23">
        <f t="shared" si="282"/>
        <v>-268.61298598132646</v>
      </c>
      <c r="T476" s="23">
        <f t="shared" si="283"/>
        <v>-69.349327462786846</v>
      </c>
      <c r="U476" s="14">
        <f t="shared" si="262"/>
        <v>20000</v>
      </c>
      <c r="V476" s="14">
        <f t="shared" si="263"/>
        <v>-89.999999228172797</v>
      </c>
      <c r="W476" s="14">
        <f t="shared" si="264"/>
        <v>-157.41205098360643</v>
      </c>
      <c r="X476" s="14">
        <f t="shared" si="265"/>
        <v>89.998456345587115</v>
      </c>
      <c r="Y476" s="14">
        <f t="shared" si="266"/>
        <v>91.391451073479203</v>
      </c>
      <c r="Z476" s="14">
        <f t="shared" si="267"/>
        <v>-89.660400005963751</v>
      </c>
      <c r="AA476" s="14">
        <f t="shared" si="268"/>
        <v>-44.543150026619749</v>
      </c>
      <c r="AB476" s="23">
        <f t="shared" si="284"/>
        <v>-89.661942888549433</v>
      </c>
      <c r="AC476" s="23">
        <f t="shared" si="285"/>
        <v>-24.543150023467355</v>
      </c>
      <c r="AD476" s="14">
        <f t="shared" si="269"/>
        <v>89.575502803607108</v>
      </c>
      <c r="AE476" s="14">
        <f t="shared" si="270"/>
        <v>42.605035586267775</v>
      </c>
      <c r="AF476" s="14">
        <f t="shared" si="271"/>
        <v>63.713670001281088</v>
      </c>
      <c r="AG476" s="14">
        <f t="shared" si="272"/>
        <v>7.0747240645525125</v>
      </c>
      <c r="AH476" s="14">
        <f t="shared" si="273"/>
        <v>-89.292527684658495</v>
      </c>
      <c r="AI476" s="14">
        <f t="shared" si="274"/>
        <v>-38.168484370603707</v>
      </c>
      <c r="AJ476" s="23">
        <f t="shared" si="286"/>
        <v>63.996645120229715</v>
      </c>
      <c r="AK476" s="23">
        <f t="shared" si="287"/>
        <v>11.51127528021658</v>
      </c>
      <c r="AL476" s="14">
        <f t="shared" si="275"/>
        <v>0</v>
      </c>
      <c r="AM476" s="14">
        <f t="shared" si="276"/>
        <v>0</v>
      </c>
      <c r="AN476" s="14">
        <f t="shared" si="277"/>
        <v>0</v>
      </c>
      <c r="AO476" s="14">
        <f t="shared" si="278"/>
        <v>0</v>
      </c>
      <c r="AP476" s="23">
        <f t="shared" si="288"/>
        <v>0</v>
      </c>
      <c r="AQ476" s="23">
        <f t="shared" si="289"/>
        <v>0</v>
      </c>
    </row>
    <row r="477" spans="8:43" x14ac:dyDescent="0.25">
      <c r="H477" s="14">
        <v>5.74</v>
      </c>
      <c r="I477" s="36">
        <f t="shared" si="279"/>
        <v>5495408.7385762567</v>
      </c>
      <c r="J477" s="24">
        <f t="shared" si="280"/>
        <v>-113.80382058672619</v>
      </c>
      <c r="K477" s="24">
        <f t="shared" si="281"/>
        <v>-82.619584545203267</v>
      </c>
      <c r="L477" s="14">
        <f t="shared" si="255"/>
        <v>0.67018069634200106</v>
      </c>
      <c r="M477" s="14">
        <f t="shared" si="256"/>
        <v>-89.898175240147026</v>
      </c>
      <c r="N477" s="14">
        <f t="shared" si="257"/>
        <v>55.005389330293369</v>
      </c>
      <c r="O477" s="14">
        <f t="shared" si="258"/>
        <v>-89.997682646341573</v>
      </c>
      <c r="P477" s="14">
        <f t="shared" si="259"/>
        <v>-87.862606293379017</v>
      </c>
      <c r="Q477" s="14">
        <f t="shared" si="260"/>
        <v>-88.748691008582085</v>
      </c>
      <c r="R477" s="14">
        <f t="shared" si="261"/>
        <v>-33.21585182756732</v>
      </c>
      <c r="S477" s="23">
        <f t="shared" si="282"/>
        <v>-268.64454889507067</v>
      </c>
      <c r="T477" s="23">
        <f t="shared" si="283"/>
        <v>-69.549230502490815</v>
      </c>
      <c r="U477" s="14">
        <f t="shared" si="262"/>
        <v>20000</v>
      </c>
      <c r="V477" s="14">
        <f t="shared" si="263"/>
        <v>-89.999999245741719</v>
      </c>
      <c r="W477" s="14">
        <f t="shared" si="264"/>
        <v>-157.61205098360645</v>
      </c>
      <c r="X477" s="14">
        <f t="shared" si="265"/>
        <v>89.998491483451417</v>
      </c>
      <c r="Y477" s="14">
        <f t="shared" si="266"/>
        <v>91.591451073337311</v>
      </c>
      <c r="Z477" s="14">
        <f t="shared" si="267"/>
        <v>-89.668130070680078</v>
      </c>
      <c r="AA477" s="14">
        <f t="shared" si="268"/>
        <v>-44.743143159830595</v>
      </c>
      <c r="AB477" s="23">
        <f t="shared" si="284"/>
        <v>-89.66963783297038</v>
      </c>
      <c r="AC477" s="23">
        <f t="shared" si="285"/>
        <v>-24.743143156820111</v>
      </c>
      <c r="AD477" s="14">
        <f t="shared" si="269"/>
        <v>89.585165197877728</v>
      </c>
      <c r="AE477" s="14">
        <f t="shared" si="270"/>
        <v>42.805024857116976</v>
      </c>
      <c r="AF477" s="14">
        <f t="shared" si="271"/>
        <v>64.233831082716208</v>
      </c>
      <c r="AG477" s="14">
        <f t="shared" si="272"/>
        <v>7.2362188272403047</v>
      </c>
      <c r="AH477" s="14">
        <f t="shared" si="273"/>
        <v>-89.30863013927906</v>
      </c>
      <c r="AI477" s="14">
        <f t="shared" si="274"/>
        <v>-38.368454570249625</v>
      </c>
      <c r="AJ477" s="23">
        <f t="shared" si="286"/>
        <v>64.510366141314861</v>
      </c>
      <c r="AK477" s="23">
        <f t="shared" si="287"/>
        <v>11.672789114107658</v>
      </c>
      <c r="AL477" s="14">
        <f t="shared" si="275"/>
        <v>0</v>
      </c>
      <c r="AM477" s="14">
        <f t="shared" si="276"/>
        <v>0</v>
      </c>
      <c r="AN477" s="14">
        <f t="shared" si="277"/>
        <v>0</v>
      </c>
      <c r="AO477" s="14">
        <f t="shared" si="278"/>
        <v>0</v>
      </c>
      <c r="AP477" s="23">
        <f t="shared" si="288"/>
        <v>0</v>
      </c>
      <c r="AQ477" s="23">
        <f t="shared" si="289"/>
        <v>0</v>
      </c>
    </row>
    <row r="478" spans="8:43" x14ac:dyDescent="0.25">
      <c r="H478" s="14">
        <v>5.75</v>
      </c>
      <c r="I478" s="36">
        <f t="shared" si="279"/>
        <v>5623413.2519035023</v>
      </c>
      <c r="J478" s="24">
        <f t="shared" si="280"/>
        <v>-113.33571488939374</v>
      </c>
      <c r="K478" s="24">
        <f t="shared" si="281"/>
        <v>-82.85656085028603</v>
      </c>
      <c r="L478" s="14">
        <f t="shared" si="255"/>
        <v>0.67018069634200106</v>
      </c>
      <c r="M478" s="14">
        <f t="shared" si="256"/>
        <v>-89.900493049941829</v>
      </c>
      <c r="N478" s="14">
        <f t="shared" si="257"/>
        <v>55.205388712946188</v>
      </c>
      <c r="O478" s="14">
        <f t="shared" si="258"/>
        <v>-89.997735395750809</v>
      </c>
      <c r="P478" s="14">
        <f t="shared" si="259"/>
        <v>-88.062606293059261</v>
      </c>
      <c r="Q478" s="14">
        <f t="shared" si="260"/>
        <v>-88.777165529327561</v>
      </c>
      <c r="R478" s="14">
        <f t="shared" si="261"/>
        <v>-33.415758612128286</v>
      </c>
      <c r="S478" s="23">
        <f t="shared" si="282"/>
        <v>-268.6753939750202</v>
      </c>
      <c r="T478" s="23">
        <f t="shared" si="283"/>
        <v>-69.74913790407922</v>
      </c>
      <c r="U478" s="14">
        <f t="shared" si="262"/>
        <v>20000</v>
      </c>
      <c r="V478" s="14">
        <f t="shared" si="263"/>
        <v>-89.999999262910734</v>
      </c>
      <c r="W478" s="14">
        <f t="shared" si="264"/>
        <v>-157.81205098360644</v>
      </c>
      <c r="X478" s="14">
        <f t="shared" si="265"/>
        <v>89.998525821480285</v>
      </c>
      <c r="Y478" s="14">
        <f t="shared" si="266"/>
        <v>91.791451073201827</v>
      </c>
      <c r="Z478" s="14">
        <f t="shared" si="267"/>
        <v>-89.675684189315561</v>
      </c>
      <c r="AA478" s="14">
        <f t="shared" si="268"/>
        <v>-44.943136602087741</v>
      </c>
      <c r="AB478" s="23">
        <f t="shared" si="284"/>
        <v>-89.677157630746009</v>
      </c>
      <c r="AC478" s="23">
        <f t="shared" si="285"/>
        <v>-24.943136599212728</v>
      </c>
      <c r="AD478" s="14">
        <f t="shared" si="269"/>
        <v>89.594607672002965</v>
      </c>
      <c r="AE478" s="14">
        <f t="shared" si="270"/>
        <v>43.005014610832774</v>
      </c>
      <c r="AF478" s="14">
        <f t="shared" si="271"/>
        <v>64.746595207190552</v>
      </c>
      <c r="AG478" s="14">
        <f t="shared" si="272"/>
        <v>7.3991251531146496</v>
      </c>
      <c r="AH478" s="14">
        <f t="shared" si="273"/>
        <v>-89.32436616282105</v>
      </c>
      <c r="AI478" s="14">
        <f t="shared" si="274"/>
        <v>-38.568426110941523</v>
      </c>
      <c r="AJ478" s="23">
        <f t="shared" si="286"/>
        <v>65.016836716372481</v>
      </c>
      <c r="AK478" s="23">
        <f t="shared" si="287"/>
        <v>11.835713653005904</v>
      </c>
      <c r="AL478" s="14">
        <f t="shared" si="275"/>
        <v>0</v>
      </c>
      <c r="AM478" s="14">
        <f t="shared" si="276"/>
        <v>0</v>
      </c>
      <c r="AN478" s="14">
        <f t="shared" si="277"/>
        <v>0</v>
      </c>
      <c r="AO478" s="14">
        <f t="shared" si="278"/>
        <v>0</v>
      </c>
      <c r="AP478" s="23">
        <f t="shared" si="288"/>
        <v>0</v>
      </c>
      <c r="AQ478" s="23">
        <f t="shared" si="289"/>
        <v>0</v>
      </c>
    </row>
    <row r="479" spans="8:43" x14ac:dyDescent="0.25">
      <c r="H479" s="14">
        <v>5.76</v>
      </c>
      <c r="I479" s="36">
        <f t="shared" si="279"/>
        <v>5754399.3733715694</v>
      </c>
      <c r="J479" s="24">
        <f t="shared" si="280"/>
        <v>-112.87404700119139</v>
      </c>
      <c r="K479" s="24">
        <f t="shared" si="281"/>
        <v>-83.092171171821263</v>
      </c>
      <c r="L479" s="14">
        <f t="shared" si="255"/>
        <v>0.67018069634200106</v>
      </c>
      <c r="M479" s="14">
        <f t="shared" si="256"/>
        <v>-89.902758100259106</v>
      </c>
      <c r="N479" s="14">
        <f t="shared" si="257"/>
        <v>55.405388123384114</v>
      </c>
      <c r="O479" s="14">
        <f t="shared" si="258"/>
        <v>-89.997786944436896</v>
      </c>
      <c r="P479" s="14">
        <f t="shared" si="259"/>
        <v>-88.262606292753887</v>
      </c>
      <c r="Q479" s="14">
        <f t="shared" si="260"/>
        <v>-88.804992474624314</v>
      </c>
      <c r="R479" s="14">
        <f t="shared" si="261"/>
        <v>-33.615669590207347</v>
      </c>
      <c r="S479" s="23">
        <f t="shared" si="282"/>
        <v>-268.70553751932033</v>
      </c>
      <c r="T479" s="23">
        <f t="shared" si="283"/>
        <v>-69.94904947141498</v>
      </c>
      <c r="U479" s="14">
        <f t="shared" si="262"/>
        <v>20000</v>
      </c>
      <c r="V479" s="14">
        <f t="shared" si="263"/>
        <v>-89.999999279688936</v>
      </c>
      <c r="W479" s="14">
        <f t="shared" si="264"/>
        <v>-158.01205098360643</v>
      </c>
      <c r="X479" s="14">
        <f t="shared" si="265"/>
        <v>89.998559377880184</v>
      </c>
      <c r="Y479" s="14">
        <f t="shared" si="266"/>
        <v>91.991451073072426</v>
      </c>
      <c r="Z479" s="14">
        <f t="shared" si="267"/>
        <v>-89.683066366112769</v>
      </c>
      <c r="AA479" s="14">
        <f t="shared" si="268"/>
        <v>-45.14313033948266</v>
      </c>
      <c r="AB479" s="23">
        <f t="shared" si="284"/>
        <v>-89.68450626792152</v>
      </c>
      <c r="AC479" s="23">
        <f t="shared" si="285"/>
        <v>-25.143130336737038</v>
      </c>
      <c r="AD479" s="14">
        <f t="shared" si="269"/>
        <v>89.603835230454806</v>
      </c>
      <c r="AE479" s="14">
        <f t="shared" si="270"/>
        <v>43.205004825684732</v>
      </c>
      <c r="AF479" s="14">
        <f t="shared" si="271"/>
        <v>65.251905644826849</v>
      </c>
      <c r="AG479" s="14">
        <f t="shared" si="272"/>
        <v>7.563402742985204</v>
      </c>
      <c r="AH479" s="14">
        <f t="shared" si="273"/>
        <v>-89.339744089231189</v>
      </c>
      <c r="AI479" s="14">
        <f t="shared" si="274"/>
        <v>-38.768398932339167</v>
      </c>
      <c r="AJ479" s="23">
        <f t="shared" si="286"/>
        <v>65.515996786050451</v>
      </c>
      <c r="AK479" s="23">
        <f t="shared" si="287"/>
        <v>12.000008636330769</v>
      </c>
      <c r="AL479" s="14">
        <f t="shared" si="275"/>
        <v>0</v>
      </c>
      <c r="AM479" s="14">
        <f t="shared" si="276"/>
        <v>0</v>
      </c>
      <c r="AN479" s="14">
        <f t="shared" si="277"/>
        <v>0</v>
      </c>
      <c r="AO479" s="14">
        <f t="shared" si="278"/>
        <v>0</v>
      </c>
      <c r="AP479" s="23">
        <f t="shared" si="288"/>
        <v>0</v>
      </c>
      <c r="AQ479" s="23">
        <f t="shared" si="289"/>
        <v>0</v>
      </c>
    </row>
    <row r="480" spans="8:43" x14ac:dyDescent="0.25">
      <c r="H480" s="14">
        <v>5.77</v>
      </c>
      <c r="I480" s="36">
        <f t="shared" si="279"/>
        <v>5888436.5535558891</v>
      </c>
      <c r="J480" s="24">
        <f t="shared" si="280"/>
        <v>-112.41888656427118</v>
      </c>
      <c r="K480" s="24">
        <f t="shared" si="281"/>
        <v>-83.32645526200325</v>
      </c>
      <c r="L480" s="14">
        <f t="shared" si="255"/>
        <v>0.67018069634200106</v>
      </c>
      <c r="M480" s="14">
        <f t="shared" si="256"/>
        <v>-89.904971592030194</v>
      </c>
      <c r="N480" s="14">
        <f t="shared" si="257"/>
        <v>55.605387560356633</v>
      </c>
      <c r="O480" s="14">
        <f t="shared" si="258"/>
        <v>-89.997837319731644</v>
      </c>
      <c r="P480" s="14">
        <f t="shared" si="259"/>
        <v>-88.462606292462283</v>
      </c>
      <c r="Q480" s="14">
        <f t="shared" si="260"/>
        <v>-88.832186546147014</v>
      </c>
      <c r="R480" s="14">
        <f t="shared" si="261"/>
        <v>-33.815584573229401</v>
      </c>
      <c r="S480" s="23">
        <f t="shared" si="282"/>
        <v>-268.73499545790884</v>
      </c>
      <c r="T480" s="23">
        <f t="shared" si="283"/>
        <v>-70.148965017172912</v>
      </c>
      <c r="U480" s="14">
        <f t="shared" si="262"/>
        <v>20000</v>
      </c>
      <c r="V480" s="14">
        <f t="shared" si="263"/>
        <v>-89.999999296085221</v>
      </c>
      <c r="W480" s="14">
        <f t="shared" si="264"/>
        <v>-158.21205098360645</v>
      </c>
      <c r="X480" s="14">
        <f t="shared" si="265"/>
        <v>89.998592170443175</v>
      </c>
      <c r="Y480" s="14">
        <f t="shared" si="266"/>
        <v>92.191451072948837</v>
      </c>
      <c r="Z480" s="14">
        <f t="shared" si="267"/>
        <v>-89.690280514218585</v>
      </c>
      <c r="AA480" s="14">
        <f t="shared" si="268"/>
        <v>-45.34312435873283</v>
      </c>
      <c r="AB480" s="23">
        <f t="shared" si="284"/>
        <v>-89.691687639860632</v>
      </c>
      <c r="AC480" s="23">
        <f t="shared" si="285"/>
        <v>-25.343124356110813</v>
      </c>
      <c r="AD480" s="14">
        <f t="shared" si="269"/>
        <v>89.612852763891041</v>
      </c>
      <c r="AE480" s="14">
        <f t="shared" si="270"/>
        <v>43.404995480920341</v>
      </c>
      <c r="AF480" s="14">
        <f t="shared" si="271"/>
        <v>65.749715832829651</v>
      </c>
      <c r="AG480" s="14">
        <f t="shared" si="272"/>
        <v>7.72901160717681</v>
      </c>
      <c r="AH480" s="14">
        <f t="shared" si="273"/>
        <v>-89.354772063222399</v>
      </c>
      <c r="AI480" s="14">
        <f t="shared" si="274"/>
        <v>-38.968372976816667</v>
      </c>
      <c r="AJ480" s="23">
        <f t="shared" si="286"/>
        <v>66.007796533498279</v>
      </c>
      <c r="AK480" s="23">
        <f t="shared" si="287"/>
        <v>12.165634111280482</v>
      </c>
      <c r="AL480" s="14">
        <f t="shared" si="275"/>
        <v>0</v>
      </c>
      <c r="AM480" s="14">
        <f t="shared" si="276"/>
        <v>0</v>
      </c>
      <c r="AN480" s="14">
        <f t="shared" si="277"/>
        <v>0</v>
      </c>
      <c r="AO480" s="14">
        <f t="shared" si="278"/>
        <v>0</v>
      </c>
      <c r="AP480" s="23">
        <f t="shared" si="288"/>
        <v>0</v>
      </c>
      <c r="AQ480" s="23">
        <f t="shared" si="289"/>
        <v>0</v>
      </c>
    </row>
    <row r="481" spans="8:43" x14ac:dyDescent="0.25">
      <c r="H481" s="14">
        <v>5.78</v>
      </c>
      <c r="I481" s="36">
        <f t="shared" si="279"/>
        <v>6025595.8607435878</v>
      </c>
      <c r="J481" s="24">
        <f t="shared" si="280"/>
        <v>-111.97029288185777</v>
      </c>
      <c r="K481" s="24">
        <f t="shared" si="281"/>
        <v>-83.55945250967585</v>
      </c>
      <c r="L481" s="14">
        <f t="shared" si="255"/>
        <v>0.67018069634200106</v>
      </c>
      <c r="M481" s="14">
        <f t="shared" si="256"/>
        <v>-89.907134698851266</v>
      </c>
      <c r="N481" s="14">
        <f t="shared" si="257"/>
        <v>55.805387022669521</v>
      </c>
      <c r="O481" s="14">
        <f t="shared" si="258"/>
        <v>-89.997886548344695</v>
      </c>
      <c r="P481" s="14">
        <f t="shared" si="259"/>
        <v>-88.662606292183796</v>
      </c>
      <c r="Q481" s="14">
        <f t="shared" si="260"/>
        <v>-88.858762113516221</v>
      </c>
      <c r="R481" s="14">
        <f t="shared" si="261"/>
        <v>-34.015503381092167</v>
      </c>
      <c r="S481" s="23">
        <f t="shared" si="282"/>
        <v>-268.76378336071218</v>
      </c>
      <c r="T481" s="23">
        <f t="shared" si="283"/>
        <v>-70.348884362444295</v>
      </c>
      <c r="U481" s="14">
        <f t="shared" si="262"/>
        <v>20000</v>
      </c>
      <c r="V481" s="14">
        <f t="shared" si="263"/>
        <v>-89.999999312108287</v>
      </c>
      <c r="W481" s="14">
        <f t="shared" si="264"/>
        <v>-158.41205098360643</v>
      </c>
      <c r="X481" s="14">
        <f t="shared" si="265"/>
        <v>89.998624216556294</v>
      </c>
      <c r="Y481" s="14">
        <f t="shared" si="266"/>
        <v>92.391451072830847</v>
      </c>
      <c r="Z481" s="14">
        <f t="shared" si="267"/>
        <v>-89.69733045775439</v>
      </c>
      <c r="AA481" s="14">
        <f t="shared" si="268"/>
        <v>-45.543118647153413</v>
      </c>
      <c r="AB481" s="23">
        <f t="shared" si="284"/>
        <v>-89.698705553306382</v>
      </c>
      <c r="AC481" s="23">
        <f t="shared" si="285"/>
        <v>-25.543118644649375</v>
      </c>
      <c r="AD481" s="14">
        <f t="shared" si="269"/>
        <v>89.621665051739299</v>
      </c>
      <c r="AE481" s="14">
        <f t="shared" si="270"/>
        <v>43.604986556720874</v>
      </c>
      <c r="AF481" s="14">
        <f t="shared" si="271"/>
        <v>66.239989024971408</v>
      </c>
      <c r="AG481" s="14">
        <f t="shared" si="272"/>
        <v>7.8959121300372725</v>
      </c>
      <c r="AH481" s="14">
        <f t="shared" si="273"/>
        <v>-89.369458044549901</v>
      </c>
      <c r="AI481" s="14">
        <f t="shared" si="274"/>
        <v>-39.168348189340321</v>
      </c>
      <c r="AJ481" s="23">
        <f t="shared" si="286"/>
        <v>66.492196032160791</v>
      </c>
      <c r="AK481" s="23">
        <f t="shared" si="287"/>
        <v>12.332550497417827</v>
      </c>
      <c r="AL481" s="14">
        <f t="shared" si="275"/>
        <v>0</v>
      </c>
      <c r="AM481" s="14">
        <f t="shared" si="276"/>
        <v>0</v>
      </c>
      <c r="AN481" s="14">
        <f t="shared" si="277"/>
        <v>0</v>
      </c>
      <c r="AO481" s="14">
        <f t="shared" si="278"/>
        <v>0</v>
      </c>
      <c r="AP481" s="23">
        <f t="shared" si="288"/>
        <v>0</v>
      </c>
      <c r="AQ481" s="23">
        <f t="shared" si="289"/>
        <v>0</v>
      </c>
    </row>
    <row r="482" spans="8:43" x14ac:dyDescent="0.25">
      <c r="H482" s="14">
        <v>5.79</v>
      </c>
      <c r="I482" s="36">
        <f t="shared" si="279"/>
        <v>6165950.0186148304</v>
      </c>
      <c r="J482" s="24">
        <f t="shared" si="280"/>
        <v>-111.52831529402567</v>
      </c>
      <c r="K482" s="24">
        <f t="shared" si="281"/>
        <v>-83.79120188030231</v>
      </c>
      <c r="L482" s="14">
        <f t="shared" si="255"/>
        <v>0.67018069634200106</v>
      </c>
      <c r="M482" s="14">
        <f t="shared" si="256"/>
        <v>-89.909248567605545</v>
      </c>
      <c r="N482" s="14">
        <f t="shared" si="257"/>
        <v>56.005386509182237</v>
      </c>
      <c r="O482" s="14">
        <f t="shared" si="258"/>
        <v>-89.997934656377694</v>
      </c>
      <c r="P482" s="14">
        <f t="shared" si="259"/>
        <v>-88.862606291917828</v>
      </c>
      <c r="Q482" s="14">
        <f t="shared" si="260"/>
        <v>-88.884733221683661</v>
      </c>
      <c r="R482" s="14">
        <f t="shared" si="261"/>
        <v>-34.21542584178605</v>
      </c>
      <c r="S482" s="23">
        <f t="shared" si="282"/>
        <v>-268.79191644566686</v>
      </c>
      <c r="T482" s="23">
        <f t="shared" si="283"/>
        <v>-70.548807336359488</v>
      </c>
      <c r="U482" s="14">
        <f t="shared" si="262"/>
        <v>20000</v>
      </c>
      <c r="V482" s="14">
        <f t="shared" si="263"/>
        <v>-89.999999327766616</v>
      </c>
      <c r="W482" s="14">
        <f t="shared" si="264"/>
        <v>-158.61205098360645</v>
      </c>
      <c r="X482" s="14">
        <f t="shared" si="265"/>
        <v>89.998655533210822</v>
      </c>
      <c r="Y482" s="14">
        <f t="shared" si="266"/>
        <v>92.591451072718144</v>
      </c>
      <c r="Z482" s="14">
        <f t="shared" si="267"/>
        <v>-89.704219933839141</v>
      </c>
      <c r="AA482" s="14">
        <f t="shared" si="268"/>
        <v>-45.743113192630389</v>
      </c>
      <c r="AB482" s="23">
        <f t="shared" si="284"/>
        <v>-89.705563728394935</v>
      </c>
      <c r="AC482" s="23">
        <f t="shared" si="285"/>
        <v>-25.743113190239072</v>
      </c>
      <c r="AD482" s="14">
        <f t="shared" si="269"/>
        <v>89.630276764722609</v>
      </c>
      <c r="AE482" s="14">
        <f t="shared" si="270"/>
        <v>43.804978034159411</v>
      </c>
      <c r="AF482" s="14">
        <f t="shared" si="271"/>
        <v>66.722697927505607</v>
      </c>
      <c r="AG482" s="14">
        <f t="shared" si="272"/>
        <v>8.0640651294889238</v>
      </c>
      <c r="AH482" s="14">
        <f t="shared" si="273"/>
        <v>-89.383809812192084</v>
      </c>
      <c r="AI482" s="14">
        <f t="shared" si="274"/>
        <v>-39.368324517352093</v>
      </c>
      <c r="AJ482" s="23">
        <f t="shared" si="286"/>
        <v>66.969164880036118</v>
      </c>
      <c r="AK482" s="23">
        <f t="shared" si="287"/>
        <v>12.500718646296242</v>
      </c>
      <c r="AL482" s="14">
        <f t="shared" si="275"/>
        <v>0</v>
      </c>
      <c r="AM482" s="14">
        <f t="shared" si="276"/>
        <v>0</v>
      </c>
      <c r="AN482" s="14">
        <f t="shared" si="277"/>
        <v>0</v>
      </c>
      <c r="AO482" s="14">
        <f t="shared" si="278"/>
        <v>0</v>
      </c>
      <c r="AP482" s="23">
        <f t="shared" si="288"/>
        <v>0</v>
      </c>
      <c r="AQ482" s="23">
        <f t="shared" si="289"/>
        <v>0</v>
      </c>
    </row>
    <row r="483" spans="8:43" x14ac:dyDescent="0.25">
      <c r="H483" s="14">
        <v>5.8</v>
      </c>
      <c r="I483" s="36">
        <f t="shared" si="279"/>
        <v>6309573.4448019415</v>
      </c>
      <c r="J483" s="24">
        <f t="shared" si="280"/>
        <v>-111.09299356407179</v>
      </c>
      <c r="K483" s="24">
        <f t="shared" si="281"/>
        <v>-84.021741860869525</v>
      </c>
      <c r="L483" s="14">
        <f t="shared" si="255"/>
        <v>0.67018069634200106</v>
      </c>
      <c r="M483" s="14">
        <f t="shared" si="256"/>
        <v>-89.911314319071124</v>
      </c>
      <c r="N483" s="14">
        <f t="shared" si="257"/>
        <v>56.205386018805619</v>
      </c>
      <c r="O483" s="14">
        <f t="shared" si="258"/>
        <v>-89.997981669338188</v>
      </c>
      <c r="P483" s="14">
        <f t="shared" si="259"/>
        <v>-89.062606291663855</v>
      </c>
      <c r="Q483" s="14">
        <f t="shared" si="260"/>
        <v>-88.910113598161175</v>
      </c>
      <c r="R483" s="14">
        <f t="shared" si="261"/>
        <v>-34.415351791031227</v>
      </c>
      <c r="S483" s="23">
        <f t="shared" si="282"/>
        <v>-268.81940958657049</v>
      </c>
      <c r="T483" s="23">
        <f t="shared" si="283"/>
        <v>-70.748733775727317</v>
      </c>
      <c r="U483" s="14">
        <f t="shared" si="262"/>
        <v>20000</v>
      </c>
      <c r="V483" s="14">
        <f t="shared" si="263"/>
        <v>-89.999999343068509</v>
      </c>
      <c r="W483" s="14">
        <f t="shared" si="264"/>
        <v>-158.81205098360644</v>
      </c>
      <c r="X483" s="14">
        <f t="shared" si="265"/>
        <v>89.998686137011262</v>
      </c>
      <c r="Y483" s="14">
        <f t="shared" si="266"/>
        <v>92.791451072610514</v>
      </c>
      <c r="Z483" s="14">
        <f t="shared" si="267"/>
        <v>-89.710952594566933</v>
      </c>
      <c r="AA483" s="14">
        <f t="shared" si="268"/>
        <v>-45.943107983594942</v>
      </c>
      <c r="AB483" s="23">
        <f t="shared" si="284"/>
        <v>-89.712265800624181</v>
      </c>
      <c r="AC483" s="23">
        <f t="shared" si="285"/>
        <v>-25.943107981311243</v>
      </c>
      <c r="AD483" s="14">
        <f t="shared" si="269"/>
        <v>89.638692467327928</v>
      </c>
      <c r="AE483" s="14">
        <f t="shared" si="270"/>
        <v>44.004969895160784</v>
      </c>
      <c r="AF483" s="14">
        <f t="shared" si="271"/>
        <v>67.197824324233139</v>
      </c>
      <c r="AG483" s="14">
        <f t="shared" si="272"/>
        <v>8.2334319116666475</v>
      </c>
      <c r="AH483" s="14">
        <f t="shared" si="273"/>
        <v>-89.397834968438175</v>
      </c>
      <c r="AI483" s="14">
        <f t="shared" si="274"/>
        <v>-39.568301910658398</v>
      </c>
      <c r="AJ483" s="23">
        <f t="shared" si="286"/>
        <v>67.438681823122877</v>
      </c>
      <c r="AK483" s="23">
        <f t="shared" si="287"/>
        <v>12.670099896169035</v>
      </c>
      <c r="AL483" s="14">
        <f t="shared" si="275"/>
        <v>0</v>
      </c>
      <c r="AM483" s="14">
        <f t="shared" si="276"/>
        <v>0</v>
      </c>
      <c r="AN483" s="14">
        <f t="shared" si="277"/>
        <v>0</v>
      </c>
      <c r="AO483" s="14">
        <f t="shared" si="278"/>
        <v>0</v>
      </c>
      <c r="AP483" s="23">
        <f t="shared" si="288"/>
        <v>0</v>
      </c>
      <c r="AQ483" s="23">
        <f t="shared" si="289"/>
        <v>0</v>
      </c>
    </row>
    <row r="484" spans="8:43" x14ac:dyDescent="0.25">
      <c r="H484" s="14">
        <v>5.81</v>
      </c>
      <c r="I484" s="36">
        <f t="shared" si="279"/>
        <v>6456542.2903465526</v>
      </c>
      <c r="J484" s="24">
        <f t="shared" si="280"/>
        <v>-110.6643582729007</v>
      </c>
      <c r="K484" s="24">
        <f t="shared" si="281"/>
        <v>-84.251110409653563</v>
      </c>
      <c r="L484" s="14">
        <f t="shared" si="255"/>
        <v>0.67018069634200106</v>
      </c>
      <c r="M484" s="14">
        <f t="shared" si="256"/>
        <v>-89.913333048515355</v>
      </c>
      <c r="N484" s="14">
        <f t="shared" si="257"/>
        <v>56.405385550499531</v>
      </c>
      <c r="O484" s="14">
        <f t="shared" si="258"/>
        <v>-89.998027612153052</v>
      </c>
      <c r="P484" s="14">
        <f t="shared" si="259"/>
        <v>-89.262606291421278</v>
      </c>
      <c r="Q484" s="14">
        <f t="shared" si="260"/>
        <v>-88.934916660095681</v>
      </c>
      <c r="R484" s="14">
        <f t="shared" si="261"/>
        <v>-34.615281071930688</v>
      </c>
      <c r="S484" s="23">
        <f t="shared" si="282"/>
        <v>-268.8462773207641</v>
      </c>
      <c r="T484" s="23">
        <f t="shared" si="283"/>
        <v>-70.948663524690289</v>
      </c>
      <c r="U484" s="14">
        <f t="shared" si="262"/>
        <v>20000</v>
      </c>
      <c r="V484" s="14">
        <f t="shared" si="263"/>
        <v>-89.999999358022094</v>
      </c>
      <c r="W484" s="14">
        <f t="shared" si="264"/>
        <v>-159.0120509836064</v>
      </c>
      <c r="X484" s="14">
        <f t="shared" si="265"/>
        <v>89.998716044184164</v>
      </c>
      <c r="Y484" s="14">
        <f t="shared" si="266"/>
        <v>92.991451072507715</v>
      </c>
      <c r="Z484" s="14">
        <f t="shared" si="267"/>
        <v>-89.717532008939429</v>
      </c>
      <c r="AA484" s="14">
        <f t="shared" si="268"/>
        <v>-46.143103008998871</v>
      </c>
      <c r="AB484" s="23">
        <f t="shared" si="284"/>
        <v>-89.71881532277736</v>
      </c>
      <c r="AC484" s="23">
        <f t="shared" si="285"/>
        <v>-26.143103006817931</v>
      </c>
      <c r="AD484" s="14">
        <f t="shared" si="269"/>
        <v>89.646916620218846</v>
      </c>
      <c r="AE484" s="14">
        <f t="shared" si="270"/>
        <v>44.204962122463193</v>
      </c>
      <c r="AF484" s="14">
        <f t="shared" si="271"/>
        <v>67.665358693306672</v>
      </c>
      <c r="AG484" s="14">
        <f t="shared" si="272"/>
        <v>8.4039743207151361</v>
      </c>
      <c r="AH484" s="14">
        <f t="shared" si="273"/>
        <v>-89.411540942884756</v>
      </c>
      <c r="AI484" s="14">
        <f t="shared" si="274"/>
        <v>-39.768280321323658</v>
      </c>
      <c r="AJ484" s="23">
        <f t="shared" si="286"/>
        <v>67.900734370640748</v>
      </c>
      <c r="AK484" s="23">
        <f t="shared" si="287"/>
        <v>12.840656121854671</v>
      </c>
      <c r="AL484" s="14">
        <f t="shared" si="275"/>
        <v>0</v>
      </c>
      <c r="AM484" s="14">
        <f t="shared" si="276"/>
        <v>0</v>
      </c>
      <c r="AN484" s="14">
        <f t="shared" si="277"/>
        <v>0</v>
      </c>
      <c r="AO484" s="14">
        <f t="shared" si="278"/>
        <v>0</v>
      </c>
      <c r="AP484" s="23">
        <f t="shared" si="288"/>
        <v>0</v>
      </c>
      <c r="AQ484" s="23">
        <f t="shared" si="289"/>
        <v>0</v>
      </c>
    </row>
    <row r="485" spans="8:43" x14ac:dyDescent="0.25">
      <c r="H485" s="14">
        <v>5.82</v>
      </c>
      <c r="I485" s="36">
        <f t="shared" si="279"/>
        <v>6606934.4800759675</v>
      </c>
      <c r="J485" s="24">
        <f t="shared" si="280"/>
        <v>-110.24243121899559</v>
      </c>
      <c r="K485" s="24">
        <f t="shared" si="281"/>
        <v>-84.479344910745766</v>
      </c>
      <c r="L485" s="14">
        <f t="shared" si="255"/>
        <v>0.67018069634200106</v>
      </c>
      <c r="M485" s="14">
        <f t="shared" si="256"/>
        <v>-89.915305826275215</v>
      </c>
      <c r="N485" s="14">
        <f t="shared" si="257"/>
        <v>56.605385103270663</v>
      </c>
      <c r="O485" s="14">
        <f t="shared" si="258"/>
        <v>-89.998072509181767</v>
      </c>
      <c r="P485" s="14">
        <f t="shared" si="259"/>
        <v>-89.462606291189658</v>
      </c>
      <c r="Q485" s="14">
        <f t="shared" si="260"/>
        <v>-88.959155521193182</v>
      </c>
      <c r="R485" s="14">
        <f t="shared" si="261"/>
        <v>-34.815213534639007</v>
      </c>
      <c r="S485" s="23">
        <f t="shared" si="282"/>
        <v>-268.87253385665014</v>
      </c>
      <c r="T485" s="23">
        <f t="shared" si="283"/>
        <v>-71.148596434395856</v>
      </c>
      <c r="U485" s="14">
        <f t="shared" si="262"/>
        <v>20000</v>
      </c>
      <c r="V485" s="14">
        <f t="shared" si="263"/>
        <v>-89.999999372635301</v>
      </c>
      <c r="W485" s="14">
        <f t="shared" si="264"/>
        <v>-159.21205098360645</v>
      </c>
      <c r="X485" s="14">
        <f t="shared" si="265"/>
        <v>89.998745270586696</v>
      </c>
      <c r="Y485" s="14">
        <f t="shared" si="266"/>
        <v>93.191451072409578</v>
      </c>
      <c r="Z485" s="14">
        <f t="shared" si="267"/>
        <v>-89.723961664754754</v>
      </c>
      <c r="AA485" s="14">
        <f t="shared" si="268"/>
        <v>-46.343098258291199</v>
      </c>
      <c r="AB485" s="23">
        <f t="shared" si="284"/>
        <v>-89.725215766803359</v>
      </c>
      <c r="AC485" s="23">
        <f t="shared" si="285"/>
        <v>-26.343098256208442</v>
      </c>
      <c r="AD485" s="14">
        <f t="shared" si="269"/>
        <v>89.654953582593734</v>
      </c>
      <c r="AE485" s="14">
        <f t="shared" si="270"/>
        <v>44.404954699581658</v>
      </c>
      <c r="AF485" s="14">
        <f t="shared" si="271"/>
        <v>68.125299818206997</v>
      </c>
      <c r="AG485" s="14">
        <f t="shared" si="272"/>
        <v>8.5756547838457529</v>
      </c>
      <c r="AH485" s="14">
        <f t="shared" si="273"/>
        <v>-89.424934996342841</v>
      </c>
      <c r="AI485" s="14">
        <f t="shared" si="274"/>
        <v>-39.968259703568883</v>
      </c>
      <c r="AJ485" s="23">
        <f t="shared" si="286"/>
        <v>68.355318404457904</v>
      </c>
      <c r="AK485" s="23">
        <f t="shared" si="287"/>
        <v>13.012349779858532</v>
      </c>
      <c r="AL485" s="14">
        <f t="shared" si="275"/>
        <v>0</v>
      </c>
      <c r="AM485" s="14">
        <f t="shared" si="276"/>
        <v>0</v>
      </c>
      <c r="AN485" s="14">
        <f t="shared" si="277"/>
        <v>0</v>
      </c>
      <c r="AO485" s="14">
        <f t="shared" si="278"/>
        <v>0</v>
      </c>
      <c r="AP485" s="23">
        <f t="shared" si="288"/>
        <v>0</v>
      </c>
      <c r="AQ485" s="23">
        <f t="shared" si="289"/>
        <v>0</v>
      </c>
    </row>
    <row r="486" spans="8:43" x14ac:dyDescent="0.25">
      <c r="H486" s="14">
        <v>5.83</v>
      </c>
      <c r="I486" s="36">
        <f t="shared" si="279"/>
        <v>6760829.7539198259</v>
      </c>
      <c r="J486" s="24">
        <f t="shared" si="280"/>
        <v>-109.82722582170618</v>
      </c>
      <c r="K486" s="24">
        <f t="shared" si="281"/>
        <v>-84.706482133213626</v>
      </c>
      <c r="L486" s="14">
        <f t="shared" si="255"/>
        <v>0.67018069634200106</v>
      </c>
      <c r="M486" s="14">
        <f t="shared" si="256"/>
        <v>-89.917233698324864</v>
      </c>
      <c r="N486" s="14">
        <f t="shared" si="257"/>
        <v>56.805384676170362</v>
      </c>
      <c r="O486" s="14">
        <f t="shared" si="258"/>
        <v>-89.998116384229334</v>
      </c>
      <c r="P486" s="14">
        <f t="shared" si="259"/>
        <v>-89.662606290968441</v>
      </c>
      <c r="Q486" s="14">
        <f t="shared" si="260"/>
        <v>-88.982842998494633</v>
      </c>
      <c r="R486" s="14">
        <f t="shared" si="261"/>
        <v>-35.015149036045713</v>
      </c>
      <c r="S486" s="23">
        <f t="shared" si="282"/>
        <v>-268.89819308104882</v>
      </c>
      <c r="T486" s="23">
        <f t="shared" si="283"/>
        <v>-71.348532362681652</v>
      </c>
      <c r="U486" s="14">
        <f t="shared" si="262"/>
        <v>20000</v>
      </c>
      <c r="V486" s="14">
        <f t="shared" si="263"/>
        <v>-89.99999938691586</v>
      </c>
      <c r="W486" s="14">
        <f t="shared" si="264"/>
        <v>-159.41205098360643</v>
      </c>
      <c r="X486" s="14">
        <f t="shared" si="265"/>
        <v>89.998773831715084</v>
      </c>
      <c r="Y486" s="14">
        <f t="shared" si="266"/>
        <v>93.391451072315846</v>
      </c>
      <c r="Z486" s="14">
        <f t="shared" si="267"/>
        <v>-89.730244970453413</v>
      </c>
      <c r="AA486" s="14">
        <f t="shared" si="268"/>
        <v>-46.543093721395735</v>
      </c>
      <c r="AB486" s="23">
        <f t="shared" si="284"/>
        <v>-89.731470525654188</v>
      </c>
      <c r="AC486" s="23">
        <f t="shared" si="285"/>
        <v>-26.543093719406698</v>
      </c>
      <c r="AD486" s="14">
        <f t="shared" si="269"/>
        <v>89.662807614490589</v>
      </c>
      <c r="AE486" s="14">
        <f t="shared" si="270"/>
        <v>44.604947610772967</v>
      </c>
      <c r="AF486" s="14">
        <f t="shared" si="271"/>
        <v>68.577654395164018</v>
      </c>
      <c r="AG486" s="14">
        <f t="shared" si="272"/>
        <v>8.7484363517763004</v>
      </c>
      <c r="AH486" s="14">
        <f t="shared" si="273"/>
        <v>-89.438024224657795</v>
      </c>
      <c r="AI486" s="14">
        <f t="shared" si="274"/>
        <v>-40.168240013674541</v>
      </c>
      <c r="AJ486" s="23">
        <f t="shared" si="286"/>
        <v>68.802437784996812</v>
      </c>
      <c r="AK486" s="23">
        <f t="shared" si="287"/>
        <v>13.185143948874725</v>
      </c>
      <c r="AL486" s="14">
        <f t="shared" si="275"/>
        <v>0</v>
      </c>
      <c r="AM486" s="14">
        <f t="shared" si="276"/>
        <v>0</v>
      </c>
      <c r="AN486" s="14">
        <f t="shared" si="277"/>
        <v>0</v>
      </c>
      <c r="AO486" s="14">
        <f t="shared" si="278"/>
        <v>0</v>
      </c>
      <c r="AP486" s="23">
        <f t="shared" si="288"/>
        <v>0</v>
      </c>
      <c r="AQ486" s="23">
        <f t="shared" si="289"/>
        <v>0</v>
      </c>
    </row>
    <row r="487" spans="8:43" x14ac:dyDescent="0.25">
      <c r="H487" s="14">
        <v>5.84</v>
      </c>
      <c r="I487" s="36">
        <f t="shared" si="279"/>
        <v>6918309.7091893721</v>
      </c>
      <c r="J487" s="24">
        <f t="shared" si="280"/>
        <v>-109.41874752574745</v>
      </c>
      <c r="K487" s="24">
        <f t="shared" si="281"/>
        <v>-84.932558194753341</v>
      </c>
      <c r="L487" s="14">
        <f t="shared" si="255"/>
        <v>0.67018069634200106</v>
      </c>
      <c r="M487" s="14">
        <f t="shared" si="256"/>
        <v>-89.91911768683012</v>
      </c>
      <c r="N487" s="14">
        <f t="shared" si="257"/>
        <v>57.005384268292694</v>
      </c>
      <c r="O487" s="14">
        <f t="shared" si="258"/>
        <v>-89.998159260558893</v>
      </c>
      <c r="P487" s="14">
        <f t="shared" si="259"/>
        <v>-89.862606290757185</v>
      </c>
      <c r="Q487" s="14">
        <f t="shared" si="260"/>
        <v>-89.00599161900621</v>
      </c>
      <c r="R487" s="14">
        <f t="shared" si="261"/>
        <v>-35.215087439473088</v>
      </c>
      <c r="S487" s="23">
        <f t="shared" si="282"/>
        <v>-268.92326856639522</v>
      </c>
      <c r="T487" s="23">
        <f t="shared" si="283"/>
        <v>-71.548471173775425</v>
      </c>
      <c r="U487" s="14">
        <f t="shared" si="262"/>
        <v>20000</v>
      </c>
      <c r="V487" s="14">
        <f t="shared" si="263"/>
        <v>-89.99999940087136</v>
      </c>
      <c r="W487" s="14">
        <f t="shared" si="264"/>
        <v>-159.61205098360642</v>
      </c>
      <c r="X487" s="14">
        <f t="shared" si="265"/>
        <v>89.998801742712814</v>
      </c>
      <c r="Y487" s="14">
        <f t="shared" si="266"/>
        <v>93.591451072226306</v>
      </c>
      <c r="Z487" s="14">
        <f t="shared" si="267"/>
        <v>-89.736385256922389</v>
      </c>
      <c r="AA487" s="14">
        <f t="shared" si="268"/>
        <v>-46.743089388689789</v>
      </c>
      <c r="AB487" s="23">
        <f t="shared" si="284"/>
        <v>-89.737582915080935</v>
      </c>
      <c r="AC487" s="23">
        <f t="shared" si="285"/>
        <v>-26.743089386790281</v>
      </c>
      <c r="AD487" s="14">
        <f t="shared" si="269"/>
        <v>89.67048287903981</v>
      </c>
      <c r="AE487" s="14">
        <f t="shared" si="270"/>
        <v>44.804940841002427</v>
      </c>
      <c r="AF487" s="14">
        <f t="shared" si="271"/>
        <v>69.022436639132508</v>
      </c>
      <c r="AG487" s="14">
        <f t="shared" si="272"/>
        <v>8.9222827346980225</v>
      </c>
      <c r="AH487" s="14">
        <f t="shared" si="273"/>
        <v>-89.450815562443609</v>
      </c>
      <c r="AI487" s="14">
        <f t="shared" si="274"/>
        <v>-40.368221209888098</v>
      </c>
      <c r="AJ487" s="23">
        <f t="shared" si="286"/>
        <v>69.242103955728709</v>
      </c>
      <c r="AK487" s="23">
        <f t="shared" si="287"/>
        <v>13.359002365812351</v>
      </c>
      <c r="AL487" s="14">
        <f t="shared" si="275"/>
        <v>0</v>
      </c>
      <c r="AM487" s="14">
        <f t="shared" si="276"/>
        <v>0</v>
      </c>
      <c r="AN487" s="14">
        <f t="shared" si="277"/>
        <v>0</v>
      </c>
      <c r="AO487" s="14">
        <f t="shared" si="278"/>
        <v>0</v>
      </c>
      <c r="AP487" s="23">
        <f t="shared" si="288"/>
        <v>0</v>
      </c>
      <c r="AQ487" s="23">
        <f t="shared" si="289"/>
        <v>0</v>
      </c>
    </row>
    <row r="488" spans="8:43" x14ac:dyDescent="0.25">
      <c r="H488" s="14">
        <v>5.85</v>
      </c>
      <c r="I488" s="36">
        <f t="shared" si="279"/>
        <v>7079457.8438413851</v>
      </c>
      <c r="J488" s="24">
        <f t="shared" si="280"/>
        <v>-109.01699420497513</v>
      </c>
      <c r="K488" s="24">
        <f t="shared" si="281"/>
        <v>-85.157608529670796</v>
      </c>
      <c r="L488" s="14">
        <f t="shared" si="255"/>
        <v>0.67018069634200106</v>
      </c>
      <c r="M488" s="14">
        <f t="shared" si="256"/>
        <v>-89.920958790690307</v>
      </c>
      <c r="N488" s="14">
        <f t="shared" si="257"/>
        <v>57.205383878772516</v>
      </c>
      <c r="O488" s="14">
        <f t="shared" si="258"/>
        <v>-89.998201160904046</v>
      </c>
      <c r="P488" s="14">
        <f t="shared" si="259"/>
        <v>-90.062606290555451</v>
      </c>
      <c r="Q488" s="14">
        <f t="shared" si="260"/>
        <v>-89.028613626186811</v>
      </c>
      <c r="R488" s="14">
        <f t="shared" si="261"/>
        <v>-35.415028614387367</v>
      </c>
      <c r="S488" s="23">
        <f t="shared" si="282"/>
        <v>-268.94777357778116</v>
      </c>
      <c r="T488" s="23">
        <f t="shared" si="283"/>
        <v>-71.748412738008156</v>
      </c>
      <c r="U488" s="14">
        <f t="shared" si="262"/>
        <v>20000</v>
      </c>
      <c r="V488" s="14">
        <f t="shared" si="263"/>
        <v>-89.99999941450919</v>
      </c>
      <c r="W488" s="14">
        <f t="shared" si="264"/>
        <v>-159.81205098360644</v>
      </c>
      <c r="X488" s="14">
        <f t="shared" si="265"/>
        <v>89.998829018378672</v>
      </c>
      <c r="Y488" s="14">
        <f t="shared" si="266"/>
        <v>93.791451072140831</v>
      </c>
      <c r="Z488" s="14">
        <f t="shared" si="267"/>
        <v>-89.742385779258342</v>
      </c>
      <c r="AA488" s="14">
        <f t="shared" si="268"/>
        <v>-46.943085250983685</v>
      </c>
      <c r="AB488" s="23">
        <f t="shared" si="284"/>
        <v>-89.743556175388861</v>
      </c>
      <c r="AC488" s="23">
        <f t="shared" si="285"/>
        <v>-26.94308524916967</v>
      </c>
      <c r="AD488" s="14">
        <f t="shared" si="269"/>
        <v>89.677983444665713</v>
      </c>
      <c r="AE488" s="14">
        <f t="shared" si="270"/>
        <v>45.004934375911894</v>
      </c>
      <c r="AF488" s="14">
        <f t="shared" si="271"/>
        <v>69.459667890262892</v>
      </c>
      <c r="AG488" s="14">
        <f t="shared" si="272"/>
        <v>9.0971583339305901</v>
      </c>
      <c r="AH488" s="14">
        <f t="shared" si="273"/>
        <v>-89.463315786733716</v>
      </c>
      <c r="AI488" s="14">
        <f t="shared" si="274"/>
        <v>-40.568203252335451</v>
      </c>
      <c r="AJ488" s="23">
        <f t="shared" si="286"/>
        <v>69.674335548194875</v>
      </c>
      <c r="AK488" s="23">
        <f t="shared" si="287"/>
        <v>13.53388945750703</v>
      </c>
      <c r="AL488" s="14">
        <f t="shared" si="275"/>
        <v>0</v>
      </c>
      <c r="AM488" s="14">
        <f t="shared" si="276"/>
        <v>0</v>
      </c>
      <c r="AN488" s="14">
        <f t="shared" si="277"/>
        <v>0</v>
      </c>
      <c r="AO488" s="14">
        <f t="shared" si="278"/>
        <v>0</v>
      </c>
      <c r="AP488" s="23">
        <f t="shared" si="288"/>
        <v>0</v>
      </c>
      <c r="AQ488" s="23">
        <f t="shared" si="289"/>
        <v>0</v>
      </c>
    </row>
    <row r="489" spans="8:43" x14ac:dyDescent="0.25">
      <c r="H489" s="14">
        <v>5.86</v>
      </c>
      <c r="I489" s="36">
        <f t="shared" si="279"/>
        <v>7244359.6007499192</v>
      </c>
      <c r="J489" s="24">
        <f t="shared" si="280"/>
        <v>-108.62195656366744</v>
      </c>
      <c r="K489" s="24">
        <f t="shared" si="281"/>
        <v>-85.3816678610156</v>
      </c>
      <c r="L489" s="14">
        <f t="shared" si="255"/>
        <v>0.67018069634200106</v>
      </c>
      <c r="M489" s="14">
        <f t="shared" si="256"/>
        <v>-89.922757986067865</v>
      </c>
      <c r="N489" s="14">
        <f t="shared" si="257"/>
        <v>57.405383506783608</v>
      </c>
      <c r="O489" s="14">
        <f t="shared" si="258"/>
        <v>-89.998242107480905</v>
      </c>
      <c r="P489" s="14">
        <f t="shared" si="259"/>
        <v>-90.262606290362797</v>
      </c>
      <c r="Q489" s="14">
        <f t="shared" si="260"/>
        <v>-89.050720986295616</v>
      </c>
      <c r="R489" s="14">
        <f t="shared" si="261"/>
        <v>-35.614972436122841</v>
      </c>
      <c r="S489" s="23">
        <f t="shared" si="282"/>
        <v>-268.97172107984437</v>
      </c>
      <c r="T489" s="23">
        <f t="shared" si="283"/>
        <v>-71.948356931539877</v>
      </c>
      <c r="U489" s="14">
        <f t="shared" si="262"/>
        <v>20000</v>
      </c>
      <c r="V489" s="14">
        <f t="shared" si="263"/>
        <v>-89.999999427836599</v>
      </c>
      <c r="W489" s="14">
        <f t="shared" si="264"/>
        <v>-160.01205098360646</v>
      </c>
      <c r="X489" s="14">
        <f t="shared" si="265"/>
        <v>89.998855673174575</v>
      </c>
      <c r="Y489" s="14">
        <f t="shared" si="266"/>
        <v>93.991451072059192</v>
      </c>
      <c r="Z489" s="14">
        <f t="shared" si="267"/>
        <v>-89.748249718490825</v>
      </c>
      <c r="AA489" s="14">
        <f t="shared" si="268"/>
        <v>-47.143081299501375</v>
      </c>
      <c r="AB489" s="23">
        <f t="shared" si="284"/>
        <v>-89.74939347315285</v>
      </c>
      <c r="AC489" s="23">
        <f t="shared" si="285"/>
        <v>-27.143081297769015</v>
      </c>
      <c r="AD489" s="14">
        <f t="shared" si="269"/>
        <v>89.6853132872386</v>
      </c>
      <c r="AE489" s="14">
        <f t="shared" si="270"/>
        <v>45.2049282017894</v>
      </c>
      <c r="AF489" s="14">
        <f t="shared" si="271"/>
        <v>69.889376222641033</v>
      </c>
      <c r="AG489" s="14">
        <f t="shared" si="272"/>
        <v>9.2730282694404025</v>
      </c>
      <c r="AH489" s="14">
        <f t="shared" si="273"/>
        <v>-89.475531520549865</v>
      </c>
      <c r="AI489" s="14">
        <f t="shared" si="274"/>
        <v>-40.768186102936511</v>
      </c>
      <c r="AJ489" s="23">
        <f t="shared" si="286"/>
        <v>70.099157989329782</v>
      </c>
      <c r="AK489" s="23">
        <f t="shared" si="287"/>
        <v>13.709770368293292</v>
      </c>
      <c r="AL489" s="14">
        <f t="shared" si="275"/>
        <v>0</v>
      </c>
      <c r="AM489" s="14">
        <f t="shared" si="276"/>
        <v>0</v>
      </c>
      <c r="AN489" s="14">
        <f t="shared" si="277"/>
        <v>0</v>
      </c>
      <c r="AO489" s="14">
        <f t="shared" si="278"/>
        <v>0</v>
      </c>
      <c r="AP489" s="23">
        <f t="shared" si="288"/>
        <v>0</v>
      </c>
      <c r="AQ489" s="23">
        <f t="shared" si="289"/>
        <v>0</v>
      </c>
    </row>
    <row r="490" spans="8:43" x14ac:dyDescent="0.25">
      <c r="H490" s="14">
        <v>5.87</v>
      </c>
      <c r="I490" s="36">
        <f t="shared" si="279"/>
        <v>7413102.4130091807</v>
      </c>
      <c r="J490" s="24">
        <f t="shared" si="280"/>
        <v>-108.23361853371168</v>
      </c>
      <c r="K490" s="24">
        <f t="shared" si="281"/>
        <v>-85.604770176681342</v>
      </c>
      <c r="L490" s="14">
        <f t="shared" si="255"/>
        <v>0.67018069634200106</v>
      </c>
      <c r="M490" s="14">
        <f t="shared" si="256"/>
        <v>-89.924516226905766</v>
      </c>
      <c r="N490" s="14">
        <f t="shared" si="257"/>
        <v>57.605383151536898</v>
      </c>
      <c r="O490" s="14">
        <f t="shared" si="258"/>
        <v>-89.998282121999864</v>
      </c>
      <c r="P490" s="14">
        <f t="shared" si="259"/>
        <v>-90.462606290178783</v>
      </c>
      <c r="Q490" s="14">
        <f t="shared" si="260"/>
        <v>-89.072325394602217</v>
      </c>
      <c r="R490" s="14">
        <f t="shared" si="261"/>
        <v>-35.81491878561831</v>
      </c>
      <c r="S490" s="23">
        <f t="shared" si="282"/>
        <v>-268.99512374350786</v>
      </c>
      <c r="T490" s="23">
        <f t="shared" si="283"/>
        <v>-72.148303636098049</v>
      </c>
      <c r="U490" s="14">
        <f t="shared" si="262"/>
        <v>20000</v>
      </c>
      <c r="V490" s="14">
        <f t="shared" si="263"/>
        <v>-89.99999944086062</v>
      </c>
      <c r="W490" s="14">
        <f t="shared" si="264"/>
        <v>-160.21205098360642</v>
      </c>
      <c r="X490" s="14">
        <f t="shared" si="265"/>
        <v>89.998881721233261</v>
      </c>
      <c r="Y490" s="14">
        <f t="shared" si="266"/>
        <v>94.191451071981206</v>
      </c>
      <c r="Z490" s="14">
        <f t="shared" si="267"/>
        <v>-89.753980183266393</v>
      </c>
      <c r="AA490" s="14">
        <f t="shared" si="268"/>
        <v>-47.34307752586168</v>
      </c>
      <c r="AB490" s="23">
        <f t="shared" si="284"/>
        <v>-89.755097902893752</v>
      </c>
      <c r="AC490" s="23">
        <f t="shared" si="285"/>
        <v>-27.343077524207267</v>
      </c>
      <c r="AD490" s="14">
        <f t="shared" si="269"/>
        <v>89.692476292177773</v>
      </c>
      <c r="AE490" s="14">
        <f t="shared" si="270"/>
        <v>45.404922305539976</v>
      </c>
      <c r="AF490" s="14">
        <f t="shared" si="271"/>
        <v>70.311596056903113</v>
      </c>
      <c r="AG490" s="14">
        <f t="shared" si="272"/>
        <v>9.4498584034084114</v>
      </c>
      <c r="AH490" s="14">
        <f t="shared" si="273"/>
        <v>-89.487469236390979</v>
      </c>
      <c r="AI490" s="14">
        <f t="shared" si="274"/>
        <v>-40.968169725324429</v>
      </c>
      <c r="AJ490" s="23">
        <f t="shared" si="286"/>
        <v>70.516603112689921</v>
      </c>
      <c r="AK490" s="23">
        <f t="shared" si="287"/>
        <v>13.88661098362396</v>
      </c>
      <c r="AL490" s="14">
        <f t="shared" si="275"/>
        <v>0</v>
      </c>
      <c r="AM490" s="14">
        <f t="shared" si="276"/>
        <v>0</v>
      </c>
      <c r="AN490" s="14">
        <f t="shared" si="277"/>
        <v>0</v>
      </c>
      <c r="AO490" s="14">
        <f t="shared" si="278"/>
        <v>0</v>
      </c>
      <c r="AP490" s="23">
        <f t="shared" si="288"/>
        <v>0</v>
      </c>
      <c r="AQ490" s="23">
        <f t="shared" si="289"/>
        <v>0</v>
      </c>
    </row>
    <row r="491" spans="8:43" x14ac:dyDescent="0.25">
      <c r="H491" s="14">
        <v>5.88</v>
      </c>
      <c r="I491" s="36">
        <f t="shared" si="279"/>
        <v>7585775.750291842</v>
      </c>
      <c r="J491" s="24">
        <f t="shared" si="280"/>
        <v>-107.85195766625706</v>
      </c>
      <c r="K491" s="24">
        <f t="shared" si="281"/>
        <v>-85.826948709276152</v>
      </c>
      <c r="L491" s="14">
        <f t="shared" si="255"/>
        <v>0.67018069634200106</v>
      </c>
      <c r="M491" s="14">
        <f t="shared" si="256"/>
        <v>-89.926234445433366</v>
      </c>
      <c r="N491" s="14">
        <f t="shared" si="257"/>
        <v>57.805382812278921</v>
      </c>
      <c r="O491" s="14">
        <f t="shared" si="258"/>
        <v>-89.998321225677188</v>
      </c>
      <c r="P491" s="14">
        <f t="shared" si="259"/>
        <v>-90.662606290003055</v>
      </c>
      <c r="Q491" s="14">
        <f t="shared" si="260"/>
        <v>-89.093438281461985</v>
      </c>
      <c r="R491" s="14">
        <f t="shared" si="261"/>
        <v>-36.014867549165558</v>
      </c>
      <c r="S491" s="23">
        <f t="shared" si="282"/>
        <v>-269.01799395257257</v>
      </c>
      <c r="T491" s="23">
        <f t="shared" si="283"/>
        <v>-72.348252738727552</v>
      </c>
      <c r="U491" s="14">
        <f t="shared" si="262"/>
        <v>20000</v>
      </c>
      <c r="V491" s="14">
        <f t="shared" si="263"/>
        <v>-89.999999453588188</v>
      </c>
      <c r="W491" s="14">
        <f t="shared" si="264"/>
        <v>-160.41205098360643</v>
      </c>
      <c r="X491" s="14">
        <f t="shared" si="265"/>
        <v>89.998907176365719</v>
      </c>
      <c r="Y491" s="14">
        <f t="shared" si="266"/>
        <v>94.391451071906744</v>
      </c>
      <c r="Z491" s="14">
        <f t="shared" si="267"/>
        <v>-89.759580211494452</v>
      </c>
      <c r="AA491" s="14">
        <f t="shared" si="268"/>
        <v>-47.543073922060692</v>
      </c>
      <c r="AB491" s="23">
        <f t="shared" si="284"/>
        <v>-89.760672488716921</v>
      </c>
      <c r="AC491" s="23">
        <f t="shared" si="285"/>
        <v>-27.543073920480758</v>
      </c>
      <c r="AD491" s="14">
        <f t="shared" si="269"/>
        <v>89.699476256507111</v>
      </c>
      <c r="AE491" s="14">
        <f t="shared" si="270"/>
        <v>45.604916674658028</v>
      </c>
      <c r="AF491" s="14">
        <f t="shared" si="271"/>
        <v>70.726367778169191</v>
      </c>
      <c r="AG491" s="14">
        <f t="shared" si="272"/>
        <v>9.6276153600428032</v>
      </c>
      <c r="AH491" s="14">
        <f t="shared" si="273"/>
        <v>-89.499135259643865</v>
      </c>
      <c r="AI491" s="14">
        <f t="shared" si="274"/>
        <v>-41.168154084768666</v>
      </c>
      <c r="AJ491" s="23">
        <f t="shared" si="286"/>
        <v>70.926708775032424</v>
      </c>
      <c r="AK491" s="23">
        <f t="shared" si="287"/>
        <v>14.064377949932165</v>
      </c>
      <c r="AL491" s="14">
        <f t="shared" si="275"/>
        <v>0</v>
      </c>
      <c r="AM491" s="14">
        <f t="shared" si="276"/>
        <v>0</v>
      </c>
      <c r="AN491" s="14">
        <f t="shared" si="277"/>
        <v>0</v>
      </c>
      <c r="AO491" s="14">
        <f t="shared" si="278"/>
        <v>0</v>
      </c>
      <c r="AP491" s="23">
        <f t="shared" si="288"/>
        <v>0</v>
      </c>
      <c r="AQ491" s="23">
        <f t="shared" si="289"/>
        <v>0</v>
      </c>
    </row>
    <row r="492" spans="8:43" x14ac:dyDescent="0.25">
      <c r="H492" s="14">
        <v>5.89</v>
      </c>
      <c r="I492" s="36">
        <f t="shared" si="279"/>
        <v>7762471.1662869211</v>
      </c>
      <c r="J492" s="24">
        <f t="shared" si="280"/>
        <v>-107.47694551655516</v>
      </c>
      <c r="K492" s="24">
        <f t="shared" si="281"/>
        <v>-86.048235919561307</v>
      </c>
      <c r="L492" s="14">
        <f t="shared" si="255"/>
        <v>0.67018069634200106</v>
      </c>
      <c r="M492" s="14">
        <f t="shared" si="256"/>
        <v>-89.927913552660456</v>
      </c>
      <c r="N492" s="14">
        <f t="shared" si="257"/>
        <v>58.005382488290039</v>
      </c>
      <c r="O492" s="14">
        <f t="shared" si="258"/>
        <v>-89.998359439246144</v>
      </c>
      <c r="P492" s="14">
        <f t="shared" si="259"/>
        <v>-90.862606289835256</v>
      </c>
      <c r="Q492" s="14">
        <f t="shared" si="260"/>
        <v>-89.114070818259421</v>
      </c>
      <c r="R492" s="14">
        <f t="shared" si="261"/>
        <v>-36.214818618168763</v>
      </c>
      <c r="S492" s="23">
        <f t="shared" si="282"/>
        <v>-269.04034381016606</v>
      </c>
      <c r="T492" s="23">
        <f t="shared" si="283"/>
        <v>-72.548204131551842</v>
      </c>
      <c r="U492" s="14">
        <f t="shared" si="262"/>
        <v>20000</v>
      </c>
      <c r="V492" s="14">
        <f t="shared" si="263"/>
        <v>-89.99999946602604</v>
      </c>
      <c r="W492" s="14">
        <f t="shared" si="264"/>
        <v>-160.61205098360642</v>
      </c>
      <c r="X492" s="14">
        <f t="shared" si="265"/>
        <v>89.998932052068639</v>
      </c>
      <c r="Y492" s="14">
        <f t="shared" si="266"/>
        <v>94.591451071835621</v>
      </c>
      <c r="Z492" s="14">
        <f t="shared" si="267"/>
        <v>-89.765052771955908</v>
      </c>
      <c r="AA492" s="14">
        <f t="shared" si="268"/>
        <v>-47.743070480454683</v>
      </c>
      <c r="AB492" s="23">
        <f t="shared" si="284"/>
        <v>-89.766120185913309</v>
      </c>
      <c r="AC492" s="23">
        <f t="shared" si="285"/>
        <v>-27.74307047894586</v>
      </c>
      <c r="AD492" s="14">
        <f t="shared" si="269"/>
        <v>89.706316890864031</v>
      </c>
      <c r="AE492" s="14">
        <f t="shared" si="270"/>
        <v>45.804911297200697</v>
      </c>
      <c r="AF492" s="14">
        <f t="shared" si="271"/>
        <v>71.133737360577257</v>
      </c>
      <c r="AG492" s="14">
        <f t="shared" si="272"/>
        <v>9.8062665418370027</v>
      </c>
      <c r="AH492" s="14">
        <f t="shared" si="273"/>
        <v>-89.510535771917091</v>
      </c>
      <c r="AI492" s="14">
        <f t="shared" si="274"/>
        <v>-41.368139148101292</v>
      </c>
      <c r="AJ492" s="23">
        <f t="shared" si="286"/>
        <v>71.329518479524211</v>
      </c>
      <c r="AK492" s="23">
        <f t="shared" si="287"/>
        <v>14.243038690936409</v>
      </c>
      <c r="AL492" s="14">
        <f t="shared" si="275"/>
        <v>0</v>
      </c>
      <c r="AM492" s="14">
        <f t="shared" si="276"/>
        <v>0</v>
      </c>
      <c r="AN492" s="14">
        <f t="shared" si="277"/>
        <v>0</v>
      </c>
      <c r="AO492" s="14">
        <f t="shared" si="278"/>
        <v>0</v>
      </c>
      <c r="AP492" s="23">
        <f t="shared" si="288"/>
        <v>0</v>
      </c>
      <c r="AQ492" s="23">
        <f t="shared" si="289"/>
        <v>0</v>
      </c>
    </row>
    <row r="493" spans="8:43" x14ac:dyDescent="0.25">
      <c r="H493" s="14">
        <v>5.9</v>
      </c>
      <c r="I493" s="36">
        <f t="shared" si="279"/>
        <v>7943282.3472428331</v>
      </c>
      <c r="J493" s="24">
        <f t="shared" si="280"/>
        <v>-107.10854802086367</v>
      </c>
      <c r="K493" s="24">
        <f t="shared" si="281"/>
        <v>-86.268663483253505</v>
      </c>
      <c r="L493" s="14">
        <f t="shared" si="255"/>
        <v>0.67018069634200106</v>
      </c>
      <c r="M493" s="14">
        <f t="shared" si="256"/>
        <v>-89.929554438860393</v>
      </c>
      <c r="N493" s="14">
        <f t="shared" si="257"/>
        <v>58.205382178883056</v>
      </c>
      <c r="O493" s="14">
        <f t="shared" si="258"/>
        <v>-89.998396782968072</v>
      </c>
      <c r="P493" s="14">
        <f t="shared" si="259"/>
        <v>-91.062606289675017</v>
      </c>
      <c r="Q493" s="14">
        <f t="shared" si="260"/>
        <v>-89.13423392322197</v>
      </c>
      <c r="R493" s="14">
        <f t="shared" si="261"/>
        <v>-36.41477188891497</v>
      </c>
      <c r="S493" s="23">
        <f t="shared" si="282"/>
        <v>-269.06218514505042</v>
      </c>
      <c r="T493" s="23">
        <f t="shared" si="283"/>
        <v>-72.748157711544792</v>
      </c>
      <c r="U493" s="14">
        <f t="shared" si="262"/>
        <v>20000</v>
      </c>
      <c r="V493" s="14">
        <f t="shared" si="263"/>
        <v>-89.999999478180769</v>
      </c>
      <c r="W493" s="14">
        <f t="shared" si="264"/>
        <v>-160.81205098360644</v>
      </c>
      <c r="X493" s="14">
        <f t="shared" si="265"/>
        <v>89.998956361531427</v>
      </c>
      <c r="Y493" s="14">
        <f t="shared" si="266"/>
        <v>94.791451071767739</v>
      </c>
      <c r="Z493" s="14">
        <f t="shared" si="267"/>
        <v>-89.770400765875095</v>
      </c>
      <c r="AA493" s="14">
        <f t="shared" si="268"/>
        <v>-47.943067193743936</v>
      </c>
      <c r="AB493" s="23">
        <f t="shared" si="284"/>
        <v>-89.771443882524437</v>
      </c>
      <c r="AC493" s="23">
        <f t="shared" si="285"/>
        <v>-27.943067192303012</v>
      </c>
      <c r="AD493" s="14">
        <f t="shared" si="269"/>
        <v>89.713001821462896</v>
      </c>
      <c r="AE493" s="14">
        <f t="shared" si="270"/>
        <v>46.004906161762619</v>
      </c>
      <c r="AF493" s="14">
        <f t="shared" si="271"/>
        <v>71.533755999548504</v>
      </c>
      <c r="AG493" s="14">
        <f t="shared" si="272"/>
        <v>9.9857801424784167</v>
      </c>
      <c r="AH493" s="14">
        <f t="shared" si="273"/>
        <v>-89.521676814300193</v>
      </c>
      <c r="AI493" s="14">
        <f t="shared" si="274"/>
        <v>-41.568124883646746</v>
      </c>
      <c r="AJ493" s="23">
        <f t="shared" si="286"/>
        <v>71.725081006711193</v>
      </c>
      <c r="AK493" s="23">
        <f t="shared" si="287"/>
        <v>14.422561420594292</v>
      </c>
      <c r="AL493" s="14">
        <f t="shared" si="275"/>
        <v>0</v>
      </c>
      <c r="AM493" s="14">
        <f t="shared" si="276"/>
        <v>0</v>
      </c>
      <c r="AN493" s="14">
        <f t="shared" si="277"/>
        <v>0</v>
      </c>
      <c r="AO493" s="14">
        <f t="shared" si="278"/>
        <v>0</v>
      </c>
      <c r="AP493" s="23">
        <f t="shared" si="288"/>
        <v>0</v>
      </c>
      <c r="AQ493" s="23">
        <f t="shared" si="289"/>
        <v>0</v>
      </c>
    </row>
    <row r="494" spans="8:43" x14ac:dyDescent="0.25">
      <c r="H494" s="14">
        <v>5.91</v>
      </c>
      <c r="I494" s="36">
        <f t="shared" si="279"/>
        <v>8128305.1616410092</v>
      </c>
      <c r="J494" s="24">
        <f t="shared" si="280"/>
        <v>-106.74672586443432</v>
      </c>
      <c r="K494" s="24">
        <f t="shared" si="281"/>
        <v>-86.488262280982724</v>
      </c>
      <c r="L494" s="14">
        <f t="shared" si="255"/>
        <v>0.67018069634200106</v>
      </c>
      <c r="M494" s="14">
        <f t="shared" si="256"/>
        <v>-89.93115797404198</v>
      </c>
      <c r="N494" s="14">
        <f t="shared" si="257"/>
        <v>58.405381883401631</v>
      </c>
      <c r="O494" s="14">
        <f t="shared" si="258"/>
        <v>-89.998433276643112</v>
      </c>
      <c r="P494" s="14">
        <f t="shared" si="259"/>
        <v>-91.262606289521969</v>
      </c>
      <c r="Q494" s="14">
        <f t="shared" si="260"/>
        <v>-89.153938267106938</v>
      </c>
      <c r="R494" s="14">
        <f t="shared" si="261"/>
        <v>-36.61472726235467</v>
      </c>
      <c r="S494" s="23">
        <f t="shared" si="282"/>
        <v>-269.08352951779204</v>
      </c>
      <c r="T494" s="23">
        <f t="shared" si="283"/>
        <v>-72.948113380312861</v>
      </c>
      <c r="U494" s="14">
        <f t="shared" si="262"/>
        <v>20000</v>
      </c>
      <c r="V494" s="14">
        <f t="shared" si="263"/>
        <v>-89.999999490058826</v>
      </c>
      <c r="W494" s="14">
        <f t="shared" si="264"/>
        <v>-161.01205098360646</v>
      </c>
      <c r="X494" s="14">
        <f t="shared" si="265"/>
        <v>89.998980117643285</v>
      </c>
      <c r="Y494" s="14">
        <f t="shared" si="266"/>
        <v>94.991451071702897</v>
      </c>
      <c r="Z494" s="14">
        <f t="shared" si="267"/>
        <v>-89.775627028456213</v>
      </c>
      <c r="AA494" s="14">
        <f t="shared" si="268"/>
        <v>-48.1430640549572</v>
      </c>
      <c r="AB494" s="23">
        <f t="shared" si="284"/>
        <v>-89.776646400871755</v>
      </c>
      <c r="AC494" s="23">
        <f t="shared" si="285"/>
        <v>-28.143064053581135</v>
      </c>
      <c r="AD494" s="14">
        <f t="shared" si="269"/>
        <v>89.719534592013972</v>
      </c>
      <c r="AE494" s="14">
        <f t="shared" si="270"/>
        <v>46.204901257451638</v>
      </c>
      <c r="AF494" s="14">
        <f t="shared" si="271"/>
        <v>71.926479752764934</v>
      </c>
      <c r="AG494" s="14">
        <f t="shared" si="272"/>
        <v>10.166125156614289</v>
      </c>
      <c r="AH494" s="14">
        <f t="shared" si="273"/>
        <v>-89.532564290549431</v>
      </c>
      <c r="AI494" s="14">
        <f t="shared" si="274"/>
        <v>-41.768111261154665</v>
      </c>
      <c r="AJ494" s="23">
        <f t="shared" si="286"/>
        <v>72.113450054229475</v>
      </c>
      <c r="AK494" s="23">
        <f t="shared" si="287"/>
        <v>14.602915152911258</v>
      </c>
      <c r="AL494" s="14">
        <f t="shared" si="275"/>
        <v>0</v>
      </c>
      <c r="AM494" s="14">
        <f t="shared" si="276"/>
        <v>0</v>
      </c>
      <c r="AN494" s="14">
        <f t="shared" si="277"/>
        <v>0</v>
      </c>
      <c r="AO494" s="14">
        <f t="shared" si="278"/>
        <v>0</v>
      </c>
      <c r="AP494" s="23">
        <f t="shared" si="288"/>
        <v>0</v>
      </c>
      <c r="AQ494" s="23">
        <f t="shared" si="289"/>
        <v>0</v>
      </c>
    </row>
    <row r="495" spans="8:43" x14ac:dyDescent="0.25">
      <c r="H495" s="14">
        <v>5.92</v>
      </c>
      <c r="I495" s="36">
        <f t="shared" si="279"/>
        <v>8317637.7110267133</v>
      </c>
      <c r="J495" s="24">
        <f t="shared" si="280"/>
        <v>-106.3914348397483</v>
      </c>
      <c r="K495" s="24">
        <f t="shared" si="281"/>
        <v>-86.707062391198235</v>
      </c>
      <c r="L495" s="14">
        <f t="shared" si="255"/>
        <v>0.67018069634200106</v>
      </c>
      <c r="M495" s="14">
        <f t="shared" si="256"/>
        <v>-89.932725008410756</v>
      </c>
      <c r="N495" s="14">
        <f t="shared" si="257"/>
        <v>58.605381601219044</v>
      </c>
      <c r="O495" s="14">
        <f t="shared" si="258"/>
        <v>-89.998468939620679</v>
      </c>
      <c r="P495" s="14">
        <f t="shared" si="259"/>
        <v>-91.462606289375813</v>
      </c>
      <c r="Q495" s="14">
        <f t="shared" si="260"/>
        <v>-89.173194278763916</v>
      </c>
      <c r="R495" s="14">
        <f t="shared" si="261"/>
        <v>-36.814684643892349</v>
      </c>
      <c r="S495" s="23">
        <f t="shared" si="282"/>
        <v>-269.10438822679532</v>
      </c>
      <c r="T495" s="23">
        <f t="shared" si="283"/>
        <v>-73.148071043886972</v>
      </c>
      <c r="U495" s="14">
        <f t="shared" si="262"/>
        <v>20000</v>
      </c>
      <c r="V495" s="14">
        <f t="shared" si="263"/>
        <v>-89.999999501666508</v>
      </c>
      <c r="W495" s="14">
        <f t="shared" si="264"/>
        <v>-161.21205098360645</v>
      </c>
      <c r="X495" s="14">
        <f t="shared" si="265"/>
        <v>89.999003333000019</v>
      </c>
      <c r="Y495" s="14">
        <f t="shared" si="266"/>
        <v>95.191451071640941</v>
      </c>
      <c r="Z495" s="14">
        <f t="shared" si="267"/>
        <v>-89.780734330384803</v>
      </c>
      <c r="AA495" s="14">
        <f t="shared" si="268"/>
        <v>-48.343061057436998</v>
      </c>
      <c r="AB495" s="23">
        <f t="shared" si="284"/>
        <v>-89.781730499051292</v>
      </c>
      <c r="AC495" s="23">
        <f t="shared" si="285"/>
        <v>-28.343061056122878</v>
      </c>
      <c r="AD495" s="14">
        <f t="shared" si="269"/>
        <v>89.725918665598869</v>
      </c>
      <c r="AE495" s="14">
        <f t="shared" si="270"/>
        <v>46.404896573865827</v>
      </c>
      <c r="AF495" s="14">
        <f t="shared" si="271"/>
        <v>72.311969190701419</v>
      </c>
      <c r="AG495" s="14">
        <f t="shared" si="272"/>
        <v>10.347271386681598</v>
      </c>
      <c r="AH495" s="14">
        <f t="shared" si="273"/>
        <v>-89.543203970201986</v>
      </c>
      <c r="AI495" s="14">
        <f t="shared" si="274"/>
        <v>-41.968098251735817</v>
      </c>
      <c r="AJ495" s="23">
        <f t="shared" si="286"/>
        <v>72.494683886098315</v>
      </c>
      <c r="AK495" s="23">
        <f t="shared" si="287"/>
        <v>14.784069708811607</v>
      </c>
      <c r="AL495" s="14">
        <f t="shared" si="275"/>
        <v>0</v>
      </c>
      <c r="AM495" s="14">
        <f t="shared" si="276"/>
        <v>0</v>
      </c>
      <c r="AN495" s="14">
        <f t="shared" si="277"/>
        <v>0</v>
      </c>
      <c r="AO495" s="14">
        <f t="shared" si="278"/>
        <v>0</v>
      </c>
      <c r="AP495" s="23">
        <f t="shared" si="288"/>
        <v>0</v>
      </c>
      <c r="AQ495" s="23">
        <f t="shared" si="289"/>
        <v>0</v>
      </c>
    </row>
    <row r="496" spans="8:43" x14ac:dyDescent="0.25">
      <c r="H496" s="14">
        <v>5.93</v>
      </c>
      <c r="I496" s="36">
        <f t="shared" si="279"/>
        <v>8511380.3820237666</v>
      </c>
      <c r="J496" s="24">
        <f t="shared" si="280"/>
        <v>-106.04262619429409</v>
      </c>
      <c r="K496" s="24">
        <f t="shared" si="281"/>
        <v>-86.925093085817934</v>
      </c>
      <c r="L496" s="14">
        <f t="shared" si="255"/>
        <v>0.67018069634200106</v>
      </c>
      <c r="M496" s="14">
        <f t="shared" si="256"/>
        <v>-89.934256372819704</v>
      </c>
      <c r="N496" s="14">
        <f t="shared" si="257"/>
        <v>58.805381331736754</v>
      </c>
      <c r="O496" s="14">
        <f t="shared" si="258"/>
        <v>-89.998503790809792</v>
      </c>
      <c r="P496" s="14">
        <f t="shared" si="259"/>
        <v>-91.662606289236237</v>
      </c>
      <c r="Q496" s="14">
        <f t="shared" si="260"/>
        <v>-89.192012150575422</v>
      </c>
      <c r="R496" s="14">
        <f t="shared" si="261"/>
        <v>-37.0146439431864</v>
      </c>
      <c r="S496" s="23">
        <f t="shared" si="282"/>
        <v>-269.1247723142049</v>
      </c>
      <c r="T496" s="23">
        <f t="shared" si="283"/>
        <v>-73.348030612523729</v>
      </c>
      <c r="U496" s="14">
        <f t="shared" si="262"/>
        <v>20000</v>
      </c>
      <c r="V496" s="14">
        <f t="shared" si="263"/>
        <v>-89.999999513009953</v>
      </c>
      <c r="W496" s="14">
        <f t="shared" si="264"/>
        <v>-161.41205098360643</v>
      </c>
      <c r="X496" s="14">
        <f t="shared" si="265"/>
        <v>89.999026019910701</v>
      </c>
      <c r="Y496" s="14">
        <f t="shared" si="266"/>
        <v>95.391451071581784</v>
      </c>
      <c r="Z496" s="14">
        <f t="shared" si="267"/>
        <v>-89.785725379295101</v>
      </c>
      <c r="AA496" s="14">
        <f t="shared" si="268"/>
        <v>-48.543058194825512</v>
      </c>
      <c r="AB496" s="23">
        <f t="shared" si="284"/>
        <v>-89.786698872394354</v>
      </c>
      <c r="AC496" s="23">
        <f t="shared" si="285"/>
        <v>-28.543058193570538</v>
      </c>
      <c r="AD496" s="14">
        <f t="shared" si="269"/>
        <v>89.732157426503449</v>
      </c>
      <c r="AE496" s="14">
        <f t="shared" si="270"/>
        <v>46.604892101071407</v>
      </c>
      <c r="AF496" s="14">
        <f t="shared" si="271"/>
        <v>72.690289057421737</v>
      </c>
      <c r="AG496" s="14">
        <f t="shared" si="272"/>
        <v>10.529189447005828</v>
      </c>
      <c r="AH496" s="14">
        <f t="shared" si="273"/>
        <v>-89.553601491619986</v>
      </c>
      <c r="AI496" s="14">
        <f t="shared" si="274"/>
        <v>-42.168085827800901</v>
      </c>
      <c r="AJ496" s="23">
        <f t="shared" si="286"/>
        <v>72.868844992305185</v>
      </c>
      <c r="AK496" s="23">
        <f t="shared" si="287"/>
        <v>14.965995720276332</v>
      </c>
      <c r="AL496" s="14">
        <f t="shared" si="275"/>
        <v>0</v>
      </c>
      <c r="AM496" s="14">
        <f t="shared" si="276"/>
        <v>0</v>
      </c>
      <c r="AN496" s="14">
        <f t="shared" si="277"/>
        <v>0</v>
      </c>
      <c r="AO496" s="14">
        <f t="shared" si="278"/>
        <v>0</v>
      </c>
      <c r="AP496" s="23">
        <f t="shared" si="288"/>
        <v>0</v>
      </c>
      <c r="AQ496" s="23">
        <f t="shared" si="289"/>
        <v>0</v>
      </c>
    </row>
    <row r="497" spans="8:43" x14ac:dyDescent="0.25">
      <c r="H497" s="14">
        <v>5.94</v>
      </c>
      <c r="I497" s="36">
        <f t="shared" si="279"/>
        <v>8709635.8995608222</v>
      </c>
      <c r="J497" s="24">
        <f t="shared" si="280"/>
        <v>-105.70024696730496</v>
      </c>
      <c r="K497" s="24">
        <f t="shared" si="281"/>
        <v>-87.142382828417738</v>
      </c>
      <c r="L497" s="14">
        <f t="shared" si="255"/>
        <v>0.67018069634200106</v>
      </c>
      <c r="M497" s="14">
        <f t="shared" si="256"/>
        <v>-89.935752879209716</v>
      </c>
      <c r="N497" s="14">
        <f t="shared" si="257"/>
        <v>59.005381074383166</v>
      </c>
      <c r="O497" s="14">
        <f t="shared" si="258"/>
        <v>-89.998537848688969</v>
      </c>
      <c r="P497" s="14">
        <f t="shared" si="259"/>
        <v>-91.862606289102956</v>
      </c>
      <c r="Q497" s="14">
        <f t="shared" si="260"/>
        <v>-89.210401843777973</v>
      </c>
      <c r="R497" s="14">
        <f t="shared" si="261"/>
        <v>-37.21460507395792</v>
      </c>
      <c r="S497" s="23">
        <f t="shared" si="282"/>
        <v>-269.14469257167667</v>
      </c>
      <c r="T497" s="23">
        <f t="shared" si="283"/>
        <v>-73.547992000515563</v>
      </c>
      <c r="U497" s="14">
        <f t="shared" si="262"/>
        <v>20000</v>
      </c>
      <c r="V497" s="14">
        <f t="shared" si="263"/>
        <v>-89.999999524095202</v>
      </c>
      <c r="W497" s="14">
        <f t="shared" si="264"/>
        <v>-161.61205098360642</v>
      </c>
      <c r="X497" s="14">
        <f t="shared" si="265"/>
        <v>89.999048190404281</v>
      </c>
      <c r="Y497" s="14">
        <f t="shared" si="266"/>
        <v>95.591451071525313</v>
      </c>
      <c r="Z497" s="14">
        <f t="shared" si="267"/>
        <v>-89.790602821204175</v>
      </c>
      <c r="AA497" s="14">
        <f t="shared" si="268"/>
        <v>-48.743055461051021</v>
      </c>
      <c r="AB497" s="23">
        <f t="shared" si="284"/>
        <v>-89.791554154895096</v>
      </c>
      <c r="AC497" s="23">
        <f t="shared" si="285"/>
        <v>-28.743055459852506</v>
      </c>
      <c r="AD497" s="14">
        <f t="shared" si="269"/>
        <v>89.738254182009257</v>
      </c>
      <c r="AE497" s="14">
        <f t="shared" si="270"/>
        <v>46.80488782958161</v>
      </c>
      <c r="AF497" s="14">
        <f t="shared" si="271"/>
        <v>73.061507942223642</v>
      </c>
      <c r="AG497" s="14">
        <f t="shared" si="272"/>
        <v>10.711850765370741</v>
      </c>
      <c r="AH497" s="14">
        <f t="shared" si="273"/>
        <v>-89.563762364966095</v>
      </c>
      <c r="AI497" s="14">
        <f t="shared" si="274"/>
        <v>-42.368073963002011</v>
      </c>
      <c r="AJ497" s="23">
        <f t="shared" si="286"/>
        <v>73.235999759266804</v>
      </c>
      <c r="AK497" s="23">
        <f t="shared" si="287"/>
        <v>15.148664631950339</v>
      </c>
      <c r="AL497" s="14">
        <f t="shared" si="275"/>
        <v>0</v>
      </c>
      <c r="AM497" s="14">
        <f t="shared" si="276"/>
        <v>0</v>
      </c>
      <c r="AN497" s="14">
        <f t="shared" si="277"/>
        <v>0</v>
      </c>
      <c r="AO497" s="14">
        <f t="shared" si="278"/>
        <v>0</v>
      </c>
      <c r="AP497" s="23">
        <f t="shared" si="288"/>
        <v>0</v>
      </c>
      <c r="AQ497" s="23">
        <f t="shared" si="289"/>
        <v>0</v>
      </c>
    </row>
    <row r="498" spans="8:43" x14ac:dyDescent="0.25">
      <c r="H498" s="14">
        <v>5.95</v>
      </c>
      <c r="I498" s="36">
        <f t="shared" si="279"/>
        <v>8912509.3813374713</v>
      </c>
      <c r="J498" s="24">
        <f t="shared" si="280"/>
        <v>-105.36424031499234</v>
      </c>
      <c r="K498" s="24">
        <f t="shared" si="281"/>
        <v>-87.358959274763038</v>
      </c>
      <c r="L498" s="14">
        <f t="shared" si="255"/>
        <v>0.67018069634200106</v>
      </c>
      <c r="M498" s="14">
        <f t="shared" si="256"/>
        <v>-89.937215321040128</v>
      </c>
      <c r="N498" s="14">
        <f t="shared" si="257"/>
        <v>59.205380828612377</v>
      </c>
      <c r="O498" s="14">
        <f t="shared" si="258"/>
        <v>-89.998571131316183</v>
      </c>
      <c r="P498" s="14">
        <f t="shared" si="259"/>
        <v>-92.062606288975658</v>
      </c>
      <c r="Q498" s="14">
        <f t="shared" si="260"/>
        <v>-89.22837309366615</v>
      </c>
      <c r="R498" s="14">
        <f t="shared" si="261"/>
        <v>-37.414567953808138</v>
      </c>
      <c r="S498" s="23">
        <f t="shared" si="282"/>
        <v>-269.16415954602246</v>
      </c>
      <c r="T498" s="23">
        <f t="shared" si="283"/>
        <v>-73.747955126009273</v>
      </c>
      <c r="U498" s="14">
        <f t="shared" si="262"/>
        <v>20000</v>
      </c>
      <c r="V498" s="14">
        <f t="shared" si="263"/>
        <v>-89.999999534928122</v>
      </c>
      <c r="W498" s="14">
        <f t="shared" si="264"/>
        <v>-161.81205098360641</v>
      </c>
      <c r="X498" s="14">
        <f t="shared" si="265"/>
        <v>89.999069856235792</v>
      </c>
      <c r="Y498" s="14">
        <f t="shared" si="266"/>
        <v>95.791451071471386</v>
      </c>
      <c r="Z498" s="14">
        <f t="shared" si="267"/>
        <v>-89.795369241913306</v>
      </c>
      <c r="AA498" s="14">
        <f t="shared" si="268"/>
        <v>-48.943052850315034</v>
      </c>
      <c r="AB498" s="23">
        <f t="shared" si="284"/>
        <v>-89.796298920605636</v>
      </c>
      <c r="AC498" s="23">
        <f t="shared" si="285"/>
        <v>-28.943052849170435</v>
      </c>
      <c r="AD498" s="14">
        <f t="shared" si="269"/>
        <v>89.744212164144187</v>
      </c>
      <c r="AE498" s="14">
        <f t="shared" si="270"/>
        <v>47.004883750336582</v>
      </c>
      <c r="AF498" s="14">
        <f t="shared" si="271"/>
        <v>73.425697962603493</v>
      </c>
      <c r="AG498" s="14">
        <f t="shared" si="272"/>
        <v>10.895227582256851</v>
      </c>
      <c r="AH498" s="14">
        <f t="shared" si="273"/>
        <v>-89.573691975111927</v>
      </c>
      <c r="AI498" s="14">
        <f t="shared" si="274"/>
        <v>-42.568062632176762</v>
      </c>
      <c r="AJ498" s="23">
        <f t="shared" si="286"/>
        <v>73.596218151635753</v>
      </c>
      <c r="AK498" s="23">
        <f t="shared" si="287"/>
        <v>15.332048700416671</v>
      </c>
      <c r="AL498" s="14">
        <f t="shared" si="275"/>
        <v>0</v>
      </c>
      <c r="AM498" s="14">
        <f t="shared" si="276"/>
        <v>0</v>
      </c>
      <c r="AN498" s="14">
        <f t="shared" si="277"/>
        <v>0</v>
      </c>
      <c r="AO498" s="14">
        <f t="shared" si="278"/>
        <v>0</v>
      </c>
      <c r="AP498" s="23">
        <f t="shared" si="288"/>
        <v>0</v>
      </c>
      <c r="AQ498" s="23">
        <f t="shared" si="289"/>
        <v>0</v>
      </c>
    </row>
    <row r="499" spans="8:43" x14ac:dyDescent="0.25">
      <c r="H499" s="14">
        <v>5.96</v>
      </c>
      <c r="I499" s="36">
        <f t="shared" si="279"/>
        <v>9120108.3935591131</v>
      </c>
      <c r="J499" s="24">
        <f t="shared" si="280"/>
        <v>-105.03454582391362</v>
      </c>
      <c r="K499" s="24">
        <f t="shared" si="281"/>
        <v>-87.574849275489612</v>
      </c>
      <c r="L499" s="14">
        <f t="shared" si="255"/>
        <v>0.67018069634200106</v>
      </c>
      <c r="M499" s="14">
        <f t="shared" si="256"/>
        <v>-89.938644473709374</v>
      </c>
      <c r="N499" s="14">
        <f t="shared" si="257"/>
        <v>59.405380593903068</v>
      </c>
      <c r="O499" s="14">
        <f t="shared" si="258"/>
        <v>-89.998603656338304</v>
      </c>
      <c r="P499" s="14">
        <f t="shared" si="259"/>
        <v>-92.262606288854101</v>
      </c>
      <c r="Q499" s="14">
        <f t="shared" si="260"/>
        <v>-89.245935414682208</v>
      </c>
      <c r="R499" s="14">
        <f t="shared" si="261"/>
        <v>-37.614532504044114</v>
      </c>
      <c r="S499" s="23">
        <f t="shared" si="282"/>
        <v>-269.1831835447299</v>
      </c>
      <c r="T499" s="23">
        <f t="shared" si="283"/>
        <v>-73.947919910833008</v>
      </c>
      <c r="U499" s="14">
        <f t="shared" si="262"/>
        <v>20000</v>
      </c>
      <c r="V499" s="14">
        <f t="shared" si="263"/>
        <v>-89.999999545514441</v>
      </c>
      <c r="W499" s="14">
        <f t="shared" si="264"/>
        <v>-162.01205098360646</v>
      </c>
      <c r="X499" s="14">
        <f t="shared" si="265"/>
        <v>89.999091028892778</v>
      </c>
      <c r="Y499" s="14">
        <f t="shared" si="266"/>
        <v>95.99145107141986</v>
      </c>
      <c r="Z499" s="14">
        <f t="shared" si="267"/>
        <v>-89.800027168377838</v>
      </c>
      <c r="AA499" s="14">
        <f t="shared" si="268"/>
        <v>-49.143050357080057</v>
      </c>
      <c r="AB499" s="23">
        <f t="shared" si="284"/>
        <v>-89.800935684999502</v>
      </c>
      <c r="AC499" s="23">
        <f t="shared" si="285"/>
        <v>-29.143050355987029</v>
      </c>
      <c r="AD499" s="14">
        <f t="shared" si="269"/>
        <v>89.750034531393496</v>
      </c>
      <c r="AE499" s="14">
        <f t="shared" si="270"/>
        <v>47.204879854684251</v>
      </c>
      <c r="AF499" s="14">
        <f t="shared" si="271"/>
        <v>73.782934458903284</v>
      </c>
      <c r="AG499" s="14">
        <f t="shared" si="272"/>
        <v>11.079292947941223</v>
      </c>
      <c r="AH499" s="14">
        <f t="shared" si="273"/>
        <v>-89.583395584480996</v>
      </c>
      <c r="AI499" s="14">
        <f t="shared" si="274"/>
        <v>-42.768051811295052</v>
      </c>
      <c r="AJ499" s="23">
        <f t="shared" si="286"/>
        <v>73.949573405815784</v>
      </c>
      <c r="AK499" s="23">
        <f t="shared" si="287"/>
        <v>15.516120991330425</v>
      </c>
      <c r="AL499" s="14">
        <f t="shared" si="275"/>
        <v>0</v>
      </c>
      <c r="AM499" s="14">
        <f t="shared" si="276"/>
        <v>0</v>
      </c>
      <c r="AN499" s="14">
        <f t="shared" si="277"/>
        <v>0</v>
      </c>
      <c r="AO499" s="14">
        <f t="shared" si="278"/>
        <v>0</v>
      </c>
      <c r="AP499" s="23">
        <f t="shared" si="288"/>
        <v>0</v>
      </c>
      <c r="AQ499" s="23">
        <f t="shared" si="289"/>
        <v>0</v>
      </c>
    </row>
    <row r="500" spans="8:43" x14ac:dyDescent="0.25">
      <c r="H500" s="14">
        <v>5.97</v>
      </c>
      <c r="I500" s="36">
        <f t="shared" si="279"/>
        <v>9332543.0079699252</v>
      </c>
      <c r="J500" s="24">
        <f t="shared" si="280"/>
        <v>-104.71109981221466</v>
      </c>
      <c r="K500" s="24">
        <f t="shared" si="281"/>
        <v>-87.790078880746165</v>
      </c>
      <c r="L500" s="14">
        <f t="shared" si="255"/>
        <v>0.67018069634200106</v>
      </c>
      <c r="M500" s="14">
        <f t="shared" si="256"/>
        <v>-89.940041094965949</v>
      </c>
      <c r="N500" s="14">
        <f t="shared" si="257"/>
        <v>59.605380369757412</v>
      </c>
      <c r="O500" s="14">
        <f t="shared" si="258"/>
        <v>-89.99863544100053</v>
      </c>
      <c r="P500" s="14">
        <f t="shared" si="259"/>
        <v>-92.462606288738002</v>
      </c>
      <c r="Q500" s="14">
        <f t="shared" si="260"/>
        <v>-89.263098105393112</v>
      </c>
      <c r="R500" s="14">
        <f t="shared" si="261"/>
        <v>-37.814498649512174</v>
      </c>
      <c r="S500" s="23">
        <f t="shared" si="282"/>
        <v>-269.20177464135958</v>
      </c>
      <c r="T500" s="23">
        <f t="shared" si="283"/>
        <v>-74.147886280330624</v>
      </c>
      <c r="U500" s="14">
        <f t="shared" si="262"/>
        <v>20000</v>
      </c>
      <c r="V500" s="14">
        <f t="shared" si="263"/>
        <v>-89.999999555859802</v>
      </c>
      <c r="W500" s="14">
        <f t="shared" si="264"/>
        <v>-162.21205098360645</v>
      </c>
      <c r="X500" s="14">
        <f t="shared" si="265"/>
        <v>89.999111719601245</v>
      </c>
      <c r="Y500" s="14">
        <f t="shared" si="266"/>
        <v>96.191451071370665</v>
      </c>
      <c r="Z500" s="14">
        <f t="shared" si="267"/>
        <v>-89.804579070045634</v>
      </c>
      <c r="AA500" s="14">
        <f t="shared" si="268"/>
        <v>-49.343047976057804</v>
      </c>
      <c r="AB500" s="23">
        <f t="shared" si="284"/>
        <v>-89.80546690630419</v>
      </c>
      <c r="AC500" s="23">
        <f t="shared" si="285"/>
        <v>-29.34304797501396</v>
      </c>
      <c r="AD500" s="14">
        <f t="shared" si="269"/>
        <v>89.75572437037215</v>
      </c>
      <c r="AE500" s="14">
        <f t="shared" si="270"/>
        <v>47.404876134361899</v>
      </c>
      <c r="AF500" s="14">
        <f t="shared" si="271"/>
        <v>74.133295700904497</v>
      </c>
      <c r="AG500" s="14">
        <f t="shared" si="272"/>
        <v>11.264020717644602</v>
      </c>
      <c r="AH500" s="14">
        <f t="shared" si="273"/>
        <v>-89.59287833582755</v>
      </c>
      <c r="AI500" s="14">
        <f t="shared" si="274"/>
        <v>-42.968041477408086</v>
      </c>
      <c r="AJ500" s="23">
        <f t="shared" si="286"/>
        <v>74.296141735449112</v>
      </c>
      <c r="AK500" s="23">
        <f t="shared" si="287"/>
        <v>15.700855374598412</v>
      </c>
      <c r="AL500" s="14">
        <f t="shared" si="275"/>
        <v>0</v>
      </c>
      <c r="AM500" s="14">
        <f t="shared" si="276"/>
        <v>0</v>
      </c>
      <c r="AN500" s="14">
        <f t="shared" si="277"/>
        <v>0</v>
      </c>
      <c r="AO500" s="14">
        <f t="shared" si="278"/>
        <v>0</v>
      </c>
      <c r="AP500" s="23">
        <f t="shared" si="288"/>
        <v>0</v>
      </c>
      <c r="AQ500" s="23">
        <f t="shared" si="289"/>
        <v>0</v>
      </c>
    </row>
    <row r="501" spans="8:43" x14ac:dyDescent="0.25">
      <c r="H501" s="14">
        <v>5.98</v>
      </c>
      <c r="I501" s="36">
        <f t="shared" si="279"/>
        <v>9549925.860214375</v>
      </c>
      <c r="J501" s="24">
        <f t="shared" si="280"/>
        <v>-104.39383561857655</v>
      </c>
      <c r="K501" s="24">
        <f t="shared" si="281"/>
        <v>-88.004673346620478</v>
      </c>
      <c r="L501" s="14">
        <f t="shared" si="255"/>
        <v>0.67018069634200106</v>
      </c>
      <c r="M501" s="14">
        <f t="shared" si="256"/>
        <v>-89.941405925310292</v>
      </c>
      <c r="N501" s="14">
        <f t="shared" si="257"/>
        <v>59.805380155699972</v>
      </c>
      <c r="O501" s="14">
        <f t="shared" si="258"/>
        <v>-89.998666502155515</v>
      </c>
      <c r="P501" s="14">
        <f t="shared" si="259"/>
        <v>-92.662606288627131</v>
      </c>
      <c r="Q501" s="14">
        <f t="shared" si="260"/>
        <v>-89.279870253357885</v>
      </c>
      <c r="R501" s="14">
        <f t="shared" si="261"/>
        <v>-38.014466318438814</v>
      </c>
      <c r="S501" s="23">
        <f t="shared" si="282"/>
        <v>-269.21994268082369</v>
      </c>
      <c r="T501" s="23">
        <f t="shared" si="283"/>
        <v>-74.347854163203834</v>
      </c>
      <c r="U501" s="14">
        <f t="shared" si="262"/>
        <v>20000</v>
      </c>
      <c r="V501" s="14">
        <f t="shared" si="263"/>
        <v>-89.999999565969659</v>
      </c>
      <c r="W501" s="14">
        <f t="shared" si="264"/>
        <v>-162.41205098360643</v>
      </c>
      <c r="X501" s="14">
        <f t="shared" si="265"/>
        <v>89.99913193933169</v>
      </c>
      <c r="Y501" s="14">
        <f t="shared" si="266"/>
        <v>96.391451071323672</v>
      </c>
      <c r="Z501" s="14">
        <f t="shared" si="267"/>
        <v>-89.809027360165217</v>
      </c>
      <c r="AA501" s="14">
        <f t="shared" si="268"/>
        <v>-49.543045702197979</v>
      </c>
      <c r="AB501" s="23">
        <f t="shared" si="284"/>
        <v>-89.809894986803187</v>
      </c>
      <c r="AC501" s="23">
        <f t="shared" si="285"/>
        <v>-29.543045701201116</v>
      </c>
      <c r="AD501" s="14">
        <f t="shared" si="269"/>
        <v>89.761284697458905</v>
      </c>
      <c r="AE501" s="14">
        <f t="shared" si="270"/>
        <v>47.604872581478652</v>
      </c>
      <c r="AF501" s="14">
        <f t="shared" si="271"/>
        <v>74.476862606544103</v>
      </c>
      <c r="AG501" s="14">
        <f t="shared" si="272"/>
        <v>11.449385544905519</v>
      </c>
      <c r="AH501" s="14">
        <f t="shared" si="273"/>
        <v>-89.602145254952674</v>
      </c>
      <c r="AI501" s="14">
        <f t="shared" si="274"/>
        <v>-43.168031608599698</v>
      </c>
      <c r="AJ501" s="23">
        <f t="shared" si="286"/>
        <v>74.636002049050333</v>
      </c>
      <c r="AK501" s="23">
        <f t="shared" si="287"/>
        <v>15.886226517784472</v>
      </c>
      <c r="AL501" s="14">
        <f t="shared" si="275"/>
        <v>0</v>
      </c>
      <c r="AM501" s="14">
        <f t="shared" si="276"/>
        <v>0</v>
      </c>
      <c r="AN501" s="14">
        <f t="shared" si="277"/>
        <v>0</v>
      </c>
      <c r="AO501" s="14">
        <f t="shared" si="278"/>
        <v>0</v>
      </c>
      <c r="AP501" s="23">
        <f t="shared" si="288"/>
        <v>0</v>
      </c>
      <c r="AQ501" s="23">
        <f t="shared" si="289"/>
        <v>0</v>
      </c>
    </row>
    <row r="502" spans="8:43" x14ac:dyDescent="0.25">
      <c r="H502" s="14">
        <v>5.99</v>
      </c>
      <c r="I502" s="36">
        <f t="shared" si="279"/>
        <v>9772372.20955812</v>
      </c>
      <c r="J502" s="24">
        <f t="shared" si="280"/>
        <v>-104.08268387877496</v>
      </c>
      <c r="K502" s="24">
        <f t="shared" si="281"/>
        <v>-88.218657143174596</v>
      </c>
      <c r="L502" s="14">
        <f t="shared" si="255"/>
        <v>0.67018069634200106</v>
      </c>
      <c r="M502" s="14">
        <f t="shared" si="256"/>
        <v>-89.942739688387334</v>
      </c>
      <c r="N502" s="14">
        <f t="shared" si="257"/>
        <v>60.00537995127668</v>
      </c>
      <c r="O502" s="14">
        <f t="shared" si="258"/>
        <v>-89.998696856272304</v>
      </c>
      <c r="P502" s="14">
        <f t="shared" si="259"/>
        <v>-92.862606288521249</v>
      </c>
      <c r="Q502" s="14">
        <f t="shared" si="260"/>
        <v>-89.29626073988706</v>
      </c>
      <c r="R502" s="14">
        <f t="shared" si="261"/>
        <v>-38.21443544227877</v>
      </c>
      <c r="S502" s="23">
        <f t="shared" si="282"/>
        <v>-269.2376972845467</v>
      </c>
      <c r="T502" s="23">
        <f t="shared" si="283"/>
        <v>-74.547823491361186</v>
      </c>
      <c r="U502" s="14">
        <f t="shared" si="262"/>
        <v>20000</v>
      </c>
      <c r="V502" s="14">
        <f t="shared" si="263"/>
        <v>-89.999999575849401</v>
      </c>
      <c r="W502" s="14">
        <f t="shared" si="264"/>
        <v>-162.61205098360645</v>
      </c>
      <c r="X502" s="14">
        <f t="shared" si="265"/>
        <v>89.99915169880488</v>
      </c>
      <c r="Y502" s="14">
        <f t="shared" si="266"/>
        <v>96.591451071278826</v>
      </c>
      <c r="Z502" s="14">
        <f t="shared" si="267"/>
        <v>-89.813374397064251</v>
      </c>
      <c r="AA502" s="14">
        <f t="shared" si="268"/>
        <v>-49.743043530677596</v>
      </c>
      <c r="AB502" s="23">
        <f t="shared" si="284"/>
        <v>-89.814222274108772</v>
      </c>
      <c r="AC502" s="23">
        <f t="shared" si="285"/>
        <v>-29.743043529725597</v>
      </c>
      <c r="AD502" s="14">
        <f t="shared" si="269"/>
        <v>89.766718460393605</v>
      </c>
      <c r="AE502" s="14">
        <f t="shared" si="270"/>
        <v>47.804869188498785</v>
      </c>
      <c r="AF502" s="14">
        <f t="shared" si="271"/>
        <v>74.813718472846006</v>
      </c>
      <c r="AG502" s="14">
        <f t="shared" si="272"/>
        <v>11.635362873353303</v>
      </c>
      <c r="AH502" s="14">
        <f t="shared" si="273"/>
        <v>-89.611201253359098</v>
      </c>
      <c r="AI502" s="14">
        <f t="shared" si="274"/>
        <v>-43.368022183939907</v>
      </c>
      <c r="AJ502" s="23">
        <f t="shared" si="286"/>
        <v>74.969235679880512</v>
      </c>
      <c r="AK502" s="23">
        <f t="shared" si="287"/>
        <v>16.072209877912179</v>
      </c>
      <c r="AL502" s="14">
        <f t="shared" si="275"/>
        <v>0</v>
      </c>
      <c r="AM502" s="14">
        <f t="shared" si="276"/>
        <v>0</v>
      </c>
      <c r="AN502" s="14">
        <f t="shared" si="277"/>
        <v>0</v>
      </c>
      <c r="AO502" s="14">
        <f t="shared" si="278"/>
        <v>0</v>
      </c>
      <c r="AP502" s="23">
        <f t="shared" si="288"/>
        <v>0</v>
      </c>
      <c r="AQ502" s="23">
        <f t="shared" si="289"/>
        <v>0</v>
      </c>
    </row>
    <row r="503" spans="8:43" x14ac:dyDescent="0.25">
      <c r="H503" s="14">
        <v>6</v>
      </c>
      <c r="I503" s="36">
        <f t="shared" si="279"/>
        <v>10000000</v>
      </c>
      <c r="J503" s="24">
        <f t="shared" si="280"/>
        <v>-103.77757278983758</v>
      </c>
      <c r="K503" s="24">
        <f t="shared" si="281"/>
        <v>-88.432053963926251</v>
      </c>
      <c r="L503" s="14">
        <f t="shared" si="255"/>
        <v>0.67018069634200106</v>
      </c>
      <c r="M503" s="14">
        <f t="shared" si="256"/>
        <v>-89.944043091370119</v>
      </c>
      <c r="N503" s="14">
        <f t="shared" si="257"/>
        <v>60.205379756053929</v>
      </c>
      <c r="O503" s="14">
        <f t="shared" si="258"/>
        <v>-89.998726519445029</v>
      </c>
      <c r="P503" s="14">
        <f t="shared" si="259"/>
        <v>-93.062606288420127</v>
      </c>
      <c r="Q503" s="14">
        <f t="shared" si="260"/>
        <v>-89.312278244696898</v>
      </c>
      <c r="R503" s="14">
        <f t="shared" si="261"/>
        <v>-38.414405955569919</v>
      </c>
      <c r="S503" s="23">
        <f t="shared" si="282"/>
        <v>-269.25504785551209</v>
      </c>
      <c r="T503" s="23">
        <f t="shared" si="283"/>
        <v>-74.747794199773978</v>
      </c>
      <c r="U503" s="14">
        <f t="shared" si="262"/>
        <v>20000</v>
      </c>
      <c r="V503" s="14">
        <f t="shared" si="263"/>
        <v>-89.999999585504256</v>
      </c>
      <c r="W503" s="14">
        <f t="shared" si="264"/>
        <v>-162.81205098360644</v>
      </c>
      <c r="X503" s="14">
        <f t="shared" si="265"/>
        <v>89.999171008497527</v>
      </c>
      <c r="Y503" s="14">
        <f t="shared" si="266"/>
        <v>96.791451071235954</v>
      </c>
      <c r="Z503" s="14">
        <f t="shared" si="267"/>
        <v>-89.817622485398985</v>
      </c>
      <c r="AA503" s="14">
        <f t="shared" si="268"/>
        <v>-49.943041456890711</v>
      </c>
      <c r="AB503" s="23">
        <f t="shared" si="284"/>
        <v>-89.818451062405714</v>
      </c>
      <c r="AC503" s="23">
        <f t="shared" si="285"/>
        <v>-29.943041455981572</v>
      </c>
      <c r="AD503" s="14">
        <f t="shared" si="269"/>
        <v>89.772028539838104</v>
      </c>
      <c r="AE503" s="14">
        <f t="shared" si="270"/>
        <v>48.004865948225671</v>
      </c>
      <c r="AF503" s="14">
        <f t="shared" si="271"/>
        <v>75.143948719088201</v>
      </c>
      <c r="AG503" s="14">
        <f t="shared" si="272"/>
        <v>11.821928927044219</v>
      </c>
      <c r="AH503" s="14">
        <f t="shared" si="273"/>
        <v>-89.620051130846107</v>
      </c>
      <c r="AI503" s="14">
        <f t="shared" si="274"/>
        <v>-43.568013183440584</v>
      </c>
      <c r="AJ503" s="23">
        <f t="shared" si="286"/>
        <v>75.295926128080211</v>
      </c>
      <c r="AK503" s="23">
        <f t="shared" si="287"/>
        <v>16.258781691829306</v>
      </c>
      <c r="AL503" s="14">
        <f t="shared" si="275"/>
        <v>0</v>
      </c>
      <c r="AM503" s="14">
        <f t="shared" si="276"/>
        <v>0</v>
      </c>
      <c r="AN503" s="14">
        <f t="shared" si="277"/>
        <v>0</v>
      </c>
      <c r="AO503" s="14">
        <f t="shared" si="278"/>
        <v>0</v>
      </c>
      <c r="AP503" s="23">
        <f t="shared" si="288"/>
        <v>0</v>
      </c>
      <c r="AQ503" s="23">
        <f t="shared" si="289"/>
        <v>0</v>
      </c>
    </row>
  </sheetData>
  <mergeCells count="19">
    <mergeCell ref="B42:B43"/>
    <mergeCell ref="B44:B45"/>
    <mergeCell ref="B46:B47"/>
    <mergeCell ref="B40:B41"/>
    <mergeCell ref="A1:A2"/>
    <mergeCell ref="C40:D40"/>
    <mergeCell ref="E40:F40"/>
    <mergeCell ref="AD1:AK1"/>
    <mergeCell ref="AL1:AQ1"/>
    <mergeCell ref="J1:K1"/>
    <mergeCell ref="H1:H2"/>
    <mergeCell ref="I1:I2"/>
    <mergeCell ref="C16:C18"/>
    <mergeCell ref="C3:C6"/>
    <mergeCell ref="C11:C13"/>
    <mergeCell ref="C7:C10"/>
    <mergeCell ref="C14:C15"/>
    <mergeCell ref="L1:T1"/>
    <mergeCell ref="U1:AC1"/>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39A23C-D56A-4328-A664-5F0ACF09AADB}">
  <sheetPr codeName="Sheet3"/>
  <dimension ref="A1:F109"/>
  <sheetViews>
    <sheetView zoomScale="85" zoomScaleNormal="85" workbookViewId="0">
      <selection activeCell="C81" sqref="C81"/>
    </sheetView>
  </sheetViews>
  <sheetFormatPr defaultRowHeight="15" x14ac:dyDescent="0.25"/>
  <cols>
    <col min="1" max="1" width="2.85546875" customWidth="1"/>
    <col min="2" max="2" width="21.28515625" customWidth="1"/>
    <col min="3" max="3" width="14" customWidth="1"/>
    <col min="4" max="4" width="10" customWidth="1"/>
    <col min="5" max="5" width="87.7109375" customWidth="1"/>
    <col min="6" max="6" width="70" customWidth="1"/>
    <col min="7" max="7" width="2.85546875" customWidth="1"/>
  </cols>
  <sheetData>
    <row r="1" spans="1:6" x14ac:dyDescent="0.25">
      <c r="A1" s="180"/>
      <c r="B1" s="180"/>
      <c r="C1" s="180"/>
      <c r="D1" s="180"/>
      <c r="E1" s="180"/>
      <c r="F1" s="180"/>
    </row>
    <row r="2" spans="1:6" x14ac:dyDescent="0.25">
      <c r="B2" s="319" t="s">
        <v>347</v>
      </c>
      <c r="C2" s="319"/>
      <c r="D2" s="319"/>
      <c r="E2" s="319"/>
      <c r="F2" s="319"/>
    </row>
    <row r="3" spans="1:6" x14ac:dyDescent="0.25">
      <c r="B3" s="319"/>
      <c r="C3" s="319"/>
      <c r="D3" s="319"/>
      <c r="E3" s="319"/>
      <c r="F3" s="319"/>
    </row>
    <row r="4" spans="1:6" x14ac:dyDescent="0.25">
      <c r="B4" s="319"/>
      <c r="C4" s="319"/>
      <c r="D4" s="319"/>
      <c r="E4" s="319"/>
      <c r="F4" s="319"/>
    </row>
    <row r="5" spans="1:6" x14ac:dyDescent="0.25">
      <c r="B5" s="320" t="s">
        <v>419</v>
      </c>
      <c r="C5" s="320"/>
      <c r="D5" s="320"/>
      <c r="E5" s="320"/>
      <c r="F5" s="320"/>
    </row>
    <row r="6" spans="1:6" x14ac:dyDescent="0.25">
      <c r="B6" s="319"/>
      <c r="C6" s="319"/>
      <c r="D6" s="319"/>
      <c r="E6" s="319"/>
      <c r="F6" s="319"/>
    </row>
    <row r="7" spans="1:6" x14ac:dyDescent="0.25">
      <c r="C7" s="186"/>
      <c r="D7" s="318" t="s">
        <v>348</v>
      </c>
      <c r="E7" s="318"/>
      <c r="F7" s="318"/>
    </row>
    <row r="8" spans="1:6" x14ac:dyDescent="0.25">
      <c r="C8" s="181"/>
      <c r="D8" s="318" t="s">
        <v>341</v>
      </c>
      <c r="E8" s="318"/>
      <c r="F8" s="318"/>
    </row>
    <row r="10" spans="1:6" x14ac:dyDescent="0.25">
      <c r="B10" s="182" t="s">
        <v>4</v>
      </c>
      <c r="C10" s="182" t="s">
        <v>5</v>
      </c>
      <c r="D10" s="182" t="s">
        <v>6</v>
      </c>
      <c r="E10" s="182" t="s">
        <v>349</v>
      </c>
      <c r="F10" s="321"/>
    </row>
    <row r="11" spans="1:6" x14ac:dyDescent="0.25">
      <c r="B11" s="322" t="s">
        <v>350</v>
      </c>
      <c r="C11" s="323"/>
      <c r="D11" s="323"/>
      <c r="E11" s="324"/>
      <c r="F11" s="321"/>
    </row>
    <row r="12" spans="1:6" x14ac:dyDescent="0.25">
      <c r="B12" s="7" t="s">
        <v>351</v>
      </c>
      <c r="C12" s="67">
        <f>vout</f>
        <v>18</v>
      </c>
      <c r="D12" s="7" t="s">
        <v>7</v>
      </c>
      <c r="E12" s="7" t="s">
        <v>352</v>
      </c>
      <c r="F12" s="321"/>
    </row>
    <row r="13" spans="1:6" x14ac:dyDescent="0.25">
      <c r="B13" s="7" t="s">
        <v>353</v>
      </c>
      <c r="C13" s="67">
        <f>RG+RG_PCB</f>
        <v>0.8</v>
      </c>
      <c r="D13" s="7" t="s">
        <v>88</v>
      </c>
      <c r="E13" s="7" t="s">
        <v>354</v>
      </c>
      <c r="F13" s="321"/>
    </row>
    <row r="14" spans="1:6" x14ac:dyDescent="0.25">
      <c r="B14" s="7" t="s">
        <v>420</v>
      </c>
      <c r="C14" s="7">
        <v>10</v>
      </c>
      <c r="D14" s="7" t="s">
        <v>88</v>
      </c>
      <c r="E14" s="7" t="s">
        <v>428</v>
      </c>
      <c r="F14" s="321"/>
    </row>
    <row r="15" spans="1:6" x14ac:dyDescent="0.25">
      <c r="B15" s="7" t="s">
        <v>421</v>
      </c>
      <c r="C15" s="7">
        <v>5</v>
      </c>
      <c r="D15" s="7" t="s">
        <v>88</v>
      </c>
      <c r="E15" s="7" t="s">
        <v>428</v>
      </c>
      <c r="F15" s="321"/>
    </row>
    <row r="16" spans="1:6" x14ac:dyDescent="0.25">
      <c r="B16" s="7" t="s">
        <v>422</v>
      </c>
      <c r="C16" s="7">
        <v>1.2</v>
      </c>
      <c r="D16" s="7" t="s">
        <v>88</v>
      </c>
      <c r="E16" s="7" t="s">
        <v>428</v>
      </c>
      <c r="F16" s="321"/>
    </row>
    <row r="17" spans="2:6" x14ac:dyDescent="0.25">
      <c r="B17" s="7" t="s">
        <v>423</v>
      </c>
      <c r="C17" s="7">
        <v>0.4</v>
      </c>
      <c r="D17" s="7" t="s">
        <v>88</v>
      </c>
      <c r="E17" s="7" t="s">
        <v>428</v>
      </c>
      <c r="F17" s="321"/>
    </row>
    <row r="18" spans="2:6" x14ac:dyDescent="0.25">
      <c r="B18" s="7" t="s">
        <v>355</v>
      </c>
      <c r="C18" s="67">
        <f>Ciss_0V</f>
        <v>2000</v>
      </c>
      <c r="D18" s="7" t="s">
        <v>25</v>
      </c>
      <c r="E18" s="7" t="s">
        <v>356</v>
      </c>
      <c r="F18" s="321"/>
    </row>
    <row r="19" spans="2:6" x14ac:dyDescent="0.25">
      <c r="B19" s="7" t="s">
        <v>357</v>
      </c>
      <c r="C19" s="67">
        <f>Ciss_Vout</f>
        <v>1800</v>
      </c>
      <c r="D19" s="7" t="s">
        <v>25</v>
      </c>
      <c r="E19" s="7" t="s">
        <v>358</v>
      </c>
      <c r="F19" s="321"/>
    </row>
    <row r="20" spans="2:6" x14ac:dyDescent="0.25">
      <c r="B20" s="7" t="s">
        <v>359</v>
      </c>
      <c r="C20" s="67">
        <f>Crss_0V</f>
        <v>450</v>
      </c>
      <c r="D20" s="7" t="s">
        <v>25</v>
      </c>
      <c r="E20" s="7" t="s">
        <v>360</v>
      </c>
      <c r="F20" s="321"/>
    </row>
    <row r="21" spans="2:6" x14ac:dyDescent="0.25">
      <c r="B21" s="7" t="s">
        <v>361</v>
      </c>
      <c r="C21" s="67">
        <f>Crss_Vout</f>
        <v>40</v>
      </c>
      <c r="D21" s="7" t="s">
        <v>25</v>
      </c>
      <c r="E21" s="7" t="s">
        <v>362</v>
      </c>
      <c r="F21" s="321"/>
    </row>
    <row r="22" spans="2:6" x14ac:dyDescent="0.25">
      <c r="B22" s="7" t="s">
        <v>363</v>
      </c>
      <c r="C22" s="67">
        <f>Vmiller</f>
        <v>2.5</v>
      </c>
      <c r="D22" s="7" t="s">
        <v>7</v>
      </c>
      <c r="E22" s="7" t="s">
        <v>364</v>
      </c>
      <c r="F22" s="321"/>
    </row>
    <row r="23" spans="2:6" x14ac:dyDescent="0.25">
      <c r="B23" s="7" t="s">
        <v>365</v>
      </c>
      <c r="C23" s="67">
        <f>Vgs_th</f>
        <v>1.2</v>
      </c>
      <c r="D23" s="7" t="s">
        <v>7</v>
      </c>
      <c r="E23" s="7" t="s">
        <v>366</v>
      </c>
      <c r="F23" s="321"/>
    </row>
    <row r="24" spans="2:6" x14ac:dyDescent="0.25">
      <c r="B24" s="183" t="s">
        <v>367</v>
      </c>
      <c r="C24" s="7">
        <f>V_CC</f>
        <v>5</v>
      </c>
      <c r="D24" s="7" t="s">
        <v>7</v>
      </c>
      <c r="E24" s="7"/>
      <c r="F24" s="321"/>
    </row>
    <row r="25" spans="2:6" x14ac:dyDescent="0.25">
      <c r="B25" s="322" t="s">
        <v>368</v>
      </c>
      <c r="C25" s="323"/>
      <c r="D25" s="323"/>
      <c r="E25" s="324"/>
      <c r="F25" s="321"/>
    </row>
    <row r="26" spans="2:6" x14ac:dyDescent="0.25">
      <c r="B26" s="322" t="s">
        <v>369</v>
      </c>
      <c r="C26" s="323"/>
      <c r="D26" s="323"/>
      <c r="E26" s="324"/>
      <c r="F26" s="321"/>
    </row>
    <row r="27" spans="2:6" x14ac:dyDescent="0.25">
      <c r="B27" s="7" t="s">
        <v>370</v>
      </c>
      <c r="C27" s="184">
        <f>-(RG+R_pulldown_slow)*Ciss_0V*LN(Vmiller/V_CC)*0.001</f>
        <v>8.0405072944953648</v>
      </c>
      <c r="D27" s="7" t="s">
        <v>208</v>
      </c>
      <c r="E27" s="7" t="s">
        <v>371</v>
      </c>
      <c r="F27" s="321"/>
    </row>
    <row r="28" spans="2:6" x14ac:dyDescent="0.25">
      <c r="B28" s="7" t="s">
        <v>372</v>
      </c>
      <c r="C28" s="184">
        <f>vout*(Crss_0V+Crss_Vout)/2*(RG+R_pullup_fast)/Vmiller*0.001</f>
        <v>3.528</v>
      </c>
      <c r="D28" s="7" t="s">
        <v>208</v>
      </c>
      <c r="E28" s="7" t="s">
        <v>373</v>
      </c>
      <c r="F28" s="321"/>
    </row>
    <row r="29" spans="2:6" x14ac:dyDescent="0.25">
      <c r="B29" s="7" t="s">
        <v>374</v>
      </c>
      <c r="C29" s="184">
        <f>-(RG+R_pulldown_slow)*Ciss_Vout*LN(Vgs_th/Vmiller)*0.001</f>
        <v>7.6626381878372927</v>
      </c>
      <c r="D29" s="7" t="s">
        <v>208</v>
      </c>
      <c r="E29" s="7" t="s">
        <v>375</v>
      </c>
      <c r="F29" s="321"/>
    </row>
    <row r="30" spans="2:6" x14ac:dyDescent="0.25">
      <c r="B30" s="7" t="s">
        <v>429</v>
      </c>
      <c r="C30" s="184">
        <f>SUM(C27:C29)</f>
        <v>19.231145482332657</v>
      </c>
      <c r="D30" s="7" t="s">
        <v>208</v>
      </c>
      <c r="E30" s="7" t="s">
        <v>457</v>
      </c>
      <c r="F30" s="321"/>
    </row>
    <row r="31" spans="2:6" x14ac:dyDescent="0.25">
      <c r="B31" s="7" t="s">
        <v>386</v>
      </c>
      <c r="C31" s="184">
        <f>SUM(C28:C29)</f>
        <v>11.190638187837292</v>
      </c>
      <c r="D31" s="7" t="s">
        <v>208</v>
      </c>
      <c r="E31" s="7" t="s">
        <v>410</v>
      </c>
      <c r="F31" s="321"/>
    </row>
    <row r="32" spans="2:6" x14ac:dyDescent="0.25">
      <c r="B32" s="322" t="s">
        <v>376</v>
      </c>
      <c r="C32" s="323"/>
      <c r="D32" s="323"/>
      <c r="E32" s="324"/>
      <c r="F32" s="321"/>
    </row>
    <row r="33" spans="2:6" x14ac:dyDescent="0.25">
      <c r="B33" s="7" t="s">
        <v>377</v>
      </c>
      <c r="C33" s="184">
        <f>-(RG+R_pullup_fast)*Ciss_Vout*LN(1-Vgs_th/V_CC)*0.001</f>
        <v>0.98797264452633704</v>
      </c>
      <c r="D33" s="7" t="s">
        <v>208</v>
      </c>
      <c r="E33" s="7" t="s">
        <v>378</v>
      </c>
      <c r="F33" s="321"/>
    </row>
    <row r="34" spans="2:6" x14ac:dyDescent="0.25">
      <c r="B34" s="7" t="s">
        <v>379</v>
      </c>
      <c r="C34" s="184">
        <f>-(RG+R_pullup_slow)*Ciss_Vout*LN((Vmiller-V_CC)/(Vgs_th-V_CC))*0.001</f>
        <v>8.1397289096431145</v>
      </c>
      <c r="D34" s="7" t="s">
        <v>208</v>
      </c>
      <c r="E34" s="7" t="s">
        <v>380</v>
      </c>
      <c r="F34" s="321"/>
    </row>
    <row r="35" spans="2:6" x14ac:dyDescent="0.25">
      <c r="B35" s="7" t="s">
        <v>381</v>
      </c>
      <c r="C35" s="184">
        <f>vout*(Crss_0V+Crss_Vout)/2*(RG+R_pullup_fast)/Vmiller*0.001</f>
        <v>3.528</v>
      </c>
      <c r="D35" s="7" t="s">
        <v>208</v>
      </c>
      <c r="E35" s="7" t="s">
        <v>382</v>
      </c>
      <c r="F35" s="321"/>
    </row>
    <row r="36" spans="2:6" x14ac:dyDescent="0.25">
      <c r="B36" s="7" t="s">
        <v>383</v>
      </c>
      <c r="C36" s="184">
        <f>-(RG+R_pullup_slow)*Ciss_0V*LN((0.95*V_CC-V_CC)/(Vmiller-V_CC))*0.001</f>
        <v>49.735838008671379</v>
      </c>
      <c r="D36" s="7" t="s">
        <v>208</v>
      </c>
      <c r="E36" s="7" t="s">
        <v>384</v>
      </c>
      <c r="F36" s="321"/>
    </row>
    <row r="37" spans="2:6" x14ac:dyDescent="0.25">
      <c r="B37" s="7" t="s">
        <v>387</v>
      </c>
      <c r="C37" s="184">
        <f>SUM(C34:C35)</f>
        <v>11.667728909643115</v>
      </c>
      <c r="D37" s="7" t="s">
        <v>208</v>
      </c>
      <c r="E37" s="7" t="s">
        <v>411</v>
      </c>
      <c r="F37" s="321"/>
    </row>
    <row r="38" spans="2:6" x14ac:dyDescent="0.25">
      <c r="B38" s="7"/>
      <c r="C38" s="237"/>
      <c r="D38" s="7"/>
      <c r="E38" s="7"/>
      <c r="F38" s="321"/>
    </row>
    <row r="39" spans="2:6" x14ac:dyDescent="0.25">
      <c r="B39" s="7" t="s">
        <v>385</v>
      </c>
      <c r="C39" s="185" t="str">
        <f>IF(LS_FET_off&lt;30, "Good", "Not good")</f>
        <v>Good</v>
      </c>
      <c r="D39" s="7"/>
      <c r="E39" s="7" t="s">
        <v>412</v>
      </c>
      <c r="F39" s="321"/>
    </row>
    <row r="45" spans="2:6" ht="15.75" x14ac:dyDescent="0.25">
      <c r="B45" s="261" t="s">
        <v>469</v>
      </c>
    </row>
    <row r="46" spans="2:6" x14ac:dyDescent="0.25">
      <c r="B46" t="s">
        <v>466</v>
      </c>
      <c r="C46" t="s">
        <v>413</v>
      </c>
    </row>
    <row r="47" spans="2:6" x14ac:dyDescent="0.25">
      <c r="B47" t="s">
        <v>415</v>
      </c>
    </row>
    <row r="49" spans="2:4" x14ac:dyDescent="0.25">
      <c r="B49" t="s">
        <v>463</v>
      </c>
      <c r="C49">
        <v>19.2</v>
      </c>
      <c r="D49" t="s">
        <v>208</v>
      </c>
    </row>
    <row r="50" spans="2:4" x14ac:dyDescent="0.25">
      <c r="B50" t="s">
        <v>464</v>
      </c>
      <c r="C50">
        <v>19.399999999999999</v>
      </c>
      <c r="D50" t="s">
        <v>208</v>
      </c>
    </row>
    <row r="51" spans="2:4" x14ac:dyDescent="0.25">
      <c r="B51" t="s">
        <v>414</v>
      </c>
      <c r="C51">
        <v>8.9</v>
      </c>
      <c r="D51" t="s">
        <v>208</v>
      </c>
    </row>
    <row r="52" spans="2:4" x14ac:dyDescent="0.25">
      <c r="B52" t="s">
        <v>417</v>
      </c>
      <c r="C52">
        <v>7.6</v>
      </c>
      <c r="D52" t="s">
        <v>208</v>
      </c>
    </row>
    <row r="53" spans="2:4" x14ac:dyDescent="0.25">
      <c r="B53" t="s">
        <v>416</v>
      </c>
      <c r="C53">
        <v>9.8000000000000007</v>
      </c>
      <c r="D53" t="s">
        <v>208</v>
      </c>
    </row>
    <row r="54" spans="2:4" x14ac:dyDescent="0.25">
      <c r="B54" t="s">
        <v>418</v>
      </c>
      <c r="C54">
        <v>9.4</v>
      </c>
      <c r="D54" t="s">
        <v>208</v>
      </c>
    </row>
    <row r="75" spans="2:4" x14ac:dyDescent="0.25">
      <c r="B75" t="s">
        <v>467</v>
      </c>
      <c r="C75" t="s">
        <v>461</v>
      </c>
    </row>
    <row r="76" spans="2:4" x14ac:dyDescent="0.25">
      <c r="B76" t="s">
        <v>415</v>
      </c>
    </row>
    <row r="78" spans="2:4" x14ac:dyDescent="0.25">
      <c r="B78" t="s">
        <v>463</v>
      </c>
      <c r="C78">
        <v>28.63</v>
      </c>
      <c r="D78" t="s">
        <v>208</v>
      </c>
    </row>
    <row r="79" spans="2:4" x14ac:dyDescent="0.25">
      <c r="B79" t="s">
        <v>464</v>
      </c>
      <c r="C79">
        <v>21.93</v>
      </c>
      <c r="D79" t="s">
        <v>208</v>
      </c>
    </row>
    <row r="80" spans="2:4" x14ac:dyDescent="0.25">
      <c r="B80" t="s">
        <v>414</v>
      </c>
      <c r="C80">
        <v>22.66</v>
      </c>
      <c r="D80" t="s">
        <v>208</v>
      </c>
    </row>
    <row r="81" spans="2:4" x14ac:dyDescent="0.25">
      <c r="B81" t="s">
        <v>417</v>
      </c>
      <c r="C81">
        <v>9.58</v>
      </c>
      <c r="D81" t="s">
        <v>208</v>
      </c>
    </row>
    <row r="82" spans="2:4" x14ac:dyDescent="0.25">
      <c r="B82" t="s">
        <v>416</v>
      </c>
      <c r="C82">
        <v>28.5</v>
      </c>
      <c r="D82" t="s">
        <v>208</v>
      </c>
    </row>
    <row r="83" spans="2:4" x14ac:dyDescent="0.25">
      <c r="B83" t="s">
        <v>462</v>
      </c>
      <c r="C83">
        <v>27.5</v>
      </c>
      <c r="D83" t="s">
        <v>208</v>
      </c>
    </row>
    <row r="101" spans="2:4" x14ac:dyDescent="0.25">
      <c r="B101" t="s">
        <v>468</v>
      </c>
      <c r="C101" t="s">
        <v>465</v>
      </c>
    </row>
    <row r="102" spans="2:4" x14ac:dyDescent="0.25">
      <c r="B102" t="s">
        <v>415</v>
      </c>
    </row>
    <row r="104" spans="2:4" x14ac:dyDescent="0.25">
      <c r="B104" t="s">
        <v>463</v>
      </c>
      <c r="C104">
        <v>45.3</v>
      </c>
      <c r="D104" t="s">
        <v>208</v>
      </c>
    </row>
    <row r="105" spans="2:4" x14ac:dyDescent="0.25">
      <c r="B105" t="s">
        <v>464</v>
      </c>
      <c r="C105">
        <v>39.5</v>
      </c>
      <c r="D105" t="s">
        <v>208</v>
      </c>
    </row>
    <row r="106" spans="2:4" x14ac:dyDescent="0.25">
      <c r="B106" t="s">
        <v>414</v>
      </c>
      <c r="C106">
        <v>30.3</v>
      </c>
      <c r="D106" t="s">
        <v>208</v>
      </c>
    </row>
    <row r="107" spans="2:4" x14ac:dyDescent="0.25">
      <c r="B107" t="s">
        <v>417</v>
      </c>
      <c r="C107">
        <v>18.100000000000001</v>
      </c>
      <c r="D107" t="s">
        <v>208</v>
      </c>
    </row>
    <row r="108" spans="2:4" x14ac:dyDescent="0.25">
      <c r="B108" t="s">
        <v>416</v>
      </c>
      <c r="C108">
        <v>34</v>
      </c>
      <c r="D108" t="s">
        <v>208</v>
      </c>
    </row>
    <row r="109" spans="2:4" x14ac:dyDescent="0.25">
      <c r="B109" t="s">
        <v>462</v>
      </c>
      <c r="C109">
        <v>52.3</v>
      </c>
      <c r="D109" t="s">
        <v>208</v>
      </c>
    </row>
  </sheetData>
  <mergeCells count="12">
    <mergeCell ref="D8:F8"/>
    <mergeCell ref="F10:F39"/>
    <mergeCell ref="B11:E11"/>
    <mergeCell ref="B25:E25"/>
    <mergeCell ref="B26:E26"/>
    <mergeCell ref="B32:E32"/>
    <mergeCell ref="D7:F7"/>
    <mergeCell ref="B2:F2"/>
    <mergeCell ref="B3:F3"/>
    <mergeCell ref="B4:F4"/>
    <mergeCell ref="B5:F5"/>
    <mergeCell ref="B6:F6"/>
  </mergeCells>
  <conditionalFormatting sqref="C39">
    <cfRule type="cellIs" dxfId="1" priority="1" operator="equal">
      <formula>"Not good"</formula>
    </cfRule>
    <cfRule type="cellIs" dxfId="0" priority="2" operator="equal">
      <formula>"Good"</formula>
    </cfRule>
  </conditionalFormatting>
  <pageMargins left="0.7" right="0.7" top="0.75" bottom="0.75" header="0.3" footer="0.3"/>
  <pageSetup paperSize="9"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187673-8719-4AB8-B72E-DC72DCF85AEC}">
  <sheetPr codeName="Sheet4"/>
  <dimension ref="A1:R126"/>
  <sheetViews>
    <sheetView zoomScaleNormal="100" workbookViewId="0">
      <selection activeCell="B31" sqref="B31"/>
    </sheetView>
  </sheetViews>
  <sheetFormatPr defaultRowHeight="15" x14ac:dyDescent="0.25"/>
  <cols>
    <col min="1" max="1" width="54.7109375" customWidth="1"/>
    <col min="2" max="2" width="16.85546875" customWidth="1"/>
    <col min="3" max="3" width="11.42578125" style="46" customWidth="1"/>
    <col min="4" max="4" width="12.7109375" customWidth="1"/>
    <col min="5" max="5" width="29.140625" customWidth="1"/>
    <col min="6" max="6" width="11.28515625" customWidth="1"/>
    <col min="7" max="7" width="16.7109375" customWidth="1"/>
    <col min="8" max="8" width="12.28515625" customWidth="1"/>
    <col min="9" max="9" width="13.85546875" customWidth="1"/>
    <col min="10" max="10" width="13" customWidth="1"/>
    <col min="11" max="11" width="12.7109375" customWidth="1"/>
    <col min="18" max="18" width="3.28515625" customWidth="1"/>
  </cols>
  <sheetData>
    <row r="1" spans="1:18" ht="14.65" customHeight="1" x14ac:dyDescent="0.25">
      <c r="A1" s="316" t="s">
        <v>178</v>
      </c>
      <c r="B1" s="316"/>
      <c r="C1" s="316"/>
      <c r="D1" s="44"/>
      <c r="E1" s="44"/>
      <c r="F1" s="21"/>
      <c r="G1" s="44"/>
      <c r="H1" s="44"/>
      <c r="I1" s="44"/>
      <c r="J1" s="44"/>
    </row>
    <row r="2" spans="1:18" ht="14.65" customHeight="1" thickBot="1" x14ac:dyDescent="0.3">
      <c r="A2" s="316"/>
      <c r="B2" s="316"/>
      <c r="C2" s="316"/>
      <c r="D2" s="44"/>
      <c r="E2" s="44"/>
      <c r="F2" s="44"/>
      <c r="G2" s="44"/>
    </row>
    <row r="3" spans="1:18" ht="19.899999999999999" customHeight="1" thickBot="1" x14ac:dyDescent="0.3">
      <c r="A3" s="57"/>
      <c r="B3" s="57"/>
      <c r="C3" s="57"/>
      <c r="D3" s="55"/>
      <c r="E3" s="60" t="s">
        <v>295</v>
      </c>
      <c r="F3" s="56"/>
      <c r="G3" s="58" t="s">
        <v>276</v>
      </c>
      <c r="H3" s="1"/>
      <c r="I3" s="1"/>
      <c r="J3" s="1"/>
      <c r="K3" s="1"/>
      <c r="L3" s="1"/>
      <c r="M3" s="1"/>
      <c r="N3" s="1"/>
      <c r="O3" s="1"/>
      <c r="P3" s="1"/>
      <c r="Q3" s="1"/>
      <c r="R3" s="1"/>
    </row>
    <row r="4" spans="1:18" ht="14.65" customHeight="1" x14ac:dyDescent="0.25">
      <c r="A4" s="286" t="s">
        <v>182</v>
      </c>
      <c r="B4" s="287"/>
      <c r="C4" s="288"/>
      <c r="D4" s="72"/>
      <c r="E4" s="72"/>
      <c r="F4" s="72"/>
      <c r="G4" s="72"/>
      <c r="H4" s="6"/>
      <c r="I4" s="6"/>
      <c r="J4" s="6"/>
      <c r="K4" s="6"/>
      <c r="L4" s="6"/>
      <c r="M4" s="6"/>
      <c r="N4" s="6"/>
      <c r="O4" s="6"/>
      <c r="P4" s="6"/>
      <c r="Q4" s="6"/>
      <c r="R4" s="1"/>
    </row>
    <row r="5" spans="1:18" ht="14.65" customHeight="1" x14ac:dyDescent="0.25">
      <c r="A5" s="16" t="s">
        <v>4</v>
      </c>
      <c r="B5" s="16" t="s">
        <v>5</v>
      </c>
      <c r="C5" s="17" t="s">
        <v>6</v>
      </c>
      <c r="D5" s="72"/>
      <c r="E5" s="72"/>
      <c r="F5" s="72"/>
      <c r="G5" s="72"/>
      <c r="H5" s="6"/>
      <c r="I5" s="6"/>
      <c r="J5" s="6"/>
      <c r="K5" s="6"/>
      <c r="L5" s="6"/>
      <c r="M5" s="6"/>
      <c r="N5" s="6"/>
      <c r="O5" s="6"/>
      <c r="P5" s="6"/>
      <c r="Q5" s="6"/>
      <c r="R5" s="1"/>
    </row>
    <row r="6" spans="1:18" ht="14.65" customHeight="1" x14ac:dyDescent="0.25">
      <c r="A6" s="8" t="s">
        <v>29</v>
      </c>
      <c r="B6" s="64">
        <f>vin_nom</f>
        <v>3.6</v>
      </c>
      <c r="C6" s="14" t="s">
        <v>7</v>
      </c>
      <c r="D6" s="72"/>
      <c r="E6" s="72"/>
      <c r="F6" s="72"/>
      <c r="G6" s="72"/>
      <c r="H6" s="6"/>
      <c r="I6" s="6"/>
      <c r="J6" s="6"/>
      <c r="K6" s="6"/>
      <c r="L6" s="6"/>
      <c r="M6" s="6"/>
      <c r="N6" s="6"/>
      <c r="O6" s="6"/>
      <c r="P6" s="6"/>
      <c r="Q6" s="6"/>
      <c r="R6" s="1"/>
    </row>
    <row r="7" spans="1:18" ht="14.65" customHeight="1" x14ac:dyDescent="0.25">
      <c r="A7" s="8" t="s">
        <v>31</v>
      </c>
      <c r="B7" s="64">
        <f>vout</f>
        <v>18</v>
      </c>
      <c r="C7" s="14" t="s">
        <v>7</v>
      </c>
      <c r="D7" s="72"/>
      <c r="E7" s="72"/>
      <c r="F7" s="72"/>
      <c r="G7" s="72"/>
      <c r="H7" s="6"/>
      <c r="I7" s="6"/>
      <c r="J7" s="6"/>
      <c r="K7" s="6"/>
      <c r="L7" s="6"/>
      <c r="M7" s="6"/>
      <c r="N7" s="6"/>
      <c r="O7" s="6"/>
      <c r="P7" s="6"/>
      <c r="Q7" s="6"/>
      <c r="R7" s="1"/>
    </row>
    <row r="8" spans="1:18" ht="14.65" customHeight="1" x14ac:dyDescent="0.25">
      <c r="A8" s="8" t="s">
        <v>183</v>
      </c>
      <c r="B8" s="64">
        <f>iout_actual_max</f>
        <v>2</v>
      </c>
      <c r="C8" s="14" t="s">
        <v>8</v>
      </c>
      <c r="D8" s="72"/>
      <c r="E8" s="72"/>
      <c r="F8" s="72"/>
      <c r="G8" s="72"/>
      <c r="H8" s="6"/>
      <c r="I8" s="6"/>
      <c r="J8" s="6"/>
      <c r="K8" s="6"/>
      <c r="L8" s="6"/>
      <c r="M8" s="6"/>
      <c r="N8" s="6"/>
      <c r="O8" s="6"/>
      <c r="P8" s="6"/>
      <c r="Q8" s="6"/>
      <c r="R8" s="1"/>
    </row>
    <row r="9" spans="1:18" ht="14.65" customHeight="1" x14ac:dyDescent="0.25">
      <c r="A9" s="8" t="s">
        <v>184</v>
      </c>
      <c r="B9" s="48" t="s">
        <v>408</v>
      </c>
      <c r="C9" s="47" t="s">
        <v>12</v>
      </c>
      <c r="D9" s="72"/>
      <c r="E9" s="72"/>
      <c r="F9" s="72"/>
      <c r="G9" s="72"/>
      <c r="H9" s="6"/>
      <c r="I9" s="6"/>
      <c r="J9" s="6"/>
      <c r="K9" s="6"/>
      <c r="L9" s="6"/>
      <c r="M9" s="6"/>
      <c r="N9" s="6"/>
      <c r="O9" s="6"/>
      <c r="P9" s="6"/>
      <c r="Q9" s="6"/>
      <c r="R9" s="1"/>
    </row>
    <row r="10" spans="1:18" ht="14.65" customHeight="1" x14ac:dyDescent="0.25">
      <c r="A10" s="326"/>
      <c r="B10" s="326"/>
      <c r="C10" s="326"/>
      <c r="D10" s="72"/>
      <c r="E10" s="72"/>
      <c r="F10" s="72"/>
      <c r="G10" s="72"/>
      <c r="H10" s="6"/>
      <c r="I10" s="6"/>
      <c r="J10" s="6"/>
      <c r="K10" s="6"/>
      <c r="L10" s="6"/>
      <c r="M10" s="6"/>
      <c r="N10" s="6"/>
      <c r="O10" s="6"/>
      <c r="P10" s="6"/>
      <c r="Q10" s="6"/>
      <c r="R10" s="1"/>
    </row>
    <row r="11" spans="1:18" ht="15.75" x14ac:dyDescent="0.25">
      <c r="A11" s="302" t="s">
        <v>180</v>
      </c>
      <c r="B11" s="302"/>
      <c r="C11" s="302"/>
      <c r="D11" s="6"/>
      <c r="E11" s="6"/>
      <c r="F11" s="6"/>
      <c r="G11" s="6"/>
      <c r="H11" s="6"/>
      <c r="I11" s="6"/>
      <c r="J11" s="6"/>
      <c r="K11" s="6"/>
      <c r="L11" s="6"/>
      <c r="M11" s="6"/>
      <c r="N11" s="6"/>
      <c r="O11" s="6"/>
      <c r="P11" s="6"/>
      <c r="Q11" s="6"/>
      <c r="R11" s="1"/>
    </row>
    <row r="12" spans="1:18" x14ac:dyDescent="0.25">
      <c r="A12" s="8" t="s">
        <v>277</v>
      </c>
      <c r="B12" s="8">
        <f>P_loss_inductor_total</f>
        <v>990.02643844767056</v>
      </c>
      <c r="C12" s="14" t="s">
        <v>27</v>
      </c>
      <c r="D12" s="6"/>
      <c r="E12" s="6"/>
      <c r="F12" s="6"/>
      <c r="G12" s="6"/>
      <c r="H12" s="6"/>
      <c r="I12" s="6"/>
      <c r="J12" s="6"/>
      <c r="K12" s="6"/>
      <c r="L12" s="6"/>
      <c r="M12" s="6"/>
      <c r="N12" s="6"/>
      <c r="O12" s="6"/>
      <c r="P12" s="6"/>
      <c r="Q12" s="6"/>
      <c r="R12" s="1"/>
    </row>
    <row r="13" spans="1:18" x14ac:dyDescent="0.25">
      <c r="A13" s="8" t="s">
        <v>278</v>
      </c>
      <c r="B13" s="8">
        <f>P_loss_FET_Rdson</f>
        <v>1168.3279277391975</v>
      </c>
      <c r="C13" s="14" t="s">
        <v>27</v>
      </c>
      <c r="D13" s="6"/>
      <c r="E13" s="6"/>
      <c r="F13" s="6"/>
      <c r="G13" s="6"/>
      <c r="H13" s="6"/>
      <c r="I13" s="6"/>
      <c r="J13" s="6"/>
      <c r="K13" s="6"/>
      <c r="L13" s="6"/>
      <c r="M13" s="6"/>
      <c r="N13" s="6"/>
      <c r="O13" s="6"/>
      <c r="P13" s="6"/>
      <c r="Q13" s="6"/>
      <c r="R13" s="1"/>
    </row>
    <row r="14" spans="1:18" x14ac:dyDescent="0.25">
      <c r="A14" s="8" t="s">
        <v>279</v>
      </c>
      <c r="B14" s="8">
        <f>P_loss_LS_switching</f>
        <v>763.34959556286935</v>
      </c>
      <c r="C14" s="14" t="s">
        <v>27</v>
      </c>
      <c r="D14" s="6"/>
      <c r="E14" s="6"/>
      <c r="F14" s="6"/>
      <c r="G14" s="6"/>
      <c r="H14" s="6"/>
      <c r="I14" s="6"/>
      <c r="J14" s="6"/>
      <c r="K14" s="6"/>
      <c r="L14" s="6"/>
      <c r="M14" s="6"/>
      <c r="N14" s="6"/>
      <c r="O14" s="6"/>
      <c r="P14" s="6"/>
      <c r="Q14" s="6"/>
      <c r="R14" s="1"/>
    </row>
    <row r="15" spans="1:18" x14ac:dyDescent="0.25">
      <c r="A15" s="8" t="s">
        <v>280</v>
      </c>
      <c r="B15" s="8">
        <f>P_loss_FET_driving</f>
        <v>25.7056</v>
      </c>
      <c r="C15" s="14" t="s">
        <v>27</v>
      </c>
      <c r="D15" s="6"/>
      <c r="E15" s="6"/>
      <c r="F15" s="6"/>
      <c r="G15" s="6"/>
      <c r="H15" s="6"/>
      <c r="I15" s="6"/>
      <c r="J15" s="6"/>
      <c r="K15" s="6"/>
      <c r="L15" s="6"/>
      <c r="M15" s="6"/>
      <c r="N15" s="6"/>
      <c r="O15" s="6"/>
      <c r="P15" s="6"/>
      <c r="Q15" s="6"/>
      <c r="R15" s="1"/>
    </row>
    <row r="16" spans="1:18" x14ac:dyDescent="0.25">
      <c r="A16" s="8" t="s">
        <v>281</v>
      </c>
      <c r="B16" s="8">
        <f>P_loss_FET_out</f>
        <v>72.576000000000008</v>
      </c>
      <c r="C16" s="14" t="s">
        <v>27</v>
      </c>
      <c r="D16" s="6"/>
      <c r="E16" s="6"/>
      <c r="F16" s="6"/>
      <c r="G16" s="6"/>
      <c r="H16" s="6"/>
      <c r="I16" s="6"/>
      <c r="J16" s="6"/>
      <c r="K16" s="6"/>
      <c r="L16" s="6"/>
      <c r="M16" s="6"/>
      <c r="N16" s="6"/>
      <c r="O16" s="6"/>
      <c r="P16" s="6"/>
      <c r="Q16" s="6"/>
      <c r="R16" s="1"/>
    </row>
    <row r="17" spans="1:18" x14ac:dyDescent="0.25">
      <c r="A17" s="8" t="s">
        <v>282</v>
      </c>
      <c r="B17" s="8">
        <f>P_loss_VCC</f>
        <v>74.88</v>
      </c>
      <c r="C17" s="14" t="s">
        <v>27</v>
      </c>
      <c r="D17" s="6"/>
      <c r="E17" s="6"/>
      <c r="F17" s="6"/>
      <c r="G17" s="6"/>
      <c r="H17" s="6"/>
      <c r="I17" s="6"/>
      <c r="J17" s="6"/>
      <c r="K17" s="6"/>
      <c r="L17" s="6"/>
      <c r="M17" s="6"/>
      <c r="N17" s="6"/>
      <c r="O17" s="6"/>
      <c r="P17" s="6"/>
      <c r="Q17" s="6"/>
      <c r="R17" s="1"/>
    </row>
    <row r="18" spans="1:18" x14ac:dyDescent="0.25">
      <c r="A18" s="8" t="s">
        <v>283</v>
      </c>
      <c r="B18" s="8">
        <f>P_loss_FET_dead</f>
        <v>222.68305454545455</v>
      </c>
      <c r="C18" s="14" t="s">
        <v>27</v>
      </c>
      <c r="D18" s="6"/>
      <c r="E18" s="6"/>
      <c r="F18" s="6"/>
      <c r="G18" s="6"/>
      <c r="H18" s="6"/>
      <c r="I18" s="6"/>
      <c r="J18" s="6"/>
      <c r="K18" s="6"/>
      <c r="L18" s="6"/>
      <c r="M18" s="6"/>
      <c r="N18" s="6"/>
      <c r="O18" s="6"/>
      <c r="P18" s="6"/>
      <c r="Q18" s="6"/>
      <c r="R18" s="1"/>
    </row>
    <row r="19" spans="1:18" x14ac:dyDescent="0.25">
      <c r="A19" s="8" t="s">
        <v>284</v>
      </c>
      <c r="B19" s="8">
        <f>P_loss_diode_rr</f>
        <v>5.76</v>
      </c>
      <c r="C19" s="14" t="s">
        <v>27</v>
      </c>
      <c r="D19" s="6"/>
      <c r="E19" s="6"/>
      <c r="F19" s="6"/>
      <c r="G19" s="6"/>
      <c r="H19" s="6"/>
      <c r="I19" s="6"/>
      <c r="J19" s="6"/>
      <c r="K19" s="6"/>
      <c r="L19" s="6"/>
      <c r="M19" s="6"/>
      <c r="N19" s="6"/>
      <c r="O19" s="6"/>
      <c r="P19" s="6"/>
      <c r="Q19" s="6"/>
      <c r="R19" s="1"/>
    </row>
    <row r="20" spans="1:18" x14ac:dyDescent="0.25">
      <c r="A20" s="8" t="s">
        <v>285</v>
      </c>
      <c r="B20" s="8">
        <f>P_loss_quiescent</f>
        <v>3.7907999999999999</v>
      </c>
      <c r="C20" s="14" t="s">
        <v>27</v>
      </c>
      <c r="D20" s="6"/>
      <c r="E20" s="6"/>
      <c r="F20" s="6"/>
      <c r="G20" s="6"/>
      <c r="H20" s="6"/>
      <c r="I20" s="6"/>
      <c r="J20" s="6"/>
      <c r="K20" s="6"/>
      <c r="L20" s="6"/>
      <c r="M20" s="6"/>
      <c r="N20" s="6"/>
      <c r="O20" s="6"/>
      <c r="P20" s="6"/>
      <c r="Q20" s="6"/>
      <c r="R20" s="1"/>
    </row>
    <row r="21" spans="1:18" x14ac:dyDescent="0.25">
      <c r="A21" s="8" t="s">
        <v>286</v>
      </c>
      <c r="B21" s="8">
        <f>P_loss_fb_res</f>
        <v>1.2587412587412585</v>
      </c>
      <c r="C21" s="14" t="s">
        <v>27</v>
      </c>
      <c r="D21" s="6"/>
      <c r="E21" s="6"/>
      <c r="F21" s="6"/>
      <c r="G21" s="6"/>
      <c r="H21" s="6"/>
      <c r="I21" s="6"/>
      <c r="J21" s="6"/>
      <c r="K21" s="6"/>
      <c r="L21" s="6"/>
      <c r="M21" s="6"/>
      <c r="N21" s="6"/>
      <c r="O21" s="6"/>
      <c r="P21" s="6"/>
      <c r="Q21" s="6"/>
      <c r="R21" s="1"/>
    </row>
    <row r="22" spans="1:18" x14ac:dyDescent="0.25">
      <c r="A22" s="9" t="s">
        <v>179</v>
      </c>
      <c r="B22" s="8">
        <f>SUM(B12:B21)</f>
        <v>3328.3581575539338</v>
      </c>
      <c r="C22" s="14" t="s">
        <v>27</v>
      </c>
      <c r="D22" s="6"/>
      <c r="E22" s="6"/>
      <c r="F22" s="6"/>
      <c r="G22" s="6"/>
      <c r="H22" s="6"/>
      <c r="I22" s="6"/>
      <c r="J22" s="6"/>
      <c r="K22" s="6"/>
      <c r="L22" s="6"/>
      <c r="M22" s="6"/>
      <c r="N22" s="6"/>
      <c r="O22" s="6"/>
      <c r="P22" s="6"/>
      <c r="Q22" s="6"/>
      <c r="R22" s="1"/>
    </row>
    <row r="23" spans="1:18" x14ac:dyDescent="0.25">
      <c r="A23" s="9" t="s">
        <v>181</v>
      </c>
      <c r="B23" s="8">
        <f>(vout*iout_actual_max)/(vout*iout_actual_max+B22/1000)*100</f>
        <v>91.537002017170039</v>
      </c>
      <c r="C23" s="14" t="s">
        <v>9</v>
      </c>
      <c r="D23" s="6"/>
      <c r="E23" s="6"/>
      <c r="F23" s="6"/>
      <c r="G23" s="6"/>
      <c r="H23" s="6"/>
      <c r="I23" s="6"/>
      <c r="J23" s="6"/>
      <c r="K23" s="6"/>
      <c r="L23" s="6"/>
      <c r="M23" s="6"/>
      <c r="N23" s="6"/>
      <c r="O23" s="6"/>
      <c r="P23" s="6"/>
      <c r="Q23" s="6"/>
      <c r="R23" s="1"/>
    </row>
    <row r="24" spans="1:18" x14ac:dyDescent="0.25">
      <c r="A24" s="6"/>
      <c r="B24" s="6"/>
      <c r="C24" s="45"/>
      <c r="D24" s="6"/>
      <c r="E24" s="6"/>
      <c r="F24" s="6"/>
      <c r="G24" s="6"/>
      <c r="H24" s="6"/>
      <c r="I24" s="6"/>
      <c r="J24" s="6"/>
      <c r="K24" s="6"/>
      <c r="L24" s="6"/>
      <c r="M24" s="6"/>
      <c r="N24" s="6"/>
      <c r="O24" s="6"/>
      <c r="P24" s="6"/>
      <c r="Q24" s="6"/>
      <c r="R24" s="1"/>
    </row>
    <row r="25" spans="1:18" ht="15.75" x14ac:dyDescent="0.25">
      <c r="A25" s="325" t="s">
        <v>185</v>
      </c>
      <c r="B25" s="325"/>
      <c r="C25" s="325"/>
      <c r="D25" s="5"/>
      <c r="E25" s="5"/>
      <c r="F25" s="5"/>
      <c r="G25" s="5"/>
      <c r="H25" s="5"/>
      <c r="I25" s="5"/>
      <c r="J25" s="5"/>
      <c r="K25" s="5"/>
      <c r="L25" s="5"/>
      <c r="M25" s="5"/>
      <c r="N25" s="5"/>
      <c r="O25" s="5"/>
      <c r="P25" s="5"/>
      <c r="Q25" s="5"/>
      <c r="R25" s="1"/>
    </row>
    <row r="26" spans="1:18" ht="18" x14ac:dyDescent="0.25">
      <c r="A26" s="8" t="s">
        <v>345</v>
      </c>
      <c r="B26" s="64">
        <f>iL_rms_act_nom</f>
        <v>11.140377191389527</v>
      </c>
      <c r="C26" s="14" t="s">
        <v>8</v>
      </c>
      <c r="D26" s="6"/>
      <c r="E26" s="6"/>
      <c r="F26" s="6"/>
      <c r="G26" s="6"/>
      <c r="H26" s="6"/>
      <c r="I26" s="6"/>
      <c r="J26" s="6"/>
      <c r="K26" s="6"/>
      <c r="L26" s="6"/>
      <c r="M26" s="6"/>
      <c r="N26" s="6"/>
      <c r="O26" s="6"/>
      <c r="P26" s="6"/>
      <c r="Q26" s="6"/>
      <c r="R26" s="1"/>
    </row>
    <row r="27" spans="1:18" ht="18" x14ac:dyDescent="0.25">
      <c r="A27" s="8" t="s">
        <v>186</v>
      </c>
      <c r="B27" s="64">
        <f>iL_p2p_act_max</f>
        <v>3.142045454545455</v>
      </c>
      <c r="C27" s="14" t="s">
        <v>8</v>
      </c>
      <c r="D27" s="6"/>
      <c r="E27" s="6"/>
      <c r="F27" s="6"/>
      <c r="G27" s="6"/>
      <c r="H27" s="6"/>
      <c r="I27" s="6"/>
      <c r="J27" s="6"/>
      <c r="K27" s="6"/>
      <c r="L27" s="6"/>
      <c r="M27" s="6"/>
      <c r="N27" s="6"/>
      <c r="O27" s="6"/>
      <c r="P27" s="6"/>
      <c r="Q27" s="6"/>
      <c r="R27" s="1"/>
    </row>
    <row r="28" spans="1:18" ht="18" x14ac:dyDescent="0.25">
      <c r="A28" s="8" t="s">
        <v>187</v>
      </c>
      <c r="B28" s="48">
        <f>RL_dc</f>
        <v>7.5</v>
      </c>
      <c r="C28" s="14" t="s">
        <v>16</v>
      </c>
      <c r="D28" s="6"/>
      <c r="E28" s="6"/>
      <c r="F28" s="6"/>
      <c r="G28" s="6"/>
      <c r="H28" s="6"/>
      <c r="I28" s="6"/>
      <c r="J28" s="6"/>
      <c r="K28" s="6"/>
      <c r="L28" s="6"/>
      <c r="M28" s="6"/>
      <c r="N28" s="6"/>
      <c r="O28" s="6"/>
      <c r="P28" s="6"/>
      <c r="Q28" s="6"/>
      <c r="R28" s="1"/>
    </row>
    <row r="29" spans="1:18" ht="18" x14ac:dyDescent="0.25">
      <c r="A29" s="9" t="s">
        <v>303</v>
      </c>
      <c r="B29" s="8">
        <f>0.00381*(f*1000000)^1.011*(0.00504*iL_p2p_act_nom)^2.363*1000</f>
        <v>59.21640869943058</v>
      </c>
      <c r="C29" s="14" t="s">
        <v>27</v>
      </c>
      <c r="D29" s="6"/>
      <c r="E29" s="6"/>
      <c r="F29" s="6"/>
      <c r="G29" s="6"/>
      <c r="H29" s="6"/>
      <c r="I29" s="6"/>
      <c r="J29" s="6"/>
      <c r="K29" s="6"/>
      <c r="L29" s="6"/>
      <c r="M29" s="6"/>
      <c r="N29" s="6"/>
      <c r="O29" s="6"/>
      <c r="P29" s="6"/>
      <c r="Q29" s="6"/>
      <c r="R29" s="1"/>
    </row>
    <row r="30" spans="1:18" ht="18" x14ac:dyDescent="0.25">
      <c r="A30" s="9" t="s">
        <v>304</v>
      </c>
      <c r="B30" s="8">
        <f>iL_rms_act_nom^2*R_L_DCR</f>
        <v>930.81002974824003</v>
      </c>
      <c r="C30" s="14" t="s">
        <v>27</v>
      </c>
      <c r="D30" s="6"/>
      <c r="E30" s="6"/>
      <c r="F30" s="6"/>
      <c r="G30" s="6"/>
      <c r="H30" s="6"/>
      <c r="I30" s="6"/>
      <c r="J30" s="6"/>
      <c r="K30" s="6"/>
      <c r="L30" s="6"/>
      <c r="M30" s="6"/>
      <c r="N30" s="6"/>
      <c r="O30" s="6"/>
      <c r="P30" s="6"/>
      <c r="Q30" s="6"/>
      <c r="R30" s="1"/>
    </row>
    <row r="31" spans="1:18" ht="18" x14ac:dyDescent="0.25">
      <c r="A31" s="9" t="s">
        <v>189</v>
      </c>
      <c r="B31" s="8">
        <f>IF(P_loss_act_inductor_AC="",P_loss_inductor_AC,P_loss_act_inductor_AC)+P_loss_inductor_DC</f>
        <v>990.02643844767056</v>
      </c>
      <c r="C31" s="14" t="s">
        <v>27</v>
      </c>
      <c r="D31" s="6"/>
      <c r="E31" s="6"/>
      <c r="F31" s="6"/>
      <c r="G31" s="6"/>
      <c r="H31" s="6"/>
      <c r="I31" s="6"/>
      <c r="J31" s="6"/>
      <c r="K31" s="6"/>
      <c r="L31" s="6"/>
      <c r="M31" s="6"/>
      <c r="N31" s="6"/>
      <c r="O31" s="6"/>
      <c r="P31" s="6"/>
      <c r="Q31" s="6"/>
      <c r="R31" s="1"/>
    </row>
    <row r="32" spans="1:18" x14ac:dyDescent="0.25">
      <c r="A32" s="6"/>
      <c r="B32" s="6"/>
      <c r="C32" s="45"/>
      <c r="D32" s="6"/>
      <c r="E32" s="6"/>
      <c r="F32" s="6"/>
      <c r="G32" s="6"/>
      <c r="H32" s="6"/>
      <c r="I32" s="6"/>
      <c r="J32" s="6"/>
      <c r="K32" s="6"/>
      <c r="L32" s="6"/>
      <c r="M32" s="6"/>
      <c r="N32" s="6"/>
      <c r="O32" s="6"/>
      <c r="P32" s="6"/>
      <c r="Q32" s="6"/>
      <c r="R32" s="1"/>
    </row>
    <row r="33" spans="1:18" ht="15.75" x14ac:dyDescent="0.25">
      <c r="A33" s="325" t="s">
        <v>193</v>
      </c>
      <c r="B33" s="325"/>
      <c r="C33" s="325"/>
      <c r="D33" s="5"/>
      <c r="E33" s="5"/>
      <c r="F33" s="5"/>
      <c r="G33" s="5"/>
      <c r="H33" s="5"/>
      <c r="I33" s="5"/>
      <c r="J33" s="5"/>
      <c r="K33" s="5"/>
      <c r="L33" s="5"/>
      <c r="M33" s="5"/>
      <c r="N33" s="5"/>
      <c r="O33" s="5"/>
      <c r="P33" s="5"/>
      <c r="Q33" s="5"/>
      <c r="R33" s="1"/>
    </row>
    <row r="34" spans="1:18" ht="18" x14ac:dyDescent="0.25">
      <c r="A34" s="8" t="s">
        <v>194</v>
      </c>
      <c r="B34" s="48">
        <f>RLS_dson</f>
        <v>4.5</v>
      </c>
      <c r="C34" s="14" t="s">
        <v>16</v>
      </c>
      <c r="D34" s="6"/>
      <c r="E34" s="6"/>
      <c r="F34" s="6"/>
      <c r="G34" s="6"/>
      <c r="H34" s="6"/>
      <c r="I34" s="6"/>
      <c r="J34" s="6"/>
      <c r="K34" s="6"/>
      <c r="L34" s="6"/>
      <c r="M34" s="6"/>
      <c r="N34" s="6"/>
      <c r="O34" s="6"/>
      <c r="P34" s="6"/>
      <c r="Q34" s="6"/>
      <c r="R34" s="1"/>
    </row>
    <row r="35" spans="1:18" ht="18" x14ac:dyDescent="0.25">
      <c r="A35" s="8" t="s">
        <v>195</v>
      </c>
      <c r="B35" s="48">
        <v>8.5</v>
      </c>
      <c r="C35" s="14" t="s">
        <v>16</v>
      </c>
      <c r="D35" s="6"/>
      <c r="E35" s="6"/>
      <c r="F35" s="6"/>
      <c r="G35" s="6"/>
      <c r="H35" s="6"/>
      <c r="I35" s="6"/>
      <c r="J35" s="6"/>
      <c r="K35" s="6"/>
      <c r="L35" s="6"/>
      <c r="M35" s="6"/>
      <c r="N35" s="6"/>
      <c r="O35" s="6"/>
      <c r="P35" s="6"/>
      <c r="Q35" s="6"/>
      <c r="R35" s="1"/>
    </row>
    <row r="36" spans="1:18" ht="18" x14ac:dyDescent="0.25">
      <c r="A36" s="8" t="s">
        <v>198</v>
      </c>
      <c r="B36" s="48">
        <v>1.21</v>
      </c>
      <c r="C36" s="70" t="s">
        <v>12</v>
      </c>
      <c r="D36" s="6"/>
      <c r="E36" s="6"/>
      <c r="F36" s="6"/>
      <c r="G36" s="6"/>
      <c r="H36" s="6"/>
      <c r="I36" s="6"/>
      <c r="J36" s="6"/>
      <c r="K36" s="6"/>
      <c r="L36" s="6"/>
      <c r="M36" s="6"/>
      <c r="N36" s="6"/>
      <c r="O36" s="6"/>
      <c r="P36" s="6"/>
      <c r="Q36" s="6"/>
      <c r="R36" s="1"/>
    </row>
    <row r="37" spans="1:18" ht="18" x14ac:dyDescent="0.25">
      <c r="A37" s="8" t="s">
        <v>345</v>
      </c>
      <c r="B37" s="64">
        <f>iL_rms_act_nom</f>
        <v>11.140377191389527</v>
      </c>
      <c r="C37" s="14" t="s">
        <v>8</v>
      </c>
      <c r="D37" s="6"/>
      <c r="E37" s="6"/>
      <c r="F37" s="6"/>
      <c r="G37" s="6"/>
      <c r="H37" s="6"/>
      <c r="I37" s="6"/>
      <c r="J37" s="6"/>
      <c r="K37" s="6"/>
      <c r="L37" s="6"/>
      <c r="M37" s="6"/>
      <c r="N37" s="6"/>
      <c r="O37" s="6"/>
      <c r="P37" s="6"/>
      <c r="Q37" s="6"/>
      <c r="R37" s="1"/>
    </row>
    <row r="38" spans="1:18" ht="18" x14ac:dyDescent="0.25">
      <c r="A38" s="8" t="s">
        <v>202</v>
      </c>
      <c r="B38" s="64">
        <f>duty_nom</f>
        <v>0.82</v>
      </c>
      <c r="C38" s="47" t="s">
        <v>12</v>
      </c>
      <c r="D38" s="6"/>
      <c r="E38" s="6"/>
      <c r="F38" s="6"/>
      <c r="G38" s="6"/>
      <c r="H38" s="6"/>
      <c r="I38" s="6"/>
      <c r="J38" s="6"/>
      <c r="K38" s="6"/>
      <c r="L38" s="6"/>
      <c r="M38" s="6"/>
      <c r="N38" s="6"/>
      <c r="O38" s="6"/>
      <c r="P38" s="6"/>
      <c r="Q38" s="6"/>
      <c r="R38" s="1"/>
    </row>
    <row r="39" spans="1:18" ht="18" x14ac:dyDescent="0.25">
      <c r="A39" s="9" t="s">
        <v>313</v>
      </c>
      <c r="B39" s="8">
        <f>iL_rms_act_nom^2*R_LS_dson*K_R*(1-duty_nom)</f>
        <v>121.63825468750004</v>
      </c>
      <c r="C39" s="14" t="s">
        <v>27</v>
      </c>
      <c r="D39" s="6"/>
      <c r="E39" s="6"/>
      <c r="F39" s="6"/>
      <c r="G39" s="6"/>
      <c r="H39" s="6"/>
      <c r="I39" s="6"/>
      <c r="J39" s="6"/>
      <c r="K39" s="6"/>
      <c r="L39" s="6"/>
      <c r="M39" s="6"/>
      <c r="N39" s="6"/>
      <c r="O39" s="6"/>
      <c r="P39" s="6"/>
      <c r="Q39" s="6"/>
      <c r="R39" s="1"/>
    </row>
    <row r="40" spans="1:18" ht="18" x14ac:dyDescent="0.25">
      <c r="A40" s="9" t="s">
        <v>314</v>
      </c>
      <c r="B40" s="8">
        <f>iL_rms_act_nom^2*R_HS_dson*K_R*duty_nom</f>
        <v>1046.6896730516976</v>
      </c>
      <c r="C40" s="14" t="s">
        <v>27</v>
      </c>
      <c r="D40" s="6"/>
      <c r="E40" s="6"/>
      <c r="F40" s="6"/>
      <c r="G40" s="6"/>
      <c r="H40" s="6"/>
      <c r="I40" s="6"/>
      <c r="J40" s="6"/>
      <c r="K40" s="6"/>
      <c r="L40" s="6"/>
      <c r="M40" s="6"/>
      <c r="N40" s="6"/>
      <c r="O40" s="6"/>
      <c r="P40" s="6"/>
      <c r="Q40" s="6"/>
      <c r="R40" s="1"/>
    </row>
    <row r="41" spans="1:18" ht="18" x14ac:dyDescent="0.25">
      <c r="A41" s="9" t="s">
        <v>315</v>
      </c>
      <c r="B41" s="8">
        <f>P_loss_LS_Rdson+P_loss_HS_Rdson</f>
        <v>1168.3279277391975</v>
      </c>
      <c r="C41" s="14" t="s">
        <v>27</v>
      </c>
      <c r="D41" s="6"/>
      <c r="E41" s="6"/>
      <c r="F41" s="6"/>
      <c r="G41" s="6"/>
      <c r="H41" s="6"/>
      <c r="I41" s="6"/>
      <c r="J41" s="6"/>
      <c r="K41" s="6"/>
      <c r="L41" s="6"/>
      <c r="M41" s="6"/>
      <c r="N41" s="6"/>
      <c r="O41" s="6"/>
      <c r="P41" s="6"/>
      <c r="Q41" s="6"/>
      <c r="R41" s="1"/>
    </row>
    <row r="42" spans="1:18" x14ac:dyDescent="0.25">
      <c r="A42" s="6"/>
      <c r="B42" s="6"/>
      <c r="C42" s="45"/>
      <c r="D42" s="6"/>
      <c r="E42" s="6"/>
      <c r="F42" s="6"/>
      <c r="G42" s="6"/>
      <c r="H42" s="6"/>
      <c r="I42" s="6"/>
      <c r="J42" s="6"/>
      <c r="K42" s="6"/>
      <c r="L42" s="6"/>
      <c r="M42" s="6"/>
      <c r="N42" s="6"/>
      <c r="O42" s="6"/>
      <c r="P42" s="6"/>
      <c r="Q42" s="6"/>
      <c r="R42" s="1"/>
    </row>
    <row r="43" spans="1:18" ht="15.75" x14ac:dyDescent="0.25">
      <c r="A43" s="325" t="s">
        <v>203</v>
      </c>
      <c r="B43" s="325"/>
      <c r="C43" s="325"/>
      <c r="D43" s="5"/>
      <c r="E43" s="5"/>
      <c r="F43" s="5"/>
      <c r="G43" s="5"/>
      <c r="H43" s="5"/>
      <c r="I43" s="5"/>
      <c r="J43" s="5"/>
      <c r="K43" s="5"/>
      <c r="L43" s="5"/>
      <c r="M43" s="5"/>
      <c r="N43" s="5"/>
      <c r="O43" s="5"/>
      <c r="P43" s="5"/>
      <c r="Q43" s="5"/>
      <c r="R43" s="1"/>
    </row>
    <row r="44" spans="1:18" ht="18" x14ac:dyDescent="0.25">
      <c r="A44" s="8" t="s">
        <v>204</v>
      </c>
      <c r="B44" s="48">
        <f>ton_LS</f>
        <v>11.667728909643115</v>
      </c>
      <c r="C44" s="14" t="s">
        <v>208</v>
      </c>
      <c r="D44" s="6"/>
      <c r="E44" s="6"/>
      <c r="F44" s="6"/>
      <c r="G44" s="6"/>
      <c r="H44" s="6"/>
      <c r="I44" s="6"/>
      <c r="J44" s="6"/>
      <c r="K44" s="6"/>
      <c r="L44" s="6"/>
      <c r="M44" s="6"/>
      <c r="N44" s="6"/>
      <c r="O44" s="6"/>
      <c r="P44" s="6"/>
      <c r="Q44" s="6"/>
      <c r="R44" s="1"/>
    </row>
    <row r="45" spans="1:18" ht="18" x14ac:dyDescent="0.25">
      <c r="A45" s="8" t="s">
        <v>205</v>
      </c>
      <c r="B45" s="48">
        <f>toff_LS</f>
        <v>11.190638187837292</v>
      </c>
      <c r="C45" s="14" t="s">
        <v>208</v>
      </c>
      <c r="D45" s="6"/>
      <c r="E45" s="6"/>
      <c r="F45" s="6"/>
      <c r="G45" s="6"/>
      <c r="H45" s="6"/>
      <c r="I45" s="6"/>
      <c r="J45" s="6"/>
      <c r="K45" s="6"/>
      <c r="L45" s="6"/>
      <c r="M45" s="6"/>
      <c r="N45" s="6"/>
      <c r="O45" s="6"/>
      <c r="P45" s="6"/>
      <c r="Q45" s="6"/>
      <c r="R45" s="1"/>
    </row>
    <row r="46" spans="1:18" ht="18" x14ac:dyDescent="0.25">
      <c r="A46" s="8" t="s">
        <v>258</v>
      </c>
      <c r="B46" s="48">
        <v>0.83399999999999996</v>
      </c>
      <c r="C46" s="47" t="s">
        <v>7</v>
      </c>
      <c r="D46" s="6"/>
      <c r="E46" s="6"/>
      <c r="F46" s="6"/>
      <c r="G46" s="6"/>
      <c r="H46" s="6"/>
      <c r="I46" s="6"/>
      <c r="J46" s="6"/>
      <c r="K46" s="6"/>
      <c r="L46" s="6"/>
      <c r="M46" s="6"/>
      <c r="N46" s="6"/>
      <c r="O46" s="6"/>
      <c r="P46" s="6"/>
      <c r="Q46" s="6"/>
      <c r="R46" s="1"/>
    </row>
    <row r="47" spans="1:18" ht="18" x14ac:dyDescent="0.25">
      <c r="A47" s="8" t="s">
        <v>31</v>
      </c>
      <c r="B47" s="65">
        <f>vout</f>
        <v>18</v>
      </c>
      <c r="C47" s="11" t="s">
        <v>7</v>
      </c>
      <c r="D47" s="6"/>
      <c r="E47" s="6"/>
      <c r="F47" s="6"/>
      <c r="G47" s="6"/>
      <c r="H47" s="6"/>
      <c r="I47" s="6"/>
      <c r="J47" s="6"/>
      <c r="K47" s="6"/>
      <c r="L47" s="6"/>
      <c r="M47" s="6"/>
      <c r="N47" s="6"/>
      <c r="O47" s="6"/>
      <c r="P47" s="6"/>
      <c r="Q47" s="6"/>
      <c r="R47" s="1"/>
    </row>
    <row r="48" spans="1:18" ht="18" x14ac:dyDescent="0.25">
      <c r="A48" s="8" t="s">
        <v>206</v>
      </c>
      <c r="B48" s="64">
        <f>Iin_max</f>
        <v>13.333333333333334</v>
      </c>
      <c r="C48" s="47" t="s">
        <v>8</v>
      </c>
      <c r="D48" s="6"/>
      <c r="E48" s="6"/>
      <c r="F48" s="6"/>
      <c r="G48" s="6"/>
      <c r="H48" s="6"/>
      <c r="I48" s="6"/>
      <c r="J48" s="6"/>
      <c r="K48" s="6"/>
      <c r="L48" s="6"/>
      <c r="M48" s="6"/>
      <c r="N48" s="6"/>
      <c r="O48" s="6"/>
      <c r="P48" s="6"/>
      <c r="Q48" s="6"/>
      <c r="R48" s="1"/>
    </row>
    <row r="49" spans="1:18" ht="18" x14ac:dyDescent="0.25">
      <c r="A49" s="8" t="s">
        <v>207</v>
      </c>
      <c r="B49" s="66">
        <f>iL_p2p_act_nom</f>
        <v>2.7954545454545459</v>
      </c>
      <c r="C49" s="11" t="s">
        <v>8</v>
      </c>
      <c r="D49" s="6"/>
      <c r="E49" s="6"/>
      <c r="F49" s="6"/>
      <c r="G49" s="6"/>
      <c r="H49" s="6"/>
      <c r="I49" s="6"/>
      <c r="J49" s="6"/>
      <c r="K49" s="6"/>
      <c r="L49" s="6"/>
      <c r="M49" s="6"/>
      <c r="N49" s="6"/>
      <c r="O49" s="6"/>
      <c r="P49" s="6"/>
      <c r="Q49" s="6"/>
      <c r="R49" s="1"/>
    </row>
    <row r="50" spans="1:18" x14ac:dyDescent="0.25">
      <c r="A50" s="8" t="s">
        <v>39</v>
      </c>
      <c r="B50" s="65">
        <f>f</f>
        <v>0.32</v>
      </c>
      <c r="C50" s="11" t="s">
        <v>10</v>
      </c>
      <c r="D50" s="6"/>
      <c r="E50" s="6"/>
      <c r="F50" s="6"/>
      <c r="G50" s="6"/>
      <c r="H50" s="6"/>
      <c r="I50" s="6"/>
      <c r="J50" s="6"/>
      <c r="K50" s="6"/>
      <c r="L50" s="6"/>
      <c r="M50" s="6"/>
      <c r="N50" s="6"/>
      <c r="O50" s="6"/>
      <c r="P50" s="6"/>
      <c r="Q50" s="6"/>
      <c r="R50" s="1"/>
    </row>
    <row r="51" spans="1:18" ht="18" x14ac:dyDescent="0.25">
      <c r="A51" s="9" t="s">
        <v>211</v>
      </c>
      <c r="B51" s="8">
        <f>0.5*(vout + V_D_HS)*(iin_nom-iL_p2p_act_nom/2)*tau_on*f</f>
        <v>341.5225855241398</v>
      </c>
      <c r="C51" s="14" t="s">
        <v>27</v>
      </c>
      <c r="D51" s="6"/>
      <c r="E51" s="6"/>
      <c r="F51" s="6"/>
      <c r="G51" s="6"/>
      <c r="H51" s="6"/>
      <c r="I51" s="6"/>
      <c r="J51" s="6"/>
      <c r="K51" s="6"/>
      <c r="L51" s="6"/>
      <c r="M51" s="6"/>
      <c r="N51" s="6"/>
      <c r="O51" s="6"/>
      <c r="P51" s="6"/>
      <c r="Q51" s="6"/>
      <c r="R51" s="1"/>
    </row>
    <row r="52" spans="1:18" ht="18" x14ac:dyDescent="0.25">
      <c r="A52" s="9" t="s">
        <v>212</v>
      </c>
      <c r="B52" s="8">
        <f>0.5*(vout + V_D_HS)*(iin_nom+iL_p2p_act_nom/2)*tau_off*f</f>
        <v>421.8270100387295</v>
      </c>
      <c r="C52" s="14" t="s">
        <v>27</v>
      </c>
      <c r="D52" s="6"/>
      <c r="E52" s="6"/>
      <c r="F52" s="6"/>
      <c r="G52" s="6"/>
      <c r="H52" s="6"/>
      <c r="I52" s="6"/>
      <c r="J52" s="6"/>
      <c r="K52" s="6"/>
      <c r="L52" s="6"/>
      <c r="M52" s="6"/>
      <c r="N52" s="6"/>
      <c r="O52" s="6"/>
      <c r="P52" s="6"/>
      <c r="Q52" s="6"/>
      <c r="R52" s="1"/>
    </row>
    <row r="53" spans="1:18" ht="18" x14ac:dyDescent="0.25">
      <c r="A53" s="9" t="s">
        <v>213</v>
      </c>
      <c r="B53" s="8">
        <f>P_loss_LS_on+P_loss_LS_off</f>
        <v>763.34959556286935</v>
      </c>
      <c r="C53" s="14" t="s">
        <v>27</v>
      </c>
      <c r="D53" s="6"/>
      <c r="E53" s="6"/>
      <c r="F53" s="6"/>
      <c r="G53" s="6"/>
      <c r="H53" s="6"/>
      <c r="I53" s="6"/>
      <c r="J53" s="6"/>
      <c r="K53" s="6"/>
      <c r="L53" s="6"/>
      <c r="M53" s="6"/>
      <c r="N53" s="6"/>
      <c r="O53" s="6"/>
      <c r="P53" s="6"/>
      <c r="Q53" s="6"/>
      <c r="R53" s="1"/>
    </row>
    <row r="54" spans="1:18" x14ac:dyDescent="0.25">
      <c r="D54" s="6"/>
      <c r="E54" s="6"/>
      <c r="F54" s="6"/>
      <c r="G54" s="6"/>
      <c r="H54" s="6"/>
      <c r="I54" s="6"/>
      <c r="J54" s="6"/>
      <c r="K54" s="6"/>
      <c r="L54" s="6"/>
      <c r="M54" s="6"/>
      <c r="N54" s="6"/>
      <c r="O54" s="6"/>
      <c r="P54" s="6"/>
      <c r="Q54" s="6"/>
      <c r="R54" s="1"/>
    </row>
    <row r="55" spans="1:18" ht="15.75" x14ac:dyDescent="0.25">
      <c r="A55" s="325" t="s">
        <v>216</v>
      </c>
      <c r="B55" s="325"/>
      <c r="C55" s="325"/>
      <c r="D55" s="5"/>
      <c r="E55" s="5"/>
      <c r="F55" s="5"/>
      <c r="G55" s="5"/>
      <c r="H55" s="5"/>
      <c r="I55" s="5"/>
      <c r="J55" s="5"/>
      <c r="K55" s="5"/>
      <c r="L55" s="5"/>
      <c r="M55" s="5"/>
      <c r="N55" s="5"/>
      <c r="O55" s="5"/>
      <c r="P55" s="5"/>
      <c r="Q55" s="5"/>
      <c r="R55" s="1"/>
    </row>
    <row r="56" spans="1:18" ht="18" x14ac:dyDescent="0.25">
      <c r="A56" s="8" t="s">
        <v>217</v>
      </c>
      <c r="B56" s="67">
        <f>Qg_total</f>
        <v>9</v>
      </c>
      <c r="C56" s="7" t="s">
        <v>177</v>
      </c>
      <c r="D56" s="6"/>
      <c r="E56" s="6"/>
      <c r="F56" s="6"/>
      <c r="G56" s="6"/>
      <c r="H56" s="6"/>
      <c r="I56" s="6"/>
      <c r="J56" s="6"/>
      <c r="K56" s="6"/>
      <c r="L56" s="6"/>
      <c r="M56" s="6"/>
      <c r="N56" s="6"/>
      <c r="O56" s="6"/>
      <c r="P56" s="6"/>
      <c r="Q56" s="6"/>
      <c r="R56" s="1"/>
    </row>
    <row r="57" spans="1:18" ht="18" x14ac:dyDescent="0.25">
      <c r="A57" s="8" t="s">
        <v>218</v>
      </c>
      <c r="B57" s="67">
        <v>7.0659999999999998</v>
      </c>
      <c r="C57" s="7" t="s">
        <v>177</v>
      </c>
      <c r="D57" s="6"/>
      <c r="E57" s="6"/>
      <c r="F57" s="6"/>
      <c r="G57" s="6"/>
      <c r="H57" s="6"/>
      <c r="I57" s="6"/>
      <c r="J57" s="6"/>
      <c r="K57" s="6"/>
      <c r="L57" s="6"/>
      <c r="M57" s="6"/>
      <c r="N57" s="6"/>
      <c r="O57" s="6"/>
      <c r="P57" s="6"/>
      <c r="Q57" s="6"/>
      <c r="R57" s="1"/>
    </row>
    <row r="58" spans="1:18" ht="18" x14ac:dyDescent="0.25">
      <c r="A58" s="8" t="s">
        <v>219</v>
      </c>
      <c r="B58" s="48">
        <f>V_CC</f>
        <v>5</v>
      </c>
      <c r="C58" s="47" t="s">
        <v>7</v>
      </c>
      <c r="D58" s="6"/>
      <c r="E58" s="6"/>
      <c r="F58" s="6"/>
      <c r="G58" s="6"/>
      <c r="H58" s="6"/>
      <c r="I58" s="6"/>
      <c r="J58" s="6"/>
      <c r="K58" s="6"/>
      <c r="L58" s="6"/>
      <c r="M58" s="6"/>
      <c r="N58" s="6"/>
      <c r="O58" s="6"/>
      <c r="P58" s="6"/>
      <c r="Q58" s="6"/>
      <c r="R58" s="1"/>
    </row>
    <row r="59" spans="1:18" ht="18" x14ac:dyDescent="0.25">
      <c r="A59" s="8" t="s">
        <v>220</v>
      </c>
      <c r="B59" s="10">
        <f>V_CC</f>
        <v>5</v>
      </c>
      <c r="C59" s="11" t="s">
        <v>7</v>
      </c>
      <c r="D59" s="6"/>
      <c r="E59" s="6"/>
      <c r="F59" s="6"/>
      <c r="G59" s="6"/>
      <c r="H59" s="6"/>
      <c r="I59" s="6"/>
      <c r="J59" s="6"/>
      <c r="K59" s="6"/>
      <c r="L59" s="6"/>
      <c r="M59" s="6"/>
      <c r="N59" s="6"/>
      <c r="O59" s="6"/>
      <c r="P59" s="6"/>
      <c r="Q59" s="6"/>
      <c r="R59" s="1"/>
    </row>
    <row r="60" spans="1:18" x14ac:dyDescent="0.25">
      <c r="A60" s="8" t="s">
        <v>39</v>
      </c>
      <c r="B60" s="65">
        <f>f</f>
        <v>0.32</v>
      </c>
      <c r="C60" s="11" t="s">
        <v>10</v>
      </c>
      <c r="D60" s="6"/>
      <c r="E60" s="6"/>
      <c r="F60" s="6"/>
      <c r="G60" s="6"/>
      <c r="H60" s="6"/>
      <c r="I60" s="6"/>
      <c r="J60" s="6"/>
      <c r="K60" s="6"/>
      <c r="L60" s="6"/>
      <c r="M60" s="6"/>
      <c r="N60" s="6"/>
      <c r="O60" s="6"/>
      <c r="P60" s="6"/>
      <c r="Q60" s="6"/>
      <c r="R60" s="1"/>
    </row>
    <row r="61" spans="1:18" ht="18" x14ac:dyDescent="0.25">
      <c r="A61" s="9" t="s">
        <v>221</v>
      </c>
      <c r="B61" s="8">
        <f>Q_LS_gate*V_LS_gate*f</f>
        <v>14.4</v>
      </c>
      <c r="C61" s="14" t="s">
        <v>27</v>
      </c>
      <c r="D61" s="6"/>
      <c r="E61" s="6"/>
      <c r="F61" s="6"/>
      <c r="G61" s="6"/>
      <c r="H61" s="6"/>
      <c r="I61" s="6"/>
      <c r="J61" s="6"/>
      <c r="K61" s="6"/>
      <c r="L61" s="6"/>
      <c r="M61" s="6"/>
      <c r="N61" s="6"/>
      <c r="O61" s="6"/>
      <c r="P61" s="6"/>
      <c r="Q61" s="6"/>
      <c r="R61" s="1"/>
    </row>
    <row r="62" spans="1:18" ht="18" x14ac:dyDescent="0.25">
      <c r="A62" s="9" t="s">
        <v>222</v>
      </c>
      <c r="B62" s="8">
        <f>Q_HS_gate*V_HS_gate*f</f>
        <v>11.3056</v>
      </c>
      <c r="C62" s="14" t="s">
        <v>27</v>
      </c>
      <c r="D62" s="6"/>
      <c r="E62" s="6"/>
      <c r="F62" s="6"/>
      <c r="G62" s="6"/>
      <c r="H62" s="6"/>
      <c r="I62" s="6"/>
      <c r="J62" s="6"/>
      <c r="K62" s="6"/>
      <c r="L62" s="6"/>
      <c r="M62" s="6"/>
      <c r="N62" s="6"/>
      <c r="O62" s="6"/>
      <c r="P62" s="6"/>
      <c r="Q62" s="6"/>
      <c r="R62" s="1"/>
    </row>
    <row r="63" spans="1:18" ht="18" x14ac:dyDescent="0.25">
      <c r="A63" s="9" t="s">
        <v>223</v>
      </c>
      <c r="B63" s="8">
        <f>P_loss_LS_driving+P_loss_HS_driving</f>
        <v>25.7056</v>
      </c>
      <c r="C63" s="14" t="s">
        <v>27</v>
      </c>
      <c r="D63" s="6"/>
      <c r="E63" s="6"/>
      <c r="F63" s="6"/>
      <c r="G63" s="6"/>
      <c r="H63" s="6"/>
      <c r="I63" s="6"/>
      <c r="J63" s="6"/>
      <c r="K63" s="6"/>
      <c r="L63" s="6"/>
      <c r="M63" s="6"/>
      <c r="N63" s="6"/>
      <c r="O63" s="6"/>
      <c r="P63" s="6"/>
      <c r="Q63" s="6"/>
      <c r="R63" s="1"/>
    </row>
    <row r="64" spans="1:18" x14ac:dyDescent="0.25">
      <c r="D64" s="6"/>
      <c r="E64" s="6"/>
      <c r="F64" s="6"/>
      <c r="G64" s="6"/>
      <c r="H64" s="6"/>
      <c r="I64" s="6"/>
      <c r="J64" s="6"/>
      <c r="K64" s="6"/>
      <c r="L64" s="6"/>
      <c r="M64" s="6"/>
      <c r="N64" s="6"/>
      <c r="O64" s="6"/>
      <c r="P64" s="6"/>
      <c r="Q64" s="6"/>
      <c r="R64" s="1"/>
    </row>
    <row r="65" spans="1:18" ht="15.75" x14ac:dyDescent="0.25">
      <c r="A65" s="325" t="s">
        <v>231</v>
      </c>
      <c r="B65" s="325"/>
      <c r="C65" s="325"/>
      <c r="D65" s="5"/>
      <c r="E65" s="5"/>
      <c r="F65" s="5"/>
      <c r="G65" s="5"/>
      <c r="H65" s="5"/>
      <c r="I65" s="5"/>
      <c r="J65" s="5"/>
      <c r="K65" s="5"/>
      <c r="L65" s="5"/>
      <c r="M65" s="5"/>
      <c r="N65" s="5"/>
      <c r="O65" s="5"/>
      <c r="P65" s="5"/>
      <c r="Q65" s="5"/>
      <c r="R65" s="1"/>
    </row>
    <row r="66" spans="1:18" ht="18" x14ac:dyDescent="0.25">
      <c r="A66" s="8" t="s">
        <v>232</v>
      </c>
      <c r="B66" s="67">
        <f>(Coss_0V+Coss_Vout) / 2 /1000</f>
        <v>1.35</v>
      </c>
      <c r="C66" s="71" t="s">
        <v>24</v>
      </c>
      <c r="D66" s="6"/>
      <c r="E66" s="6"/>
      <c r="F66" s="6"/>
      <c r="G66" s="6"/>
      <c r="H66" s="6"/>
      <c r="I66" s="6"/>
      <c r="J66" s="6"/>
      <c r="K66" s="6"/>
      <c r="L66" s="6"/>
      <c r="M66" s="6"/>
      <c r="N66" s="6"/>
      <c r="O66" s="6"/>
      <c r="P66" s="6"/>
      <c r="Q66" s="6"/>
      <c r="R66" s="1"/>
    </row>
    <row r="67" spans="1:18" ht="18" x14ac:dyDescent="0.25">
      <c r="A67" s="8" t="s">
        <v>233</v>
      </c>
      <c r="B67" s="67">
        <v>0.05</v>
      </c>
      <c r="C67" s="71" t="s">
        <v>24</v>
      </c>
      <c r="D67" s="6"/>
      <c r="E67" s="6"/>
      <c r="F67" s="6"/>
      <c r="G67" s="6"/>
      <c r="H67" s="6"/>
      <c r="I67" s="6"/>
      <c r="J67" s="6"/>
      <c r="K67" s="6"/>
      <c r="L67" s="6"/>
      <c r="M67" s="6"/>
      <c r="N67" s="6"/>
      <c r="O67" s="6"/>
      <c r="P67" s="6"/>
      <c r="Q67" s="6"/>
      <c r="R67" s="1"/>
    </row>
    <row r="68" spans="1:18" ht="18" x14ac:dyDescent="0.25">
      <c r="A68" s="8" t="s">
        <v>31</v>
      </c>
      <c r="B68" s="65">
        <f>vout</f>
        <v>18</v>
      </c>
      <c r="C68" s="11" t="s">
        <v>7</v>
      </c>
      <c r="D68" s="6"/>
      <c r="E68" s="6"/>
      <c r="F68" s="6"/>
      <c r="G68" s="6"/>
      <c r="H68" s="6"/>
      <c r="I68" s="6"/>
      <c r="J68" s="6"/>
      <c r="K68" s="6"/>
      <c r="L68" s="6"/>
      <c r="M68" s="6"/>
      <c r="N68" s="6"/>
      <c r="O68" s="6"/>
      <c r="P68" s="6"/>
      <c r="Q68" s="6"/>
      <c r="R68" s="1"/>
    </row>
    <row r="69" spans="1:18" x14ac:dyDescent="0.25">
      <c r="A69" s="8" t="s">
        <v>39</v>
      </c>
      <c r="B69" s="65">
        <f>f</f>
        <v>0.32</v>
      </c>
      <c r="C69" s="11" t="s">
        <v>10</v>
      </c>
      <c r="D69" s="6"/>
      <c r="E69" s="6"/>
      <c r="F69" s="6"/>
      <c r="G69" s="6"/>
      <c r="H69" s="6"/>
      <c r="I69" s="6"/>
      <c r="J69" s="6"/>
      <c r="K69" s="6"/>
      <c r="L69" s="6"/>
      <c r="M69" s="6"/>
      <c r="N69" s="6"/>
      <c r="O69" s="6"/>
      <c r="P69" s="6"/>
      <c r="Q69" s="6"/>
      <c r="R69" s="1"/>
    </row>
    <row r="70" spans="1:18" ht="18" x14ac:dyDescent="0.25">
      <c r="A70" s="9" t="s">
        <v>234</v>
      </c>
      <c r="B70" s="8">
        <f>C_LS_oss*vout^2*f/2</f>
        <v>69.984000000000009</v>
      </c>
      <c r="C70" s="14" t="s">
        <v>27</v>
      </c>
      <c r="D70" s="6"/>
      <c r="E70" s="6"/>
      <c r="F70" s="6"/>
      <c r="G70" s="6"/>
      <c r="H70" s="6"/>
      <c r="I70" s="6"/>
      <c r="J70" s="6"/>
      <c r="K70" s="6"/>
      <c r="L70" s="6"/>
      <c r="M70" s="6"/>
      <c r="N70" s="6"/>
      <c r="O70" s="6"/>
      <c r="P70" s="6"/>
      <c r="Q70" s="6"/>
      <c r="R70" s="1"/>
    </row>
    <row r="71" spans="1:18" ht="18" x14ac:dyDescent="0.25">
      <c r="A71" s="9" t="s">
        <v>235</v>
      </c>
      <c r="B71" s="8">
        <f>C_HS_oss*vout^2*f/2</f>
        <v>2.5920000000000001</v>
      </c>
      <c r="C71" s="14" t="s">
        <v>27</v>
      </c>
      <c r="D71" s="6"/>
      <c r="E71" s="6"/>
      <c r="F71" s="6"/>
      <c r="G71" s="6"/>
      <c r="H71" s="6"/>
      <c r="I71" s="6"/>
      <c r="J71" s="6"/>
      <c r="K71" s="6"/>
      <c r="L71" s="6"/>
      <c r="M71" s="6"/>
      <c r="N71" s="6"/>
      <c r="O71" s="6"/>
      <c r="P71" s="6"/>
      <c r="Q71" s="6"/>
      <c r="R71" s="1"/>
    </row>
    <row r="72" spans="1:18" ht="18" x14ac:dyDescent="0.25">
      <c r="A72" s="9" t="s">
        <v>236</v>
      </c>
      <c r="B72" s="8">
        <f>P_loss_LS_out+P_loss_HS_out</f>
        <v>72.576000000000008</v>
      </c>
      <c r="C72" s="14" t="s">
        <v>27</v>
      </c>
      <c r="D72" s="6"/>
      <c r="E72" s="6"/>
      <c r="F72" s="6"/>
      <c r="G72" s="6"/>
      <c r="H72" s="6"/>
      <c r="I72" s="6"/>
      <c r="J72" s="6"/>
      <c r="K72" s="6"/>
      <c r="L72" s="6"/>
      <c r="M72" s="6"/>
      <c r="N72" s="6"/>
      <c r="O72" s="6"/>
      <c r="P72" s="6"/>
      <c r="Q72" s="6"/>
      <c r="R72" s="1"/>
    </row>
    <row r="73" spans="1:18" x14ac:dyDescent="0.25">
      <c r="A73" s="6"/>
      <c r="B73" s="6"/>
      <c r="C73" s="45"/>
      <c r="D73" s="6"/>
      <c r="E73" s="6"/>
      <c r="F73" s="6"/>
      <c r="G73" s="6"/>
      <c r="H73" s="6"/>
      <c r="I73" s="6"/>
      <c r="J73" s="6"/>
      <c r="K73" s="6"/>
      <c r="L73" s="6"/>
      <c r="M73" s="6"/>
      <c r="N73" s="6"/>
      <c r="O73" s="6"/>
      <c r="P73" s="6"/>
      <c r="Q73" s="6"/>
      <c r="R73" s="1"/>
    </row>
    <row r="74" spans="1:18" ht="15.75" x14ac:dyDescent="0.25">
      <c r="A74" s="325" t="s">
        <v>252</v>
      </c>
      <c r="B74" s="325"/>
      <c r="C74" s="325"/>
      <c r="D74" s="5"/>
      <c r="E74" s="5"/>
      <c r="F74" s="5"/>
      <c r="G74" s="5"/>
      <c r="H74" s="5"/>
      <c r="I74" s="5"/>
      <c r="J74" s="5"/>
      <c r="K74" s="5"/>
      <c r="L74" s="5"/>
      <c r="M74" s="5"/>
      <c r="N74" s="5"/>
      <c r="O74" s="5"/>
      <c r="P74" s="5"/>
      <c r="Q74" s="5"/>
      <c r="R74" s="1"/>
    </row>
    <row r="75" spans="1:18" ht="18" x14ac:dyDescent="0.25">
      <c r="A75" s="8" t="s">
        <v>29</v>
      </c>
      <c r="B75" s="65">
        <f>vin_nom</f>
        <v>3.6</v>
      </c>
      <c r="C75" s="11" t="s">
        <v>7</v>
      </c>
      <c r="D75" s="6"/>
      <c r="E75" s="6"/>
      <c r="F75" s="6"/>
      <c r="G75" s="6"/>
      <c r="H75" s="6"/>
      <c r="I75" s="6"/>
      <c r="J75" s="6"/>
      <c r="K75" s="6"/>
      <c r="L75" s="6"/>
      <c r="M75" s="6"/>
      <c r="N75" s="6"/>
      <c r="O75" s="6"/>
      <c r="P75" s="6"/>
      <c r="Q75" s="6"/>
      <c r="R75" s="1"/>
    </row>
    <row r="76" spans="1:18" ht="18" x14ac:dyDescent="0.25">
      <c r="A76" s="8" t="s">
        <v>31</v>
      </c>
      <c r="B76" s="65">
        <f>vout</f>
        <v>18</v>
      </c>
      <c r="C76" s="11" t="s">
        <v>7</v>
      </c>
      <c r="D76" s="6"/>
      <c r="E76" s="6"/>
      <c r="F76" s="6"/>
      <c r="G76" s="6"/>
      <c r="H76" s="6"/>
      <c r="I76" s="6"/>
      <c r="J76" s="6"/>
      <c r="K76" s="6"/>
      <c r="L76" s="6"/>
      <c r="M76" s="6"/>
      <c r="N76" s="6"/>
      <c r="O76" s="6"/>
      <c r="P76" s="6"/>
      <c r="Q76" s="6"/>
      <c r="R76" s="1"/>
    </row>
    <row r="77" spans="1:18" ht="18" x14ac:dyDescent="0.25">
      <c r="A77" s="8" t="s">
        <v>247</v>
      </c>
      <c r="B77" s="10">
        <f>IF(vin_nom&gt;5.5, vin_nom, vout)</f>
        <v>18</v>
      </c>
      <c r="C77" s="11" t="s">
        <v>7</v>
      </c>
      <c r="D77" s="6"/>
      <c r="E77" s="6"/>
      <c r="F77" s="6"/>
      <c r="G77" s="6"/>
      <c r="H77" s="6"/>
      <c r="I77" s="6"/>
      <c r="J77" s="6"/>
      <c r="K77" s="6"/>
      <c r="L77" s="6"/>
      <c r="M77" s="6"/>
      <c r="N77" s="6"/>
      <c r="O77" s="6"/>
      <c r="P77" s="6"/>
      <c r="Q77" s="6"/>
      <c r="R77" s="1"/>
    </row>
    <row r="78" spans="1:18" ht="18" x14ac:dyDescent="0.25">
      <c r="A78" s="8" t="s">
        <v>249</v>
      </c>
      <c r="B78" s="65">
        <v>5</v>
      </c>
      <c r="C78" s="11" t="s">
        <v>7</v>
      </c>
      <c r="D78" s="6"/>
      <c r="E78" s="6"/>
      <c r="F78" s="6"/>
      <c r="G78" s="6"/>
      <c r="H78" s="6"/>
      <c r="I78" s="6"/>
      <c r="J78" s="6"/>
      <c r="K78" s="6"/>
      <c r="L78" s="6"/>
      <c r="M78" s="6"/>
      <c r="N78" s="6"/>
      <c r="O78" s="6"/>
      <c r="P78" s="6"/>
      <c r="Q78" s="6"/>
      <c r="R78" s="1"/>
    </row>
    <row r="79" spans="1:18" ht="18" x14ac:dyDescent="0.25">
      <c r="A79" s="8" t="s">
        <v>217</v>
      </c>
      <c r="B79" s="68">
        <f>Q_LS_gate</f>
        <v>9</v>
      </c>
      <c r="C79" s="7" t="s">
        <v>177</v>
      </c>
      <c r="D79" s="6"/>
      <c r="E79" s="6"/>
      <c r="F79" s="6"/>
      <c r="G79" s="6"/>
      <c r="H79" s="6"/>
      <c r="I79" s="6"/>
      <c r="J79" s="6"/>
      <c r="K79" s="6"/>
      <c r="L79" s="6"/>
      <c r="M79" s="6"/>
      <c r="N79" s="6"/>
      <c r="O79" s="6"/>
      <c r="P79" s="6"/>
      <c r="Q79" s="6"/>
      <c r="R79" s="1"/>
    </row>
    <row r="80" spans="1:18" x14ac:dyDescent="0.25">
      <c r="A80" s="8" t="s">
        <v>39</v>
      </c>
      <c r="B80" s="65">
        <f>f</f>
        <v>0.32</v>
      </c>
      <c r="C80" s="11" t="s">
        <v>10</v>
      </c>
      <c r="D80" s="6"/>
      <c r="E80" s="6"/>
      <c r="F80" s="6"/>
      <c r="G80" s="6"/>
      <c r="H80" s="6"/>
      <c r="I80" s="6"/>
      <c r="J80" s="6"/>
      <c r="K80" s="6"/>
      <c r="L80" s="6"/>
      <c r="M80" s="6"/>
      <c r="N80" s="6"/>
      <c r="O80" s="6"/>
      <c r="P80" s="6"/>
      <c r="Q80" s="6"/>
      <c r="R80" s="1"/>
    </row>
    <row r="81" spans="1:18" ht="18" x14ac:dyDescent="0.25">
      <c r="A81" s="9" t="s">
        <v>246</v>
      </c>
      <c r="B81" s="11">
        <f>2*(V_DD-V_CC)*Q_LS_gate*f</f>
        <v>74.88</v>
      </c>
      <c r="C81" s="14" t="s">
        <v>27</v>
      </c>
      <c r="D81" s="6"/>
      <c r="E81" s="6"/>
      <c r="F81" s="6"/>
      <c r="G81" s="6"/>
      <c r="H81" s="6"/>
      <c r="I81" s="6"/>
      <c r="J81" s="6"/>
      <c r="K81" s="6"/>
      <c r="L81" s="6"/>
      <c r="M81" s="6"/>
      <c r="N81" s="6"/>
      <c r="O81" s="6"/>
      <c r="P81" s="6"/>
      <c r="Q81" s="6"/>
      <c r="R81" s="1"/>
    </row>
    <row r="82" spans="1:18" x14ac:dyDescent="0.25">
      <c r="A82" s="6"/>
      <c r="B82" s="6"/>
      <c r="C82" s="45"/>
      <c r="D82" s="6"/>
      <c r="E82" s="6"/>
      <c r="F82" s="6"/>
      <c r="G82" s="6"/>
      <c r="H82" s="6"/>
      <c r="I82" s="6"/>
      <c r="J82" s="6"/>
      <c r="K82" s="6"/>
      <c r="L82" s="6"/>
      <c r="M82" s="6"/>
      <c r="N82" s="6"/>
      <c r="O82" s="6"/>
      <c r="P82" s="6"/>
      <c r="Q82" s="6"/>
      <c r="R82" s="1"/>
    </row>
    <row r="83" spans="1:18" ht="15.75" x14ac:dyDescent="0.25">
      <c r="A83" s="325" t="s">
        <v>253</v>
      </c>
      <c r="B83" s="325"/>
      <c r="C83" s="325"/>
      <c r="D83" s="5"/>
      <c r="E83" s="5"/>
      <c r="F83" s="5"/>
      <c r="G83" s="5"/>
      <c r="H83" s="5"/>
      <c r="I83" s="5"/>
      <c r="J83" s="5"/>
      <c r="K83" s="5"/>
      <c r="L83" s="5"/>
      <c r="M83" s="5"/>
      <c r="N83" s="5"/>
      <c r="O83" s="5"/>
      <c r="P83" s="5"/>
      <c r="Q83" s="5"/>
      <c r="R83" s="1"/>
    </row>
    <row r="84" spans="1:18" ht="18" x14ac:dyDescent="0.25">
      <c r="A84" s="8" t="s">
        <v>242</v>
      </c>
      <c r="B84" s="48">
        <v>25</v>
      </c>
      <c r="C84" s="14" t="s">
        <v>208</v>
      </c>
      <c r="D84" s="6"/>
      <c r="E84" s="6"/>
      <c r="F84" s="6"/>
      <c r="G84" s="6"/>
      <c r="H84" s="6"/>
      <c r="I84" s="6"/>
      <c r="J84" s="6"/>
      <c r="K84" s="6"/>
      <c r="L84" s="6"/>
      <c r="M84" s="6"/>
      <c r="N84" s="6"/>
      <c r="O84" s="6"/>
      <c r="P84" s="6"/>
      <c r="Q84" s="6"/>
      <c r="R84" s="1"/>
    </row>
    <row r="85" spans="1:18" ht="18" x14ac:dyDescent="0.25">
      <c r="A85" s="8" t="s">
        <v>243</v>
      </c>
      <c r="B85" s="48">
        <v>30</v>
      </c>
      <c r="C85" s="14" t="s">
        <v>208</v>
      </c>
      <c r="D85" s="6"/>
      <c r="E85" s="6"/>
      <c r="F85" s="6"/>
      <c r="G85" s="6"/>
      <c r="H85" s="6"/>
      <c r="I85" s="6"/>
      <c r="J85" s="6"/>
      <c r="K85" s="6"/>
      <c r="L85" s="6"/>
      <c r="M85" s="6"/>
      <c r="N85" s="6"/>
      <c r="O85" s="6"/>
      <c r="P85" s="6"/>
      <c r="Q85" s="6"/>
      <c r="R85" s="1"/>
    </row>
    <row r="86" spans="1:18" ht="18" x14ac:dyDescent="0.25">
      <c r="A86" s="8" t="s">
        <v>257</v>
      </c>
      <c r="B86" s="48">
        <v>0.83399999999999996</v>
      </c>
      <c r="C86" s="47" t="s">
        <v>7</v>
      </c>
      <c r="D86" s="6"/>
      <c r="E86" s="6"/>
      <c r="F86" s="6"/>
      <c r="G86" s="6"/>
      <c r="H86" s="6"/>
      <c r="I86" s="6"/>
      <c r="J86" s="6"/>
      <c r="K86" s="6"/>
      <c r="L86" s="6"/>
      <c r="M86" s="6"/>
      <c r="N86" s="6"/>
      <c r="O86" s="6"/>
      <c r="P86" s="6"/>
      <c r="Q86" s="6"/>
      <c r="R86" s="1"/>
    </row>
    <row r="87" spans="1:18" ht="18" x14ac:dyDescent="0.25">
      <c r="A87" s="8" t="s">
        <v>258</v>
      </c>
      <c r="B87" s="64">
        <f>V_D_HS</f>
        <v>0.83399999999999996</v>
      </c>
      <c r="C87" s="47" t="s">
        <v>7</v>
      </c>
      <c r="D87" s="6"/>
      <c r="E87" s="6"/>
      <c r="F87" s="6"/>
      <c r="G87" s="6"/>
      <c r="H87" s="6"/>
      <c r="I87" s="6"/>
      <c r="J87" s="6"/>
      <c r="K87" s="6"/>
      <c r="L87" s="6"/>
      <c r="M87" s="6"/>
      <c r="N87" s="6"/>
      <c r="O87" s="6"/>
      <c r="P87" s="6"/>
      <c r="Q87" s="6"/>
      <c r="R87" s="1"/>
    </row>
    <row r="88" spans="1:18" ht="18" x14ac:dyDescent="0.25">
      <c r="A88" s="8" t="s">
        <v>206</v>
      </c>
      <c r="B88" s="64">
        <f>Iin_max</f>
        <v>13.333333333333334</v>
      </c>
      <c r="C88" s="47" t="s">
        <v>8</v>
      </c>
      <c r="D88" s="6"/>
      <c r="E88" s="6"/>
      <c r="F88" s="6"/>
      <c r="G88" s="6"/>
      <c r="H88" s="6"/>
      <c r="I88" s="6"/>
      <c r="J88" s="6"/>
      <c r="K88" s="6"/>
      <c r="L88" s="6"/>
      <c r="M88" s="6"/>
      <c r="N88" s="6"/>
      <c r="O88" s="6"/>
      <c r="P88" s="6"/>
      <c r="Q88" s="6"/>
      <c r="R88" s="1"/>
    </row>
    <row r="89" spans="1:18" ht="18" x14ac:dyDescent="0.25">
      <c r="A89" s="8" t="s">
        <v>207</v>
      </c>
      <c r="B89" s="66">
        <f>iL_p2p_act_nom</f>
        <v>2.7954545454545459</v>
      </c>
      <c r="C89" s="11" t="s">
        <v>8</v>
      </c>
      <c r="D89" s="6"/>
      <c r="E89" s="6"/>
      <c r="F89" s="6"/>
      <c r="G89" s="6"/>
      <c r="H89" s="6"/>
      <c r="I89" s="6"/>
      <c r="J89" s="6"/>
      <c r="K89" s="6"/>
      <c r="L89" s="6"/>
      <c r="M89" s="6"/>
      <c r="N89" s="6"/>
      <c r="O89" s="6"/>
      <c r="P89" s="6"/>
      <c r="Q89" s="6"/>
      <c r="R89" s="1"/>
    </row>
    <row r="90" spans="1:18" x14ac:dyDescent="0.25">
      <c r="A90" s="8" t="s">
        <v>39</v>
      </c>
      <c r="B90" s="65">
        <f>f</f>
        <v>0.32</v>
      </c>
      <c r="C90" s="11" t="s">
        <v>10</v>
      </c>
      <c r="D90" s="6"/>
      <c r="E90" s="6"/>
      <c r="F90" s="6"/>
      <c r="G90" s="6"/>
      <c r="H90" s="6"/>
      <c r="I90" s="6"/>
      <c r="J90" s="6"/>
      <c r="K90" s="6"/>
      <c r="L90" s="6"/>
      <c r="M90" s="6"/>
      <c r="N90" s="6"/>
      <c r="O90" s="6"/>
      <c r="P90" s="6"/>
      <c r="Q90" s="6"/>
      <c r="R90" s="1"/>
    </row>
    <row r="91" spans="1:18" ht="18" x14ac:dyDescent="0.25">
      <c r="A91" s="9" t="s">
        <v>259</v>
      </c>
      <c r="B91" s="8">
        <f>V_D_HS*(iin_nom+iL_p2p_act_nom)*tau_HS_on_dead*f</f>
        <v>111.34152727272728</v>
      </c>
      <c r="C91" s="14" t="s">
        <v>27</v>
      </c>
      <c r="D91" s="6"/>
      <c r="E91" s="6"/>
      <c r="F91" s="6"/>
      <c r="G91" s="6"/>
      <c r="H91" s="6"/>
      <c r="I91" s="6"/>
      <c r="J91" s="6"/>
      <c r="K91" s="6"/>
      <c r="L91" s="6"/>
      <c r="M91" s="6"/>
      <c r="N91" s="6"/>
      <c r="O91" s="6"/>
      <c r="P91" s="6"/>
      <c r="Q91" s="6"/>
      <c r="R91" s="1"/>
    </row>
    <row r="92" spans="1:18" x14ac:dyDescent="0.25">
      <c r="A92" s="75"/>
      <c r="B92" s="76"/>
      <c r="C92" s="77"/>
      <c r="D92" s="6"/>
      <c r="E92" s="6"/>
      <c r="F92" s="6"/>
      <c r="G92" s="6"/>
      <c r="H92" s="6"/>
      <c r="I92" s="6"/>
      <c r="J92" s="6"/>
      <c r="K92" s="6"/>
      <c r="L92" s="6"/>
      <c r="M92" s="6"/>
      <c r="N92" s="6"/>
      <c r="O92" s="6"/>
      <c r="P92" s="6"/>
      <c r="Q92" s="6"/>
      <c r="R92" s="1"/>
    </row>
    <row r="93" spans="1:18" ht="18" x14ac:dyDescent="0.25">
      <c r="A93" s="9" t="s">
        <v>260</v>
      </c>
      <c r="B93" s="8">
        <f>P_loss_HS_dead*2</f>
        <v>222.68305454545455</v>
      </c>
      <c r="C93" s="14" t="s">
        <v>27</v>
      </c>
      <c r="D93" s="6"/>
      <c r="E93" s="6"/>
      <c r="F93" s="6"/>
      <c r="G93" s="6"/>
      <c r="H93" s="6"/>
      <c r="I93" s="6"/>
      <c r="J93" s="6"/>
      <c r="K93" s="6"/>
      <c r="L93" s="6"/>
      <c r="M93" s="6"/>
      <c r="N93" s="6"/>
      <c r="O93" s="6"/>
      <c r="P93" s="6"/>
      <c r="Q93" s="6"/>
      <c r="R93" s="1"/>
    </row>
    <row r="94" spans="1:18" x14ac:dyDescent="0.25">
      <c r="A94" s="6"/>
      <c r="B94" s="6"/>
      <c r="C94" s="45"/>
      <c r="D94" s="6"/>
      <c r="E94" s="6"/>
      <c r="F94" s="6"/>
      <c r="G94" s="6"/>
      <c r="H94" s="6"/>
      <c r="I94" s="6"/>
      <c r="J94" s="6"/>
      <c r="K94" s="6"/>
      <c r="L94" s="6"/>
      <c r="M94" s="6"/>
      <c r="N94" s="6"/>
      <c r="O94" s="6"/>
      <c r="P94" s="6"/>
      <c r="Q94" s="6"/>
      <c r="R94" s="1"/>
    </row>
    <row r="95" spans="1:18" ht="15.75" x14ac:dyDescent="0.25">
      <c r="A95" s="325" t="s">
        <v>254</v>
      </c>
      <c r="B95" s="325"/>
      <c r="C95" s="325"/>
      <c r="D95" s="5"/>
      <c r="E95" s="5"/>
      <c r="F95" s="5"/>
      <c r="G95" s="5"/>
      <c r="H95" s="5"/>
      <c r="I95" s="5"/>
      <c r="J95" s="5"/>
      <c r="K95" s="5"/>
      <c r="L95" s="5"/>
      <c r="M95" s="5"/>
      <c r="N95" s="5"/>
      <c r="O95" s="5"/>
      <c r="P95" s="5"/>
      <c r="Q95" s="5"/>
      <c r="R95" s="1"/>
    </row>
    <row r="96" spans="1:18" ht="18" x14ac:dyDescent="0.25">
      <c r="A96" s="8" t="s">
        <v>266</v>
      </c>
      <c r="B96" s="48">
        <v>1</v>
      </c>
      <c r="C96" s="206" t="s">
        <v>177</v>
      </c>
      <c r="D96" s="6"/>
      <c r="E96" s="6"/>
      <c r="F96" s="6"/>
      <c r="G96" s="6"/>
      <c r="H96" s="6"/>
      <c r="I96" s="6"/>
      <c r="J96" s="6"/>
      <c r="K96" s="6"/>
      <c r="L96" s="6"/>
      <c r="M96" s="6"/>
      <c r="N96" s="6"/>
      <c r="O96" s="6"/>
      <c r="P96" s="6"/>
      <c r="Q96" s="6"/>
      <c r="R96" s="1"/>
    </row>
    <row r="97" spans="1:18" ht="18" x14ac:dyDescent="0.25">
      <c r="A97" s="8" t="s">
        <v>31</v>
      </c>
      <c r="B97" s="65">
        <f>vout</f>
        <v>18</v>
      </c>
      <c r="C97" s="11" t="s">
        <v>7</v>
      </c>
      <c r="D97" s="6"/>
      <c r="E97" s="6"/>
      <c r="F97" s="6"/>
      <c r="G97" s="6"/>
      <c r="H97" s="6"/>
      <c r="I97" s="6"/>
      <c r="J97" s="6"/>
      <c r="K97" s="6"/>
      <c r="L97" s="6"/>
      <c r="M97" s="6"/>
      <c r="N97" s="6"/>
      <c r="O97" s="6"/>
      <c r="P97" s="6"/>
      <c r="Q97" s="6"/>
      <c r="R97" s="1"/>
    </row>
    <row r="98" spans="1:18" x14ac:dyDescent="0.25">
      <c r="A98" s="8" t="s">
        <v>39</v>
      </c>
      <c r="B98" s="65">
        <f>f</f>
        <v>0.32</v>
      </c>
      <c r="C98" s="11" t="s">
        <v>10</v>
      </c>
      <c r="D98" s="6"/>
      <c r="E98" s="6"/>
      <c r="F98" s="6"/>
      <c r="G98" s="6"/>
      <c r="H98" s="6"/>
      <c r="I98" s="6"/>
      <c r="J98" s="6"/>
      <c r="K98" s="6"/>
      <c r="L98" s="6"/>
      <c r="M98" s="6"/>
      <c r="N98" s="6"/>
      <c r="O98" s="6"/>
      <c r="P98" s="6"/>
      <c r="Q98" s="6"/>
      <c r="R98" s="1"/>
    </row>
    <row r="99" spans="1:18" ht="18" x14ac:dyDescent="0.25">
      <c r="A99" s="9" t="s">
        <v>268</v>
      </c>
      <c r="B99" s="8">
        <f>Qrr*vout*f</f>
        <v>5.76</v>
      </c>
      <c r="C99" s="14" t="s">
        <v>27</v>
      </c>
      <c r="D99" s="6"/>
      <c r="E99" s="6"/>
      <c r="F99" s="6"/>
      <c r="G99" s="6"/>
      <c r="H99" s="6"/>
      <c r="I99" s="6"/>
      <c r="J99" s="6"/>
      <c r="K99" s="6"/>
      <c r="L99" s="6"/>
      <c r="M99" s="6"/>
      <c r="N99" s="6"/>
      <c r="O99" s="6"/>
      <c r="P99" s="6"/>
      <c r="Q99" s="6"/>
      <c r="R99" s="1"/>
    </row>
    <row r="100" spans="1:18" x14ac:dyDescent="0.25">
      <c r="A100" s="6"/>
      <c r="B100" s="6"/>
      <c r="C100" s="45"/>
      <c r="D100" s="6"/>
      <c r="E100" s="6"/>
      <c r="F100" s="6"/>
      <c r="G100" s="6"/>
      <c r="H100" s="6"/>
      <c r="I100" s="6"/>
      <c r="J100" s="6"/>
      <c r="K100" s="6"/>
      <c r="L100" s="6"/>
      <c r="M100" s="6"/>
      <c r="N100" s="6"/>
      <c r="O100" s="6"/>
      <c r="P100" s="6"/>
      <c r="Q100" s="6"/>
      <c r="R100" s="1"/>
    </row>
    <row r="101" spans="1:18" ht="15.75" x14ac:dyDescent="0.25">
      <c r="A101" s="325" t="s">
        <v>244</v>
      </c>
      <c r="B101" s="325"/>
      <c r="C101" s="325"/>
      <c r="D101" s="5"/>
      <c r="E101" s="5"/>
      <c r="F101" s="5"/>
      <c r="G101" s="5"/>
      <c r="H101" s="5"/>
      <c r="I101" s="5"/>
      <c r="J101" s="5"/>
      <c r="K101" s="5"/>
      <c r="L101" s="5"/>
      <c r="M101" s="5"/>
      <c r="N101" s="5"/>
      <c r="O101" s="5"/>
      <c r="P101" s="5"/>
      <c r="Q101" s="5"/>
      <c r="R101" s="1"/>
    </row>
    <row r="102" spans="1:18" ht="18" x14ac:dyDescent="0.25">
      <c r="A102" s="8" t="s">
        <v>29</v>
      </c>
      <c r="B102" s="65">
        <f>vin_nom</f>
        <v>3.6</v>
      </c>
      <c r="C102" s="11" t="s">
        <v>7</v>
      </c>
      <c r="D102" s="6"/>
      <c r="E102" s="6"/>
      <c r="F102" s="6"/>
      <c r="G102" s="6"/>
      <c r="H102" s="6"/>
      <c r="I102" s="6"/>
      <c r="J102" s="6"/>
      <c r="K102" s="6"/>
      <c r="L102" s="6"/>
      <c r="M102" s="6"/>
      <c r="N102" s="6"/>
      <c r="O102" s="6"/>
      <c r="P102" s="6"/>
      <c r="Q102" s="6"/>
      <c r="R102" s="1"/>
    </row>
    <row r="103" spans="1:18" ht="18" x14ac:dyDescent="0.25">
      <c r="A103" s="8" t="s">
        <v>31</v>
      </c>
      <c r="B103" s="65">
        <f>vout</f>
        <v>18</v>
      </c>
      <c r="C103" s="11" t="s">
        <v>7</v>
      </c>
      <c r="D103" s="6"/>
      <c r="E103" s="6"/>
      <c r="F103" s="6"/>
      <c r="G103" s="6"/>
      <c r="H103" s="6"/>
      <c r="I103" s="6"/>
      <c r="J103" s="6"/>
      <c r="K103" s="6"/>
      <c r="L103" s="6"/>
      <c r="M103" s="6"/>
      <c r="N103" s="6"/>
      <c r="O103" s="6"/>
      <c r="P103" s="6"/>
      <c r="Q103" s="6"/>
      <c r="R103" s="1"/>
    </row>
    <row r="104" spans="1:18" ht="18" x14ac:dyDescent="0.25">
      <c r="A104" s="8" t="s">
        <v>272</v>
      </c>
      <c r="B104" s="48">
        <f>IF(vin_nom&lt;5.5,3,200)</f>
        <v>3</v>
      </c>
      <c r="C104" s="54" t="s">
        <v>271</v>
      </c>
      <c r="D104" s="6"/>
      <c r="E104" s="6"/>
      <c r="F104" s="6"/>
      <c r="G104" s="6"/>
      <c r="H104" s="6"/>
      <c r="I104" s="6"/>
      <c r="J104" s="6"/>
      <c r="K104" s="6"/>
      <c r="L104" s="6"/>
      <c r="M104" s="6"/>
      <c r="N104" s="6"/>
      <c r="O104" s="6"/>
      <c r="P104" s="6"/>
      <c r="Q104" s="6"/>
      <c r="R104" s="1"/>
    </row>
    <row r="105" spans="1:18" ht="18" x14ac:dyDescent="0.25">
      <c r="A105" s="8" t="s">
        <v>273</v>
      </c>
      <c r="B105" s="48">
        <f>IF(vin_nom&lt;5.5,210,30)</f>
        <v>210</v>
      </c>
      <c r="C105" s="54" t="s">
        <v>271</v>
      </c>
      <c r="D105" s="6"/>
      <c r="E105" s="6"/>
      <c r="F105" s="6"/>
      <c r="G105" s="6"/>
      <c r="H105" s="6"/>
      <c r="I105" s="6"/>
      <c r="J105" s="6"/>
      <c r="K105" s="6"/>
      <c r="L105" s="6"/>
      <c r="M105" s="6"/>
      <c r="N105" s="6"/>
      <c r="O105" s="6"/>
      <c r="P105" s="6"/>
      <c r="Q105" s="6"/>
      <c r="R105" s="1"/>
    </row>
    <row r="106" spans="1:18" ht="18" x14ac:dyDescent="0.25">
      <c r="A106" s="9" t="s">
        <v>274</v>
      </c>
      <c r="B106" s="8">
        <f>vin_nom*IQ_in/1000+vout*IQ_out/1000</f>
        <v>3.7907999999999999</v>
      </c>
      <c r="C106" s="14" t="s">
        <v>27</v>
      </c>
      <c r="D106" s="6"/>
      <c r="E106" s="6"/>
      <c r="F106" s="6"/>
      <c r="G106" s="6"/>
      <c r="H106" s="6"/>
      <c r="I106" s="6"/>
      <c r="J106" s="6"/>
      <c r="K106" s="6"/>
      <c r="L106" s="6"/>
      <c r="M106" s="6"/>
      <c r="N106" s="6"/>
      <c r="O106" s="6"/>
      <c r="P106" s="6"/>
      <c r="Q106" s="6"/>
      <c r="R106" s="1"/>
    </row>
    <row r="107" spans="1:18" x14ac:dyDescent="0.25">
      <c r="A107" s="6"/>
      <c r="B107" s="6"/>
      <c r="C107" s="45"/>
      <c r="D107" s="6"/>
      <c r="E107" s="6"/>
      <c r="F107" s="6"/>
      <c r="G107" s="6"/>
      <c r="H107" s="6"/>
      <c r="I107" s="6"/>
      <c r="J107" s="6"/>
      <c r="K107" s="6"/>
      <c r="L107" s="6"/>
      <c r="M107" s="6"/>
      <c r="N107" s="6"/>
      <c r="O107" s="6"/>
      <c r="P107" s="6"/>
      <c r="Q107" s="6"/>
      <c r="R107" s="1"/>
    </row>
    <row r="108" spans="1:18" ht="15.75" x14ac:dyDescent="0.25">
      <c r="A108" s="325" t="s">
        <v>245</v>
      </c>
      <c r="B108" s="325"/>
      <c r="C108" s="325"/>
      <c r="D108" s="5"/>
      <c r="E108" s="5"/>
      <c r="F108" s="5"/>
      <c r="G108" s="5"/>
      <c r="H108" s="5"/>
      <c r="I108" s="5"/>
      <c r="J108" s="5"/>
      <c r="K108" s="5"/>
      <c r="L108" s="5"/>
      <c r="M108" s="5"/>
      <c r="N108" s="5"/>
      <c r="O108" s="5"/>
      <c r="P108" s="5"/>
      <c r="Q108" s="5"/>
      <c r="R108" s="1"/>
    </row>
    <row r="109" spans="1:18" ht="18" x14ac:dyDescent="0.25">
      <c r="A109" s="8" t="s">
        <v>123</v>
      </c>
      <c r="B109" s="69">
        <f>R_FT</f>
        <v>243.10000000000002</v>
      </c>
      <c r="C109" s="11" t="s">
        <v>11</v>
      </c>
      <c r="D109" s="6"/>
      <c r="E109" s="6"/>
      <c r="F109" s="6"/>
      <c r="G109" s="6"/>
      <c r="H109" s="6"/>
      <c r="I109" s="6"/>
      <c r="J109" s="6"/>
      <c r="K109" s="6"/>
      <c r="L109" s="6"/>
      <c r="M109" s="6"/>
      <c r="N109" s="6"/>
      <c r="O109" s="6"/>
      <c r="P109" s="6"/>
      <c r="Q109" s="6"/>
      <c r="R109" s="1"/>
    </row>
    <row r="110" spans="1:18" ht="18" x14ac:dyDescent="0.25">
      <c r="A110" s="8" t="s">
        <v>124</v>
      </c>
      <c r="B110" s="69">
        <f>R_FB</f>
        <v>14.3</v>
      </c>
      <c r="C110" s="11" t="s">
        <v>11</v>
      </c>
      <c r="D110" s="6"/>
      <c r="E110" s="6"/>
      <c r="F110" s="6"/>
      <c r="G110" s="6"/>
      <c r="H110" s="6"/>
      <c r="I110" s="6"/>
      <c r="J110" s="6"/>
      <c r="K110" s="6"/>
      <c r="L110" s="6"/>
      <c r="M110" s="6"/>
      <c r="N110" s="6"/>
      <c r="O110" s="6"/>
      <c r="P110" s="6"/>
      <c r="Q110" s="6"/>
      <c r="R110" s="1"/>
    </row>
    <row r="111" spans="1:18" ht="18" x14ac:dyDescent="0.25">
      <c r="A111" s="8" t="s">
        <v>31</v>
      </c>
      <c r="B111" s="65">
        <f>vout</f>
        <v>18</v>
      </c>
      <c r="C111" s="11" t="s">
        <v>7</v>
      </c>
      <c r="D111" s="6"/>
      <c r="E111" s="6"/>
      <c r="F111" s="6"/>
      <c r="G111" s="6"/>
      <c r="H111" s="6"/>
      <c r="I111" s="6"/>
      <c r="J111" s="6"/>
      <c r="K111" s="6"/>
      <c r="L111" s="6"/>
      <c r="M111" s="6"/>
      <c r="N111" s="6"/>
      <c r="O111" s="6"/>
      <c r="P111" s="6"/>
      <c r="Q111" s="6"/>
      <c r="R111" s="1"/>
    </row>
    <row r="112" spans="1:18" ht="18" x14ac:dyDescent="0.25">
      <c r="A112" s="9" t="s">
        <v>275</v>
      </c>
      <c r="B112" s="8">
        <f>vout^2/(R_FB+R_FT)</f>
        <v>1.2587412587412585</v>
      </c>
      <c r="C112" s="14" t="s">
        <v>27</v>
      </c>
      <c r="D112" s="6"/>
      <c r="E112" s="6"/>
      <c r="F112" s="6"/>
      <c r="G112" s="6"/>
      <c r="H112" s="6"/>
      <c r="I112" s="6"/>
      <c r="J112" s="6"/>
      <c r="K112" s="6"/>
      <c r="L112" s="6"/>
      <c r="M112" s="6"/>
      <c r="N112" s="6"/>
      <c r="O112" s="6"/>
      <c r="P112" s="6"/>
      <c r="Q112" s="6"/>
      <c r="R112" s="1"/>
    </row>
    <row r="113" spans="1:18" x14ac:dyDescent="0.25">
      <c r="A113" s="1"/>
      <c r="B113" s="1"/>
      <c r="C113" s="59"/>
      <c r="D113" s="1"/>
      <c r="E113" s="1"/>
      <c r="F113" s="1"/>
      <c r="G113" s="1"/>
      <c r="H113" s="1"/>
      <c r="I113" s="1"/>
      <c r="J113" s="1"/>
      <c r="K113" s="1"/>
      <c r="L113" s="1"/>
      <c r="M113" s="1"/>
      <c r="N113" s="1"/>
      <c r="O113" s="1"/>
      <c r="P113" s="1"/>
      <c r="Q113" s="1"/>
      <c r="R113" s="1"/>
    </row>
    <row r="117" spans="1:18" ht="15.75" x14ac:dyDescent="0.25">
      <c r="B117" s="261" t="s">
        <v>482</v>
      </c>
    </row>
    <row r="118" spans="1:18" x14ac:dyDescent="0.25">
      <c r="B118" t="s">
        <v>483</v>
      </c>
      <c r="C118" s="46" t="s">
        <v>484</v>
      </c>
      <c r="D118" t="s">
        <v>485</v>
      </c>
      <c r="E118" t="s">
        <v>486</v>
      </c>
      <c r="F118" t="s">
        <v>487</v>
      </c>
    </row>
    <row r="119" spans="1:18" x14ac:dyDescent="0.25">
      <c r="B119">
        <v>3.6</v>
      </c>
      <c r="C119" s="262">
        <v>18</v>
      </c>
      <c r="D119">
        <v>1</v>
      </c>
      <c r="E119">
        <v>92.2</v>
      </c>
      <c r="F119">
        <v>93.58</v>
      </c>
    </row>
    <row r="120" spans="1:18" x14ac:dyDescent="0.25">
      <c r="B120">
        <v>3.6</v>
      </c>
      <c r="C120" s="262">
        <v>18</v>
      </c>
      <c r="D120">
        <v>2</v>
      </c>
      <c r="E120">
        <v>89.8</v>
      </c>
      <c r="F120">
        <v>92.33</v>
      </c>
    </row>
    <row r="121" spans="1:18" x14ac:dyDescent="0.25">
      <c r="B121">
        <v>8.4</v>
      </c>
      <c r="C121" s="262">
        <v>18</v>
      </c>
      <c r="D121">
        <v>1</v>
      </c>
      <c r="E121">
        <v>95.6</v>
      </c>
      <c r="F121">
        <v>95.01</v>
      </c>
    </row>
    <row r="122" spans="1:18" x14ac:dyDescent="0.25">
      <c r="B122">
        <v>8.4</v>
      </c>
      <c r="C122" s="262">
        <v>18</v>
      </c>
      <c r="D122">
        <v>3</v>
      </c>
      <c r="E122">
        <v>96</v>
      </c>
      <c r="F122">
        <v>96.42</v>
      </c>
    </row>
    <row r="123" spans="1:18" x14ac:dyDescent="0.25">
      <c r="B123">
        <v>8.4</v>
      </c>
      <c r="C123" s="262">
        <v>18</v>
      </c>
      <c r="D123">
        <v>5</v>
      </c>
      <c r="E123">
        <v>95.1</v>
      </c>
      <c r="F123">
        <v>95.87</v>
      </c>
    </row>
    <row r="124" spans="1:18" x14ac:dyDescent="0.25">
      <c r="B124">
        <v>12</v>
      </c>
      <c r="C124" s="262">
        <v>18</v>
      </c>
      <c r="D124">
        <v>1</v>
      </c>
      <c r="E124">
        <v>96</v>
      </c>
      <c r="F124">
        <v>96.21</v>
      </c>
    </row>
    <row r="125" spans="1:18" x14ac:dyDescent="0.25">
      <c r="B125">
        <v>12</v>
      </c>
      <c r="C125" s="262">
        <v>18</v>
      </c>
      <c r="D125">
        <v>3</v>
      </c>
      <c r="E125">
        <v>97.2</v>
      </c>
      <c r="F125">
        <v>97.58</v>
      </c>
    </row>
    <row r="126" spans="1:18" x14ac:dyDescent="0.25">
      <c r="B126">
        <v>12</v>
      </c>
      <c r="C126" s="262">
        <v>18</v>
      </c>
      <c r="D126">
        <v>5</v>
      </c>
      <c r="E126">
        <v>97</v>
      </c>
      <c r="F126">
        <v>97.48</v>
      </c>
    </row>
  </sheetData>
  <mergeCells count="14">
    <mergeCell ref="A4:C4"/>
    <mergeCell ref="A1:C2"/>
    <mergeCell ref="A101:C101"/>
    <mergeCell ref="A108:C108"/>
    <mergeCell ref="A43:C43"/>
    <mergeCell ref="A55:C55"/>
    <mergeCell ref="A65:C65"/>
    <mergeCell ref="A83:C83"/>
    <mergeCell ref="A95:C95"/>
    <mergeCell ref="A33:C33"/>
    <mergeCell ref="A74:C74"/>
    <mergeCell ref="A25:C25"/>
    <mergeCell ref="A11:C11"/>
    <mergeCell ref="A10:C10"/>
  </mergeCells>
  <pageMargins left="0.7" right="0.7" top="0.75" bottom="0.75" header="0.3" footer="0.3"/>
  <pageSetup paperSize="9" orientation="portrait" horizontalDpi="300" verticalDpi="300"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B215D2-3B5F-41C7-BD63-613D47FB0516}">
  <sheetPr codeName="Sheet5"/>
  <dimension ref="A1:D113"/>
  <sheetViews>
    <sheetView workbookViewId="0">
      <selection activeCell="H10" sqref="H10"/>
    </sheetView>
  </sheetViews>
  <sheetFormatPr defaultRowHeight="15" x14ac:dyDescent="0.25"/>
  <cols>
    <col min="1" max="1" width="22.140625" customWidth="1"/>
    <col min="3" max="3" width="14.140625" customWidth="1"/>
  </cols>
  <sheetData>
    <row r="1" spans="1:4" ht="15.75" thickBot="1" x14ac:dyDescent="0.3">
      <c r="A1" s="43" t="s">
        <v>36</v>
      </c>
    </row>
    <row r="2" spans="1:4" x14ac:dyDescent="0.25">
      <c r="A2" s="61" t="s">
        <v>32</v>
      </c>
      <c r="C2" t="s">
        <v>439</v>
      </c>
      <c r="D2" t="s">
        <v>438</v>
      </c>
    </row>
    <row r="3" spans="1:4" x14ac:dyDescent="0.25">
      <c r="A3" s="62" t="s">
        <v>33</v>
      </c>
    </row>
    <row r="4" spans="1:4" x14ac:dyDescent="0.25">
      <c r="A4" s="62" t="s">
        <v>34</v>
      </c>
    </row>
    <row r="5" spans="1:4" x14ac:dyDescent="0.25">
      <c r="A5" s="62" t="s">
        <v>35</v>
      </c>
    </row>
    <row r="6" spans="1:4" x14ac:dyDescent="0.25">
      <c r="A6" s="62" t="s">
        <v>49</v>
      </c>
    </row>
    <row r="7" spans="1:4" x14ac:dyDescent="0.25">
      <c r="A7" s="62" t="s">
        <v>37</v>
      </c>
    </row>
    <row r="8" spans="1:4" x14ac:dyDescent="0.25">
      <c r="A8" s="62" t="s">
        <v>46</v>
      </c>
    </row>
    <row r="9" spans="1:4" x14ac:dyDescent="0.25">
      <c r="A9" s="62" t="s">
        <v>38</v>
      </c>
    </row>
    <row r="10" spans="1:4" x14ac:dyDescent="0.25">
      <c r="A10" s="62" t="s">
        <v>42</v>
      </c>
    </row>
    <row r="11" spans="1:4" x14ac:dyDescent="0.25">
      <c r="A11" s="62" t="s">
        <v>43</v>
      </c>
    </row>
    <row r="12" spans="1:4" x14ac:dyDescent="0.25">
      <c r="A12" s="62" t="s">
        <v>44</v>
      </c>
    </row>
    <row r="13" spans="1:4" x14ac:dyDescent="0.25">
      <c r="A13" s="62" t="s">
        <v>45</v>
      </c>
    </row>
    <row r="14" spans="1:4" x14ac:dyDescent="0.25">
      <c r="A14" s="62" t="s">
        <v>50</v>
      </c>
    </row>
    <row r="15" spans="1:4" x14ac:dyDescent="0.25">
      <c r="A15" s="62" t="s">
        <v>47</v>
      </c>
    </row>
    <row r="16" spans="1:4" x14ac:dyDescent="0.25">
      <c r="A16" s="62" t="s">
        <v>53</v>
      </c>
    </row>
    <row r="17" spans="1:1" x14ac:dyDescent="0.25">
      <c r="A17" s="62" t="s">
        <v>317</v>
      </c>
    </row>
    <row r="18" spans="1:1" x14ac:dyDescent="0.25">
      <c r="A18" s="62" t="s">
        <v>51</v>
      </c>
    </row>
    <row r="19" spans="1:1" x14ac:dyDescent="0.25">
      <c r="A19" s="62" t="s">
        <v>54</v>
      </c>
    </row>
    <row r="20" spans="1:1" x14ac:dyDescent="0.25">
      <c r="A20" s="62" t="s">
        <v>55</v>
      </c>
    </row>
    <row r="21" spans="1:1" x14ac:dyDescent="0.25">
      <c r="A21" s="62" t="s">
        <v>56</v>
      </c>
    </row>
    <row r="22" spans="1:1" x14ac:dyDescent="0.25">
      <c r="A22" s="62" t="s">
        <v>58</v>
      </c>
    </row>
    <row r="23" spans="1:1" x14ac:dyDescent="0.25">
      <c r="A23" s="62" t="s">
        <v>59</v>
      </c>
    </row>
    <row r="24" spans="1:1" x14ac:dyDescent="0.25">
      <c r="A24" s="62" t="s">
        <v>60</v>
      </c>
    </row>
    <row r="25" spans="1:1" x14ac:dyDescent="0.25">
      <c r="A25" s="62" t="s">
        <v>61</v>
      </c>
    </row>
    <row r="26" spans="1:1" x14ac:dyDescent="0.25">
      <c r="A26" s="62" t="s">
        <v>62</v>
      </c>
    </row>
    <row r="27" spans="1:1" x14ac:dyDescent="0.25">
      <c r="A27" s="62" t="s">
        <v>316</v>
      </c>
    </row>
    <row r="28" spans="1:1" x14ac:dyDescent="0.25">
      <c r="A28" s="62" t="s">
        <v>66</v>
      </c>
    </row>
    <row r="29" spans="1:1" x14ac:dyDescent="0.25">
      <c r="A29" s="62" t="s">
        <v>70</v>
      </c>
    </row>
    <row r="30" spans="1:1" x14ac:dyDescent="0.25">
      <c r="A30" s="62" t="s">
        <v>71</v>
      </c>
    </row>
    <row r="31" spans="1:1" x14ac:dyDescent="0.25">
      <c r="A31" s="62" t="s">
        <v>72</v>
      </c>
    </row>
    <row r="32" spans="1:1" x14ac:dyDescent="0.25">
      <c r="A32" s="62" t="s">
        <v>73</v>
      </c>
    </row>
    <row r="33" spans="1:1" x14ac:dyDescent="0.25">
      <c r="A33" s="62" t="s">
        <v>74</v>
      </c>
    </row>
    <row r="34" spans="1:1" x14ac:dyDescent="0.25">
      <c r="A34" s="62" t="s">
        <v>77</v>
      </c>
    </row>
    <row r="35" spans="1:1" x14ac:dyDescent="0.25">
      <c r="A35" s="62" t="s">
        <v>79</v>
      </c>
    </row>
    <row r="36" spans="1:1" x14ac:dyDescent="0.25">
      <c r="A36" s="62" t="s">
        <v>81</v>
      </c>
    </row>
    <row r="37" spans="1:1" x14ac:dyDescent="0.25">
      <c r="A37" s="62" t="s">
        <v>83</v>
      </c>
    </row>
    <row r="38" spans="1:1" x14ac:dyDescent="0.25">
      <c r="A38" s="62" t="s">
        <v>89</v>
      </c>
    </row>
    <row r="39" spans="1:1" x14ac:dyDescent="0.25">
      <c r="A39" s="62" t="s">
        <v>91</v>
      </c>
    </row>
    <row r="40" spans="1:1" x14ac:dyDescent="0.25">
      <c r="A40" s="62" t="s">
        <v>93</v>
      </c>
    </row>
    <row r="41" spans="1:1" x14ac:dyDescent="0.25">
      <c r="A41" s="62" t="s">
        <v>102</v>
      </c>
    </row>
    <row r="42" spans="1:1" x14ac:dyDescent="0.25">
      <c r="A42" s="62" t="s">
        <v>103</v>
      </c>
    </row>
    <row r="43" spans="1:1" x14ac:dyDescent="0.25">
      <c r="A43" s="62" t="s">
        <v>104</v>
      </c>
    </row>
    <row r="44" spans="1:1" x14ac:dyDescent="0.25">
      <c r="A44" s="62" t="s">
        <v>105</v>
      </c>
    </row>
    <row r="45" spans="1:1" x14ac:dyDescent="0.25">
      <c r="A45" s="62" t="s">
        <v>99</v>
      </c>
    </row>
    <row r="46" spans="1:1" x14ac:dyDescent="0.25">
      <c r="A46" s="62" t="s">
        <v>111</v>
      </c>
    </row>
    <row r="47" spans="1:1" x14ac:dyDescent="0.25">
      <c r="A47" s="62" t="s">
        <v>112</v>
      </c>
    </row>
    <row r="48" spans="1:1" x14ac:dyDescent="0.25">
      <c r="A48" s="62" t="s">
        <v>100</v>
      </c>
    </row>
    <row r="49" spans="1:1" x14ac:dyDescent="0.25">
      <c r="A49" s="62" t="s">
        <v>296</v>
      </c>
    </row>
    <row r="50" spans="1:1" x14ac:dyDescent="0.25">
      <c r="A50" s="62" t="s">
        <v>101</v>
      </c>
    </row>
    <row r="51" spans="1:1" x14ac:dyDescent="0.25">
      <c r="A51" s="62" t="s">
        <v>106</v>
      </c>
    </row>
    <row r="52" spans="1:1" x14ac:dyDescent="0.25">
      <c r="A52" s="62" t="s">
        <v>107</v>
      </c>
    </row>
    <row r="53" spans="1:1" x14ac:dyDescent="0.25">
      <c r="A53" s="62" t="s">
        <v>108</v>
      </c>
    </row>
    <row r="54" spans="1:1" x14ac:dyDescent="0.25">
      <c r="A54" s="62" t="s">
        <v>120</v>
      </c>
    </row>
    <row r="55" spans="1:1" x14ac:dyDescent="0.25">
      <c r="A55" s="62" t="s">
        <v>121</v>
      </c>
    </row>
    <row r="56" spans="1:1" x14ac:dyDescent="0.25">
      <c r="A56" s="62" t="s">
        <v>122</v>
      </c>
    </row>
    <row r="57" spans="1:1" x14ac:dyDescent="0.25">
      <c r="A57" s="62" t="s">
        <v>126</v>
      </c>
    </row>
    <row r="58" spans="1:1" x14ac:dyDescent="0.25">
      <c r="A58" s="62" t="s">
        <v>127</v>
      </c>
    </row>
    <row r="59" spans="1:1" x14ac:dyDescent="0.25">
      <c r="A59" s="62" t="s">
        <v>128</v>
      </c>
    </row>
    <row r="60" spans="1:1" x14ac:dyDescent="0.25">
      <c r="A60" s="62" t="s">
        <v>129</v>
      </c>
    </row>
    <row r="61" spans="1:1" x14ac:dyDescent="0.25">
      <c r="A61" s="62" t="s">
        <v>130</v>
      </c>
    </row>
    <row r="62" spans="1:1" x14ac:dyDescent="0.25">
      <c r="A62" s="62" t="s">
        <v>170</v>
      </c>
    </row>
    <row r="63" spans="1:1" ht="15.75" thickBot="1" x14ac:dyDescent="0.3">
      <c r="A63" s="63" t="s">
        <v>171</v>
      </c>
    </row>
    <row r="64" spans="1:1" x14ac:dyDescent="0.25">
      <c r="A64" s="62" t="s">
        <v>166</v>
      </c>
    </row>
    <row r="65" spans="1:1" x14ac:dyDescent="0.25">
      <c r="A65" s="62" t="s">
        <v>167</v>
      </c>
    </row>
    <row r="66" spans="1:1" ht="15.75" thickBot="1" x14ac:dyDescent="0.3">
      <c r="A66" s="63" t="s">
        <v>168</v>
      </c>
    </row>
    <row r="67" spans="1:1" x14ac:dyDescent="0.25">
      <c r="A67" s="62" t="s">
        <v>188</v>
      </c>
    </row>
    <row r="68" spans="1:1" x14ac:dyDescent="0.25">
      <c r="A68" s="62" t="s">
        <v>190</v>
      </c>
    </row>
    <row r="69" spans="1:1" x14ac:dyDescent="0.25">
      <c r="A69" s="62" t="s">
        <v>191</v>
      </c>
    </row>
    <row r="70" spans="1:1" x14ac:dyDescent="0.25">
      <c r="A70" s="62" t="s">
        <v>298</v>
      </c>
    </row>
    <row r="71" spans="1:1" x14ac:dyDescent="0.25">
      <c r="A71" s="62" t="s">
        <v>299</v>
      </c>
    </row>
    <row r="72" spans="1:1" x14ac:dyDescent="0.25">
      <c r="A72" s="62" t="s">
        <v>192</v>
      </c>
    </row>
    <row r="73" spans="1:1" x14ac:dyDescent="0.25">
      <c r="A73" s="62" t="s">
        <v>196</v>
      </c>
    </row>
    <row r="74" spans="1:1" x14ac:dyDescent="0.25">
      <c r="A74" s="62" t="s">
        <v>197</v>
      </c>
    </row>
    <row r="75" spans="1:1" x14ac:dyDescent="0.25">
      <c r="A75" s="62" t="s">
        <v>199</v>
      </c>
    </row>
    <row r="76" spans="1:1" x14ac:dyDescent="0.25">
      <c r="A76" s="62" t="s">
        <v>200</v>
      </c>
    </row>
    <row r="77" spans="1:1" x14ac:dyDescent="0.25">
      <c r="A77" s="62" t="s">
        <v>201</v>
      </c>
    </row>
    <row r="78" spans="1:1" x14ac:dyDescent="0.25">
      <c r="A78" s="62" t="s">
        <v>209</v>
      </c>
    </row>
    <row r="79" spans="1:1" x14ac:dyDescent="0.25">
      <c r="A79" s="62" t="s">
        <v>210</v>
      </c>
    </row>
    <row r="80" spans="1:1" x14ac:dyDescent="0.25">
      <c r="A80" s="62" t="s">
        <v>262</v>
      </c>
    </row>
    <row r="81" spans="1:1" x14ac:dyDescent="0.25">
      <c r="A81" s="62" t="s">
        <v>215</v>
      </c>
    </row>
    <row r="82" spans="1:1" x14ac:dyDescent="0.25">
      <c r="A82" s="62" t="s">
        <v>214</v>
      </c>
    </row>
    <row r="83" spans="1:1" x14ac:dyDescent="0.25">
      <c r="A83" s="62" t="s">
        <v>224</v>
      </c>
    </row>
    <row r="84" spans="1:1" x14ac:dyDescent="0.25">
      <c r="A84" s="62" t="s">
        <v>225</v>
      </c>
    </row>
    <row r="85" spans="1:1" x14ac:dyDescent="0.25">
      <c r="A85" s="62" t="s">
        <v>226</v>
      </c>
    </row>
    <row r="86" spans="1:1" x14ac:dyDescent="0.25">
      <c r="A86" s="62" t="s">
        <v>227</v>
      </c>
    </row>
    <row r="87" spans="1:1" x14ac:dyDescent="0.25">
      <c r="A87" s="62" t="s">
        <v>228</v>
      </c>
    </row>
    <row r="88" spans="1:1" x14ac:dyDescent="0.25">
      <c r="A88" s="62" t="s">
        <v>229</v>
      </c>
    </row>
    <row r="89" spans="1:1" x14ac:dyDescent="0.25">
      <c r="A89" s="62" t="s">
        <v>230</v>
      </c>
    </row>
    <row r="90" spans="1:1" x14ac:dyDescent="0.25">
      <c r="A90" s="62" t="s">
        <v>237</v>
      </c>
    </row>
    <row r="91" spans="1:1" x14ac:dyDescent="0.25">
      <c r="A91" s="62" t="s">
        <v>238</v>
      </c>
    </row>
    <row r="92" spans="1:1" x14ac:dyDescent="0.25">
      <c r="A92" s="62" t="s">
        <v>239</v>
      </c>
    </row>
    <row r="93" spans="1:1" x14ac:dyDescent="0.25">
      <c r="A93" s="62" t="s">
        <v>240</v>
      </c>
    </row>
    <row r="94" spans="1:1" x14ac:dyDescent="0.25">
      <c r="A94" s="62" t="s">
        <v>241</v>
      </c>
    </row>
    <row r="95" spans="1:1" x14ac:dyDescent="0.25">
      <c r="A95" s="62" t="s">
        <v>248</v>
      </c>
    </row>
    <row r="96" spans="1:1" x14ac:dyDescent="0.25">
      <c r="A96" s="62" t="s">
        <v>250</v>
      </c>
    </row>
    <row r="97" spans="1:1" x14ac:dyDescent="0.25">
      <c r="A97" s="62" t="s">
        <v>251</v>
      </c>
    </row>
    <row r="98" spans="1:1" x14ac:dyDescent="0.25">
      <c r="A98" s="62" t="s">
        <v>255</v>
      </c>
    </row>
    <row r="99" spans="1:1" x14ac:dyDescent="0.25">
      <c r="A99" s="62" t="s">
        <v>256</v>
      </c>
    </row>
    <row r="100" spans="1:1" x14ac:dyDescent="0.25">
      <c r="A100" s="62" t="s">
        <v>261</v>
      </c>
    </row>
    <row r="101" spans="1:1" x14ac:dyDescent="0.25">
      <c r="A101" s="62" t="s">
        <v>263</v>
      </c>
    </row>
    <row r="102" spans="1:1" x14ac:dyDescent="0.25">
      <c r="A102" s="62" t="s">
        <v>264</v>
      </c>
    </row>
    <row r="103" spans="1:1" x14ac:dyDescent="0.25">
      <c r="A103" s="62" t="s">
        <v>265</v>
      </c>
    </row>
    <row r="104" spans="1:1" x14ac:dyDescent="0.25">
      <c r="A104" s="62" t="s">
        <v>267</v>
      </c>
    </row>
    <row r="105" spans="1:1" x14ac:dyDescent="0.25">
      <c r="A105" s="62" t="s">
        <v>269</v>
      </c>
    </row>
    <row r="106" spans="1:1" x14ac:dyDescent="0.25">
      <c r="A106" s="62" t="s">
        <v>270</v>
      </c>
    </row>
    <row r="107" spans="1:1" x14ac:dyDescent="0.25">
      <c r="A107" s="62" t="s">
        <v>287</v>
      </c>
    </row>
    <row r="108" spans="1:1" ht="15.75" thickBot="1" x14ac:dyDescent="0.3">
      <c r="A108" s="63" t="s">
        <v>288</v>
      </c>
    </row>
    <row r="109" spans="1:1" x14ac:dyDescent="0.25">
      <c r="A109" s="61" t="s">
        <v>290</v>
      </c>
    </row>
    <row r="110" spans="1:1" x14ac:dyDescent="0.25">
      <c r="A110" s="62" t="s">
        <v>291</v>
      </c>
    </row>
    <row r="111" spans="1:1" x14ac:dyDescent="0.25">
      <c r="A111" s="62" t="s">
        <v>292</v>
      </c>
    </row>
    <row r="112" spans="1:1" x14ac:dyDescent="0.25">
      <c r="A112" s="62" t="s">
        <v>293</v>
      </c>
    </row>
    <row r="113" spans="1:1" ht="15.75" thickBot="1" x14ac:dyDescent="0.3">
      <c r="A113" s="63" t="s">
        <v>294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50B63D-8DE1-4B0F-86A4-3757B644B30B}">
  <sheetPr codeName="Sheet6"/>
  <dimension ref="A1:P49"/>
  <sheetViews>
    <sheetView topLeftCell="A4" workbookViewId="0">
      <selection activeCell="N24" sqref="N24"/>
    </sheetView>
  </sheetViews>
  <sheetFormatPr defaultColWidth="9.140625" defaultRowHeight="15" x14ac:dyDescent="0.25"/>
  <cols>
    <col min="1" max="1" width="19.140625" style="6" customWidth="1"/>
    <col min="2" max="2" width="15.42578125" style="6" customWidth="1"/>
    <col min="3" max="3" width="14.42578125" style="6" customWidth="1"/>
    <col min="4" max="4" width="17.42578125" style="6" customWidth="1"/>
    <col min="5" max="5" width="27.28515625" style="6" customWidth="1"/>
    <col min="6" max="6" width="35" style="6" customWidth="1"/>
    <col min="7" max="16384" width="9.140625" style="6"/>
  </cols>
  <sheetData>
    <row r="1" spans="1:16" x14ac:dyDescent="0.25">
      <c r="A1" s="328"/>
      <c r="B1" s="328"/>
      <c r="C1" s="328"/>
      <c r="D1" s="328"/>
      <c r="E1" s="328"/>
      <c r="F1" s="328"/>
      <c r="G1" s="328"/>
      <c r="H1" s="328"/>
      <c r="I1" s="328"/>
      <c r="J1" s="328"/>
      <c r="K1" s="328"/>
      <c r="L1" s="328"/>
      <c r="M1" s="78"/>
      <c r="N1" s="78"/>
      <c r="O1" s="78"/>
      <c r="P1" s="78"/>
    </row>
    <row r="2" spans="1:16" x14ac:dyDescent="0.25">
      <c r="A2" s="328"/>
      <c r="B2" s="328"/>
      <c r="C2" s="328"/>
      <c r="D2" s="328"/>
      <c r="E2" s="328"/>
      <c r="F2" s="328"/>
      <c r="G2" s="328"/>
      <c r="H2" s="328"/>
      <c r="I2" s="328"/>
      <c r="J2" s="328"/>
      <c r="K2" s="328"/>
      <c r="L2" s="328"/>
      <c r="M2" s="78"/>
      <c r="N2" s="78"/>
      <c r="O2" s="78"/>
      <c r="P2" s="78"/>
    </row>
    <row r="3" spans="1:16" x14ac:dyDescent="0.25">
      <c r="A3" s="328"/>
      <c r="B3" s="328"/>
      <c r="C3" s="328"/>
      <c r="D3" s="328"/>
      <c r="E3" s="328"/>
      <c r="F3" s="328"/>
      <c r="G3" s="328"/>
      <c r="H3" s="328"/>
      <c r="I3" s="328"/>
      <c r="J3" s="328"/>
      <c r="K3" s="328"/>
      <c r="L3" s="328"/>
      <c r="M3" s="78"/>
      <c r="N3" s="78"/>
      <c r="O3" s="78"/>
      <c r="P3" s="78"/>
    </row>
    <row r="4" spans="1:16" x14ac:dyDescent="0.25">
      <c r="A4" s="329"/>
      <c r="B4" s="329"/>
      <c r="C4" s="329"/>
      <c r="D4" s="329"/>
      <c r="E4" s="329"/>
      <c r="F4" s="329"/>
      <c r="G4" s="329"/>
      <c r="H4" s="329"/>
      <c r="I4" s="329"/>
      <c r="J4" s="329"/>
      <c r="K4" s="329"/>
      <c r="L4" s="329"/>
      <c r="M4" s="78"/>
      <c r="N4" s="78"/>
      <c r="O4" s="78"/>
      <c r="P4" s="78"/>
    </row>
    <row r="5" spans="1:16" x14ac:dyDescent="0.25">
      <c r="A5" s="79" t="s">
        <v>318</v>
      </c>
      <c r="B5" s="80" t="str">
        <f>LOOKUP(2,1/((A37:A46)&lt;&gt;""),(A37:A46))</f>
        <v>1.0</v>
      </c>
      <c r="C5" s="81"/>
      <c r="D5" s="81"/>
      <c r="E5" s="81"/>
      <c r="F5" s="81"/>
      <c r="G5" s="81"/>
      <c r="H5" s="81"/>
      <c r="I5" s="81"/>
      <c r="J5" s="81"/>
      <c r="K5" s="82"/>
      <c r="L5" s="83"/>
      <c r="M5" s="78"/>
      <c r="N5" s="78"/>
      <c r="O5" s="78"/>
      <c r="P5" s="78"/>
    </row>
    <row r="6" spans="1:16" x14ac:dyDescent="0.25">
      <c r="A6" s="79"/>
      <c r="B6" s="80"/>
      <c r="C6" s="81"/>
      <c r="D6" s="81"/>
      <c r="E6" s="81"/>
      <c r="F6" s="81"/>
      <c r="G6" s="81"/>
      <c r="H6" s="81"/>
      <c r="I6" s="81"/>
      <c r="J6" s="83"/>
      <c r="K6" s="83"/>
      <c r="L6" s="83"/>
      <c r="M6" s="78"/>
      <c r="N6" s="78"/>
      <c r="O6" s="78"/>
      <c r="P6" s="78"/>
    </row>
    <row r="7" spans="1:16" x14ac:dyDescent="0.25">
      <c r="A7" s="84"/>
      <c r="B7" s="85"/>
      <c r="C7" s="78"/>
      <c r="D7" s="78"/>
      <c r="E7" s="78"/>
      <c r="F7" s="78"/>
      <c r="G7" s="78"/>
      <c r="H7" s="78"/>
      <c r="I7" s="78"/>
      <c r="J7" s="78"/>
      <c r="K7" s="78"/>
      <c r="L7" s="78"/>
      <c r="M7" s="78"/>
      <c r="N7" s="78"/>
      <c r="O7" s="78"/>
      <c r="P7" s="78"/>
    </row>
    <row r="8" spans="1:16" x14ac:dyDescent="0.25">
      <c r="A8" s="84"/>
      <c r="B8" s="85"/>
      <c r="C8" s="78"/>
      <c r="D8" s="78"/>
      <c r="E8" s="78"/>
      <c r="F8" s="78"/>
      <c r="G8" s="78"/>
      <c r="H8" s="78"/>
      <c r="I8" s="78"/>
      <c r="J8" s="78"/>
      <c r="K8" s="78"/>
      <c r="L8" s="78"/>
      <c r="M8" s="78"/>
      <c r="N8" s="78"/>
      <c r="O8" s="78"/>
      <c r="P8" s="78"/>
    </row>
    <row r="9" spans="1:16" x14ac:dyDescent="0.25">
      <c r="A9" s="84"/>
      <c r="B9" s="85"/>
      <c r="C9" s="78"/>
      <c r="D9" s="78"/>
      <c r="E9" s="78"/>
      <c r="F9" s="78"/>
      <c r="G9" s="78"/>
      <c r="H9" s="78"/>
      <c r="I9" s="78"/>
      <c r="J9" s="78"/>
      <c r="K9" s="78"/>
      <c r="L9" s="78"/>
      <c r="M9" s="78"/>
      <c r="N9" s="78"/>
      <c r="O9" s="78"/>
      <c r="P9" s="78"/>
    </row>
    <row r="10" spans="1:16" x14ac:dyDescent="0.25">
      <c r="A10" s="84"/>
      <c r="B10" s="85"/>
      <c r="C10" s="78"/>
      <c r="D10" s="78"/>
      <c r="E10" s="78"/>
      <c r="F10" s="78"/>
      <c r="G10" s="78"/>
      <c r="H10" s="78"/>
      <c r="I10" s="78"/>
      <c r="J10" s="78"/>
      <c r="K10" s="78"/>
      <c r="L10" s="78"/>
      <c r="M10" s="78"/>
      <c r="N10" s="78"/>
      <c r="O10" s="78"/>
      <c r="P10" s="78"/>
    </row>
    <row r="11" spans="1:16" x14ac:dyDescent="0.25">
      <c r="A11" s="84"/>
      <c r="B11" s="85"/>
      <c r="C11" s="78"/>
      <c r="D11" s="78"/>
      <c r="E11" s="78"/>
      <c r="F11" s="78"/>
      <c r="G11" s="78"/>
      <c r="H11" s="78"/>
      <c r="I11" s="78"/>
      <c r="J11" s="78"/>
      <c r="K11" s="78"/>
      <c r="L11" s="78"/>
      <c r="M11" s="78"/>
      <c r="N11" s="78"/>
      <c r="O11" s="78"/>
      <c r="P11" s="78"/>
    </row>
    <row r="12" spans="1:16" x14ac:dyDescent="0.25">
      <c r="A12" s="84"/>
      <c r="B12" s="85"/>
      <c r="C12" s="78"/>
      <c r="D12" s="78"/>
      <c r="E12" s="78"/>
      <c r="F12" s="78"/>
      <c r="G12" s="78"/>
      <c r="H12" s="78"/>
      <c r="I12" s="78"/>
      <c r="J12" s="78"/>
      <c r="K12" s="78"/>
      <c r="L12" s="78"/>
      <c r="M12" s="78"/>
      <c r="N12" s="78"/>
      <c r="O12" s="78"/>
      <c r="P12" s="78"/>
    </row>
    <row r="13" spans="1:16" x14ac:dyDescent="0.25">
      <c r="A13" s="84"/>
      <c r="B13" s="85"/>
      <c r="C13" s="78"/>
      <c r="D13" s="78"/>
      <c r="E13" s="78"/>
      <c r="F13" s="78"/>
      <c r="G13" s="78"/>
      <c r="H13" s="78"/>
      <c r="I13" s="78"/>
      <c r="J13" s="78"/>
      <c r="K13" s="78"/>
      <c r="L13" s="78"/>
      <c r="M13" s="78"/>
      <c r="N13" s="78"/>
      <c r="O13" s="78"/>
      <c r="P13" s="78"/>
    </row>
    <row r="14" spans="1:16" x14ac:dyDescent="0.25">
      <c r="A14" s="84"/>
      <c r="B14" s="85"/>
      <c r="C14" s="78"/>
      <c r="D14" s="78"/>
      <c r="E14" s="78"/>
      <c r="F14" s="78"/>
      <c r="G14" s="78"/>
      <c r="H14" s="78"/>
      <c r="I14" s="78"/>
      <c r="J14" s="78"/>
      <c r="K14" s="78"/>
      <c r="L14" s="78"/>
      <c r="M14" s="78"/>
      <c r="N14" s="78"/>
      <c r="O14" s="78"/>
      <c r="P14" s="78"/>
    </row>
    <row r="15" spans="1:16" x14ac:dyDescent="0.25">
      <c r="A15" s="84"/>
      <c r="B15" s="85"/>
      <c r="C15" s="78"/>
      <c r="D15" s="78"/>
      <c r="E15" s="78"/>
      <c r="F15" s="78"/>
      <c r="G15" s="78"/>
      <c r="H15" s="78"/>
      <c r="I15" s="78"/>
      <c r="J15" s="78"/>
      <c r="K15" s="78"/>
      <c r="L15" s="78"/>
      <c r="M15" s="78"/>
      <c r="N15" s="78"/>
      <c r="O15" s="78"/>
      <c r="P15" s="78"/>
    </row>
    <row r="16" spans="1:16" x14ac:dyDescent="0.25">
      <c r="A16" s="84"/>
      <c r="B16" s="85"/>
      <c r="C16" s="78"/>
      <c r="D16" s="78"/>
      <c r="E16" s="78"/>
      <c r="F16" s="78"/>
      <c r="G16" s="78"/>
      <c r="H16" s="78"/>
      <c r="I16" s="78"/>
      <c r="J16" s="78"/>
      <c r="K16" s="78"/>
      <c r="L16" s="78"/>
      <c r="M16" s="78"/>
      <c r="N16" s="78"/>
      <c r="O16" s="78"/>
      <c r="P16" s="78"/>
    </row>
    <row r="17" spans="1:16" x14ac:dyDescent="0.25">
      <c r="A17" s="84"/>
      <c r="B17" s="85"/>
      <c r="C17" s="78"/>
      <c r="D17" s="78"/>
      <c r="E17" s="78"/>
      <c r="F17" s="78"/>
      <c r="G17" s="78"/>
      <c r="H17" s="78"/>
      <c r="I17" s="78"/>
      <c r="J17" s="78"/>
      <c r="K17" s="78"/>
      <c r="L17" s="78"/>
      <c r="M17" s="78"/>
      <c r="N17" s="78"/>
      <c r="O17" s="78"/>
      <c r="P17" s="78"/>
    </row>
    <row r="18" spans="1:16" x14ac:dyDescent="0.25">
      <c r="A18" s="84"/>
      <c r="B18" s="85"/>
      <c r="C18" s="78"/>
      <c r="D18" s="78"/>
      <c r="E18" s="78"/>
      <c r="F18" s="78"/>
      <c r="G18" s="78"/>
      <c r="H18" s="78"/>
      <c r="I18" s="78"/>
      <c r="J18" s="78"/>
      <c r="K18" s="78"/>
      <c r="L18" s="78"/>
      <c r="M18" s="78"/>
      <c r="N18" s="78"/>
      <c r="O18" s="78"/>
      <c r="P18" s="78"/>
    </row>
    <row r="19" spans="1:16" x14ac:dyDescent="0.25">
      <c r="A19" s="84"/>
      <c r="B19" s="85"/>
      <c r="C19" s="78"/>
      <c r="D19" s="78"/>
      <c r="E19" s="78"/>
      <c r="F19" s="78"/>
      <c r="G19" s="78"/>
      <c r="H19" s="78"/>
      <c r="I19" s="78"/>
      <c r="J19" s="78"/>
      <c r="K19" s="78"/>
      <c r="L19" s="78"/>
      <c r="M19" s="78"/>
      <c r="N19" s="78"/>
      <c r="O19" s="78"/>
      <c r="P19" s="78"/>
    </row>
    <row r="20" spans="1:16" x14ac:dyDescent="0.25">
      <c r="A20" s="84"/>
      <c r="B20" s="85"/>
      <c r="C20" s="78"/>
      <c r="D20" s="78"/>
      <c r="E20" s="78"/>
      <c r="F20" s="78"/>
      <c r="G20" s="78"/>
      <c r="H20" s="78"/>
      <c r="I20" s="78"/>
      <c r="J20" s="78"/>
      <c r="K20" s="78"/>
      <c r="L20" s="78"/>
      <c r="M20" s="78"/>
      <c r="N20" s="78"/>
      <c r="O20" s="78"/>
      <c r="P20" s="78"/>
    </row>
    <row r="21" spans="1:16" x14ac:dyDescent="0.25">
      <c r="A21" s="84"/>
      <c r="B21" s="85"/>
      <c r="C21" s="78"/>
      <c r="D21" s="78"/>
      <c r="E21" s="78"/>
      <c r="F21" s="78"/>
      <c r="G21" s="78"/>
      <c r="H21" s="78"/>
      <c r="I21" s="78"/>
      <c r="J21" s="78"/>
      <c r="K21" s="78"/>
      <c r="L21" s="78"/>
      <c r="M21" s="78"/>
      <c r="N21" s="78"/>
      <c r="O21" s="78"/>
      <c r="P21" s="78"/>
    </row>
    <row r="22" spans="1:16" x14ac:dyDescent="0.25">
      <c r="A22" s="84"/>
      <c r="B22" s="85"/>
      <c r="C22" s="78"/>
      <c r="D22" s="78"/>
      <c r="E22" s="78"/>
      <c r="F22" s="78"/>
      <c r="G22" s="78"/>
      <c r="H22" s="78"/>
      <c r="I22" s="78"/>
      <c r="J22" s="78"/>
      <c r="K22" s="78"/>
      <c r="L22" s="78"/>
      <c r="M22" s="78"/>
      <c r="N22" s="78"/>
      <c r="O22" s="78"/>
      <c r="P22" s="78"/>
    </row>
    <row r="23" spans="1:16" x14ac:dyDescent="0.25">
      <c r="A23" s="84"/>
      <c r="B23" s="85"/>
      <c r="C23" s="78"/>
      <c r="D23" s="78"/>
      <c r="E23" s="78"/>
      <c r="F23" s="78"/>
      <c r="G23" s="78"/>
      <c r="H23" s="78"/>
      <c r="I23" s="78"/>
      <c r="J23" s="78"/>
      <c r="K23" s="78"/>
      <c r="L23" s="78"/>
      <c r="M23" s="78"/>
      <c r="N23" s="78"/>
      <c r="O23" s="78"/>
      <c r="P23" s="78"/>
    </row>
    <row r="24" spans="1:16" x14ac:dyDescent="0.25">
      <c r="A24" s="84"/>
      <c r="B24" s="85"/>
      <c r="C24" s="78"/>
      <c r="D24" s="78"/>
      <c r="E24" s="78"/>
      <c r="F24" s="78"/>
      <c r="G24" s="78"/>
      <c r="H24" s="78"/>
      <c r="I24" s="78"/>
      <c r="J24" s="78"/>
      <c r="K24" s="78"/>
      <c r="L24" s="78"/>
      <c r="M24" s="78"/>
      <c r="N24" s="78"/>
      <c r="O24" s="78"/>
      <c r="P24" s="78"/>
    </row>
    <row r="25" spans="1:16" x14ac:dyDescent="0.25">
      <c r="A25" s="84"/>
      <c r="B25" s="85"/>
      <c r="C25" s="78"/>
      <c r="D25" s="78"/>
      <c r="E25" s="78"/>
      <c r="F25" s="78"/>
      <c r="G25" s="78"/>
      <c r="H25" s="78"/>
      <c r="I25" s="78"/>
      <c r="J25" s="78"/>
      <c r="K25" s="78"/>
      <c r="L25" s="78"/>
      <c r="M25" s="78"/>
      <c r="N25" s="78"/>
      <c r="O25" s="78"/>
      <c r="P25" s="78"/>
    </row>
    <row r="26" spans="1:16" x14ac:dyDescent="0.25">
      <c r="A26" s="84"/>
      <c r="B26" s="85"/>
      <c r="C26" s="78"/>
      <c r="D26" s="78"/>
      <c r="E26" s="78"/>
      <c r="F26" s="78"/>
      <c r="G26" s="78"/>
      <c r="H26" s="78"/>
      <c r="I26" s="78"/>
      <c r="J26" s="78"/>
      <c r="K26" s="78"/>
      <c r="L26" s="78"/>
      <c r="M26" s="78"/>
      <c r="N26" s="78"/>
      <c r="O26" s="78"/>
      <c r="P26" s="78"/>
    </row>
    <row r="27" spans="1:16" x14ac:dyDescent="0.25">
      <c r="A27" s="84"/>
      <c r="B27" s="85"/>
      <c r="C27" s="78"/>
      <c r="D27" s="78"/>
      <c r="E27" s="78"/>
      <c r="F27" s="78"/>
      <c r="G27" s="78"/>
      <c r="H27" s="78"/>
      <c r="I27" s="78"/>
      <c r="J27" s="78"/>
      <c r="K27" s="78"/>
      <c r="L27" s="78"/>
      <c r="M27" s="78"/>
      <c r="N27" s="78"/>
      <c r="O27" s="78"/>
      <c r="P27" s="78"/>
    </row>
    <row r="28" spans="1:16" x14ac:dyDescent="0.25">
      <c r="A28" s="84"/>
      <c r="B28" s="85"/>
      <c r="C28" s="78"/>
      <c r="D28" s="78"/>
      <c r="E28" s="78"/>
      <c r="F28" s="78"/>
      <c r="G28" s="78"/>
      <c r="H28" s="78"/>
      <c r="I28" s="78"/>
      <c r="J28" s="78"/>
      <c r="K28" s="78"/>
      <c r="L28" s="78"/>
      <c r="M28" s="78"/>
      <c r="N28" s="78"/>
      <c r="O28" s="78"/>
      <c r="P28" s="78"/>
    </row>
    <row r="29" spans="1:16" x14ac:dyDescent="0.25">
      <c r="A29" s="84"/>
      <c r="B29" s="85"/>
      <c r="C29" s="78"/>
      <c r="D29" s="78"/>
      <c r="E29" s="78"/>
      <c r="F29" s="78"/>
      <c r="G29" s="78"/>
      <c r="H29" s="78"/>
      <c r="I29" s="78"/>
      <c r="J29" s="78"/>
      <c r="K29" s="78"/>
      <c r="L29" s="78"/>
      <c r="M29" s="78"/>
      <c r="N29" s="78"/>
      <c r="O29" s="78"/>
      <c r="P29" s="78"/>
    </row>
    <row r="30" spans="1:16" x14ac:dyDescent="0.25">
      <c r="A30" s="84"/>
      <c r="B30" s="85"/>
      <c r="C30" s="78"/>
      <c r="D30" s="78"/>
      <c r="E30" s="78"/>
      <c r="F30" s="78"/>
      <c r="G30" s="78"/>
      <c r="H30" s="78"/>
      <c r="I30" s="78"/>
      <c r="J30" s="78"/>
      <c r="K30" s="78"/>
      <c r="L30" s="78"/>
      <c r="M30" s="78"/>
      <c r="N30" s="78"/>
      <c r="O30" s="78"/>
      <c r="P30" s="78"/>
    </row>
    <row r="31" spans="1:16" x14ac:dyDescent="0.25">
      <c r="A31" s="84"/>
      <c r="B31" s="85"/>
      <c r="C31" s="78"/>
      <c r="D31" s="78"/>
      <c r="E31" s="78"/>
      <c r="F31" s="78"/>
      <c r="G31" s="78"/>
      <c r="H31" s="78"/>
      <c r="I31" s="78"/>
      <c r="J31" s="78"/>
      <c r="K31" s="78"/>
      <c r="L31" s="78"/>
      <c r="M31" s="78"/>
      <c r="N31" s="78"/>
      <c r="O31" s="78"/>
      <c r="P31" s="78"/>
    </row>
    <row r="32" spans="1:16" x14ac:dyDescent="0.25">
      <c r="A32" s="84"/>
      <c r="B32" s="85"/>
      <c r="C32" s="78"/>
      <c r="D32" s="78"/>
      <c r="E32" s="78"/>
      <c r="F32" s="78"/>
      <c r="G32" s="78"/>
      <c r="H32" s="78"/>
      <c r="I32" s="78"/>
      <c r="J32" s="78"/>
      <c r="K32" s="78"/>
      <c r="L32" s="78"/>
      <c r="M32" s="78"/>
      <c r="N32" s="78"/>
      <c r="O32" s="78"/>
      <c r="P32" s="78"/>
    </row>
    <row r="33" spans="1:16" x14ac:dyDescent="0.25">
      <c r="A33" s="84"/>
      <c r="B33" s="85"/>
      <c r="C33" s="78"/>
      <c r="D33" s="78"/>
      <c r="E33" s="78"/>
      <c r="F33" s="78"/>
      <c r="G33" s="78"/>
      <c r="H33" s="78"/>
      <c r="I33" s="78"/>
      <c r="J33" s="78"/>
      <c r="K33" s="78"/>
      <c r="L33" s="78"/>
      <c r="M33" s="78"/>
      <c r="N33" s="78"/>
      <c r="O33" s="78"/>
      <c r="P33" s="78"/>
    </row>
    <row r="34" spans="1:16" x14ac:dyDescent="0.25">
      <c r="A34" s="84"/>
      <c r="B34" s="85"/>
      <c r="C34" s="78"/>
      <c r="D34" s="78"/>
      <c r="E34" s="78"/>
      <c r="F34" s="78"/>
      <c r="G34" s="78"/>
      <c r="H34" s="78"/>
      <c r="I34" s="78"/>
      <c r="J34" s="78"/>
      <c r="K34" s="78"/>
      <c r="L34" s="78"/>
      <c r="M34" s="78"/>
      <c r="N34" s="78"/>
      <c r="O34" s="78"/>
      <c r="P34" s="78"/>
    </row>
    <row r="35" spans="1:16" x14ac:dyDescent="0.25">
      <c r="A35" s="86" t="s">
        <v>319</v>
      </c>
      <c r="B35" s="87"/>
      <c r="C35" s="81"/>
      <c r="D35" s="81"/>
      <c r="E35" s="81"/>
      <c r="F35" s="81"/>
      <c r="G35" s="81"/>
      <c r="H35" s="81"/>
      <c r="I35" s="81"/>
      <c r="J35" s="81"/>
      <c r="K35" s="81"/>
      <c r="L35" s="78"/>
      <c r="M35" s="78"/>
      <c r="N35" s="78"/>
      <c r="O35" s="78"/>
      <c r="P35" s="78"/>
    </row>
    <row r="36" spans="1:16" x14ac:dyDescent="0.25">
      <c r="A36" s="88" t="s">
        <v>320</v>
      </c>
      <c r="B36" s="330" t="s">
        <v>321</v>
      </c>
      <c r="C36" s="330"/>
      <c r="D36" s="330"/>
      <c r="E36" s="330"/>
      <c r="F36" s="330"/>
      <c r="G36" s="330"/>
      <c r="H36" s="330"/>
      <c r="I36" s="330"/>
      <c r="J36" s="330"/>
      <c r="K36" s="330"/>
      <c r="L36" s="89"/>
      <c r="M36" s="78"/>
      <c r="N36" s="78"/>
      <c r="O36" s="78"/>
      <c r="P36" s="78"/>
    </row>
    <row r="37" spans="1:16" x14ac:dyDescent="0.25">
      <c r="A37" s="90" t="s">
        <v>322</v>
      </c>
      <c r="B37" s="331" t="s">
        <v>323</v>
      </c>
      <c r="C37" s="331"/>
      <c r="D37" s="331"/>
      <c r="E37" s="331"/>
      <c r="F37" s="331"/>
      <c r="G37" s="331"/>
      <c r="H37" s="331"/>
      <c r="I37" s="331"/>
      <c r="J37" s="331"/>
      <c r="K37" s="331"/>
      <c r="L37" s="78"/>
      <c r="M37" s="78"/>
      <c r="N37" s="78"/>
      <c r="O37" s="78"/>
      <c r="P37" s="78"/>
    </row>
    <row r="38" spans="1:16" x14ac:dyDescent="0.25">
      <c r="A38" s="86"/>
      <c r="B38" s="327"/>
      <c r="C38" s="327"/>
      <c r="D38" s="327"/>
      <c r="E38" s="327"/>
      <c r="F38" s="327"/>
      <c r="G38" s="327"/>
      <c r="H38" s="327"/>
      <c r="I38" s="327"/>
      <c r="J38" s="327"/>
      <c r="K38" s="327"/>
      <c r="L38" s="78"/>
      <c r="M38" s="78"/>
      <c r="N38" s="78"/>
      <c r="O38" s="78"/>
      <c r="P38" s="78"/>
    </row>
    <row r="39" spans="1:16" x14ac:dyDescent="0.25">
      <c r="A39" s="90"/>
      <c r="B39" s="327"/>
      <c r="C39" s="327"/>
      <c r="D39" s="327"/>
      <c r="E39" s="327"/>
      <c r="F39" s="327"/>
      <c r="G39" s="327"/>
      <c r="H39" s="327"/>
      <c r="I39" s="327"/>
      <c r="J39" s="327"/>
      <c r="K39" s="327"/>
      <c r="L39" s="78"/>
      <c r="M39" s="78"/>
      <c r="N39" s="78"/>
      <c r="O39" s="78"/>
      <c r="P39" s="78"/>
    </row>
    <row r="40" spans="1:16" x14ac:dyDescent="0.25">
      <c r="A40" s="86"/>
      <c r="B40" s="327"/>
      <c r="C40" s="327"/>
      <c r="D40" s="327"/>
      <c r="E40" s="327"/>
      <c r="F40" s="327"/>
      <c r="G40" s="327"/>
      <c r="H40" s="327"/>
      <c r="I40" s="327"/>
      <c r="J40" s="327"/>
      <c r="K40" s="327"/>
      <c r="L40" s="78"/>
      <c r="M40" s="78"/>
      <c r="N40" s="78"/>
      <c r="O40" s="78"/>
      <c r="P40" s="78"/>
    </row>
    <row r="41" spans="1:16" x14ac:dyDescent="0.25">
      <c r="A41" s="86"/>
      <c r="B41" s="327"/>
      <c r="C41" s="327"/>
      <c r="D41" s="327"/>
      <c r="E41" s="327"/>
      <c r="F41" s="327"/>
      <c r="G41" s="327"/>
      <c r="H41" s="327"/>
      <c r="I41" s="327"/>
      <c r="J41" s="327"/>
      <c r="K41" s="327"/>
      <c r="L41" s="78"/>
      <c r="M41" s="78"/>
      <c r="N41" s="78"/>
      <c r="O41" s="78"/>
      <c r="P41" s="78"/>
    </row>
    <row r="42" spans="1:16" x14ac:dyDescent="0.25">
      <c r="A42" s="86"/>
      <c r="B42" s="327"/>
      <c r="C42" s="327"/>
      <c r="D42" s="327"/>
      <c r="E42" s="327"/>
      <c r="F42" s="327"/>
      <c r="G42" s="327"/>
      <c r="H42" s="327"/>
      <c r="I42" s="327"/>
      <c r="J42" s="327"/>
      <c r="K42" s="327"/>
      <c r="L42" s="78"/>
      <c r="M42" s="78"/>
      <c r="N42" s="78"/>
      <c r="O42" s="78"/>
      <c r="P42" s="78"/>
    </row>
    <row r="43" spans="1:16" x14ac:dyDescent="0.25">
      <c r="A43" s="86"/>
      <c r="B43" s="327"/>
      <c r="C43" s="327"/>
      <c r="D43" s="327"/>
      <c r="E43" s="327"/>
      <c r="F43" s="327"/>
      <c r="G43" s="327"/>
      <c r="H43" s="327"/>
      <c r="I43" s="327"/>
      <c r="J43" s="327"/>
      <c r="K43" s="327"/>
      <c r="L43" s="78"/>
      <c r="M43" s="78"/>
      <c r="N43" s="78"/>
      <c r="O43" s="78"/>
      <c r="P43" s="78"/>
    </row>
    <row r="44" spans="1:16" x14ac:dyDescent="0.25">
      <c r="A44" s="86"/>
      <c r="B44" s="327"/>
      <c r="C44" s="327"/>
      <c r="D44" s="327"/>
      <c r="E44" s="327"/>
      <c r="F44" s="327"/>
      <c r="G44" s="327"/>
      <c r="H44" s="327"/>
      <c r="I44" s="327"/>
      <c r="J44" s="327"/>
      <c r="K44" s="327"/>
      <c r="L44" s="91"/>
      <c r="M44" s="91"/>
      <c r="N44" s="91"/>
      <c r="O44" s="91"/>
      <c r="P44" s="91"/>
    </row>
    <row r="45" spans="1:16" x14ac:dyDescent="0.25">
      <c r="A45" s="86"/>
      <c r="B45" s="327"/>
      <c r="C45" s="327"/>
      <c r="D45" s="327"/>
      <c r="E45" s="327"/>
      <c r="F45" s="327"/>
      <c r="G45" s="327"/>
      <c r="H45" s="327"/>
      <c r="I45" s="327"/>
      <c r="J45" s="327"/>
      <c r="K45" s="327"/>
      <c r="L45" s="78"/>
      <c r="M45" s="78"/>
      <c r="N45" s="78"/>
      <c r="O45" s="78"/>
      <c r="P45" s="78"/>
    </row>
    <row r="46" spans="1:16" x14ac:dyDescent="0.25">
      <c r="A46" s="86"/>
      <c r="B46" s="327"/>
      <c r="C46" s="327"/>
      <c r="D46" s="327"/>
      <c r="E46" s="327"/>
      <c r="F46" s="327"/>
      <c r="G46" s="327"/>
      <c r="H46" s="327"/>
      <c r="I46" s="327"/>
      <c r="J46" s="327"/>
      <c r="K46" s="327"/>
      <c r="L46" s="78"/>
      <c r="M46" s="78"/>
      <c r="N46" s="78"/>
      <c r="O46" s="78"/>
      <c r="P46" s="78"/>
    </row>
    <row r="47" spans="1:16" x14ac:dyDescent="0.25">
      <c r="A47" s="86"/>
      <c r="B47" s="327"/>
      <c r="C47" s="327"/>
      <c r="D47" s="327"/>
      <c r="E47" s="327"/>
      <c r="F47" s="327"/>
      <c r="G47" s="327"/>
      <c r="H47" s="327"/>
      <c r="I47" s="327"/>
      <c r="J47" s="327"/>
      <c r="K47" s="327"/>
      <c r="L47" s="78"/>
      <c r="M47" s="78"/>
      <c r="N47" s="78"/>
      <c r="O47" s="78"/>
      <c r="P47" s="78"/>
    </row>
    <row r="48" spans="1:16" x14ac:dyDescent="0.25">
      <c r="A48" s="84"/>
      <c r="B48" s="327"/>
      <c r="C48" s="327"/>
      <c r="D48" s="327"/>
      <c r="E48" s="327"/>
      <c r="F48" s="327"/>
      <c r="G48" s="327"/>
      <c r="H48" s="327"/>
      <c r="I48" s="327"/>
      <c r="J48" s="327"/>
      <c r="K48" s="327"/>
      <c r="L48" s="78"/>
      <c r="M48" s="78"/>
      <c r="N48" s="78"/>
      <c r="O48" s="78"/>
      <c r="P48" s="78"/>
    </row>
    <row r="49" spans="1:16" x14ac:dyDescent="0.25">
      <c r="A49" s="86"/>
      <c r="B49" s="327"/>
      <c r="C49" s="327"/>
      <c r="D49" s="327"/>
      <c r="E49" s="327"/>
      <c r="F49" s="327"/>
      <c r="G49" s="327"/>
      <c r="H49" s="327"/>
      <c r="I49" s="327"/>
      <c r="J49" s="327"/>
      <c r="K49" s="327"/>
      <c r="L49" s="78"/>
      <c r="M49" s="78"/>
      <c r="N49" s="78"/>
      <c r="O49" s="78"/>
      <c r="P49" s="78"/>
    </row>
  </sheetData>
  <mergeCells count="16">
    <mergeCell ref="B45:K45"/>
    <mergeCell ref="B46:K46"/>
    <mergeCell ref="B47:K47"/>
    <mergeCell ref="B48:K48"/>
    <mergeCell ref="B49:K49"/>
    <mergeCell ref="B44:K44"/>
    <mergeCell ref="A1:L3"/>
    <mergeCell ref="A4:L4"/>
    <mergeCell ref="B36:K36"/>
    <mergeCell ref="B37:K37"/>
    <mergeCell ref="B38:K38"/>
    <mergeCell ref="B39:K39"/>
    <mergeCell ref="B40:K40"/>
    <mergeCell ref="B41:K41"/>
    <mergeCell ref="B42:K42"/>
    <mergeCell ref="B43:K43"/>
  </mergeCells>
  <pageMargins left="0.7" right="0.7" top="0.75" bottom="0.75" header="0.3" footer="0.3"/>
  <pageSetup paperSize="9"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153</vt:i4>
      </vt:variant>
    </vt:vector>
  </HeadingPairs>
  <TitlesOfParts>
    <vt:vector size="159" baseType="lpstr">
      <vt:lpstr>User's_Page</vt:lpstr>
      <vt:lpstr>Loop_Response</vt:lpstr>
      <vt:lpstr>Switching_Time</vt:lpstr>
      <vt:lpstr>Efficiency</vt:lpstr>
      <vt:lpstr>Variable_List</vt:lpstr>
      <vt:lpstr>Important Notice and Disclaimer</vt:lpstr>
      <vt:lpstr>A_EA</vt:lpstr>
      <vt:lpstr>A_PS</vt:lpstr>
      <vt:lpstr>C_c</vt:lpstr>
      <vt:lpstr>C_ff</vt:lpstr>
      <vt:lpstr>C_HS_oss</vt:lpstr>
      <vt:lpstr>C_LS_oss</vt:lpstr>
      <vt:lpstr>C_p</vt:lpstr>
      <vt:lpstr>Cin_act</vt:lpstr>
      <vt:lpstr>Cin_cal_min</vt:lpstr>
      <vt:lpstr>Ciss_0V</vt:lpstr>
      <vt:lpstr>Ciss_Vout</vt:lpstr>
      <vt:lpstr>Coss_0V</vt:lpstr>
      <vt:lpstr>Coss_Vout</vt:lpstr>
      <vt:lpstr>Cout</vt:lpstr>
      <vt:lpstr>Cout_cal_min</vt:lpstr>
      <vt:lpstr>Cout_elec</vt:lpstr>
      <vt:lpstr>Cout_MLCC</vt:lpstr>
      <vt:lpstr>Crss_0V</vt:lpstr>
      <vt:lpstr>Crss_Vout</vt:lpstr>
      <vt:lpstr>D</vt:lpstr>
      <vt:lpstr>D_1</vt:lpstr>
      <vt:lpstr>D_2</vt:lpstr>
      <vt:lpstr>device_name</vt:lpstr>
      <vt:lpstr>duty_max</vt:lpstr>
      <vt:lpstr>duty_min</vt:lpstr>
      <vt:lpstr>duty_nom</vt:lpstr>
      <vt:lpstr>efficiency</vt:lpstr>
      <vt:lpstr>efficiency_cal</vt:lpstr>
      <vt:lpstr>f</vt:lpstr>
      <vt:lpstr>fc</vt:lpstr>
      <vt:lpstr>fc_set</vt:lpstr>
      <vt:lpstr>G_EA</vt:lpstr>
      <vt:lpstr>GM</vt:lpstr>
      <vt:lpstr>icin_rms</vt:lpstr>
      <vt:lpstr>icout_rms</vt:lpstr>
      <vt:lpstr>Iin_max</vt:lpstr>
      <vt:lpstr>iin_nom</vt:lpstr>
      <vt:lpstr>iin_v2</vt:lpstr>
      <vt:lpstr>iin_vin_max</vt:lpstr>
      <vt:lpstr>iL_act_max</vt:lpstr>
      <vt:lpstr>iL_p2p_1</vt:lpstr>
      <vt:lpstr>iL_p2p_2</vt:lpstr>
      <vt:lpstr>iL_p2p_act_max</vt:lpstr>
      <vt:lpstr>iL_p2p_act_min</vt:lpstr>
      <vt:lpstr>iL_p2p_act_nom</vt:lpstr>
      <vt:lpstr>iL_p2p_cal</vt:lpstr>
      <vt:lpstr>iL_p2p_ratio</vt:lpstr>
      <vt:lpstr>IL_Peak_to_Peak</vt:lpstr>
      <vt:lpstr>iL_rms_act_nom</vt:lpstr>
      <vt:lpstr>ilimit_nom</vt:lpstr>
      <vt:lpstr>iout_actual_max</vt:lpstr>
      <vt:lpstr>iout_cal_max</vt:lpstr>
      <vt:lpstr>IQ_in</vt:lpstr>
      <vt:lpstr>IQ_out</vt:lpstr>
      <vt:lpstr>IUVLO</vt:lpstr>
      <vt:lpstr>K_R</vt:lpstr>
      <vt:lpstr>L</vt:lpstr>
      <vt:lpstr>L_cal</vt:lpstr>
      <vt:lpstr>LS_FET_off</vt:lpstr>
      <vt:lpstr>LS_FET_ON</vt:lpstr>
      <vt:lpstr>p_comp</vt:lpstr>
      <vt:lpstr>p_EA</vt:lpstr>
      <vt:lpstr>p_esr</vt:lpstr>
      <vt:lpstr>p_ff</vt:lpstr>
      <vt:lpstr>p_large</vt:lpstr>
      <vt:lpstr>P_loss_act_inductor_AC</vt:lpstr>
      <vt:lpstr>P_loss_diode_rr</vt:lpstr>
      <vt:lpstr>P_loss_fb_res</vt:lpstr>
      <vt:lpstr>P_loss_FET_dead</vt:lpstr>
      <vt:lpstr>P_loss_FET_driving</vt:lpstr>
      <vt:lpstr>P_loss_FET_out</vt:lpstr>
      <vt:lpstr>P_loss_FET_Rdson</vt:lpstr>
      <vt:lpstr>P_loss_HS_dead</vt:lpstr>
      <vt:lpstr>P_loss_HS_driving</vt:lpstr>
      <vt:lpstr>P_loss_HS_out</vt:lpstr>
      <vt:lpstr>P_loss_HS_Rdson</vt:lpstr>
      <vt:lpstr>P_loss_IC_total</vt:lpstr>
      <vt:lpstr>P_loss_inductor_AC</vt:lpstr>
      <vt:lpstr>P_loss_inductor_DC</vt:lpstr>
      <vt:lpstr>P_loss_inductor_total</vt:lpstr>
      <vt:lpstr>P_loss_LS_driving</vt:lpstr>
      <vt:lpstr>P_loss_LS_FET</vt:lpstr>
      <vt:lpstr>P_loss_LS_off</vt:lpstr>
      <vt:lpstr>P_loss_LS_on</vt:lpstr>
      <vt:lpstr>P_loss_LS_out</vt:lpstr>
      <vt:lpstr>P_loss_LS_Rdson</vt:lpstr>
      <vt:lpstr>P_loss_LS_switching</vt:lpstr>
      <vt:lpstr>P_loss_quiescent</vt:lpstr>
      <vt:lpstr>P_loss_total</vt:lpstr>
      <vt:lpstr>P_loss_VCC</vt:lpstr>
      <vt:lpstr>p_small</vt:lpstr>
      <vt:lpstr>PM</vt:lpstr>
      <vt:lpstr>Q_HS_gate</vt:lpstr>
      <vt:lpstr>Q_LS_gate</vt:lpstr>
      <vt:lpstr>Qg_total</vt:lpstr>
      <vt:lpstr>Qrr</vt:lpstr>
      <vt:lpstr>R_c</vt:lpstr>
      <vt:lpstr>R_EA</vt:lpstr>
      <vt:lpstr>R_FB</vt:lpstr>
      <vt:lpstr>R_FT</vt:lpstr>
      <vt:lpstr>R_HS_dson</vt:lpstr>
      <vt:lpstr>R_L_DCR</vt:lpstr>
      <vt:lpstr>R_LS_dson</vt:lpstr>
      <vt:lpstr>R_pulldown_fast</vt:lpstr>
      <vt:lpstr>R_pulldown_slow</vt:lpstr>
      <vt:lpstr>R_pullup_fast</vt:lpstr>
      <vt:lpstr>R_pullup_slow</vt:lpstr>
      <vt:lpstr>R_theta_JA</vt:lpstr>
      <vt:lpstr>Resr_elec</vt:lpstr>
      <vt:lpstr>Resr_MLCC</vt:lpstr>
      <vt:lpstr>RG</vt:lpstr>
      <vt:lpstr>RG_PCB</vt:lpstr>
      <vt:lpstr>rilim</vt:lpstr>
      <vt:lpstr>RL_dc</vt:lpstr>
      <vt:lpstr>RLS_dson</vt:lpstr>
      <vt:lpstr>Rout</vt:lpstr>
      <vt:lpstr>Rsense</vt:lpstr>
      <vt:lpstr>RUVB</vt:lpstr>
      <vt:lpstr>RUVT</vt:lpstr>
      <vt:lpstr>Switching_Frequency</vt:lpstr>
      <vt:lpstr>tau_HS_on_dead</vt:lpstr>
      <vt:lpstr>tau_LS_on_dead</vt:lpstr>
      <vt:lpstr>tau_off</vt:lpstr>
      <vt:lpstr>tau_on</vt:lpstr>
      <vt:lpstr>toff_LS</vt:lpstr>
      <vt:lpstr>toff_LS_GATE</vt:lpstr>
      <vt:lpstr>ton_LS</vt:lpstr>
      <vt:lpstr>v_1</vt:lpstr>
      <vt:lpstr>v_2</vt:lpstr>
      <vt:lpstr>V_CC</vt:lpstr>
      <vt:lpstr>V_D_HS</vt:lpstr>
      <vt:lpstr>V_D_LS</vt:lpstr>
      <vt:lpstr>V_DD</vt:lpstr>
      <vt:lpstr>V_HS_gate</vt:lpstr>
      <vt:lpstr>V_LS_gate</vt:lpstr>
      <vt:lpstr>Vgs_th</vt:lpstr>
      <vt:lpstr>vin_max</vt:lpstr>
      <vt:lpstr>vin_min</vt:lpstr>
      <vt:lpstr>vin_nom</vt:lpstr>
      <vt:lpstr>vin_p2p_max</vt:lpstr>
      <vt:lpstr>Vin_Ripple</vt:lpstr>
      <vt:lpstr>Vmiller</vt:lpstr>
      <vt:lpstr>vout</vt:lpstr>
      <vt:lpstr>vout_p2p_max</vt:lpstr>
      <vt:lpstr>vref</vt:lpstr>
      <vt:lpstr>VUVLO_OFF</vt:lpstr>
      <vt:lpstr>VUVLO_ON</vt:lpstr>
      <vt:lpstr>VUVLO_RISE</vt:lpstr>
      <vt:lpstr>z_comp</vt:lpstr>
      <vt:lpstr>z_esr_1</vt:lpstr>
      <vt:lpstr>z_esr_2</vt:lpstr>
      <vt:lpstr>z_ff</vt:lpstr>
      <vt:lpstr>z_RHP</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Zhong, Lei</dc:creator>
  <cp:lastModifiedBy>Ding, Nathan</cp:lastModifiedBy>
  <dcterms:created xsi:type="dcterms:W3CDTF">2015-06-05T18:17:20Z</dcterms:created>
  <dcterms:modified xsi:type="dcterms:W3CDTF">2025-10-13T07:46:45Z</dcterms:modified>
</cp:coreProperties>
</file>